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C13A09-7D1E-4399-8197-39F976A8C8D9}" xr6:coauthVersionLast="47" xr6:coauthVersionMax="47" xr10:uidLastSave="{00000000-0000-0000-0000-000000000000}"/>
  <bookViews>
    <workbookView xWindow="-120" yWindow="-120" windowWidth="38640" windowHeight="15720" tabRatio="368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S16" i="9"/>
  <c r="T16" i="9"/>
  <c r="U16" i="9"/>
  <c r="V16" i="9"/>
  <c r="W16" i="9"/>
  <c r="Z16" i="9"/>
  <c r="AB16" i="9"/>
  <c r="AC16" i="9"/>
  <c r="S17" i="9"/>
  <c r="T17" i="9"/>
  <c r="U17" i="9"/>
  <c r="V17" i="9"/>
  <c r="W17" i="9"/>
  <c r="Z17" i="9"/>
  <c r="AB17" i="9"/>
  <c r="AC17" i="9"/>
  <c r="S18" i="9"/>
  <c r="T18" i="9"/>
  <c r="U18" i="9"/>
  <c r="V18" i="9"/>
  <c r="W18" i="9"/>
  <c r="Z18" i="9"/>
  <c r="AB18" i="9"/>
  <c r="AC18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B21" i="9"/>
  <c r="AC21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W32" i="9"/>
  <c r="Z32" i="9"/>
  <c r="O33" i="9"/>
  <c r="P33" i="9"/>
  <c r="V33" i="9"/>
  <c r="Z33" i="9"/>
  <c r="P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R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U10" i="7"/>
  <c r="Y10" i="7"/>
  <c r="AA10" i="7"/>
  <c r="AB10" i="7"/>
  <c r="M11" i="7"/>
  <c r="Y11" i="7"/>
  <c r="AA11" i="7"/>
  <c r="AB11" i="7"/>
  <c r="R12" i="7"/>
  <c r="S12" i="7"/>
  <c r="T12" i="7"/>
  <c r="U12" i="7"/>
  <c r="V12" i="7"/>
  <c r="W12" i="7"/>
  <c r="Y12" i="7"/>
  <c r="AA12" i="7"/>
  <c r="AB12" i="7"/>
  <c r="R13" i="7"/>
  <c r="S13" i="7"/>
  <c r="T13" i="7"/>
  <c r="U13" i="7"/>
  <c r="V13" i="7"/>
  <c r="W13" i="7"/>
  <c r="Y13" i="7"/>
  <c r="AA13" i="7"/>
  <c r="AB13" i="7"/>
  <c r="R14" i="7"/>
  <c r="S14" i="7"/>
  <c r="T14" i="7"/>
  <c r="U14" i="7"/>
  <c r="V14" i="7"/>
  <c r="W14" i="7"/>
  <c r="Y14" i="7"/>
  <c r="AA14" i="7"/>
  <c r="AB14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U17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Q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S23" i="5"/>
  <c r="T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R29" i="5"/>
  <c r="T29" i="5"/>
  <c r="U29" i="5"/>
  <c r="Y29" i="5"/>
  <c r="AA29" i="5"/>
  <c r="AB29" i="5"/>
  <c r="Y30" i="5"/>
  <c r="Z30" i="5"/>
  <c r="AA30" i="5"/>
  <c r="AB30" i="5"/>
  <c r="Y31" i="5"/>
  <c r="AA31" i="5"/>
  <c r="AB31" i="5"/>
  <c r="R32" i="5"/>
  <c r="S32" i="5"/>
  <c r="U32" i="5"/>
  <c r="Y32" i="5"/>
  <c r="I33" i="5"/>
  <c r="J33" i="5"/>
  <c r="L33" i="5"/>
  <c r="U33" i="5"/>
  <c r="Y33" i="5"/>
  <c r="O34" i="5"/>
  <c r="R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Q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<sst xmlns="http://schemas.openxmlformats.org/spreadsheetml/2006/main" count="598" uniqueCount="130">
  <si>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</si>
  <si>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</si>
  <si>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</si>
  <si>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</si>
  <si>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</si>
  <si>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</si>
  <si>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</si>
  <si>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</si>
  <si>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</si>
  <si>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</si>
  <si>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</si>
  <si>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</si>
  <si>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</si>
  <si>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</si>
  <si>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</si>
  <si>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</si>
  <si>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</si>
  <si>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</si>
  <si>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</si>
  <si>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</si>
  <si>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</si>
  <si>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</si>
  <si>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</si>
  <si>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</si>
  <si>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</si>
  <si>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</si>
  <si>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</si>
  <si>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</si>
  <si>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</si>
  <si>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</si>
  <si>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</si>
  <si>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</si>
  <si>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</si>
  <si>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</si>
  <si>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</si>
  <si>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</si>
  <si>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</si>
  <si>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</si>
  <si>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</si>
  <si>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</si>
  <si>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</si>
  <si>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</si>
  <si>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</si>
  <si>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</si>
  <si>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</si>
  <si>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</si>
  <si>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</si>
  <si>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</si>
  <si>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</si>
  <si>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</si>
  <si>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</si>
  <si>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</si>
  <si>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</si>
  <si>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</si>
  <si>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</si>
  <si>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</si>
  <si>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</si>
  <si>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</si>
  <si>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</si>
  <si>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</si>
  <si>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</si>
  <si>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</si>
  <si>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</si>
  <si>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</si>
  <si>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</si>
  <si>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</si>
  <si>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</si>
  <si>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</si>
  <si>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</si>
  <si>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</si>
  <si>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</si>
  <si>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</si>
  <si>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</si>
  <si>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</si>
  <si>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</si>
  <si>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</si>
  <si>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</si>
  <si>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</si>
  <si>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</si>
  <si>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</si>
  <si>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</si>
  <si>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</si>
  <si>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</si>
  <si>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</si>
  <si>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</si>
  <si>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</si>
  <si>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</si>
  <si>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</si>
  <si>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</si>
  <si>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</si>
  <si>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</si>
  <si>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</si>
  <si>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</si>
  <si>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</si>
  <si>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</si>
  <si>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</si>
  <si>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</si>
  <si>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</si>
  <si>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</si>
  <si>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</si>
  <si>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</si>
  <si>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</si>
  <si>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</si>
  <si>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</si>
  <si>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</si>
  <si>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</si>
  <si>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</si>
  <si>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</si>
  <si>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</si>
  <si>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</si>
  <si>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</si>
  <si>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</si>
  <si>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</si>
  <si>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</si>
  <si>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</si>
  <si>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</si>
  <si>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</si>
  <si>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</si>
  <si>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</si>
  <si>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</si>
  <si>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</si>
  <si>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</si>
  <si>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</si>
  <si>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</si>
  <si>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</si>
  <si>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</si>
  <si>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NEPCO - MISC</t>
  </si>
  <si>
    <t>1/2 of Redesign costs to change projects</t>
  </si>
  <si>
    <t>OEC (Mobilization of O&amp;M)</t>
  </si>
  <si>
    <t>Last updated:  Actuals through February 25,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</si>
</sst>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22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218555.81000000003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2472650.2800000003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938158.83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254991374.37977514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29">
          <cell r="BT129">
            <v>-3387761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408551</v>
          </cell>
        </row>
        <row r="195">
          <cell r="BT195">
            <v>583130.26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687854.57000000007</v>
          </cell>
        </row>
        <row r="245">
          <cell r="BT245">
            <v>752208.46</v>
          </cell>
        </row>
        <row r="261">
          <cell r="BT261">
            <v>175957550.61062777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23">
          <cell r="BR123">
            <v>-3953393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1892589.96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754273.98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162631836.36367434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O:\Fin_Ops\Engysvc\PowerPlants\2000 Plants\Draw Schedule\[Draw Sched - 022900.xls]Gleason</v>
      </c>
    </row>
    <row r="3" spans="1:23" s="2" customFormat="1" ht="15.75" x14ac:dyDescent="0.25">
      <c r="A3" s="1" t="s">
        <v>2</v>
      </c>
      <c r="F3" s="3"/>
      <c r="V3" s="24">
        <f ca="1">NOW()</f>
        <v>36585.365237152779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workbookViewId="0"/>
  </sheetViews>
  <sheetFormatPr defaultRowHeight="12.75" x14ac:dyDescent="0.2"/>
  <cols>
    <col min="1" max="1" width="23.42578125" customWidth="1"/>
    <col min="2" max="2" width="2" customWidth="1"/>
    <col min="3" max="3" width="11.28515625" bestFit="1" customWidth="1"/>
    <col min="4" max="21" width="12.28515625" bestFit="1" customWidth="1"/>
    <col min="22" max="22" width="14.7109375" customWidth="1"/>
    <col min="23" max="25" width="12.28515625" bestFit="1" customWidth="1"/>
    <col min="26" max="26" width="13.85546875" bestFit="1" customWidth="1"/>
    <col min="27" max="27" width="12.28515625" bestFit="1" customWidth="1"/>
  </cols>
  <sheetData>
    <row r="1" spans="1:31" ht="15.75" x14ac:dyDescent="0.25">
      <c r="A1" s="1" t="s">
        <v>0</v>
      </c>
    </row>
    <row r="2" spans="1:31" ht="15.75" x14ac:dyDescent="0.25">
      <c r="A2" s="1" t="s">
        <v>1</v>
      </c>
    </row>
    <row r="3" spans="1:31" ht="15.75" x14ac:dyDescent="0.25">
      <c r="A3" s="1" t="s">
        <v>103</v>
      </c>
    </row>
    <row r="4" spans="1:31" ht="15.75" x14ac:dyDescent="0.25">
      <c r="A4" s="1" t="s">
        <v>2</v>
      </c>
    </row>
    <row r="7" spans="1:31" s="6" customFormat="1" x14ac:dyDescent="0.2">
      <c r="A7" s="5"/>
      <c r="C7" s="7">
        <v>1998</v>
      </c>
      <c r="D7" s="60" t="s">
        <v>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4</v>
      </c>
      <c r="Q7" s="60"/>
      <c r="R7" s="60"/>
      <c r="S7" s="60"/>
      <c r="T7" s="60"/>
      <c r="U7" s="60"/>
      <c r="V7" s="60"/>
    </row>
    <row r="8" spans="1:31" s="6" customFormat="1" x14ac:dyDescent="0.2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20.25" x14ac:dyDescent="0.55000000000000004">
      <c r="A9" s="32" t="s">
        <v>80</v>
      </c>
      <c r="U9" s="31"/>
      <c r="V9" s="31"/>
    </row>
    <row r="10" spans="1:31" x14ac:dyDescent="0.2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29307936.079396211</v>
      </c>
      <c r="R11" s="44">
        <f>Wilton!R47</f>
        <v>20176876.762723498</v>
      </c>
      <c r="S11" s="44">
        <f>Wilton!S47</f>
        <v>15278714.647107694</v>
      </c>
      <c r="T11" s="44">
        <f>Wilton!T47</f>
        <v>9310897.4624878615</v>
      </c>
      <c r="U11" s="44">
        <f>Wilton!U47</f>
        <v>14860816.37978467</v>
      </c>
      <c r="V11" s="44">
        <f>Wilton!Y47</f>
        <v>254331507.92977515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7595606.3413967658</v>
      </c>
      <c r="R13" s="44">
        <f>Gleason!S47</f>
        <v>12133994.368596466</v>
      </c>
      <c r="S13" s="44">
        <f>Gleason!T47</f>
        <v>10433206.511536771</v>
      </c>
      <c r="T13" s="44">
        <f>Gleason!U47</f>
        <v>8272837.7552654725</v>
      </c>
      <c r="U13" s="44">
        <f>Gleason!V47</f>
        <v>25424116.644600242</v>
      </c>
      <c r="V13" s="44">
        <f>Gleason!Z47</f>
        <v>175838092.62285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9672253.7753432747</v>
      </c>
      <c r="R15" s="44">
        <f>Wheatland!R46</f>
        <v>11164324.049434626</v>
      </c>
      <c r="S15" s="44">
        <f>Wheatland!S46</f>
        <v>8589464.9584107306</v>
      </c>
      <c r="T15" s="44">
        <f>Wheatland!T46</f>
        <v>8102661.7345837876</v>
      </c>
      <c r="U15" s="44">
        <f>Wheatland!U46</f>
        <v>18992199.627209909</v>
      </c>
      <c r="V15" s="44">
        <f>Wheatland!Y46</f>
        <v>162354471.21760768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46575796.196136251</v>
      </c>
      <c r="R17" s="44">
        <f t="shared" si="0"/>
        <v>43475195.180754587</v>
      </c>
      <c r="S17" s="44">
        <f t="shared" si="0"/>
        <v>34301386.1170552</v>
      </c>
      <c r="T17" s="44">
        <f t="shared" si="0"/>
        <v>25686396.952337123</v>
      </c>
      <c r="U17" s="44">
        <f t="shared" si="0"/>
        <v>59277132.651594825</v>
      </c>
      <c r="V17" s="44">
        <f t="shared" si="0"/>
        <v>592524071.77023292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431107381.14129102</v>
      </c>
      <c r="R18" s="4">
        <f t="shared" si="1"/>
        <v>474582576.32204562</v>
      </c>
      <c r="S18" s="4">
        <f t="shared" si="1"/>
        <v>508883962.4391008</v>
      </c>
      <c r="T18" s="4">
        <f t="shared" si="1"/>
        <v>534570359.39143795</v>
      </c>
      <c r="U18" s="9">
        <f t="shared" si="1"/>
        <v>593847492.04303277</v>
      </c>
      <c r="V18" s="9"/>
      <c r="W18" s="9"/>
      <c r="X18" s="9"/>
      <c r="Y18" s="9"/>
      <c r="Z18" s="9"/>
      <c r="AA18" s="9"/>
    </row>
    <row r="19" spans="1:45" s="4" customFormat="1" x14ac:dyDescent="0.2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bestFit="1" customWidth="1"/>
    <col min="12" max="12" width="12.28515625" style="52" customWidth="1"/>
    <col min="13" max="13" width="11.85546875" style="18" bestFit="1" customWidth="1"/>
    <col min="14" max="14" width="11.85546875" style="18" customWidth="1"/>
    <col min="15" max="17" width="12.28515625" style="18" bestFit="1" customWidth="1"/>
    <col min="18" max="22" width="12.28515625" style="18" hidden="1" customWidth="1"/>
    <col min="23" max="23" width="12.85546875" style="18" hidden="1" customWidth="1"/>
    <col min="24" max="24" width="13.5703125" style="4" customWidth="1"/>
    <col min="25" max="25" width="20" style="18" customWidth="1"/>
    <col min="26" max="26" width="11.28515625" style="18" customWidth="1"/>
    <col min="27" max="16384" width="9.140625" style="18"/>
  </cols>
  <sheetData>
    <row r="1" spans="1:26" s="2" customFormat="1" ht="15.75" x14ac:dyDescent="0.25">
      <c r="A1" s="1" t="s">
        <v>0</v>
      </c>
      <c r="L1" s="51"/>
    </row>
    <row r="2" spans="1:26" s="2" customFormat="1" ht="15.75" x14ac:dyDescent="0.25">
      <c r="A2" s="1" t="s">
        <v>1</v>
      </c>
      <c r="D2" s="1" t="str">
        <f>Wilton!D2</f>
        <v>Last updated:  Actuals through February 25, 1999</v>
      </c>
      <c r="L2" s="51"/>
      <c r="X2" s="25" t="str">
        <f ca="1">CELL("filename")</f>
        <v>O:\Fin_Ops\Engysvc\PowerPlants\2000 Plants\Draw Schedule\[Draw Sched - 022900.xls]Gleason</v>
      </c>
    </row>
    <row r="3" spans="1:26" s="2" customFormat="1" ht="15.75" x14ac:dyDescent="0.25">
      <c r="A3" s="1" t="s">
        <v>2</v>
      </c>
      <c r="D3" s="26"/>
      <c r="F3" s="3"/>
      <c r="L3" s="51"/>
      <c r="X3" s="24">
        <f ca="1">NOW()</f>
        <v>36585.365237152779</v>
      </c>
    </row>
    <row r="4" spans="1:26" ht="15" x14ac:dyDescent="0.2">
      <c r="C4" s="12"/>
      <c r="D4" s="28"/>
    </row>
    <row r="5" spans="1:26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20.25" x14ac:dyDescent="0.55000000000000004">
      <c r="A7" s="32" t="s">
        <v>80</v>
      </c>
      <c r="X7" s="10"/>
      <c r="Y7" s="31"/>
    </row>
    <row r="8" spans="1:26" x14ac:dyDescent="0.2">
      <c r="A8" s="5" t="s">
        <v>34</v>
      </c>
      <c r="X8" s="11"/>
    </row>
    <row r="9" spans="1:26" x14ac:dyDescent="0.2">
      <c r="A9" s="5" t="s">
        <v>61</v>
      </c>
      <c r="X9" s="11"/>
    </row>
    <row r="10" spans="1:26" x14ac:dyDescent="0.2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">
      <c r="A35" s="17" t="s">
        <v>64</v>
      </c>
      <c r="X35" s="16">
        <f>+X33/C52/1000</f>
        <v>4.5098039097901362E-7</v>
      </c>
      <c r="Y35" s="20"/>
    </row>
    <row r="36" spans="1:25" x14ac:dyDescent="0.2">
      <c r="A36" s="17"/>
      <c r="X36" s="16"/>
      <c r="Y36" s="20"/>
    </row>
    <row r="37" spans="1:25" x14ac:dyDescent="0.2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">
      <c r="L47" s="57"/>
      <c r="X47" s="11"/>
    </row>
    <row r="48" spans="1:25" s="4" customFormat="1" x14ac:dyDescent="0.2">
      <c r="L48" s="57"/>
    </row>
    <row r="49" spans="1:27" s="4" customFormat="1" x14ac:dyDescent="0.2">
      <c r="L49" s="57"/>
      <c r="X49" s="16">
        <f>+X45/C52/1000</f>
        <v>4.5098039097901362E-7</v>
      </c>
    </row>
    <row r="50" spans="1:27" s="4" customFormat="1" x14ac:dyDescent="0.2">
      <c r="A50" s="8" t="s">
        <v>96</v>
      </c>
      <c r="C50" s="12">
        <v>6.5000000000000002E-2</v>
      </c>
      <c r="L50" s="57"/>
      <c r="X50" s="11"/>
    </row>
    <row r="51" spans="1:27" s="4" customFormat="1" x14ac:dyDescent="0.2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">
      <c r="A54" s="8"/>
      <c r="C54" s="12"/>
      <c r="L54" s="57"/>
      <c r="X54" s="11"/>
    </row>
    <row r="55" spans="1:27" x14ac:dyDescent="0.2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">
      <c r="X56" s="11"/>
    </row>
    <row r="57" spans="1:27" x14ac:dyDescent="0.2">
      <c r="X57" s="11"/>
    </row>
    <row r="58" spans="1:27" ht="20.25" x14ac:dyDescent="0.55000000000000004">
      <c r="A58" s="32" t="s">
        <v>81</v>
      </c>
      <c r="X58" s="11"/>
    </row>
    <row r="59" spans="1:27" x14ac:dyDescent="0.2">
      <c r="A59" s="5" t="s">
        <v>34</v>
      </c>
      <c r="X59" s="11"/>
    </row>
    <row r="60" spans="1:27" x14ac:dyDescent="0.2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O14" activePane="bottomRight" state="frozen"/>
      <selection activeCell="T58" sqref="T58"/>
      <selection pane="topRight" activeCell="T58" sqref="T58"/>
      <selection pane="bottomLeft" activeCell="T58" sqref="T58"/>
      <selection pane="bottomRight" activeCell="O18" sqref="O18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0.28515625" style="4" bestFit="1" customWidth="1"/>
    <col min="4" max="4" width="11.42578125" style="18" customWidth="1"/>
    <col min="5" max="5" width="13.28515625" style="18" customWidth="1"/>
    <col min="6" max="6" width="12.28515625" style="18" bestFit="1" customWidth="1"/>
    <col min="7" max="7" width="12.85546875" style="18" customWidth="1"/>
    <col min="8" max="8" width="12" style="18" customWidth="1"/>
    <col min="9" max="9" width="12.7109375" style="18" customWidth="1"/>
    <col min="10" max="10" width="13" style="18" customWidth="1"/>
    <col min="11" max="12" width="12.28515625" style="18" bestFit="1" customWidth="1"/>
    <col min="13" max="13" width="12.28515625" style="18" customWidth="1"/>
    <col min="14" max="14" width="12.85546875" style="18" bestFit="1" customWidth="1"/>
    <col min="15" max="15" width="14" style="18" customWidth="1"/>
    <col min="16" max="16" width="14.42578125" style="18" bestFit="1" customWidth="1"/>
    <col min="17" max="17" width="12.85546875" style="18" bestFit="1" customWidth="1"/>
    <col min="18" max="18" width="13.85546875" style="18" customWidth="1"/>
    <col min="19" max="19" width="13.5703125" style="18" customWidth="1"/>
    <col min="20" max="21" width="13.85546875" style="18" customWidth="1"/>
    <col min="22" max="24" width="13.85546875" style="18" hidden="1" customWidth="1"/>
    <col min="25" max="25" width="14.42578125" style="4" customWidth="1"/>
    <col min="26" max="26" width="20" style="18" bestFit="1" customWidth="1"/>
    <col min="27" max="27" width="12.28515625" style="18" customWidth="1"/>
    <col min="28" max="28" width="13.85546875" style="18" bestFit="1" customWidth="1"/>
    <col min="29" max="29" width="9.140625" style="18"/>
    <col min="30" max="31" width="9.28515625" style="18" bestFit="1" customWidth="1"/>
    <col min="32" max="16384" width="9.140625" style="18"/>
  </cols>
  <sheetData>
    <row r="1" spans="1:28" s="2" customFormat="1" ht="15.75" x14ac:dyDescent="0.25">
      <c r="A1" s="1" t="s">
        <v>0</v>
      </c>
      <c r="Z1" s="2">
        <v>0</v>
      </c>
    </row>
    <row r="2" spans="1:28" s="2" customFormat="1" ht="15.75" x14ac:dyDescent="0.25">
      <c r="A2" s="1" t="s">
        <v>1</v>
      </c>
      <c r="D2" s="1" t="s">
        <v>129</v>
      </c>
      <c r="Y2" s="25" t="str">
        <f ca="1">CELL("filename")</f>
        <v>O:\Fin_Ops\Engysvc\PowerPlants\2000 Plants\Draw Schedule\[Draw Sched - 022900.xls]Gleason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36585.365237152779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s="6" customFormat="1" x14ac:dyDescent="0.2">
      <c r="A8" s="5" t="s">
        <v>43</v>
      </c>
      <c r="Y8" s="10"/>
      <c r="Z8"/>
    </row>
    <row r="9" spans="1:28" s="6" customFormat="1" x14ac:dyDescent="0.2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591605</v>
      </c>
      <c r="Y11" s="11">
        <f t="shared" ref="Y11:Y34" si="0">SUM(C11:X11)</f>
        <v>5916047.7999999998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-0.20000000018626451</v>
      </c>
    </row>
    <row r="12" spans="1:28" x14ac:dyDescent="0.2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[1]Wilton!$BR$143</f>
        <v>9479519</v>
      </c>
      <c r="AB12" s="18">
        <f t="shared" si="1"/>
        <v>0.30000000074505806</v>
      </c>
    </row>
    <row r="13" spans="1:28" x14ac:dyDescent="0.2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[1]Wilton!$BR$128</f>
        <v>2824800</v>
      </c>
      <c r="AB14" s="18">
        <f t="shared" si="1"/>
        <v>0</v>
      </c>
    </row>
    <row r="15" spans="1:28" x14ac:dyDescent="0.2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12212209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-2134700</v>
      </c>
    </row>
    <row r="17" spans="1:28" x14ac:dyDescent="0.2">
      <c r="A17" s="17" t="s">
        <v>120</v>
      </c>
      <c r="F17" s="8"/>
      <c r="N17" s="18">
        <v>3301</v>
      </c>
      <c r="O17" s="18">
        <v>346618</v>
      </c>
      <c r="P17" s="18">
        <v>1451621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6316588</v>
      </c>
      <c r="Z17" s="19" t="str">
        <f t="shared" si="3"/>
        <v>Mike Miller</v>
      </c>
      <c r="AA17" s="18">
        <f>[1]Wilton!$BR$81</f>
        <v>7349178</v>
      </c>
      <c r="AB17" s="18">
        <f t="shared" si="1"/>
        <v>-1032590</v>
      </c>
    </row>
    <row r="18" spans="1:28" x14ac:dyDescent="0.2">
      <c r="A18" s="17" t="s">
        <v>121</v>
      </c>
      <c r="F18" s="8"/>
      <c r="N18" s="18">
        <v>0</v>
      </c>
      <c r="O18" s="18">
        <v>2569929</v>
      </c>
      <c r="P18" s="18">
        <v>4657660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4849213-U16-U17-U19+4363162-3390463</f>
        <v>1936866</v>
      </c>
      <c r="W18" s="18">
        <v>0</v>
      </c>
      <c r="Y18" s="11">
        <f t="shared" si="0"/>
        <v>26395376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-7927810</v>
      </c>
    </row>
    <row r="19" spans="1:28" x14ac:dyDescent="0.2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3509663</v>
      </c>
      <c r="Z19" s="19" t="str">
        <f t="shared" si="3"/>
        <v>Mike Miller</v>
      </c>
      <c r="AA19" s="18">
        <f>[1]Wilton!$BR$120</f>
        <v>5336759</v>
      </c>
      <c r="AB19" s="18">
        <f t="shared" si="1"/>
        <v>-1827096</v>
      </c>
    </row>
    <row r="20" spans="1:28" x14ac:dyDescent="0.2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>Z19</f>
        <v>Mike Miller</v>
      </c>
      <c r="AA20" s="18">
        <f>[1]Wilton!$BR$158</f>
        <v>500000</v>
      </c>
      <c r="AB20" s="18">
        <f t="shared" si="1"/>
        <v>0</v>
      </c>
    </row>
    <row r="21" spans="1:28" x14ac:dyDescent="0.2">
      <c r="A21" s="17" t="s">
        <v>126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>SUM(C21:X21)</f>
        <v>0</v>
      </c>
      <c r="Z21" s="19"/>
      <c r="AA21" s="18">
        <v>0</v>
      </c>
      <c r="AB21" s="18">
        <f>Y21-AA21</f>
        <v>0</v>
      </c>
    </row>
    <row r="22" spans="1:28" x14ac:dyDescent="0.2">
      <c r="A22" s="17" t="s">
        <v>124</v>
      </c>
      <c r="F22" s="8"/>
      <c r="N22" s="18">
        <v>8573073</v>
      </c>
      <c r="O22" s="18">
        <v>7093919</v>
      </c>
      <c r="P22" s="18">
        <v>-7855877</v>
      </c>
      <c r="Q22" s="18">
        <v>12922196</v>
      </c>
      <c r="U22" s="18">
        <v>-7811115</v>
      </c>
      <c r="Y22" s="11">
        <f t="shared" si="0"/>
        <v>12922196</v>
      </c>
      <c r="Z22" s="19" t="str">
        <f>Z20</f>
        <v>Mike Miller</v>
      </c>
      <c r="AB22" s="18">
        <f t="shared" si="1"/>
        <v>12922196</v>
      </c>
    </row>
    <row r="23" spans="1:28" x14ac:dyDescent="0.2">
      <c r="A23" s="17" t="s">
        <v>128</v>
      </c>
      <c r="C23" s="4">
        <v>0</v>
      </c>
      <c r="F23" s="8"/>
      <c r="P23" s="18">
        <v>0</v>
      </c>
      <c r="Q23" s="18">
        <v>37000</v>
      </c>
      <c r="R23" s="18">
        <v>125000</v>
      </c>
      <c r="S23" s="18">
        <f>125000+100000</f>
        <v>225000</v>
      </c>
      <c r="T23" s="18">
        <f>125000+113000</f>
        <v>238000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Q25" s="18">
        <v>-13168</v>
      </c>
      <c r="Y25" s="11">
        <f t="shared" si="0"/>
        <v>2472650</v>
      </c>
      <c r="Z25" s="19" t="s">
        <v>52</v>
      </c>
      <c r="AA25" s="18">
        <f>[1]Wilton!$BR$167</f>
        <v>2472650.2800000003</v>
      </c>
      <c r="AB25" s="18">
        <f t="shared" si="1"/>
        <v>-0.28000000026077032</v>
      </c>
    </row>
    <row r="26" spans="1:28" x14ac:dyDescent="0.2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2588</v>
      </c>
      <c r="R26" s="18">
        <v>73458</v>
      </c>
      <c r="U26" s="18">
        <v>0</v>
      </c>
      <c r="Y26" s="11">
        <f t="shared" si="0"/>
        <v>301204.45999999996</v>
      </c>
      <c r="Z26" s="19" t="str">
        <f>Z25</f>
        <v>Scott Healy</v>
      </c>
    </row>
    <row r="27" spans="1:28" x14ac:dyDescent="0.2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Y27" s="11">
        <f t="shared" si="0"/>
        <v>218556</v>
      </c>
      <c r="Z27" s="19"/>
      <c r="AA27" s="18">
        <f>[1]Wilton!$BR$156</f>
        <v>218555.81000000003</v>
      </c>
      <c r="AB27" s="18">
        <f t="shared" si="1"/>
        <v>0.18999999997322448</v>
      </c>
    </row>
    <row r="28" spans="1:28" x14ac:dyDescent="0.2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445269</v>
      </c>
      <c r="R28" s="18">
        <v>200000</v>
      </c>
      <c r="S28" s="18">
        <v>220337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v>0</v>
      </c>
      <c r="R29" s="18">
        <f>1250000+500000</f>
        <v>1750000</v>
      </c>
      <c r="S29" s="18">
        <v>1500000</v>
      </c>
      <c r="T29" s="18">
        <f>500000+750000</f>
        <v>1250000</v>
      </c>
      <c r="U29" s="18">
        <f>250000+1750000</f>
        <v>2000000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6742+33723+13333</f>
        <v>53798</v>
      </c>
      <c r="V32" s="17"/>
      <c r="W32" s="17"/>
      <c r="X32" s="17"/>
      <c r="Y32" s="11">
        <f t="shared" si="0"/>
        <v>164062.59333333332</v>
      </c>
      <c r="Z32" s="19" t="s">
        <v>52</v>
      </c>
    </row>
    <row r="33" spans="1:27" x14ac:dyDescent="0.2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v>42246</v>
      </c>
      <c r="R33" s="18">
        <v>31732</v>
      </c>
      <c r="T33" s="17"/>
      <c r="U33" s="18">
        <f>36960-8586</f>
        <v>28374</v>
      </c>
      <c r="Y33" s="11">
        <f t="shared" si="0"/>
        <v>592379.48</v>
      </c>
      <c r="Z33" s="19" t="s">
        <v>52</v>
      </c>
    </row>
    <row r="34" spans="1:27" x14ac:dyDescent="0.2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0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f>15544</f>
        <v>15544</v>
      </c>
      <c r="Y34" s="11">
        <f t="shared" si="0"/>
        <v>528852.5</v>
      </c>
      <c r="Z34" s="19" t="s">
        <v>52</v>
      </c>
      <c r="AA34" s="18">
        <v>0</v>
      </c>
    </row>
    <row r="35" spans="1:27" x14ac:dyDescent="0.2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28258970.213333331</v>
      </c>
      <c r="R35" s="21">
        <f t="shared" si="5"/>
        <v>19019208.286666665</v>
      </c>
      <c r="S35" s="21">
        <f t="shared" si="5"/>
        <v>14038732.333333334</v>
      </c>
      <c r="T35" s="21">
        <f t="shared" si="5"/>
        <v>8020752.833333333</v>
      </c>
      <c r="U35" s="21">
        <f t="shared" si="5"/>
        <v>13490609.333333332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242054859.38</v>
      </c>
    </row>
    <row r="36" spans="1:27" x14ac:dyDescent="0.2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187485556.5933333</v>
      </c>
      <c r="R36" s="21">
        <f t="shared" si="6"/>
        <v>206504764.87999997</v>
      </c>
      <c r="S36" s="21">
        <f t="shared" si="6"/>
        <v>220543497.21333331</v>
      </c>
      <c r="T36" s="21">
        <f t="shared" si="6"/>
        <v>228564250.04666665</v>
      </c>
      <c r="U36" s="21">
        <f t="shared" si="6"/>
        <v>242054859.38</v>
      </c>
      <c r="V36" s="21">
        <f>+U36+V35</f>
        <v>242054859.38</v>
      </c>
      <c r="W36" s="21">
        <f>+V36+W35</f>
        <v>242054859.38</v>
      </c>
      <c r="X36" s="21">
        <f>+W36+X35</f>
        <v>242054859.38</v>
      </c>
      <c r="Y36" s="13"/>
    </row>
    <row r="37" spans="1:27" x14ac:dyDescent="0.2">
      <c r="A37" s="17" t="s">
        <v>64</v>
      </c>
      <c r="F37" s="8"/>
      <c r="Y37" s="16">
        <f>+Y35/C52/1000</f>
        <v>398.11654503289469</v>
      </c>
      <c r="Z37" s="20"/>
    </row>
    <row r="38" spans="1:27" x14ac:dyDescent="0.2">
      <c r="F38" s="8"/>
      <c r="Y38" s="11"/>
    </row>
    <row r="39" spans="1:27" x14ac:dyDescent="0.2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f>(Q36+P45)*$C50/12</f>
        <v>1048965.8660628793</v>
      </c>
      <c r="R40" s="30">
        <f>(R36+Q45)*$C50/12</f>
        <v>1157668.4760568312</v>
      </c>
      <c r="S40" s="30">
        <f>(S36+R45)*$C50/12</f>
        <v>1239982.313774361</v>
      </c>
      <c r="T40" s="30">
        <f>(T36+S45)*$C50/12</f>
        <v>1290144.6291545278</v>
      </c>
      <c r="U40" s="30">
        <f>(U36+T45)*$C50/12</f>
        <v>1370207.0464513372</v>
      </c>
      <c r="V40" s="30"/>
      <c r="W40" s="30"/>
      <c r="X40" s="30"/>
      <c r="Y40" s="11">
        <f>SUM(C40:X40)</f>
        <v>12281537.04977512</v>
      </c>
      <c r="Z40" s="19">
        <f>Z53</f>
        <v>0</v>
      </c>
    </row>
    <row r="41" spans="1:27" x14ac:dyDescent="0.2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">
      <c r="A44" s="17" t="s">
        <v>65</v>
      </c>
      <c r="C44" s="21">
        <f>SUM(C39:C43)</f>
        <v>340000</v>
      </c>
      <c r="D44" s="21">
        <f t="shared" ref="D44:U44" si="7">SUM(D39:D43)</f>
        <v>46410</v>
      </c>
      <c r="E44" s="21">
        <f t="shared" si="7"/>
        <v>139384</v>
      </c>
      <c r="F44" s="21">
        <f t="shared" si="7"/>
        <v>205882.6</v>
      </c>
      <c r="G44" s="21">
        <f t="shared" si="7"/>
        <v>297922.90000000002</v>
      </c>
      <c r="H44" s="21">
        <f t="shared" si="7"/>
        <v>368467</v>
      </c>
      <c r="I44" s="21">
        <f t="shared" si="7"/>
        <v>378615.55252083327</v>
      </c>
      <c r="J44" s="21">
        <f t="shared" ref="J44:O44" si="8">SUM(J39:J43)</f>
        <v>426070.36872754333</v>
      </c>
      <c r="K44" s="21">
        <f t="shared" si="8"/>
        <v>463990.37538870639</v>
      </c>
      <c r="L44" s="21">
        <f t="shared" si="8"/>
        <v>505649.68570277008</v>
      </c>
      <c r="M44" s="21">
        <f t="shared" si="8"/>
        <v>568176.30085850751</v>
      </c>
      <c r="N44" s="21">
        <f t="shared" si="8"/>
        <v>664222.29387704656</v>
      </c>
      <c r="O44" s="21">
        <f t="shared" si="8"/>
        <v>873819.32529526937</v>
      </c>
      <c r="P44" s="21">
        <f t="shared" si="7"/>
        <v>891069.81590450753</v>
      </c>
      <c r="Q44" s="21">
        <f t="shared" si="7"/>
        <v>1048965.8660628793</v>
      </c>
      <c r="R44" s="21">
        <f t="shared" si="7"/>
        <v>1157668.4760568312</v>
      </c>
      <c r="S44" s="21">
        <f t="shared" si="7"/>
        <v>1239982.313774361</v>
      </c>
      <c r="T44" s="21">
        <f t="shared" si="7"/>
        <v>1290144.6291545278</v>
      </c>
      <c r="U44" s="21">
        <f t="shared" si="7"/>
        <v>1370207.0464513372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12276648.54977512</v>
      </c>
      <c r="Z44" s="20"/>
    </row>
    <row r="45" spans="1:27" x14ac:dyDescent="0.2">
      <c r="A45" s="17" t="s">
        <v>68</v>
      </c>
      <c r="C45" s="21">
        <f>+C44</f>
        <v>340000</v>
      </c>
      <c r="D45" s="21">
        <f t="shared" ref="D45:U45" si="9">+D44+C45</f>
        <v>386410</v>
      </c>
      <c r="E45" s="21">
        <f t="shared" si="9"/>
        <v>525794</v>
      </c>
      <c r="F45" s="21">
        <f t="shared" si="9"/>
        <v>731676.6</v>
      </c>
      <c r="G45" s="21">
        <f t="shared" si="9"/>
        <v>1029599.5</v>
      </c>
      <c r="H45" s="21">
        <f t="shared" si="9"/>
        <v>1398066.5</v>
      </c>
      <c r="I45" s="21">
        <f t="shared" si="9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9"/>
        <v>4404791.0770754069</v>
      </c>
      <c r="O45" s="21">
        <f t="shared" si="9"/>
        <v>5278610.4023706764</v>
      </c>
      <c r="P45" s="21">
        <f>+P44+O45</f>
        <v>6169680.2182751838</v>
      </c>
      <c r="Q45" s="21">
        <f t="shared" si="9"/>
        <v>7218646.0843380634</v>
      </c>
      <c r="R45" s="21">
        <f t="shared" si="9"/>
        <v>8376314.5603948943</v>
      </c>
      <c r="S45" s="21">
        <f t="shared" si="9"/>
        <v>9616296.8741692547</v>
      </c>
      <c r="T45" s="21">
        <f t="shared" si="9"/>
        <v>10906441.503323782</v>
      </c>
      <c r="U45" s="21">
        <f t="shared" si="9"/>
        <v>12276648.54977512</v>
      </c>
      <c r="V45" s="21">
        <f>+V44+U45</f>
        <v>12276648.54977512</v>
      </c>
      <c r="W45" s="21">
        <f>+W44+V45</f>
        <v>12276648.54977512</v>
      </c>
      <c r="X45" s="21">
        <f>+X44+W45</f>
        <v>12276648.54977512</v>
      </c>
      <c r="Y45" s="11"/>
      <c r="Z45" s="20"/>
    </row>
    <row r="46" spans="1:27" x14ac:dyDescent="0.2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">
      <c r="A47" s="4" t="s">
        <v>77</v>
      </c>
      <c r="C47" s="4">
        <f t="shared" ref="C47:U47" si="10">+C35+C44</f>
        <v>7140000</v>
      </c>
      <c r="D47" s="4">
        <f t="shared" si="10"/>
        <v>1296410</v>
      </c>
      <c r="E47" s="4">
        <f t="shared" si="10"/>
        <v>33024184</v>
      </c>
      <c r="F47" s="4">
        <f t="shared" si="10"/>
        <v>225882.6</v>
      </c>
      <c r="G47" s="4">
        <f t="shared" si="10"/>
        <v>1752232.9</v>
      </c>
      <c r="H47" s="4">
        <f t="shared" si="10"/>
        <v>18800373.5</v>
      </c>
      <c r="I47" s="4">
        <f t="shared" si="10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0"/>
        <v>17679921.627210379</v>
      </c>
      <c r="O47" s="4">
        <f t="shared" si="10"/>
        <v>39310183.408628598</v>
      </c>
      <c r="P47" s="4">
        <f t="shared" si="10"/>
        <v>2943898.9492378403</v>
      </c>
      <c r="Q47" s="4">
        <f t="shared" si="10"/>
        <v>29307936.079396211</v>
      </c>
      <c r="R47" s="4">
        <f t="shared" si="10"/>
        <v>20176876.762723498</v>
      </c>
      <c r="S47" s="4">
        <f t="shared" si="10"/>
        <v>15278714.647107694</v>
      </c>
      <c r="T47" s="4">
        <f t="shared" si="10"/>
        <v>9310897.4624878615</v>
      </c>
      <c r="U47" s="4">
        <f t="shared" si="10"/>
        <v>14860816.37978467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254331507.92977515</v>
      </c>
    </row>
    <row r="48" spans="1:27" s="4" customFormat="1" x14ac:dyDescent="0.2">
      <c r="A48" s="4" t="s">
        <v>45</v>
      </c>
      <c r="C48" s="4">
        <f>C47</f>
        <v>7140000</v>
      </c>
      <c r="D48" s="4">
        <f t="shared" ref="D48:U48" si="11">C48+D47</f>
        <v>8436410</v>
      </c>
      <c r="E48" s="4">
        <f t="shared" si="11"/>
        <v>41460594</v>
      </c>
      <c r="F48" s="4">
        <f t="shared" si="11"/>
        <v>41686476.600000001</v>
      </c>
      <c r="G48" s="4">
        <f t="shared" si="11"/>
        <v>43438709.5</v>
      </c>
      <c r="H48" s="4">
        <f t="shared" si="11"/>
        <v>62239083</v>
      </c>
      <c r="I48" s="4">
        <f t="shared" si="11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1"/>
        <v>123142184.24040873</v>
      </c>
      <c r="O48" s="4">
        <f t="shared" si="11"/>
        <v>162452367.64903733</v>
      </c>
      <c r="P48" s="4">
        <f>O48+P47</f>
        <v>165396266.59827518</v>
      </c>
      <c r="Q48" s="4">
        <f t="shared" si="11"/>
        <v>194704202.6776714</v>
      </c>
      <c r="R48" s="4">
        <f t="shared" si="11"/>
        <v>214881079.44039491</v>
      </c>
      <c r="S48" s="4">
        <f t="shared" si="11"/>
        <v>230159794.0875026</v>
      </c>
      <c r="T48" s="4">
        <f t="shared" si="11"/>
        <v>239470691.54999048</v>
      </c>
      <c r="U48" s="4">
        <f t="shared" si="11"/>
        <v>254331507.92977515</v>
      </c>
      <c r="V48" s="4">
        <f>U48+V47</f>
        <v>254331507.92977515</v>
      </c>
      <c r="W48" s="4">
        <f>V48+W47</f>
        <v>254331507.92977515</v>
      </c>
      <c r="X48" s="4">
        <f>W48+X47</f>
        <v>254331507.92977515</v>
      </c>
      <c r="Y48" s="11"/>
    </row>
    <row r="49" spans="1:30" s="4" customFormat="1" x14ac:dyDescent="0.2">
      <c r="A49" s="17" t="s">
        <v>64</v>
      </c>
      <c r="Y49" s="16">
        <f>+Y47/C52/1000</f>
        <v>418.30840120028807</v>
      </c>
    </row>
    <row r="50" spans="1:30" s="4" customFormat="1" x14ac:dyDescent="0.2">
      <c r="A50" s="8" t="s">
        <v>96</v>
      </c>
      <c r="C50" s="12">
        <v>6.5000000000000002E-2</v>
      </c>
      <c r="Y50" s="11"/>
    </row>
    <row r="51" spans="1:30" s="4" customFormat="1" x14ac:dyDescent="0.2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">
      <c r="A52" s="8"/>
      <c r="C52" s="4">
        <v>608</v>
      </c>
      <c r="D52" s="4" t="s">
        <v>66</v>
      </c>
      <c r="Y52" s="11"/>
    </row>
    <row r="53" spans="1:30" x14ac:dyDescent="0.2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">
      <c r="A54" s="8"/>
      <c r="C54" s="12"/>
      <c r="Y54" s="11"/>
    </row>
    <row r="55" spans="1:30" x14ac:dyDescent="0.2">
      <c r="A55" s="17" t="s">
        <v>69</v>
      </c>
      <c r="C55" s="4">
        <f t="shared" ref="C55:X55" si="12">+C47-C40</f>
        <v>6800000</v>
      </c>
      <c r="D55" s="4">
        <f t="shared" si="12"/>
        <v>1250000</v>
      </c>
      <c r="E55" s="4">
        <f t="shared" si="12"/>
        <v>32884800</v>
      </c>
      <c r="F55" s="4">
        <f t="shared" si="12"/>
        <v>-1556.3999999999942</v>
      </c>
      <c r="G55" s="4">
        <f t="shared" si="12"/>
        <v>1520788.9</v>
      </c>
      <c r="H55" s="4">
        <f t="shared" si="12"/>
        <v>18381006.5</v>
      </c>
      <c r="I55" s="4">
        <f t="shared" si="12"/>
        <v>7659172.8499999996</v>
      </c>
      <c r="J55" s="4">
        <f t="shared" si="12"/>
        <v>8382273.5933333309</v>
      </c>
      <c r="K55" s="4">
        <f t="shared" si="12"/>
        <v>6523317.5533333328</v>
      </c>
      <c r="L55" s="4">
        <f t="shared" si="12"/>
        <v>7283602.8033333328</v>
      </c>
      <c r="M55" s="4">
        <f t="shared" si="12"/>
        <v>11032599.530000001</v>
      </c>
      <c r="N55" s="4">
        <f t="shared" si="12"/>
        <v>17016499.333333332</v>
      </c>
      <c r="O55" s="4">
        <f t="shared" si="12"/>
        <v>38436364.083333328</v>
      </c>
      <c r="P55" s="4">
        <f t="shared" si="12"/>
        <v>2052829.1333333328</v>
      </c>
      <c r="Q55" s="4">
        <f t="shared" si="12"/>
        <v>28258970.213333331</v>
      </c>
      <c r="R55" s="4">
        <f t="shared" si="12"/>
        <v>19019208.286666665</v>
      </c>
      <c r="S55" s="4">
        <f t="shared" si="12"/>
        <v>14038732.333333334</v>
      </c>
      <c r="T55" s="4">
        <f t="shared" si="12"/>
        <v>8020752.833333334</v>
      </c>
      <c r="U55" s="4">
        <f t="shared" si="12"/>
        <v>13490609.333333332</v>
      </c>
      <c r="V55" s="4">
        <f t="shared" si="12"/>
        <v>0</v>
      </c>
      <c r="W55" s="4">
        <f t="shared" si="12"/>
        <v>0</v>
      </c>
      <c r="X55" s="4">
        <f t="shared" si="12"/>
        <v>0</v>
      </c>
      <c r="Y55" s="11">
        <f>SUM(C55:X55)</f>
        <v>242049970.88</v>
      </c>
    </row>
    <row r="56" spans="1:30" ht="9.75" customHeight="1" x14ac:dyDescent="0.2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">
      <c r="Y57" s="11"/>
    </row>
    <row r="58" spans="1:30" ht="20.25" x14ac:dyDescent="0.55000000000000004">
      <c r="A58" s="32" t="s">
        <v>81</v>
      </c>
      <c r="Y58" s="11"/>
      <c r="AB58" s="17" t="s">
        <v>112</v>
      </c>
    </row>
    <row r="59" spans="1:30" x14ac:dyDescent="0.2">
      <c r="A59" s="5" t="s">
        <v>43</v>
      </c>
      <c r="Y59" s="11"/>
      <c r="AB59" s="17" t="s">
        <v>113</v>
      </c>
    </row>
    <row r="60" spans="1:30" x14ac:dyDescent="0.2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48750</v>
      </c>
      <c r="Y60" s="11">
        <f>SUM(C60:U60)</f>
        <v>98795.37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1787</v>
      </c>
      <c r="Y61" s="11">
        <f>SUM(C61:U61)</f>
        <v>345779.42</v>
      </c>
      <c r="Z61" s="19" t="str">
        <f>Z60</f>
        <v>Scott Healy</v>
      </c>
      <c r="AA61" s="18">
        <f>Y61+Y33</f>
        <v>938158.89999999991</v>
      </c>
      <c r="AB61" s="18">
        <f>[1]Wilton!$BR$197</f>
        <v>938158.83</v>
      </c>
      <c r="AC61" s="18">
        <f>AB61-AA61</f>
        <v>-6.9999999948777258E-2</v>
      </c>
    </row>
    <row r="62" spans="1:30" x14ac:dyDescent="0.2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13333</v>
      </c>
      <c r="Y62" s="11">
        <f>SUM(C62:U62)</f>
        <v>35937</v>
      </c>
      <c r="Z62" s="19" t="str">
        <f>Z61</f>
        <v>Scott Healy</v>
      </c>
      <c r="AA62" s="18">
        <f>Y62+Y32</f>
        <v>199999.59333333332</v>
      </c>
      <c r="AB62" s="18">
        <f>[1]Wilton!$BR$188</f>
        <v>200000</v>
      </c>
      <c r="AC62" s="18">
        <f>AB62-AA62</f>
        <v>0.40666666667675599</v>
      </c>
    </row>
    <row r="63" spans="1:30" x14ac:dyDescent="0.2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19571</v>
      </c>
      <c r="Y63" s="11">
        <f>SUM(C63:U63)</f>
        <v>29571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">
      <c r="A64" s="4" t="s">
        <v>78</v>
      </c>
      <c r="C64" s="21">
        <f>SUM(C60:C63)</f>
        <v>0</v>
      </c>
      <c r="D64" s="21">
        <f t="shared" ref="D64:U64" si="13">SUM(D60:D63)</f>
        <v>1236</v>
      </c>
      <c r="E64" s="21">
        <f t="shared" si="13"/>
        <v>79108</v>
      </c>
      <c r="F64" s="21">
        <f t="shared" si="13"/>
        <v>44820</v>
      </c>
      <c r="G64" s="21">
        <f t="shared" si="13"/>
        <v>36263</v>
      </c>
      <c r="H64" s="21">
        <f t="shared" si="13"/>
        <v>0</v>
      </c>
      <c r="I64" s="21">
        <f t="shared" si="13"/>
        <v>199867.23</v>
      </c>
      <c r="J64" s="21">
        <f t="shared" si="13"/>
        <v>62887.560000000005</v>
      </c>
      <c r="K64" s="21">
        <f t="shared" si="13"/>
        <v>2460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83441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510082.79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">
      <c r="A67" s="21" t="s">
        <v>98</v>
      </c>
      <c r="C67" s="21">
        <f>SUM(C64:C66)</f>
        <v>0</v>
      </c>
      <c r="D67" s="21">
        <f t="shared" ref="D67:Y67" si="14">SUM(D64:D66)</f>
        <v>1236</v>
      </c>
      <c r="E67" s="21">
        <f t="shared" si="14"/>
        <v>79108</v>
      </c>
      <c r="F67" s="21">
        <f t="shared" si="14"/>
        <v>44820</v>
      </c>
      <c r="G67" s="21">
        <f t="shared" si="14"/>
        <v>-20237</v>
      </c>
      <c r="H67" s="21">
        <f t="shared" si="14"/>
        <v>-34</v>
      </c>
      <c r="I67" s="21">
        <f t="shared" si="14"/>
        <v>129913.23000000001</v>
      </c>
      <c r="J67" s="21">
        <f t="shared" si="14"/>
        <v>40876.560000000005</v>
      </c>
      <c r="K67" s="21">
        <f t="shared" si="14"/>
        <v>1501</v>
      </c>
      <c r="L67" s="21">
        <f t="shared" si="14"/>
        <v>-3</v>
      </c>
      <c r="M67" s="21">
        <f t="shared" si="14"/>
        <v>52217</v>
      </c>
      <c r="N67" s="21">
        <f t="shared" si="14"/>
        <v>-52497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83441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360341.79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73</v>
      </c>
      <c r="Y69" s="11"/>
    </row>
    <row r="70" spans="1:26" x14ac:dyDescent="0.2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">
      <c r="A73" s="17" t="s">
        <v>23</v>
      </c>
      <c r="C73" s="4">
        <v>87500</v>
      </c>
      <c r="Y73" s="11">
        <f>SUM(C73:U73)</f>
        <v>87500</v>
      </c>
    </row>
    <row r="74" spans="1:26" x14ac:dyDescent="0.2">
      <c r="A74" s="4" t="s">
        <v>79</v>
      </c>
      <c r="C74" s="21">
        <f t="shared" ref="C74:H74" si="15">SUM(C70:C73)</f>
        <v>139633</v>
      </c>
      <c r="D74" s="21">
        <f t="shared" si="15"/>
        <v>1343</v>
      </c>
      <c r="E74" s="21">
        <f t="shared" si="15"/>
        <v>48644.95</v>
      </c>
      <c r="F74" s="21">
        <f t="shared" si="15"/>
        <v>19328.689999999999</v>
      </c>
      <c r="G74" s="21">
        <f t="shared" si="15"/>
        <v>1899</v>
      </c>
      <c r="H74" s="21">
        <f t="shared" si="15"/>
        <v>81117.23</v>
      </c>
      <c r="I74" s="21">
        <f t="shared" ref="I74:U74" si="16">SUM(I70:I73)</f>
        <v>0</v>
      </c>
      <c r="J74" s="21">
        <f t="shared" si="16"/>
        <v>5725</v>
      </c>
      <c r="K74" s="21">
        <f t="shared" si="16"/>
        <v>0</v>
      </c>
      <c r="L74" s="21">
        <f t="shared" si="16"/>
        <v>591.45000000000005</v>
      </c>
      <c r="M74" s="21">
        <f t="shared" si="16"/>
        <v>0</v>
      </c>
      <c r="N74" s="21">
        <f t="shared" si="16"/>
        <v>0</v>
      </c>
      <c r="O74" s="21">
        <f t="shared" si="16"/>
        <v>1242.3</v>
      </c>
      <c r="P74" s="21">
        <f t="shared" si="16"/>
        <v>0</v>
      </c>
      <c r="Q74" s="21">
        <f t="shared" si="16"/>
        <v>0</v>
      </c>
      <c r="R74" s="21">
        <f t="shared" si="16"/>
        <v>0</v>
      </c>
      <c r="S74" s="21">
        <f t="shared" si="16"/>
        <v>0</v>
      </c>
      <c r="T74" s="21">
        <f t="shared" si="16"/>
        <v>0</v>
      </c>
      <c r="U74" s="21">
        <f t="shared" si="16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">
      <c r="Y75" s="11"/>
    </row>
    <row r="76" spans="1:26" x14ac:dyDescent="0.2">
      <c r="Y76" s="11"/>
    </row>
    <row r="77" spans="1:26" ht="13.5" thickBot="1" x14ac:dyDescent="0.25">
      <c r="A77" s="4" t="s">
        <v>87</v>
      </c>
      <c r="C77" s="33">
        <f t="shared" ref="C77:T77" si="17">+C47+C67+C74</f>
        <v>7279633</v>
      </c>
      <c r="D77" s="33">
        <f t="shared" si="17"/>
        <v>1298989</v>
      </c>
      <c r="E77" s="33">
        <f t="shared" si="17"/>
        <v>33151936.949999999</v>
      </c>
      <c r="F77" s="33">
        <f t="shared" si="17"/>
        <v>290031.28999999998</v>
      </c>
      <c r="G77" s="33">
        <f t="shared" si="17"/>
        <v>1733894.9</v>
      </c>
      <c r="H77" s="33">
        <f t="shared" si="17"/>
        <v>18881456.73</v>
      </c>
      <c r="I77" s="33">
        <f t="shared" si="17"/>
        <v>8167701.6325208331</v>
      </c>
      <c r="J77" s="33">
        <f t="shared" si="17"/>
        <v>8854945.5220608748</v>
      </c>
      <c r="K77" s="33">
        <f t="shared" si="17"/>
        <v>6988529.9287220389</v>
      </c>
      <c r="L77" s="33">
        <f t="shared" si="17"/>
        <v>7789830.939036103</v>
      </c>
      <c r="M77" s="33">
        <f t="shared" si="17"/>
        <v>11652992.830858508</v>
      </c>
      <c r="N77" s="33">
        <f t="shared" si="17"/>
        <v>17627424.627210379</v>
      </c>
      <c r="O77" s="33">
        <f t="shared" si="17"/>
        <v>39311425.708628595</v>
      </c>
      <c r="P77" s="33">
        <f t="shared" si="17"/>
        <v>2943898.9492378403</v>
      </c>
      <c r="Q77" s="33">
        <f t="shared" si="17"/>
        <v>29307936.079396211</v>
      </c>
      <c r="R77" s="33">
        <f t="shared" si="17"/>
        <v>20176876.762723498</v>
      </c>
      <c r="S77" s="33">
        <f t="shared" si="17"/>
        <v>15278714.647107694</v>
      </c>
      <c r="T77" s="33">
        <f t="shared" si="17"/>
        <v>9310897.4624878615</v>
      </c>
      <c r="U77" s="33">
        <f>+U47+U67+U74</f>
        <v>14944257.37978467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254991374.33977512</v>
      </c>
    </row>
    <row r="78" spans="1:26" x14ac:dyDescent="0.2">
      <c r="U78"/>
      <c r="V78"/>
      <c r="W78"/>
      <c r="X78"/>
      <c r="Y78" s="48">
        <f>Y77-[1]Wilton!$BR$236</f>
        <v>-4.0000021457672119E-2</v>
      </c>
    </row>
    <row r="79" spans="1:26" x14ac:dyDescent="0.2">
      <c r="U79"/>
      <c r="V79"/>
      <c r="W79"/>
      <c r="X79"/>
      <c r="Y79"/>
    </row>
    <row r="80" spans="1:26" x14ac:dyDescent="0.2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O13" activePane="bottomRight" state="frozen"/>
      <selection activeCell="T58" sqref="T58"/>
      <selection pane="topRight" activeCell="T58" sqref="T58"/>
      <selection pane="bottomLeft" activeCell="T58" sqref="T58"/>
      <selection pane="bottomRight" activeCell="R21" sqref="R21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5" width="13.28515625" style="18" customWidth="1"/>
    <col min="6" max="6" width="11.28515625" style="18" customWidth="1"/>
    <col min="7" max="7" width="12.85546875" style="18" customWidth="1"/>
    <col min="8" max="8" width="11.28515625" style="18" customWidth="1"/>
    <col min="9" max="9" width="12.7109375" style="18" customWidth="1"/>
    <col min="10" max="10" width="13" style="18" customWidth="1"/>
    <col min="11" max="11" width="11.28515625" style="18" customWidth="1"/>
    <col min="12" max="12" width="12.28515625" style="18" bestFit="1" customWidth="1"/>
    <col min="13" max="13" width="12.28515625" style="52" customWidth="1"/>
    <col min="14" max="14" width="12.28515625" style="18" bestFit="1" customWidth="1"/>
    <col min="15" max="15" width="14" style="18" customWidth="1"/>
    <col min="16" max="17" width="12.28515625" style="18" bestFit="1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2.28515625" style="18" bestFit="1" customWidth="1"/>
    <col min="22" max="22" width="12.85546875" style="18" bestFit="1" customWidth="1"/>
    <col min="23" max="25" width="12.140625" style="18" hidden="1" customWidth="1"/>
    <col min="26" max="26" width="13.5703125" style="4" customWidth="1"/>
    <col min="27" max="27" width="28.28515625" style="18" bestFit="1" customWidth="1"/>
    <col min="28" max="28" width="11.28515625" style="18" customWidth="1"/>
    <col min="29" max="29" width="11.28515625" style="18" bestFit="1" customWidth="1"/>
    <col min="30" max="16384" width="9.140625" style="18"/>
  </cols>
  <sheetData>
    <row r="1" spans="1:29" s="2" customFormat="1" ht="15.75" x14ac:dyDescent="0.25">
      <c r="A1" s="1" t="s">
        <v>0</v>
      </c>
      <c r="M1" s="51"/>
    </row>
    <row r="2" spans="1:29" s="2" customFormat="1" ht="15.75" x14ac:dyDescent="0.25">
      <c r="A2" s="1" t="s">
        <v>1</v>
      </c>
      <c r="D2" s="1" t="str">
        <f>Wilton!D2</f>
        <v>Last updated:  Actuals through February 25, 1999</v>
      </c>
      <c r="M2" s="51"/>
      <c r="Z2" s="25" t="str">
        <f ca="1">CELL("filename")</f>
        <v>O:\Fin_Ops\Engysvc\PowerPlants\2000 Plants\Draw Schedule\[Draw Sched - 022900.xls]Gleason</v>
      </c>
    </row>
    <row r="3" spans="1:29" s="2" customFormat="1" ht="15.75" x14ac:dyDescent="0.25">
      <c r="A3" s="1" t="s">
        <v>2</v>
      </c>
      <c r="D3" s="26"/>
      <c r="F3" s="3"/>
      <c r="M3" s="51"/>
      <c r="Z3" s="24">
        <f ca="1">NOW()</f>
        <v>36585.365237152779</v>
      </c>
    </row>
    <row r="4" spans="1:29" ht="15" x14ac:dyDescent="0.2">
      <c r="C4" s="12"/>
      <c r="D4" s="28"/>
    </row>
    <row r="5" spans="1:29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20.25" x14ac:dyDescent="0.55000000000000004">
      <c r="A7" s="32" t="s">
        <v>80</v>
      </c>
      <c r="Z7" s="10"/>
      <c r="AA7" s="31"/>
    </row>
    <row r="8" spans="1:29" x14ac:dyDescent="0.2">
      <c r="A8" s="5" t="s">
        <v>116</v>
      </c>
      <c r="Z8" s="11"/>
    </row>
    <row r="9" spans="1:29" x14ac:dyDescent="0.2">
      <c r="A9" s="5" t="s">
        <v>61</v>
      </c>
      <c r="Z9" s="11"/>
    </row>
    <row r="10" spans="1:29" x14ac:dyDescent="0.2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1160414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</f>
        <v>3304048</v>
      </c>
      <c r="Z11" s="11">
        <f t="shared" ref="Z11:Z34" si="0">SUM(C11:Y11)</f>
        <v>34718304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f>531586.8-58500+645576</f>
        <v>1118662.8</v>
      </c>
      <c r="T12" s="18">
        <v>0</v>
      </c>
      <c r="V12" s="18">
        <v>0</v>
      </c>
      <c r="Z12" s="11">
        <f t="shared" si="0"/>
        <v>6024611.3999999994</v>
      </c>
      <c r="AA12" s="15" t="s">
        <v>50</v>
      </c>
      <c r="AB12" s="18">
        <f>[1]Gleason!$BT$35</f>
        <v>6024611</v>
      </c>
      <c r="AC12" s="18">
        <f t="shared" ref="AC12:AC25" si="1">Z12-AB12</f>
        <v>0.39999999944120646</v>
      </c>
    </row>
    <row r="13" spans="1:29" x14ac:dyDescent="0.2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">
      <c r="A16" s="17" t="s">
        <v>119</v>
      </c>
      <c r="O16" s="18">
        <v>420818</v>
      </c>
      <c r="Q16" s="18">
        <v>1769159</v>
      </c>
      <c r="R16" s="18">
        <v>0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((0.9293-0.8617)*AB16)+1212343+784135+3131172</f>
        <v>6286835.2636000002</v>
      </c>
      <c r="W16" s="18">
        <f>17147711-15082111</f>
        <v>2065600</v>
      </c>
      <c r="Z16" s="11">
        <f t="shared" si="0"/>
        <v>17147710.540800001</v>
      </c>
      <c r="AA16" s="15"/>
      <c r="AB16" s="18">
        <f>[1]Gleason!$BT$61</f>
        <v>17147711</v>
      </c>
      <c r="AC16" s="18">
        <f t="shared" si="1"/>
        <v>-0.45919999852776527</v>
      </c>
    </row>
    <row r="17" spans="1:29" x14ac:dyDescent="0.2">
      <c r="A17" s="17" t="s">
        <v>120</v>
      </c>
      <c r="O17" s="18">
        <v>84021</v>
      </c>
      <c r="Q17" s="18">
        <v>225269</v>
      </c>
      <c r="R17" s="18">
        <v>0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(0.9293-0.8617)*AB17+301248+409183+778046</f>
        <v>1776515.9356</v>
      </c>
      <c r="W17" s="18">
        <f>4260931-3727117</f>
        <v>533814</v>
      </c>
      <c r="Z17" s="11">
        <f t="shared" si="0"/>
        <v>4260930.5568000004</v>
      </c>
      <c r="AA17" s="15"/>
      <c r="AB17" s="18">
        <f>[1]Gleason!$BT$89</f>
        <v>4260931</v>
      </c>
      <c r="AC17" s="18">
        <f t="shared" si="1"/>
        <v>-0.4431999996304512</v>
      </c>
    </row>
    <row r="18" spans="1:29" x14ac:dyDescent="0.2">
      <c r="A18" s="17" t="s">
        <v>121</v>
      </c>
      <c r="O18" s="18">
        <v>204588</v>
      </c>
      <c r="Q18" s="18">
        <v>2792896</v>
      </c>
      <c r="R18" s="18">
        <v>0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(0.9293-0.8617)*AB18+1091873-193321-300000+2820028</f>
        <v>4462577.3647999996</v>
      </c>
      <c r="W18" s="18">
        <f>15443748-13408993</f>
        <v>2034755</v>
      </c>
      <c r="Z18" s="11">
        <f t="shared" si="0"/>
        <v>15443748.0944</v>
      </c>
      <c r="AA18" s="15"/>
      <c r="AB18" s="18">
        <f>[1]Gleason!$BT$122</f>
        <v>15443748</v>
      </c>
      <c r="AC18" s="18">
        <f t="shared" si="1"/>
        <v>9.439999982714653E-2</v>
      </c>
    </row>
    <row r="19" spans="1:29" x14ac:dyDescent="0.2">
      <c r="A19" s="17" t="s">
        <v>122</v>
      </c>
      <c r="N19" s="18">
        <v>0</v>
      </c>
      <c r="O19" s="18">
        <v>0</v>
      </c>
      <c r="Q19" s="18">
        <v>848349</v>
      </c>
      <c r="R19" s="18">
        <v>0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(0.9293-0.8617)*AB19+858071+958818+2216177</f>
        <v>4853512.6660000002</v>
      </c>
      <c r="W19" s="18">
        <f>12136785-10376951</f>
        <v>1759834</v>
      </c>
      <c r="Z19" s="11">
        <f t="shared" si="0"/>
        <v>12136785.248</v>
      </c>
      <c r="AA19" s="15" t="s">
        <v>50</v>
      </c>
      <c r="AB19" s="18">
        <f>[1]Gleason!$BT$127</f>
        <v>12136785</v>
      </c>
      <c r="AC19" s="18">
        <f t="shared" si="1"/>
        <v>0.24799999967217445</v>
      </c>
    </row>
    <row r="20" spans="1:29" x14ac:dyDescent="0.2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">
      <c r="A21" s="17" t="s">
        <v>124</v>
      </c>
      <c r="O21" s="18">
        <v>5344605</v>
      </c>
      <c r="Q21" s="18">
        <f>-291068-49399</f>
        <v>-340467</v>
      </c>
      <c r="R21" s="18">
        <v>6512226</v>
      </c>
      <c r="V21" s="18">
        <f>640621-49399-3124465-3387761</f>
        <v>-5921004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f>[1]Gleason!$BT$129</f>
        <v>-3387761</v>
      </c>
      <c r="AC21" s="18">
        <f t="shared" si="1"/>
        <v>0</v>
      </c>
    </row>
    <row r="22" spans="1:29" x14ac:dyDescent="0.2">
      <c r="A22" s="17" t="s">
        <v>128</v>
      </c>
      <c r="R22" s="18">
        <v>37000</v>
      </c>
      <c r="S22" s="18">
        <f>150000+75000</f>
        <v>225000</v>
      </c>
      <c r="T22" s="18">
        <v>150000</v>
      </c>
      <c r="U22" s="18">
        <v>150000</v>
      </c>
      <c r="V22" s="18">
        <f>908786-750000+188000</f>
        <v>346786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">
      <c r="A24" s="17" t="s">
        <v>127</v>
      </c>
      <c r="P24" s="18">
        <v>-250000</v>
      </c>
      <c r="Z24" s="11">
        <f t="shared" si="0"/>
        <v>-250000</v>
      </c>
      <c r="AA24" s="15"/>
    </row>
    <row r="25" spans="1:29" x14ac:dyDescent="0.2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[1]Gleason!$BT$185</f>
        <v>408551</v>
      </c>
      <c r="AC25" s="18">
        <f t="shared" si="1"/>
        <v>0</v>
      </c>
    </row>
    <row r="26" spans="1:29" x14ac:dyDescent="0.2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0</v>
      </c>
      <c r="T26" s="18">
        <v>0</v>
      </c>
      <c r="Z26" s="11">
        <f t="shared" si="0"/>
        <v>583130</v>
      </c>
      <c r="AA26" s="15" t="str">
        <f>AA25</f>
        <v>Ben Jacoby</v>
      </c>
    </row>
    <row r="27" spans="1:29" x14ac:dyDescent="0.2">
      <c r="A27" s="17" t="s">
        <v>25</v>
      </c>
      <c r="F27" s="29"/>
      <c r="Q27" s="18">
        <v>20486</v>
      </c>
      <c r="R27" s="18">
        <v>0</v>
      </c>
      <c r="S27" s="18">
        <v>125000</v>
      </c>
      <c r="T27" s="18">
        <v>350000</v>
      </c>
      <c r="U27" s="18">
        <v>375000</v>
      </c>
      <c r="V27" s="17">
        <f>104514+125000</f>
        <v>229514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">
      <c r="A28" s="17" t="s">
        <v>111</v>
      </c>
      <c r="F28" s="29"/>
      <c r="N28" s="18">
        <v>18018</v>
      </c>
      <c r="P28" s="18">
        <v>7500</v>
      </c>
      <c r="R28" s="18">
        <v>0</v>
      </c>
      <c r="T28" s="18">
        <v>1500000</v>
      </c>
      <c r="V28" s="18">
        <f>2148964+190117+25518</f>
        <v>2364599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0</v>
      </c>
      <c r="S32" s="18">
        <v>11111.111111111111</v>
      </c>
      <c r="T32" s="18">
        <v>11111.111111111111</v>
      </c>
      <c r="U32" s="18">
        <v>31111</v>
      </c>
      <c r="V32" s="17">
        <v>32312</v>
      </c>
      <c r="W32" s="17">
        <f>20595-66</f>
        <v>20529</v>
      </c>
      <c r="X32" s="17"/>
      <c r="Y32" s="17"/>
      <c r="Z32" s="11">
        <f t="shared" si="0"/>
        <v>162950.27222222224</v>
      </c>
      <c r="AA32" s="15"/>
    </row>
    <row r="33" spans="1:27" x14ac:dyDescent="0.2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35000</v>
      </c>
      <c r="T33" s="18">
        <v>35000</v>
      </c>
      <c r="U33" s="18">
        <v>35000</v>
      </c>
      <c r="V33" s="18">
        <f>140764-13593</f>
        <v>127171</v>
      </c>
      <c r="Z33" s="11">
        <f t="shared" si="0"/>
        <v>613982</v>
      </c>
      <c r="AA33" s="15"/>
    </row>
    <row r="34" spans="1:27" x14ac:dyDescent="0.2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132585</v>
      </c>
      <c r="T34" s="18">
        <v>96092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741538</v>
      </c>
      <c r="AA34" s="15"/>
    </row>
    <row r="35" spans="1:27" x14ac:dyDescent="0.2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6937933.333333333</v>
      </c>
      <c r="S35" s="21">
        <f t="shared" si="5"/>
        <v>11410949.654444449</v>
      </c>
      <c r="T35" s="21">
        <f t="shared" si="5"/>
        <v>9653953.0594444405</v>
      </c>
      <c r="U35" s="21">
        <f t="shared" si="5"/>
        <v>7449014.5183333354</v>
      </c>
      <c r="V35" s="21">
        <f>SUM(V10:V34)</f>
        <v>24469009.563333333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164806265.11222219</v>
      </c>
    </row>
    <row r="36" spans="1:27" x14ac:dyDescent="0.2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114323629.31666665</v>
      </c>
      <c r="S36" s="21">
        <f t="shared" si="7"/>
        <v>125734578.97111109</v>
      </c>
      <c r="T36" s="21">
        <f t="shared" si="7"/>
        <v>135388532.03055552</v>
      </c>
      <c r="U36" s="21">
        <f t="shared" si="7"/>
        <v>142837546.54888886</v>
      </c>
      <c r="V36" s="21">
        <f t="shared" si="7"/>
        <v>167306556.11222219</v>
      </c>
      <c r="W36" s="21">
        <f>+V36+W35</f>
        <v>164806265.11222219</v>
      </c>
      <c r="X36" s="21">
        <f>+W36+X35</f>
        <v>164806265.11222219</v>
      </c>
      <c r="Y36" s="21">
        <f>+X36+Y35</f>
        <v>164806265.11222219</v>
      </c>
      <c r="Z36" s="11"/>
    </row>
    <row r="37" spans="1:27" x14ac:dyDescent="0.2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323.14953943572976</v>
      </c>
      <c r="AA37" s="20"/>
    </row>
    <row r="38" spans="1:27" x14ac:dyDescent="0.2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f>(R36+Q45)*$C52/12</f>
        <v>657673.00806343276</v>
      </c>
      <c r="S40" s="30">
        <f>(S36+R45)*$C52/12</f>
        <v>723044.71415201714</v>
      </c>
      <c r="T40" s="30">
        <f>(T36+S45)*$C52/12</f>
        <v>779253.45209233125</v>
      </c>
      <c r="U40" s="30">
        <f>(U36+T45)*$C52/12</f>
        <v>823823.23693213693</v>
      </c>
      <c r="V40" s="30">
        <f>(V36+U45)*$C52/12-5719</f>
        <v>955107.08126690832</v>
      </c>
      <c r="W40" s="30"/>
      <c r="X40" s="30"/>
      <c r="Y40" s="30"/>
      <c r="Z40" s="11">
        <f t="shared" si="8"/>
        <v>11037904.51062776</v>
      </c>
      <c r="AA40" s="19" t="str">
        <f>AA55</f>
        <v>Rodney Malcolm</v>
      </c>
    </row>
    <row r="41" spans="1:27" x14ac:dyDescent="0.2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723044.71415201714</v>
      </c>
      <c r="T44" s="21">
        <f t="shared" si="10"/>
        <v>779253.45209233125</v>
      </c>
      <c r="U44" s="21">
        <f t="shared" si="10"/>
        <v>823823.23693213693</v>
      </c>
      <c r="V44" s="21">
        <f t="shared" si="10"/>
        <v>955107.08126690832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11031827.51062776</v>
      </c>
      <c r="AA44" s="20"/>
    </row>
    <row r="45" spans="1:27" x14ac:dyDescent="0.2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7750599.026184367</v>
      </c>
      <c r="S45" s="54">
        <f t="shared" si="12"/>
        <v>8473643.7403363846</v>
      </c>
      <c r="T45" s="54">
        <f t="shared" si="12"/>
        <v>9252897.1924287155</v>
      </c>
      <c r="U45" s="54">
        <f t="shared" si="12"/>
        <v>10076720.429360852</v>
      </c>
      <c r="V45" s="54">
        <f t="shared" si="12"/>
        <v>11031827.51062776</v>
      </c>
      <c r="W45" s="54">
        <f>V45+W44</f>
        <v>11031827.51062776</v>
      </c>
      <c r="X45" s="54">
        <f>W45+X44</f>
        <v>11031827.51062776</v>
      </c>
      <c r="Y45" s="54">
        <f>X45+Y44</f>
        <v>11031827.51062776</v>
      </c>
      <c r="Z45" s="11"/>
      <c r="AA45" s="20"/>
    </row>
    <row r="46" spans="1:27" x14ac:dyDescent="0.2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7595606.3413967658</v>
      </c>
      <c r="S47" s="4">
        <f t="shared" si="14"/>
        <v>12133994.368596466</v>
      </c>
      <c r="T47" s="4">
        <f t="shared" si="14"/>
        <v>10433206.511536771</v>
      </c>
      <c r="U47" s="4">
        <f t="shared" si="14"/>
        <v>8272837.7552654725</v>
      </c>
      <c r="V47" s="4">
        <f t="shared" si="14"/>
        <v>25424116.644600242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175838092.62285</v>
      </c>
    </row>
    <row r="48" spans="1:27" s="4" customFormat="1" x14ac:dyDescent="0.2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122074228.34285104</v>
      </c>
      <c r="S48" s="57">
        <f t="shared" si="16"/>
        <v>134208222.71144751</v>
      </c>
      <c r="T48" s="57">
        <f t="shared" si="16"/>
        <v>144641429.22298428</v>
      </c>
      <c r="U48" s="57">
        <f t="shared" si="16"/>
        <v>152914266.97824976</v>
      </c>
      <c r="V48" s="57">
        <f t="shared" si="16"/>
        <v>178338383.62285</v>
      </c>
      <c r="W48" s="57">
        <f>W47+V48</f>
        <v>175838092.62285</v>
      </c>
      <c r="X48" s="57">
        <f>X47+W48</f>
        <v>175838092.62285</v>
      </c>
      <c r="Y48" s="57">
        <f>Y47+X48</f>
        <v>175838092.62285</v>
      </c>
      <c r="Z48" s="11"/>
    </row>
    <row r="49" spans="1:31" s="4" customFormat="1" x14ac:dyDescent="0.2">
      <c r="M49" s="57"/>
      <c r="Z49" s="11"/>
    </row>
    <row r="50" spans="1:31" s="4" customFormat="1" x14ac:dyDescent="0.2">
      <c r="M50" s="57"/>
    </row>
    <row r="51" spans="1:31" s="4" customFormat="1" x14ac:dyDescent="0.2">
      <c r="M51" s="57"/>
      <c r="Z51" s="16">
        <f>+Z47/C54/1000</f>
        <v>344.78057377029415</v>
      </c>
    </row>
    <row r="52" spans="1:31" s="4" customFormat="1" x14ac:dyDescent="0.2">
      <c r="A52" s="8" t="s">
        <v>96</v>
      </c>
      <c r="C52" s="12">
        <v>6.5000000000000002E-2</v>
      </c>
      <c r="M52" s="57"/>
      <c r="Z52" s="11"/>
    </row>
    <row r="53" spans="1:31" s="4" customFormat="1" x14ac:dyDescent="0.2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">
      <c r="A56" s="8"/>
      <c r="C56" s="12"/>
      <c r="M56" s="57"/>
      <c r="Z56" s="11"/>
    </row>
    <row r="57" spans="1:31" x14ac:dyDescent="0.2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6937933.333333333</v>
      </c>
      <c r="S57" s="4">
        <f t="shared" si="18"/>
        <v>11410949.654444449</v>
      </c>
      <c r="T57" s="4">
        <f t="shared" si="18"/>
        <v>9653953.0594444405</v>
      </c>
      <c r="U57" s="4">
        <f t="shared" si="18"/>
        <v>7449014.5183333354</v>
      </c>
      <c r="V57" s="4">
        <f t="shared" si="18"/>
        <v>24469009.563333333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75952479.062222213</v>
      </c>
    </row>
    <row r="58" spans="1:31" x14ac:dyDescent="0.2">
      <c r="Z58" s="11"/>
    </row>
    <row r="59" spans="1:31" x14ac:dyDescent="0.2">
      <c r="Z59" s="11"/>
    </row>
    <row r="60" spans="1:31" ht="20.25" x14ac:dyDescent="0.55000000000000004">
      <c r="A60" s="32" t="s">
        <v>81</v>
      </c>
      <c r="Z60" s="11"/>
    </row>
    <row r="61" spans="1:31" x14ac:dyDescent="0.2">
      <c r="A61" s="4" t="s">
        <v>74</v>
      </c>
      <c r="Z61" s="11"/>
    </row>
    <row r="62" spans="1:31" x14ac:dyDescent="0.2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583130</v>
      </c>
      <c r="AD62" s="18">
        <f>[1]Gleason!$BT$195</f>
        <v>583130.26</v>
      </c>
      <c r="AE62" s="18">
        <f>AC62-AD62</f>
        <v>-0.26000000000931323</v>
      </c>
    </row>
    <row r="63" spans="1:31" x14ac:dyDescent="0.2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7127</v>
      </c>
      <c r="Z63" s="11">
        <f>SUM(C63:Y63)</f>
        <v>10670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67969</v>
      </c>
      <c r="Z65" s="11">
        <f>SUM(C65:Y65)</f>
        <v>73873</v>
      </c>
      <c r="AA65" s="39" t="s">
        <v>93</v>
      </c>
      <c r="AC65" s="18">
        <f>Z65+Z33</f>
        <v>687855</v>
      </c>
      <c r="AD65" s="18">
        <f>[1]Gleason!$BT$239</f>
        <v>687854.57000000007</v>
      </c>
      <c r="AE65" s="18">
        <f>AC65-AD65</f>
        <v>0.42999999993480742</v>
      </c>
    </row>
    <row r="66" spans="1:31" x14ac:dyDescent="0.2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23870</v>
      </c>
      <c r="Z66" s="11">
        <f>SUM(C66:Y66)</f>
        <v>37049.81</v>
      </c>
      <c r="AA66" s="39" t="s">
        <v>30</v>
      </c>
      <c r="AC66" s="18">
        <f>Z66+Z32</f>
        <v>200000.08222222223</v>
      </c>
      <c r="AD66" s="18">
        <f>[1]Gleason!$BT$230</f>
        <v>200000</v>
      </c>
      <c r="AE66" s="18">
        <f>AC66-AD66</f>
        <v>8.2222222234122455E-2</v>
      </c>
    </row>
    <row r="67" spans="1:31" x14ac:dyDescent="0.2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98966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121592.81</v>
      </c>
    </row>
    <row r="68" spans="1:31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98966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119457.81</v>
      </c>
    </row>
    <row r="71" spans="1:31" x14ac:dyDescent="0.2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">
      <c r="Z72" s="11"/>
    </row>
    <row r="73" spans="1:31" x14ac:dyDescent="0.2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7595606.3413967658</v>
      </c>
      <c r="S73" s="9">
        <f t="shared" si="22"/>
        <v>12133994.368596466</v>
      </c>
      <c r="T73" s="9">
        <f t="shared" si="22"/>
        <v>10433206.511536771</v>
      </c>
      <c r="U73" s="9">
        <f t="shared" si="22"/>
        <v>8272837.7552654725</v>
      </c>
      <c r="V73" s="9">
        <f t="shared" si="22"/>
        <v>25523082.644600242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175957550.43285</v>
      </c>
    </row>
    <row r="74" spans="1:31" x14ac:dyDescent="0.2">
      <c r="Z74" s="4">
        <f>Z73-[1]Gleason!$BT$261</f>
        <v>-0.17777776718139648</v>
      </c>
      <c r="AA74" s="17"/>
    </row>
    <row r="75" spans="1:31" x14ac:dyDescent="0.2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M8" activePane="bottomRight" state="frozen"/>
      <selection activeCell="E1" sqref="E1"/>
      <selection pane="topRight" activeCell="E1" sqref="E1"/>
      <selection pane="bottomLeft" activeCell="E1" sqref="E1"/>
      <selection pane="bottomRight" activeCell="Q24" sqref="Q24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2.42578125" style="4" customWidth="1"/>
    <col min="4" max="4" width="14" style="18" customWidth="1"/>
    <col min="5" max="5" width="13.28515625" style="18" customWidth="1"/>
    <col min="6" max="6" width="12.5703125" style="18" customWidth="1"/>
    <col min="7" max="7" width="12.85546875" style="18" customWidth="1"/>
    <col min="8" max="8" width="12.42578125" style="18" customWidth="1"/>
    <col min="9" max="9" width="12.7109375" style="18" customWidth="1"/>
    <col min="10" max="10" width="13" style="18" customWidth="1"/>
    <col min="11" max="11" width="12.28515625" style="18" customWidth="1"/>
    <col min="12" max="12" width="12.140625" style="18" bestFit="1" customWidth="1"/>
    <col min="13" max="13" width="12.28515625" style="18" customWidth="1"/>
    <col min="14" max="14" width="12.28515625" style="18" bestFit="1" customWidth="1"/>
    <col min="15" max="15" width="14" style="18" customWidth="1"/>
    <col min="16" max="16" width="13.85546875" style="18" customWidth="1"/>
    <col min="17" max="17" width="13.28515625" style="18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3.140625" style="18" customWidth="1"/>
    <col min="22" max="24" width="13.140625" style="18" hidden="1" customWidth="1"/>
    <col min="25" max="25" width="13.85546875" style="4" customWidth="1"/>
    <col min="26" max="26" width="20" style="18" bestFit="1" customWidth="1"/>
    <col min="27" max="27" width="12.28515625" style="18" customWidth="1"/>
    <col min="28" max="28" width="10.85546875" style="18" bestFit="1" customWidth="1"/>
    <col min="29" max="16384" width="9.140625" style="18"/>
  </cols>
  <sheetData>
    <row r="1" spans="1:28" s="2" customFormat="1" ht="15.75" x14ac:dyDescent="0.25">
      <c r="A1" s="1" t="s">
        <v>0</v>
      </c>
    </row>
    <row r="2" spans="1:28" s="2" customFormat="1" ht="15.75" x14ac:dyDescent="0.25">
      <c r="A2" s="1" t="s">
        <v>1</v>
      </c>
      <c r="D2" s="1" t="str">
        <f>Wilton!D2</f>
        <v>Last updated:  Actuals through February 25, 1999</v>
      </c>
      <c r="Y2" s="25" t="str">
        <f ca="1">CELL("filename")</f>
        <v>O:\Fin_Ops\Engysvc\PowerPlants\2000 Plants\Draw Schedule\[Draw Sched - 022900.xls]Gleason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36585.365237152779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x14ac:dyDescent="0.2">
      <c r="A8" s="4" t="s">
        <v>37</v>
      </c>
      <c r="Y8" s="11"/>
    </row>
    <row r="9" spans="1:28" x14ac:dyDescent="0.2">
      <c r="A9" s="5" t="s">
        <v>62</v>
      </c>
      <c r="Y9" s="11"/>
    </row>
    <row r="10" spans="1:28" x14ac:dyDescent="0.2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f>(0.6503-0.4673)*AA12</f>
        <v>2515948.233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(0.9476-0.8703)*AA12+2727672</f>
        <v>3790419.5323000005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13748350.5777</v>
      </c>
      <c r="Z12" s="15" t="s">
        <v>50</v>
      </c>
      <c r="AA12" s="18">
        <f>[1]Wheatland!$BR$56</f>
        <v>13748351</v>
      </c>
      <c r="AB12" s="18">
        <f t="shared" si="1"/>
        <v>-0.42229999974370003</v>
      </c>
    </row>
    <row r="13" spans="1:28" x14ac:dyDescent="0.2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(0.9476-0.8703)*AA13+942336</f>
        <v>1309485.8002000002</v>
      </c>
      <c r="V13" s="18">
        <f>(1-0.9476)*AA13</f>
        <v>248882.91760000002</v>
      </c>
      <c r="W13" s="18">
        <f>442079+359779</f>
        <v>801858</v>
      </c>
      <c r="Y13" s="11">
        <f t="shared" si="0"/>
        <v>4749674.3398000002</v>
      </c>
      <c r="Z13" s="15"/>
      <c r="AA13" s="18">
        <f>[1]Wheatland!$BR$82</f>
        <v>4749674</v>
      </c>
      <c r="AB13" s="18">
        <f t="shared" si="1"/>
        <v>0.33980000019073486</v>
      </c>
    </row>
    <row r="14" spans="1:28" x14ac:dyDescent="0.2">
      <c r="A14" s="17" t="s">
        <v>121</v>
      </c>
      <c r="M14" s="18">
        <v>0</v>
      </c>
      <c r="N14" s="18">
        <v>61343</v>
      </c>
      <c r="P14" s="18">
        <v>2112822</v>
      </c>
      <c r="Q14" s="18">
        <v>0</v>
      </c>
      <c r="R14" s="18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(0.9476-0.8703)*AA14+3165418</f>
        <v>4398718.1652000006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15954724.4748</v>
      </c>
      <c r="Z14" s="15"/>
      <c r="AA14" s="18">
        <f>[1]Wheatland!$BR$116</f>
        <v>15954724</v>
      </c>
      <c r="AB14" s="18">
        <f t="shared" si="1"/>
        <v>0.47479999996721745</v>
      </c>
    </row>
    <row r="15" spans="1:28" x14ac:dyDescent="0.2">
      <c r="A15" s="17" t="s">
        <v>122</v>
      </c>
      <c r="N15" s="18">
        <v>0</v>
      </c>
      <c r="P15" s="18">
        <v>355795</v>
      </c>
      <c r="Q15" s="18">
        <v>0</v>
      </c>
      <c r="R15" s="18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(0.9476-0.8703)*AA15+2012953</f>
        <v>2797233.3117000004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10145929.3783</v>
      </c>
      <c r="Z15" s="15"/>
      <c r="AA15" s="18">
        <f>[1]Wheatland!$BR$119</f>
        <v>10145929</v>
      </c>
      <c r="AB15" s="18">
        <f t="shared" si="1"/>
        <v>0.37829999998211861</v>
      </c>
    </row>
    <row r="16" spans="1:28" x14ac:dyDescent="0.2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">
      <c r="A17" s="17" t="s">
        <v>124</v>
      </c>
      <c r="N17" s="18">
        <v>3651557</v>
      </c>
      <c r="P17" s="18">
        <f>1183571-943865</f>
        <v>239706</v>
      </c>
      <c r="Q17" s="18">
        <v>5993551</v>
      </c>
      <c r="U17" s="18">
        <f>-1822746-3953393</f>
        <v>-5776139</v>
      </c>
      <c r="W17" s="18">
        <v>-4108675</v>
      </c>
      <c r="X17" s="18">
        <v>-3953393</v>
      </c>
      <c r="Y17" s="11">
        <f t="shared" si="0"/>
        <v>-3953393</v>
      </c>
      <c r="Z17" s="15"/>
      <c r="AA17" s="18">
        <f>[1]Wheatland!$BR$123</f>
        <v>-3953393</v>
      </c>
      <c r="AB17" s="18">
        <f t="shared" si="1"/>
        <v>0</v>
      </c>
    </row>
    <row r="18" spans="1:28" x14ac:dyDescent="0.2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">
      <c r="A19" s="17" t="s">
        <v>106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[1]Wheatland!$BR$132</f>
        <v>2386700</v>
      </c>
      <c r="AB19" s="18">
        <f t="shared" si="1"/>
        <v>3.3333334140479565E-3</v>
      </c>
    </row>
    <row r="20" spans="1:28" x14ac:dyDescent="0.2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">
      <c r="A21" s="17" t="s">
        <v>128</v>
      </c>
      <c r="C21" s="4">
        <v>0</v>
      </c>
      <c r="Q21" s="18">
        <v>37000</v>
      </c>
      <c r="R21" s="18">
        <v>125000</v>
      </c>
      <c r="S21" s="18">
        <v>125000</v>
      </c>
      <c r="T21" s="18">
        <v>125000</v>
      </c>
      <c r="U21" s="18">
        <f>908786-625000+88000</f>
        <v>371786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">
      <c r="A22" s="17" t="s">
        <v>95</v>
      </c>
      <c r="N22" s="18">
        <v>38084</v>
      </c>
      <c r="P22" s="18">
        <v>16048</v>
      </c>
      <c r="Q22" s="18">
        <v>750</v>
      </c>
      <c r="U22" s="18">
        <f>1500000-38084-16048-750</f>
        <v>1445118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Y24" s="11">
        <f t="shared" si="0"/>
        <v>1892590.26</v>
      </c>
      <c r="Z24" s="15" t="s">
        <v>57</v>
      </c>
      <c r="AA24" s="18">
        <f>[1]Wheatland!$BR$166</f>
        <v>1892589.96</v>
      </c>
      <c r="AB24" s="18">
        <f t="shared" si="1"/>
        <v>0.30000000004656613</v>
      </c>
    </row>
    <row r="25" spans="1:28" x14ac:dyDescent="0.2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T25" s="18">
        <v>19859</v>
      </c>
      <c r="Y25" s="11">
        <f t="shared" si="0"/>
        <v>303428.42000000004</v>
      </c>
      <c r="Z25" s="15" t="str">
        <f>Z24</f>
        <v>Steve Dowd</v>
      </c>
    </row>
    <row r="26" spans="1:28" x14ac:dyDescent="0.2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500000</v>
      </c>
      <c r="S26" s="18">
        <f>500000-10000</f>
        <v>490000</v>
      </c>
      <c r="T26" s="18">
        <v>1500000</v>
      </c>
      <c r="U26" s="18">
        <f>1500000-15000+500000</f>
        <v>1985000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554000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0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>
        <v>9462</v>
      </c>
      <c r="W31" s="17">
        <v>180</v>
      </c>
      <c r="X31" s="17"/>
      <c r="Y31" s="11">
        <f t="shared" si="0"/>
        <v>174087.89333333331</v>
      </c>
      <c r="Z31" s="15"/>
    </row>
    <row r="32" spans="1:28" x14ac:dyDescent="0.2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31802</v>
      </c>
      <c r="R32" s="18">
        <v>56516</v>
      </c>
      <c r="S32" s="18">
        <v>22986</v>
      </c>
      <c r="T32" s="18">
        <f>80349-6410</f>
        <v>73939</v>
      </c>
      <c r="Y32" s="11">
        <f t="shared" si="0"/>
        <v>607789.68999999994</v>
      </c>
      <c r="Z32" s="15">
        <f>Z31</f>
        <v>0</v>
      </c>
    </row>
    <row r="33" spans="1:27" x14ac:dyDescent="0.2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v>13665</v>
      </c>
      <c r="R33" s="18">
        <v>10000</v>
      </c>
      <c r="S33" s="18">
        <v>10000</v>
      </c>
      <c r="T33" s="18">
        <f>7559+199999</f>
        <v>207558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653128.9</v>
      </c>
      <c r="Z33" s="15">
        <f>Z32</f>
        <v>0</v>
      </c>
    </row>
    <row r="34" spans="1:27" x14ac:dyDescent="0.2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3909419.3</v>
      </c>
      <c r="P34" s="21">
        <f t="shared" si="3"/>
        <v>8186544.333333333</v>
      </c>
      <c r="Q34" s="21">
        <f t="shared" si="3"/>
        <v>9056308.3333333321</v>
      </c>
      <c r="R34" s="21">
        <f t="shared" si="3"/>
        <v>10488230.985111112</v>
      </c>
      <c r="S34" s="21">
        <f t="shared" si="3"/>
        <v>7867096.2851111116</v>
      </c>
      <c r="T34" s="21">
        <f t="shared" si="3"/>
        <v>7336640.0971111096</v>
      </c>
      <c r="U34" s="21">
        <f t="shared" si="3"/>
        <v>18123857.809400003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151473992.79673332</v>
      </c>
    </row>
    <row r="35" spans="1:27" x14ac:dyDescent="0.2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90415314.953333333</v>
      </c>
      <c r="P35" s="21">
        <f t="shared" si="4"/>
        <v>98601859.286666662</v>
      </c>
      <c r="Q35" s="21">
        <f t="shared" si="4"/>
        <v>107658167.61999999</v>
      </c>
      <c r="R35" s="21">
        <f t="shared" si="4"/>
        <v>118146398.60511111</v>
      </c>
      <c r="S35" s="21">
        <f t="shared" si="4"/>
        <v>126013494.89022222</v>
      </c>
      <c r="T35" s="21">
        <f t="shared" si="4"/>
        <v>133350134.98733333</v>
      </c>
      <c r="U35" s="21">
        <f t="shared" si="4"/>
        <v>151473992.79673332</v>
      </c>
      <c r="V35" s="21">
        <f>+U35+V34</f>
        <v>154452078.52393332</v>
      </c>
      <c r="W35" s="21">
        <f>+V35+W34</f>
        <v>156580131.52393332</v>
      </c>
      <c r="X35" s="21">
        <f>+W35+X34</f>
        <v>152650863.52393332</v>
      </c>
      <c r="Y35" s="11"/>
    </row>
    <row r="36" spans="1:27" x14ac:dyDescent="0.2">
      <c r="A36" s="17" t="s">
        <v>64</v>
      </c>
      <c r="F36" s="8"/>
      <c r="Y36" s="16">
        <f>+Y34/C51/1000</f>
        <v>322.28509105687937</v>
      </c>
      <c r="Z36" s="20"/>
    </row>
    <row r="37" spans="1:27" x14ac:dyDescent="0.2">
      <c r="A37" s="17"/>
      <c r="F37" s="8"/>
      <c r="Y37" s="16"/>
      <c r="Z37" s="20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f t="shared" si="6"/>
        <v>615945.44200994284</v>
      </c>
      <c r="R39" s="30">
        <f t="shared" si="6"/>
        <v>676093.06432351528</v>
      </c>
      <c r="S39" s="30">
        <f t="shared" si="6"/>
        <v>722368.67329961946</v>
      </c>
      <c r="T39" s="30">
        <f t="shared" si="6"/>
        <v>766021.63747267763</v>
      </c>
      <c r="U39" s="30">
        <f t="shared" si="6"/>
        <v>868341.81780990458</v>
      </c>
      <c r="V39" s="30">
        <v>0</v>
      </c>
      <c r="W39" s="30">
        <v>0</v>
      </c>
      <c r="X39" s="30">
        <v>0</v>
      </c>
      <c r="Y39" s="11">
        <f t="shared" si="5"/>
        <v>9709685.1936743539</v>
      </c>
      <c r="Z39" s="19" t="str">
        <f>Z52</f>
        <v>Rodney Malcolm</v>
      </c>
      <c r="AA39" s="18">
        <f>Y39</f>
        <v>9709685.1936743539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615945.44200994284</v>
      </c>
      <c r="R43" s="21">
        <f t="shared" si="7"/>
        <v>676093.06432351528</v>
      </c>
      <c r="S43" s="21">
        <f t="shared" si="7"/>
        <v>722368.67329961946</v>
      </c>
      <c r="T43" s="21">
        <f t="shared" si="7"/>
        <v>766021.63747267763</v>
      </c>
      <c r="U43" s="21">
        <f t="shared" si="7"/>
        <v>868341.81780990458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9703607.6936743539</v>
      </c>
      <c r="Z43" s="20"/>
    </row>
    <row r="44" spans="1:27" x14ac:dyDescent="0.2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6670782.5007686373</v>
      </c>
      <c r="R44" s="21">
        <f t="shared" si="8"/>
        <v>7346875.5650921529</v>
      </c>
      <c r="S44" s="21">
        <f t="shared" si="8"/>
        <v>8069244.2383917719</v>
      </c>
      <c r="T44" s="21">
        <f t="shared" si="8"/>
        <v>8835265.8758644499</v>
      </c>
      <c r="U44" s="21">
        <f t="shared" si="8"/>
        <v>9703607.6936743539</v>
      </c>
      <c r="V44" s="21">
        <f>+V43+U44</f>
        <v>9703607.6936743539</v>
      </c>
      <c r="W44" s="21">
        <f>+W43+V44</f>
        <v>9703607.6936743539</v>
      </c>
      <c r="X44" s="21">
        <f>+X43+W44</f>
        <v>9703607.6936743539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4425759.3</v>
      </c>
      <c r="P46" s="4">
        <f t="shared" si="9"/>
        <v>8750380.6584433746</v>
      </c>
      <c r="Q46" s="4">
        <f t="shared" si="9"/>
        <v>9672253.7753432747</v>
      </c>
      <c r="R46" s="4">
        <f t="shared" si="9"/>
        <v>11164324.049434626</v>
      </c>
      <c r="S46" s="4">
        <f t="shared" si="9"/>
        <v>8589464.9584107306</v>
      </c>
      <c r="T46" s="4">
        <f t="shared" si="9"/>
        <v>8102661.7345837876</v>
      </c>
      <c r="U46" s="4">
        <f t="shared" si="9"/>
        <v>18992199.627209909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162354471.21760768</v>
      </c>
    </row>
    <row r="47" spans="1:27" s="4" customFormat="1" x14ac:dyDescent="0.2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95906315.686981991</v>
      </c>
      <c r="P47" s="4">
        <f t="shared" si="10"/>
        <v>104656696.34542537</v>
      </c>
      <c r="Q47" s="4">
        <f t="shared" si="10"/>
        <v>114328950.12076864</v>
      </c>
      <c r="R47" s="4">
        <f t="shared" si="10"/>
        <v>125493274.17020327</v>
      </c>
      <c r="S47" s="4">
        <f t="shared" si="10"/>
        <v>134082739.12861399</v>
      </c>
      <c r="T47" s="4">
        <f t="shared" si="10"/>
        <v>142185400.86319777</v>
      </c>
      <c r="U47" s="4">
        <f t="shared" si="10"/>
        <v>161177600.49040768</v>
      </c>
      <c r="V47" s="4">
        <f>U47+V46</f>
        <v>164155686.21760768</v>
      </c>
      <c r="W47" s="4">
        <f>V47+W46</f>
        <v>166283739.21760768</v>
      </c>
      <c r="X47" s="4">
        <f>W47+X46</f>
        <v>162354471.21760768</v>
      </c>
      <c r="Y47" s="11"/>
    </row>
    <row r="48" spans="1:27" s="4" customFormat="1" x14ac:dyDescent="0.2">
      <c r="Y48" s="16">
        <f>+Y46/C51/1000</f>
        <v>345.43504514384614</v>
      </c>
    </row>
    <row r="49" spans="1:29" s="4" customFormat="1" x14ac:dyDescent="0.2">
      <c r="A49" s="8" t="s">
        <v>96</v>
      </c>
      <c r="C49" s="12">
        <v>6.5000000000000002E-2</v>
      </c>
      <c r="Y49" s="11"/>
    </row>
    <row r="50" spans="1:29" s="4" customFormat="1" x14ac:dyDescent="0.2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">
      <c r="A51" s="17" t="s">
        <v>64</v>
      </c>
      <c r="C51" s="4">
        <v>470</v>
      </c>
      <c r="D51" s="4" t="s">
        <v>66</v>
      </c>
      <c r="Y51" s="11"/>
    </row>
    <row r="52" spans="1:29" x14ac:dyDescent="0.2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">
      <c r="A53" s="8"/>
      <c r="C53" s="12"/>
      <c r="Y53" s="11"/>
    </row>
    <row r="54" spans="1:29" x14ac:dyDescent="0.2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3909419.3</v>
      </c>
      <c r="P54" s="4">
        <f t="shared" si="11"/>
        <v>8186544.333333333</v>
      </c>
      <c r="Q54" s="4">
        <f t="shared" si="11"/>
        <v>9056308.3333333321</v>
      </c>
      <c r="R54" s="4">
        <f t="shared" si="11"/>
        <v>10488230.985111112</v>
      </c>
      <c r="S54" s="4">
        <f t="shared" si="11"/>
        <v>7867096.2851111107</v>
      </c>
      <c r="T54" s="4">
        <f t="shared" si="11"/>
        <v>7336640.0971111096</v>
      </c>
      <c r="U54" s="4">
        <f t="shared" si="11"/>
        <v>18123857.809400003</v>
      </c>
      <c r="V54" s="4">
        <f t="shared" si="11"/>
        <v>2978085.7272000001</v>
      </c>
      <c r="W54" s="4">
        <f t="shared" si="11"/>
        <v>2128053</v>
      </c>
      <c r="X54" s="4">
        <f t="shared" si="11"/>
        <v>-3929268</v>
      </c>
      <c r="Y54" s="23">
        <f>SUM(C54:X54)</f>
        <v>152644786.02393332</v>
      </c>
    </row>
    <row r="55" spans="1:29" x14ac:dyDescent="0.2">
      <c r="Y55" s="11"/>
    </row>
    <row r="56" spans="1:29" x14ac:dyDescent="0.2">
      <c r="A56" s="17"/>
      <c r="C56" s="18"/>
      <c r="Y56" s="11"/>
    </row>
    <row r="57" spans="1:29" ht="20.25" x14ac:dyDescent="0.55000000000000004">
      <c r="A57" s="32" t="s">
        <v>81</v>
      </c>
      <c r="Y57" s="11"/>
    </row>
    <row r="58" spans="1:29" x14ac:dyDescent="0.2">
      <c r="A58" s="4" t="s">
        <v>37</v>
      </c>
      <c r="Y58" s="11"/>
      <c r="AB58" s="17"/>
    </row>
    <row r="59" spans="1:29" x14ac:dyDescent="0.2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10392</v>
      </c>
      <c r="Y59" s="11">
        <f>SUM(C59:X59)</f>
        <v>146572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-3231</v>
      </c>
      <c r="Y60" s="11">
        <f>SUM(C60:X60)</f>
        <v>146484.20000000001</v>
      </c>
      <c r="Z60" s="19" t="str">
        <f>+Z59</f>
        <v>Steve Dowd</v>
      </c>
      <c r="AA60" s="18">
        <f>Y60+Y32</f>
        <v>754273.8899999999</v>
      </c>
      <c r="AB60" s="18">
        <f>[1]Wheatland!$BR$196</f>
        <v>754273.98</v>
      </c>
      <c r="AC60" s="18">
        <f>AB60-AA60</f>
        <v>9.0000000083819032E-2</v>
      </c>
    </row>
    <row r="61" spans="1:29" x14ac:dyDescent="0.2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1892590.26</v>
      </c>
      <c r="AB61" s="18">
        <f>[1]Wheatland!$BR$166</f>
        <v>1892589.96</v>
      </c>
      <c r="AC61" s="18">
        <f>AB61-AA61</f>
        <v>-0.30000000004656613</v>
      </c>
    </row>
    <row r="62" spans="1:29" x14ac:dyDescent="0.2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11111</v>
      </c>
      <c r="Y62" s="11">
        <f>SUM(C62:X62)</f>
        <v>25912.379999999997</v>
      </c>
      <c r="Z62" s="19" t="str">
        <f>+Z60</f>
        <v>Steve Dowd</v>
      </c>
      <c r="AA62" s="18">
        <f>Y62+Y31</f>
        <v>200000.27333333332</v>
      </c>
      <c r="AB62" s="18">
        <f>[1]Wheatland!$BR$185</f>
        <v>200000</v>
      </c>
      <c r="AC62" s="18">
        <f>AB62-AA62</f>
        <v>-0.27333333331625909</v>
      </c>
    </row>
    <row r="63" spans="1:29" x14ac:dyDescent="0.2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48543</v>
      </c>
      <c r="Y63" s="11">
        <f>SUM(C63:X63)</f>
        <v>48543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66815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367511.58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66815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262267.58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76</v>
      </c>
      <c r="Y69" s="11"/>
    </row>
    <row r="70" spans="1:26" x14ac:dyDescent="0.2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">
      <c r="Y74" s="11"/>
    </row>
    <row r="75" spans="1:26" x14ac:dyDescent="0.2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">
      <c r="Y76" s="11"/>
    </row>
    <row r="77" spans="1:26" x14ac:dyDescent="0.2">
      <c r="Y77" s="11"/>
    </row>
    <row r="78" spans="1:26" ht="13.5" thickBot="1" x14ac:dyDescent="0.25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4425759.3</v>
      </c>
      <c r="P78" s="33">
        <f t="shared" si="15"/>
        <v>8750380.6584433746</v>
      </c>
      <c r="Q78" s="33">
        <f t="shared" si="15"/>
        <v>9672253.7753432747</v>
      </c>
      <c r="R78" s="33">
        <f t="shared" si="15"/>
        <v>11164324.049434626</v>
      </c>
      <c r="S78" s="33">
        <f t="shared" si="15"/>
        <v>8589464.9584107306</v>
      </c>
      <c r="T78" s="33">
        <f t="shared" si="15"/>
        <v>8102661.7345837876</v>
      </c>
      <c r="U78" s="33">
        <f t="shared" si="15"/>
        <v>19059014.627209909</v>
      </c>
      <c r="V78" s="33">
        <f t="shared" si="15"/>
        <v>2978085.7272000001</v>
      </c>
      <c r="W78" s="33">
        <f t="shared" si="15"/>
        <v>2128053</v>
      </c>
      <c r="X78" s="33">
        <f t="shared" si="15"/>
        <v>-3929268</v>
      </c>
      <c r="Y78" s="33">
        <f t="shared" si="15"/>
        <v>162631838.79760769</v>
      </c>
      <c r="Z78" s="17"/>
    </row>
    <row r="79" spans="1:26" x14ac:dyDescent="0.2">
      <c r="U79"/>
      <c r="V79"/>
      <c r="W79"/>
      <c r="X79"/>
      <c r="Y79" s="47">
        <f>Y78-[1]Wheatland!$BR$236</f>
        <v>2.4339333474636078</v>
      </c>
    </row>
  </sheetData>
  <mergeCells count="1">
    <mergeCell ref="D5:O5"/>
  </mergeCells>
  <printOptions horizontalCentered="1"/>
  <pageMargins left="0.25" right="0.25" top="0.5" bottom="0.5" header="0.25" footer="0.5"/>
  <pageSetup scale="42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2000-02-15T15:02:00Z</cp:lastPrinted>
  <dcterms:created xsi:type="dcterms:W3CDTF">1999-02-09T14:03:00Z</dcterms:created>
  <dcterms:modified xsi:type="dcterms:W3CDTF">2023-09-13T22:07:54Z</dcterms:modified>
</cp:coreProperties>
</file>