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94762BE9-79B9-4BB5-B11E-261A7876FF5C}" xr6:coauthVersionLast="47" xr6:coauthVersionMax="47" xr10:uidLastSave="{00000000-0000-0000-0000-000000000000}"/>
  <bookViews>
    <workbookView xWindow="-120" yWindow="-120" windowWidth="38640" windowHeight="15720" tabRatio="890" firstSheet="1" activeTab="1"/>
  </bookViews>
  <sheets>
    <sheet name="Table of Contents" sheetId="1" state="hidden" r:id="rId1"/>
    <sheet name="Scope" sheetId="2" r:id="rId2"/>
    <sheet name="Revisions" sheetId="49" state="hidden" r:id="rId3"/>
    <sheet name="Assumptions" sheetId="3" r:id="rId4"/>
    <sheet name="Map" sheetId="4" state="hidden" r:id="rId5"/>
    <sheet name="Summary" sheetId="5" r:id="rId6"/>
    <sheet name="Mob_Estimate" sheetId="8" state="hidden" r:id="rId7"/>
    <sheet name="Mob_Schedule" sheetId="9" state="hidden" r:id="rId8"/>
    <sheet name="MobStaff" sheetId="42" state="hidden" r:id="rId9"/>
    <sheet name="Training" sheetId="47" state="hidden" r:id="rId10"/>
    <sheet name="Training2" sheetId="43" state="hidden" r:id="rId11"/>
    <sheet name="Pay &amp; Benefits Calcs" sheetId="50" state="hidden" r:id="rId12"/>
    <sheet name=" LM6000 MMR" sheetId="48" r:id="rId13"/>
    <sheet name="Assumed ScopeSplit" sheetId="12" r:id="rId14"/>
    <sheet name="Owner's Engineer" sheetId="14" state="hidden" r:id="rId15"/>
    <sheet name="Mob_Backup" sheetId="15" state="hidden" r:id="rId16"/>
    <sheet name="O&amp;M_Estimate" sheetId="16" state="hidden" r:id="rId17"/>
    <sheet name="Ops_Staff" sheetId="41" state="hidden" r:id="rId18"/>
    <sheet name="Contract_Staff" sheetId="19" state="hidden" r:id="rId19"/>
    <sheet name="SALARY-BENEFITS LOOKUP TABLE" sheetId="44" state="hidden" r:id="rId20"/>
    <sheet name="Local_Benefits" sheetId="23" state="hidden" r:id="rId21"/>
    <sheet name="O&amp;M_Backup" sheetId="25" state="hidden" r:id="rId22"/>
    <sheet name="Cap Spares" sheetId="46" state="hidden" r:id="rId23"/>
    <sheet name="GE7EA" sheetId="40" state="hidden" r:id="rId24"/>
  </sheets>
  <externalReferences>
    <externalReference r:id="rId25"/>
  </externalReferences>
  <definedNames>
    <definedName name="_xlnm._FilterDatabase" localSheetId="15" hidden="1">Mob_Backup!$A$17:$D$278</definedName>
    <definedName name="_xlnm._FilterDatabase" localSheetId="21" hidden="1">'O&amp;M_Backup'!#REF!</definedName>
    <definedName name="ACwvu.jjj." localSheetId="5" hidden="1">Summary!#REF!</definedName>
    <definedName name="CompleteFilterPrint" localSheetId="21">'O&amp;M_Backup'!$A$2:$F$281</definedName>
    <definedName name="FX" localSheetId="14">#REF!</definedName>
    <definedName name="guam" localSheetId="19"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guam"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OPICFEED" localSheetId="14">#REF!</definedName>
    <definedName name="PIRR" localSheetId="14">#REF!</definedName>
    <definedName name="piti" localSheetId="19"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piti"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PNPV" localSheetId="14">#REF!</definedName>
    <definedName name="Power_Plant_Name" localSheetId="18">"Pakistan (Khanewal, Pakistan)"</definedName>
    <definedName name="Power_Plant_Name" localSheetId="14">"Guam Emergency"</definedName>
    <definedName name="_xlnm.Print_Area" localSheetId="13">'Assumed ScopeSplit'!$A$1:$F$122</definedName>
    <definedName name="_xlnm.Print_Area" localSheetId="3">Assumptions!$A$1:$M$60</definedName>
    <definedName name="_xlnm.Print_Area" localSheetId="23">GE7EA!$A$1:$Z$152</definedName>
    <definedName name="_xlnm.Print_Area" localSheetId="15">Mob_Backup!$E$1:$J$311</definedName>
    <definedName name="_xlnm.Print_Area" localSheetId="6">Mob_Estimate!$A$1:$D$52</definedName>
    <definedName name="_xlnm.Print_Area" localSheetId="7">Mob_Schedule!$A$1:$T$41</definedName>
    <definedName name="_xlnm.Print_Area" localSheetId="8">MobStaff!$A$1:$J$71</definedName>
    <definedName name="_xlnm.Print_Area" localSheetId="21">'O&amp;M_Backup'!$A$1:$F$307</definedName>
    <definedName name="_xlnm.Print_Area" localSheetId="16">'O&amp;M_Estimate'!$A$1:$G$64</definedName>
    <definedName name="_xlnm.Print_Area" localSheetId="17">Ops_Staff!$A$1:$I$55</definedName>
    <definedName name="_xlnm.Print_Area" localSheetId="14">'Owner''s Engineer'!$A$1:$D$34</definedName>
    <definedName name="_xlnm.Print_Area" localSheetId="1">Scope!$A$1:$M$46</definedName>
    <definedName name="_xlnm.Print_Area" localSheetId="5">Summary!$A$1:$H$59</definedName>
    <definedName name="_xlnm.Print_Area" localSheetId="0">'Table of Contents'!$A$1:$G$34</definedName>
    <definedName name="_xlnm.Print_Area" localSheetId="9">Training!$A$1:$G$51</definedName>
    <definedName name="_xlnm.Print_Area" localSheetId="10">Training2!$A$1:$M$64</definedName>
    <definedName name="_xlnm.Print_Titles" localSheetId="15">Mob_Backup!$2:$5</definedName>
    <definedName name="_xlnm.Print_Titles" localSheetId="8">MobStaff!$1:$3</definedName>
    <definedName name="_xlnm.Print_Titles" localSheetId="21">'O&amp;M_Backup'!$2:$4</definedName>
    <definedName name="SALARY">'SALARY-BENEFITS LOOKUP TABLE'!$B$8:$N$17</definedName>
    <definedName name="Swvu.jjj." localSheetId="5" hidden="1">Summary!#REF!</definedName>
    <definedName name="TABLE" localSheetId="4">Map!$C$2:$C$2</definedName>
    <definedName name="TABLE_2" localSheetId="4">Map!$C$2:$C$2</definedName>
    <definedName name="UpLt_CommOps" localSheetId="16">'O&amp;M_Estimate'!#REF!</definedName>
    <definedName name="wrn.Ilijan._.Print." localSheetId="22"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 localSheetId="23"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 localSheetId="8"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 localSheetId="17"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 localSheetId="14"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 localSheetId="19"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 localSheetId="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 localSheetId="9"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 localSheetId="10"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vu.jjj." localSheetId="5" hidden="1">{TRUE,TRUE,-1.25,-15.5,484.5,276.75,FALSE,TRUE,TRUE,TRUE,0,1,#N/A,30,#N/A,8.4406779661017,23.7692307692308,1,FALSE,FALSE,3,TRUE,1,FALSE,75,"Swvu.jjj.","ACwvu.jjj.",#N/A,FALSE,FALSE,0.5,0.5,0.71,0.77,1,"","&amp;Lkwpierce&amp;C7/31/96&amp;R&amp;F, Rev.1_x000D_Page &amp;P",TRUE,FALSE,FALSE,FALSE,1,#N/A,1,1,FALSE,FALSE,#N/A,#N/A,FALSE,FALSE,FALSE,1,65532,65532,FALSE,FALSE,TRUE,TRUE,TRUE}</definedName>
    <definedName name="Z_23858840_75A3_11D3_9B0F_006097CA9A6E_.wvu.PrintArea" localSheetId="5" hidden="1">Summary!$A$1:$H$61</definedName>
    <definedName name="Z_27B46881_0F5B_11D2_8727_00600802E52E_.wvu.PrintArea" localSheetId="5" hidden="1">Summary!$A$1:$H$54</definedName>
    <definedName name="Z_44B1FD93_6C50_11D3_9B06_006097CA9A6E_.wvu.PrintArea" localSheetId="5" hidden="1">Summary!$A$1:$H$61</definedName>
    <definedName name="Z_69CDD2E0_B7B0_11D3_B354_005004B48B2E_.wvu.PrintArea" localSheetId="5" hidden="1">Summary!$A$1:$H$61</definedName>
    <definedName name="Z_7B8B4280_75B9_11D3_B354_0050048AD64B_.wvu.PrintArea" localSheetId="5" hidden="1">Summary!$A$1:$H$61</definedName>
    <definedName name="Z_7C8030C1_816E_11D3_9B1F_000064657374_.wvu.PrintArea" localSheetId="5" hidden="1">Summary!$A$1:$H$61</definedName>
    <definedName name="Z_887EA5F3_7E5C_11D3_9B1C_006097CA9A6E_.wvu.PrintArea" localSheetId="5" hidden="1">Summary!$A$1:$H$61</definedName>
    <definedName name="Z_97C9EDC3_809C_11D3_9B1E_006097CA9A6E_.wvu.PrintArea" localSheetId="5" hidden="1">Summary!$A$1:$H$61</definedName>
    <definedName name="Z_ADAAEFB1_7735_11D3_9B11_006097CA9A6E_.wvu.PrintArea" localSheetId="5" hidden="1">Summary!$A$1:$H$61</definedName>
    <definedName name="Z_B14BA500_7FDD_11D3_9B1D_000064657374_.wvu.PrintArea" localSheetId="5" hidden="1">Summary!$A$1:$H$61</definedName>
    <definedName name="Z_DD4FE528_7357_11D3_9B0D_006097CA9A6E_.wvu.PrintArea" localSheetId="5" hidden="1">Summary!$A$1:$H$61</definedName>
    <definedName name="Z_F8408542_C03D_11D2_9A75_00600802E52E_.wvu.PrintArea" localSheetId="5" hidden="1">Summary!$A$1:$H$54</definedName>
  </definedNames>
  <calcPr calcId="0" fullCalcOnLoad="1"/>
  <customWorkbookViews>
    <customWorkbookView name="jjj (Summary)" guid="{69CDD2E0-B7B0-11D3-B354-005004B48B2E}" maximized="1" xWindow="2" yWindow="2" windowWidth="636" windowHeight="340" tabRatio="890" activeSheetId="5"/>
  </customWorkbookViews>
</workbook>
</file>

<file path=xl/calcChain.xml><?xml version="1.0" encoding="utf-8"?>
<calcChain xmlns="http://schemas.openxmlformats.org/spreadsheetml/2006/main">
  <c r="A1" i="48" l="1"/>
  <c r="H5" i="48"/>
  <c r="H6" i="48"/>
  <c r="H7" i="48"/>
  <c r="D8" i="48"/>
  <c r="H8" i="48"/>
  <c r="H9" i="48"/>
  <c r="D13" i="48"/>
  <c r="C20" i="48"/>
  <c r="C22" i="48"/>
  <c r="D22" i="48"/>
  <c r="E22" i="48"/>
  <c r="F22" i="48"/>
  <c r="G22" i="48"/>
  <c r="H22" i="48"/>
  <c r="I22" i="48"/>
  <c r="J22" i="48"/>
  <c r="K22" i="48"/>
  <c r="L22" i="48"/>
  <c r="M22" i="48"/>
  <c r="N22" i="48"/>
  <c r="O22" i="48"/>
  <c r="P22" i="48"/>
  <c r="Q22" i="48"/>
  <c r="R22" i="48"/>
  <c r="S22" i="48"/>
  <c r="T22" i="48"/>
  <c r="U22" i="48"/>
  <c r="V22" i="48"/>
  <c r="B24" i="48"/>
  <c r="C24" i="48"/>
  <c r="D24" i="48"/>
  <c r="E24" i="48"/>
  <c r="F24" i="48"/>
  <c r="G24" i="48"/>
  <c r="H24" i="48"/>
  <c r="I24" i="48"/>
  <c r="J24" i="48"/>
  <c r="K24" i="48"/>
  <c r="L24" i="48"/>
  <c r="M24" i="48"/>
  <c r="N24" i="48"/>
  <c r="O24" i="48"/>
  <c r="P24" i="48"/>
  <c r="Q24" i="48"/>
  <c r="R24" i="48"/>
  <c r="S24" i="48"/>
  <c r="T24" i="48"/>
  <c r="U24" i="48"/>
  <c r="V24" i="48"/>
  <c r="C25" i="48"/>
  <c r="D25" i="48"/>
  <c r="E25" i="48"/>
  <c r="F25" i="48"/>
  <c r="G25" i="48"/>
  <c r="H25" i="48"/>
  <c r="I25" i="48"/>
  <c r="J25" i="48"/>
  <c r="K25" i="48"/>
  <c r="L25" i="48"/>
  <c r="M25" i="48"/>
  <c r="N25" i="48"/>
  <c r="O25" i="48"/>
  <c r="P25" i="48"/>
  <c r="Q25" i="48"/>
  <c r="R25" i="48"/>
  <c r="S25" i="48"/>
  <c r="T25" i="48"/>
  <c r="U25" i="48"/>
  <c r="V25" i="48"/>
  <c r="B26" i="48"/>
  <c r="C26" i="48"/>
  <c r="D26" i="48"/>
  <c r="E26" i="48"/>
  <c r="F26" i="48"/>
  <c r="G26" i="48"/>
  <c r="H26" i="48"/>
  <c r="I26" i="48"/>
  <c r="J26" i="48"/>
  <c r="K26" i="48"/>
  <c r="L26" i="48"/>
  <c r="M26" i="48"/>
  <c r="N26" i="48"/>
  <c r="O26" i="48"/>
  <c r="P26" i="48"/>
  <c r="Q26" i="48"/>
  <c r="R26" i="48"/>
  <c r="S26" i="48"/>
  <c r="T26" i="48"/>
  <c r="U26" i="48"/>
  <c r="V26" i="48"/>
  <c r="C27" i="48"/>
  <c r="D27" i="48"/>
  <c r="E27" i="48"/>
  <c r="F27" i="48"/>
  <c r="G27" i="48"/>
  <c r="H27" i="48"/>
  <c r="I27" i="48"/>
  <c r="J27" i="48"/>
  <c r="K27" i="48"/>
  <c r="L27" i="48"/>
  <c r="M27" i="48"/>
  <c r="N27" i="48"/>
  <c r="O27" i="48"/>
  <c r="P27" i="48"/>
  <c r="Q27" i="48"/>
  <c r="R27" i="48"/>
  <c r="S27" i="48"/>
  <c r="T27" i="48"/>
  <c r="U27" i="48"/>
  <c r="V27" i="48"/>
  <c r="B28" i="48"/>
  <c r="C28" i="48"/>
  <c r="D28" i="48"/>
  <c r="E28" i="48"/>
  <c r="F28" i="48"/>
  <c r="G28" i="48"/>
  <c r="H28" i="48"/>
  <c r="I28" i="48"/>
  <c r="J28" i="48"/>
  <c r="K28" i="48"/>
  <c r="L28" i="48"/>
  <c r="M28" i="48"/>
  <c r="N28" i="48"/>
  <c r="O28" i="48"/>
  <c r="P28" i="48"/>
  <c r="Q28" i="48"/>
  <c r="R28" i="48"/>
  <c r="S28" i="48"/>
  <c r="T28" i="48"/>
  <c r="U28" i="48"/>
  <c r="V28" i="48"/>
  <c r="B29" i="48"/>
  <c r="C29" i="48"/>
  <c r="D29" i="48"/>
  <c r="E29" i="48"/>
  <c r="F29" i="48"/>
  <c r="G29" i="48"/>
  <c r="H29" i="48"/>
  <c r="I29" i="48"/>
  <c r="J29" i="48"/>
  <c r="K29" i="48"/>
  <c r="L29" i="48"/>
  <c r="M29" i="48"/>
  <c r="N29" i="48"/>
  <c r="O29" i="48"/>
  <c r="P29" i="48"/>
  <c r="Q29" i="48"/>
  <c r="R29" i="48"/>
  <c r="S29" i="48"/>
  <c r="T29" i="48"/>
  <c r="U29" i="48"/>
  <c r="V29" i="48"/>
  <c r="C30" i="48"/>
  <c r="D30" i="48"/>
  <c r="E30" i="48"/>
  <c r="F30" i="48"/>
  <c r="G30" i="48"/>
  <c r="H30" i="48"/>
  <c r="I30" i="48"/>
  <c r="J30" i="48"/>
  <c r="K30" i="48"/>
  <c r="L30" i="48"/>
  <c r="M30" i="48"/>
  <c r="N30" i="48"/>
  <c r="O30" i="48"/>
  <c r="P30" i="48"/>
  <c r="Q30" i="48"/>
  <c r="R30" i="48"/>
  <c r="S30" i="48"/>
  <c r="T30" i="48"/>
  <c r="U30" i="48"/>
  <c r="V30" i="48"/>
  <c r="H39" i="48"/>
  <c r="H40" i="48"/>
  <c r="H41" i="48"/>
  <c r="H42" i="48"/>
  <c r="C55" i="48"/>
  <c r="D55" i="48"/>
  <c r="E55" i="48"/>
  <c r="F55" i="48"/>
  <c r="G55" i="48"/>
  <c r="H55" i="48"/>
  <c r="I55" i="48"/>
  <c r="J55" i="48"/>
  <c r="K55" i="48"/>
  <c r="L55" i="48"/>
  <c r="M55" i="48"/>
  <c r="N55" i="48"/>
  <c r="O55" i="48"/>
  <c r="P55" i="48"/>
  <c r="Q55" i="48"/>
  <c r="R55" i="48"/>
  <c r="S55" i="48"/>
  <c r="T55" i="48"/>
  <c r="U55" i="48"/>
  <c r="V55" i="48"/>
  <c r="B57" i="48"/>
  <c r="C57" i="48"/>
  <c r="D57" i="48"/>
  <c r="E57" i="48"/>
  <c r="F57" i="48"/>
  <c r="G57" i="48"/>
  <c r="H57" i="48"/>
  <c r="I57" i="48"/>
  <c r="J57" i="48"/>
  <c r="K57" i="48"/>
  <c r="L57" i="48"/>
  <c r="M57" i="48"/>
  <c r="N57" i="48"/>
  <c r="O57" i="48"/>
  <c r="P57" i="48"/>
  <c r="Q57" i="48"/>
  <c r="R57" i="48"/>
  <c r="S57" i="48"/>
  <c r="T57" i="48"/>
  <c r="U57" i="48"/>
  <c r="V57" i="48"/>
  <c r="C58" i="48"/>
  <c r="D58" i="48"/>
  <c r="E58" i="48"/>
  <c r="F58" i="48"/>
  <c r="G58" i="48"/>
  <c r="H58" i="48"/>
  <c r="I58" i="48"/>
  <c r="J58" i="48"/>
  <c r="K58" i="48"/>
  <c r="L58" i="48"/>
  <c r="M58" i="48"/>
  <c r="N58" i="48"/>
  <c r="O58" i="48"/>
  <c r="P58" i="48"/>
  <c r="Q58" i="48"/>
  <c r="R58" i="48"/>
  <c r="S58" i="48"/>
  <c r="T58" i="48"/>
  <c r="U58" i="48"/>
  <c r="V58" i="48"/>
  <c r="B59" i="48"/>
  <c r="C59" i="48"/>
  <c r="D59" i="48"/>
  <c r="E59" i="48"/>
  <c r="F59" i="48"/>
  <c r="G59" i="48"/>
  <c r="H59" i="48"/>
  <c r="I59" i="48"/>
  <c r="J59" i="48"/>
  <c r="K59" i="48"/>
  <c r="L59" i="48"/>
  <c r="M59" i="48"/>
  <c r="N59" i="48"/>
  <c r="O59" i="48"/>
  <c r="P59" i="48"/>
  <c r="Q59" i="48"/>
  <c r="R59" i="48"/>
  <c r="S59" i="48"/>
  <c r="T59" i="48"/>
  <c r="U59" i="48"/>
  <c r="V59" i="48"/>
  <c r="C60" i="48"/>
  <c r="D60" i="48"/>
  <c r="E60" i="48"/>
  <c r="F60" i="48"/>
  <c r="G60" i="48"/>
  <c r="H60" i="48"/>
  <c r="I60" i="48"/>
  <c r="J60" i="48"/>
  <c r="K60" i="48"/>
  <c r="L60" i="48"/>
  <c r="M60" i="48"/>
  <c r="N60" i="48"/>
  <c r="O60" i="48"/>
  <c r="P60" i="48"/>
  <c r="Q60" i="48"/>
  <c r="R60" i="48"/>
  <c r="S60" i="48"/>
  <c r="T60" i="48"/>
  <c r="U60" i="48"/>
  <c r="V60" i="48"/>
  <c r="B61" i="48"/>
  <c r="C61" i="48"/>
  <c r="D61" i="48"/>
  <c r="E61" i="48"/>
  <c r="F61" i="48"/>
  <c r="G61" i="48"/>
  <c r="H61" i="48"/>
  <c r="I61" i="48"/>
  <c r="J61" i="48"/>
  <c r="K61" i="48"/>
  <c r="L61" i="48"/>
  <c r="M61" i="48"/>
  <c r="N61" i="48"/>
  <c r="O61" i="48"/>
  <c r="P61" i="48"/>
  <c r="Q61" i="48"/>
  <c r="R61" i="48"/>
  <c r="S61" i="48"/>
  <c r="T61" i="48"/>
  <c r="U61" i="48"/>
  <c r="V61" i="48"/>
  <c r="B62" i="48"/>
  <c r="C62" i="48"/>
  <c r="D62" i="48"/>
  <c r="E62" i="48"/>
  <c r="F62" i="48"/>
  <c r="G62" i="48"/>
  <c r="H62" i="48"/>
  <c r="I62" i="48"/>
  <c r="J62" i="48"/>
  <c r="K62" i="48"/>
  <c r="L62" i="48"/>
  <c r="M62" i="48"/>
  <c r="N62" i="48"/>
  <c r="O62" i="48"/>
  <c r="P62" i="48"/>
  <c r="Q62" i="48"/>
  <c r="R62" i="48"/>
  <c r="S62" i="48"/>
  <c r="T62" i="48"/>
  <c r="U62" i="48"/>
  <c r="V62" i="48"/>
  <c r="C63" i="48"/>
  <c r="D63" i="48"/>
  <c r="E63" i="48"/>
  <c r="F63" i="48"/>
  <c r="G63" i="48"/>
  <c r="H63" i="48"/>
  <c r="I63" i="48"/>
  <c r="J63" i="48"/>
  <c r="K63" i="48"/>
  <c r="L63" i="48"/>
  <c r="M63" i="48"/>
  <c r="N63" i="48"/>
  <c r="O63" i="48"/>
  <c r="P63" i="48"/>
  <c r="Q63" i="48"/>
  <c r="R63" i="48"/>
  <c r="S63" i="48"/>
  <c r="T63" i="48"/>
  <c r="U63" i="48"/>
  <c r="V63" i="48"/>
  <c r="A1" i="12"/>
  <c r="A1" i="3"/>
  <c r="B13" i="3"/>
  <c r="B15" i="3"/>
  <c r="B54" i="3"/>
  <c r="B56" i="3"/>
  <c r="B57" i="3"/>
  <c r="B58" i="3"/>
  <c r="A1" i="46"/>
  <c r="C6" i="46"/>
  <c r="C8" i="46"/>
  <c r="C10" i="46"/>
  <c r="C11" i="46"/>
  <c r="C16" i="46"/>
  <c r="D16" i="46"/>
  <c r="C17" i="46"/>
  <c r="D17" i="46"/>
  <c r="C18" i="46"/>
  <c r="D18" i="46"/>
  <c r="A1" i="19"/>
  <c r="D11" i="19"/>
  <c r="E11" i="19"/>
  <c r="F11" i="19"/>
  <c r="G11" i="19"/>
  <c r="D12" i="19"/>
  <c r="E12" i="19"/>
  <c r="F12" i="19"/>
  <c r="G12" i="19"/>
  <c r="D13" i="19"/>
  <c r="E13" i="19"/>
  <c r="F13" i="19"/>
  <c r="G13" i="19"/>
  <c r="D14" i="19"/>
  <c r="E14" i="19"/>
  <c r="F14" i="19"/>
  <c r="G14" i="19"/>
  <c r="D15" i="19"/>
  <c r="E15" i="19"/>
  <c r="F15" i="19"/>
  <c r="G15" i="19"/>
  <c r="D16" i="19"/>
  <c r="E16" i="19"/>
  <c r="F16" i="19"/>
  <c r="B18" i="19"/>
  <c r="E18" i="19"/>
  <c r="F18" i="19"/>
  <c r="G18" i="19"/>
  <c r="C28" i="19"/>
  <c r="D28" i="19"/>
  <c r="E28" i="19"/>
  <c r="F28" i="19"/>
  <c r="B31" i="19"/>
  <c r="D31" i="19"/>
  <c r="E31" i="19"/>
  <c r="F31" i="19"/>
  <c r="D1" i="40"/>
  <c r="E1" i="40"/>
  <c r="F1" i="40"/>
  <c r="G1" i="40"/>
  <c r="H1" i="40"/>
  <c r="I1" i="40"/>
  <c r="J1" i="40"/>
  <c r="K1" i="40"/>
  <c r="L1" i="40"/>
  <c r="M1" i="40"/>
  <c r="N1" i="40"/>
  <c r="O1" i="40"/>
  <c r="P1" i="40"/>
  <c r="Q1" i="40"/>
  <c r="R1" i="40"/>
  <c r="S1" i="40"/>
  <c r="T1" i="40"/>
  <c r="U1" i="40"/>
  <c r="V1" i="40"/>
  <c r="D4" i="40"/>
  <c r="E4" i="40"/>
  <c r="F4" i="40"/>
  <c r="G4" i="40"/>
  <c r="H4" i="40"/>
  <c r="I4" i="40"/>
  <c r="J4" i="40"/>
  <c r="K4" i="40"/>
  <c r="L4" i="40"/>
  <c r="M4" i="40"/>
  <c r="N4" i="40"/>
  <c r="O4" i="40"/>
  <c r="P4" i="40"/>
  <c r="Q4" i="40"/>
  <c r="R4" i="40"/>
  <c r="S4" i="40"/>
  <c r="T4" i="40"/>
  <c r="U4" i="40"/>
  <c r="V4" i="40"/>
  <c r="D5" i="40"/>
  <c r="E5" i="40"/>
  <c r="F5" i="40"/>
  <c r="G5" i="40"/>
  <c r="H5" i="40"/>
  <c r="I5" i="40"/>
  <c r="J5" i="40"/>
  <c r="K5" i="40"/>
  <c r="L5" i="40"/>
  <c r="M5" i="40"/>
  <c r="N5" i="40"/>
  <c r="O5" i="40"/>
  <c r="P5" i="40"/>
  <c r="Q5" i="40"/>
  <c r="R5" i="40"/>
  <c r="S5" i="40"/>
  <c r="T5" i="40"/>
  <c r="U5" i="40"/>
  <c r="V5" i="40"/>
  <c r="B8" i="40"/>
  <c r="W8" i="40"/>
  <c r="B9" i="40"/>
  <c r="W9" i="40"/>
  <c r="B10" i="40"/>
  <c r="N10" i="40"/>
  <c r="W10" i="40"/>
  <c r="B11" i="40"/>
  <c r="N11" i="40"/>
  <c r="W11" i="40"/>
  <c r="B12" i="40"/>
  <c r="W12" i="40"/>
  <c r="B13" i="40"/>
  <c r="W13" i="40"/>
  <c r="B14" i="40"/>
  <c r="W14" i="40"/>
  <c r="B15" i="40"/>
  <c r="W15" i="40"/>
  <c r="B16" i="40"/>
  <c r="W16" i="40"/>
  <c r="B17" i="40"/>
  <c r="W17" i="40"/>
  <c r="B18" i="40"/>
  <c r="W18" i="40"/>
  <c r="B19" i="40"/>
  <c r="W19" i="40"/>
  <c r="B20" i="40"/>
  <c r="W20" i="40"/>
  <c r="B21" i="40"/>
  <c r="W21" i="40"/>
  <c r="B22" i="40"/>
  <c r="W22" i="40"/>
  <c r="B23" i="40"/>
  <c r="W23" i="40"/>
  <c r="B24" i="40"/>
  <c r="W24" i="40"/>
  <c r="B25" i="40"/>
  <c r="F25" i="40"/>
  <c r="J25" i="40"/>
  <c r="R25" i="40"/>
  <c r="W25" i="40"/>
  <c r="B26" i="40"/>
  <c r="N26" i="40"/>
  <c r="W26" i="40"/>
  <c r="B27" i="40"/>
  <c r="W27" i="40"/>
  <c r="B28" i="40"/>
  <c r="W28" i="40"/>
  <c r="B29" i="40"/>
  <c r="W29" i="40"/>
  <c r="W30" i="40"/>
  <c r="C32" i="40"/>
  <c r="D32" i="40"/>
  <c r="E32" i="40"/>
  <c r="F32" i="40"/>
  <c r="G32" i="40"/>
  <c r="H32" i="40"/>
  <c r="I32" i="40"/>
  <c r="J32" i="40"/>
  <c r="K32" i="40"/>
  <c r="L32" i="40"/>
  <c r="M32" i="40"/>
  <c r="N32" i="40"/>
  <c r="O32" i="40"/>
  <c r="P32" i="40"/>
  <c r="Q32" i="40"/>
  <c r="R32" i="40"/>
  <c r="S32" i="40"/>
  <c r="T32" i="40"/>
  <c r="U32" i="40"/>
  <c r="V32" i="40"/>
  <c r="W32" i="40"/>
  <c r="C34" i="40"/>
  <c r="D34" i="40"/>
  <c r="E34" i="40"/>
  <c r="F34" i="40"/>
  <c r="G34" i="40"/>
  <c r="H34" i="40"/>
  <c r="I34" i="40"/>
  <c r="J34" i="40"/>
  <c r="K34" i="40"/>
  <c r="L34" i="40"/>
  <c r="M34" i="40"/>
  <c r="N34" i="40"/>
  <c r="O34" i="40"/>
  <c r="P34" i="40"/>
  <c r="Q34" i="40"/>
  <c r="R34" i="40"/>
  <c r="S34" i="40"/>
  <c r="T34" i="40"/>
  <c r="U34" i="40"/>
  <c r="V34" i="40"/>
  <c r="W34" i="40"/>
  <c r="C36" i="40"/>
  <c r="D36" i="40"/>
  <c r="E36" i="40"/>
  <c r="F36" i="40"/>
  <c r="G36" i="40"/>
  <c r="H36" i="40"/>
  <c r="I36" i="40"/>
  <c r="J36" i="40"/>
  <c r="K36" i="40"/>
  <c r="L36" i="40"/>
  <c r="M36" i="40"/>
  <c r="N36" i="40"/>
  <c r="O36" i="40"/>
  <c r="P36" i="40"/>
  <c r="Q36" i="40"/>
  <c r="R36" i="40"/>
  <c r="S36" i="40"/>
  <c r="T36" i="40"/>
  <c r="U36" i="40"/>
  <c r="V36" i="40"/>
  <c r="W36" i="40"/>
  <c r="AC36" i="40"/>
  <c r="C39" i="40"/>
  <c r="D39" i="40"/>
  <c r="E39" i="40"/>
  <c r="F39" i="40"/>
  <c r="G39" i="40"/>
  <c r="H39" i="40"/>
  <c r="I39" i="40"/>
  <c r="J39" i="40"/>
  <c r="K39" i="40"/>
  <c r="L39" i="40"/>
  <c r="M39" i="40"/>
  <c r="N39" i="40"/>
  <c r="O39" i="40"/>
  <c r="P39" i="40"/>
  <c r="Q39" i="40"/>
  <c r="R39" i="40"/>
  <c r="S39" i="40"/>
  <c r="T39" i="40"/>
  <c r="U39" i="40"/>
  <c r="V39" i="40"/>
  <c r="C40" i="40"/>
  <c r="D40" i="40"/>
  <c r="E40" i="40"/>
  <c r="F40" i="40"/>
  <c r="G40" i="40"/>
  <c r="H40" i="40"/>
  <c r="I40" i="40"/>
  <c r="J40" i="40"/>
  <c r="K40" i="40"/>
  <c r="L40" i="40"/>
  <c r="M40" i="40"/>
  <c r="N40" i="40"/>
  <c r="O40" i="40"/>
  <c r="P40" i="40"/>
  <c r="Q40" i="40"/>
  <c r="R40" i="40"/>
  <c r="S40" i="40"/>
  <c r="T40" i="40"/>
  <c r="U40" i="40"/>
  <c r="V40" i="40"/>
  <c r="C41" i="40"/>
  <c r="D41" i="40"/>
  <c r="E41" i="40"/>
  <c r="F41" i="40"/>
  <c r="G41" i="40"/>
  <c r="H41" i="40"/>
  <c r="I41" i="40"/>
  <c r="J41" i="40"/>
  <c r="K41" i="40"/>
  <c r="L41" i="40"/>
  <c r="M41" i="40"/>
  <c r="N41" i="40"/>
  <c r="O41" i="40"/>
  <c r="P41" i="40"/>
  <c r="Q41" i="40"/>
  <c r="R41" i="40"/>
  <c r="S41" i="40"/>
  <c r="T41" i="40"/>
  <c r="U41" i="40"/>
  <c r="V41" i="40"/>
  <c r="C42" i="40"/>
  <c r="D42" i="40"/>
  <c r="E42" i="40"/>
  <c r="F42" i="40"/>
  <c r="G42" i="40"/>
  <c r="H42" i="40"/>
  <c r="I42" i="40"/>
  <c r="J42" i="40"/>
  <c r="K42" i="40"/>
  <c r="L42" i="40"/>
  <c r="M42" i="40"/>
  <c r="N42" i="40"/>
  <c r="O42" i="40"/>
  <c r="P42" i="40"/>
  <c r="Q42" i="40"/>
  <c r="R42" i="40"/>
  <c r="S42" i="40"/>
  <c r="T42" i="40"/>
  <c r="U42" i="40"/>
  <c r="V42" i="40"/>
  <c r="C43" i="40"/>
  <c r="D43" i="40"/>
  <c r="E43" i="40"/>
  <c r="F43" i="40"/>
  <c r="G43" i="40"/>
  <c r="H43" i="40"/>
  <c r="I43" i="40"/>
  <c r="J43" i="40"/>
  <c r="K43" i="40"/>
  <c r="L43" i="40"/>
  <c r="M43" i="40"/>
  <c r="N43" i="40"/>
  <c r="O43" i="40"/>
  <c r="P43" i="40"/>
  <c r="Q43" i="40"/>
  <c r="R43" i="40"/>
  <c r="S43" i="40"/>
  <c r="T43" i="40"/>
  <c r="U43" i="40"/>
  <c r="V43" i="40"/>
  <c r="F45" i="40"/>
  <c r="J45" i="40"/>
  <c r="N45" i="40"/>
  <c r="R45" i="40"/>
  <c r="W45" i="40"/>
  <c r="B48" i="40"/>
  <c r="F48" i="40"/>
  <c r="J48" i="40"/>
  <c r="N48" i="40"/>
  <c r="R48" i="40"/>
  <c r="W48" i="40"/>
  <c r="B49" i="40"/>
  <c r="F49" i="40"/>
  <c r="J49" i="40"/>
  <c r="N49" i="40"/>
  <c r="R49" i="40"/>
  <c r="W49" i="40"/>
  <c r="B50" i="40"/>
  <c r="W50" i="40"/>
  <c r="B51" i="40"/>
  <c r="F51" i="40"/>
  <c r="J51" i="40"/>
  <c r="R51" i="40"/>
  <c r="W51" i="40"/>
  <c r="B52" i="40"/>
  <c r="N52" i="40"/>
  <c r="W52" i="40"/>
  <c r="B53" i="40"/>
  <c r="N53" i="40"/>
  <c r="W53" i="40"/>
  <c r="B54" i="40"/>
  <c r="N54" i="40"/>
  <c r="W54" i="40"/>
  <c r="B55" i="40"/>
  <c r="N55" i="40"/>
  <c r="W55" i="40"/>
  <c r="B56" i="40"/>
  <c r="N56" i="40"/>
  <c r="W56" i="40"/>
  <c r="B57" i="40"/>
  <c r="N57" i="40"/>
  <c r="W57" i="40"/>
  <c r="B58" i="40"/>
  <c r="N58" i="40"/>
  <c r="W58" i="40"/>
  <c r="B59" i="40"/>
  <c r="N59" i="40"/>
  <c r="W59" i="40"/>
  <c r="B60" i="40"/>
  <c r="N60" i="40"/>
  <c r="W60" i="40"/>
  <c r="B61" i="40"/>
  <c r="W61" i="40"/>
  <c r="B62" i="40"/>
  <c r="W62" i="40"/>
  <c r="B63" i="40"/>
  <c r="W63" i="40"/>
  <c r="B64" i="40"/>
  <c r="W64" i="40"/>
  <c r="B65" i="40"/>
  <c r="W65" i="40"/>
  <c r="B66" i="40"/>
  <c r="W66" i="40"/>
  <c r="B67" i="40"/>
  <c r="W67" i="40"/>
  <c r="B68" i="40"/>
  <c r="W68" i="40"/>
  <c r="B69" i="40"/>
  <c r="W69" i="40"/>
  <c r="W70" i="40"/>
  <c r="C72" i="40"/>
  <c r="D72" i="40"/>
  <c r="E72" i="40"/>
  <c r="F72" i="40"/>
  <c r="G72" i="40"/>
  <c r="H72" i="40"/>
  <c r="I72" i="40"/>
  <c r="J72" i="40"/>
  <c r="K72" i="40"/>
  <c r="L72" i="40"/>
  <c r="M72" i="40"/>
  <c r="N72" i="40"/>
  <c r="O72" i="40"/>
  <c r="P72" i="40"/>
  <c r="Q72" i="40"/>
  <c r="R72" i="40"/>
  <c r="S72" i="40"/>
  <c r="T72" i="40"/>
  <c r="U72" i="40"/>
  <c r="V72" i="40"/>
  <c r="W72" i="40"/>
  <c r="C74" i="40"/>
  <c r="D74" i="40"/>
  <c r="E74" i="40"/>
  <c r="F74" i="40"/>
  <c r="G74" i="40"/>
  <c r="H74" i="40"/>
  <c r="I74" i="40"/>
  <c r="J74" i="40"/>
  <c r="K74" i="40"/>
  <c r="L74" i="40"/>
  <c r="M74" i="40"/>
  <c r="N74" i="40"/>
  <c r="O74" i="40"/>
  <c r="P74" i="40"/>
  <c r="Q74" i="40"/>
  <c r="R74" i="40"/>
  <c r="S74" i="40"/>
  <c r="T74" i="40"/>
  <c r="U74" i="40"/>
  <c r="V74" i="40"/>
  <c r="W74" i="40"/>
  <c r="C79" i="40"/>
  <c r="D79" i="40"/>
  <c r="E79" i="40"/>
  <c r="F79" i="40"/>
  <c r="G79" i="40"/>
  <c r="H79" i="40"/>
  <c r="I79" i="40"/>
  <c r="J79" i="40"/>
  <c r="K79" i="40"/>
  <c r="L79" i="40"/>
  <c r="M79" i="40"/>
  <c r="N79" i="40"/>
  <c r="O79" i="40"/>
  <c r="P79" i="40"/>
  <c r="Q79" i="40"/>
  <c r="R79" i="40"/>
  <c r="S79" i="40"/>
  <c r="T79" i="40"/>
  <c r="U79" i="40"/>
  <c r="V79" i="40"/>
  <c r="W79" i="40"/>
  <c r="X79" i="40"/>
  <c r="Y79" i="40"/>
  <c r="C81" i="40"/>
  <c r="D81" i="40"/>
  <c r="E81" i="40"/>
  <c r="F81" i="40"/>
  <c r="G81" i="40"/>
  <c r="H81" i="40"/>
  <c r="I81" i="40"/>
  <c r="J81" i="40"/>
  <c r="K81" i="40"/>
  <c r="L81" i="40"/>
  <c r="M81" i="40"/>
  <c r="N81" i="40"/>
  <c r="O81" i="40"/>
  <c r="P81" i="40"/>
  <c r="Q81" i="40"/>
  <c r="R81" i="40"/>
  <c r="S81" i="40"/>
  <c r="T81" i="40"/>
  <c r="U81" i="40"/>
  <c r="V81" i="40"/>
  <c r="W81" i="40"/>
  <c r="X81" i="40"/>
  <c r="Y81" i="40"/>
  <c r="C82" i="40"/>
  <c r="D82" i="40"/>
  <c r="E82" i="40"/>
  <c r="F82" i="40"/>
  <c r="G82" i="40"/>
  <c r="H82" i="40"/>
  <c r="I82" i="40"/>
  <c r="J82" i="40"/>
  <c r="K82" i="40"/>
  <c r="L82" i="40"/>
  <c r="M82" i="40"/>
  <c r="N82" i="40"/>
  <c r="O82" i="40"/>
  <c r="P82" i="40"/>
  <c r="Q82" i="40"/>
  <c r="R82" i="40"/>
  <c r="S82" i="40"/>
  <c r="T82" i="40"/>
  <c r="U82" i="40"/>
  <c r="V82" i="40"/>
  <c r="W82" i="40"/>
  <c r="X82" i="40"/>
  <c r="Y82" i="40"/>
  <c r="C122" i="40"/>
  <c r="D122" i="40"/>
  <c r="E122" i="40"/>
  <c r="C123" i="40"/>
  <c r="D123" i="40"/>
  <c r="E123" i="40"/>
  <c r="C125" i="40"/>
  <c r="D125" i="40"/>
  <c r="E125" i="40"/>
  <c r="D126" i="40"/>
  <c r="E126" i="40"/>
  <c r="D127" i="40"/>
  <c r="E127" i="40"/>
  <c r="D128" i="40"/>
  <c r="E128" i="40"/>
  <c r="D129" i="40"/>
  <c r="E129" i="40"/>
  <c r="D130" i="40"/>
  <c r="E130" i="40"/>
  <c r="D131" i="40"/>
  <c r="E131" i="40"/>
  <c r="D133" i="40"/>
  <c r="E133" i="40"/>
  <c r="C134" i="40"/>
  <c r="E134" i="40"/>
  <c r="A1" i="23"/>
  <c r="A1" i="4"/>
  <c r="E3" i="15"/>
  <c r="A6" i="15"/>
  <c r="I6" i="15"/>
  <c r="J6" i="15"/>
  <c r="H7" i="15"/>
  <c r="I7" i="15"/>
  <c r="J7" i="15"/>
  <c r="H8" i="15"/>
  <c r="I8" i="15"/>
  <c r="J8" i="15"/>
  <c r="H9" i="15"/>
  <c r="I9" i="15"/>
  <c r="J9" i="15"/>
  <c r="H10" i="15"/>
  <c r="I10" i="15"/>
  <c r="J10" i="15"/>
  <c r="H11" i="15"/>
  <c r="I11" i="15"/>
  <c r="J11" i="15"/>
  <c r="H12" i="15"/>
  <c r="I12" i="15"/>
  <c r="J12" i="15"/>
  <c r="I13" i="15"/>
  <c r="J13" i="15"/>
  <c r="I14" i="15"/>
  <c r="J14" i="15"/>
  <c r="H15" i="15"/>
  <c r="I15" i="15"/>
  <c r="J15" i="15"/>
  <c r="H16" i="15"/>
  <c r="I16" i="15"/>
  <c r="J16" i="15"/>
  <c r="H18" i="15"/>
  <c r="I18" i="15"/>
  <c r="J18" i="15"/>
  <c r="H22" i="15"/>
  <c r="I22" i="15"/>
  <c r="J22" i="15"/>
  <c r="A24" i="15"/>
  <c r="I24" i="15"/>
  <c r="H25" i="15"/>
  <c r="I25" i="15"/>
  <c r="I26" i="15"/>
  <c r="H28" i="15"/>
  <c r="I28" i="15"/>
  <c r="J28" i="15"/>
  <c r="A30" i="15"/>
  <c r="I30" i="15"/>
  <c r="A31" i="15"/>
  <c r="I31" i="15"/>
  <c r="J31" i="15"/>
  <c r="H32" i="15"/>
  <c r="I32" i="15"/>
  <c r="H33" i="15"/>
  <c r="I33" i="15"/>
  <c r="H35" i="15"/>
  <c r="I35" i="15"/>
  <c r="J35" i="15"/>
  <c r="A37" i="15"/>
  <c r="H37" i="15"/>
  <c r="I37" i="15"/>
  <c r="I38" i="15"/>
  <c r="I39" i="15"/>
  <c r="J39" i="15"/>
  <c r="I40" i="15"/>
  <c r="I41" i="15"/>
  <c r="H43" i="15"/>
  <c r="I43" i="15"/>
  <c r="J43" i="15"/>
  <c r="A45" i="15"/>
  <c r="I45" i="15"/>
  <c r="I46" i="15"/>
  <c r="A47" i="15"/>
  <c r="I47" i="15"/>
  <c r="A48" i="15"/>
  <c r="I48" i="15"/>
  <c r="A49" i="15"/>
  <c r="I49" i="15"/>
  <c r="A50" i="15"/>
  <c r="I50" i="15"/>
  <c r="A51" i="15"/>
  <c r="I51" i="15"/>
  <c r="A52" i="15"/>
  <c r="I52" i="15"/>
  <c r="I53" i="15"/>
  <c r="I54" i="15"/>
  <c r="A55" i="15"/>
  <c r="H55" i="15"/>
  <c r="I55" i="15"/>
  <c r="J55" i="15"/>
  <c r="H56" i="15"/>
  <c r="I56" i="15"/>
  <c r="J56" i="15"/>
  <c r="A57" i="15"/>
  <c r="H57" i="15"/>
  <c r="I57" i="15"/>
  <c r="J57" i="15"/>
  <c r="A58" i="15"/>
  <c r="H58" i="15"/>
  <c r="I58" i="15"/>
  <c r="J58" i="15"/>
  <c r="A59" i="15"/>
  <c r="H59" i="15"/>
  <c r="I59" i="15"/>
  <c r="J59" i="15"/>
  <c r="H60" i="15"/>
  <c r="I60" i="15"/>
  <c r="J60" i="15"/>
  <c r="A61" i="15"/>
  <c r="I61" i="15"/>
  <c r="J61" i="15"/>
  <c r="I62" i="15"/>
  <c r="J62" i="15"/>
  <c r="I63" i="15"/>
  <c r="I64" i="15"/>
  <c r="I65" i="15"/>
  <c r="A66" i="15"/>
  <c r="I66" i="15"/>
  <c r="I68" i="15"/>
  <c r="J68" i="15"/>
  <c r="H70" i="15"/>
  <c r="I70" i="15"/>
  <c r="A71" i="15"/>
  <c r="H71" i="15"/>
  <c r="I71" i="15"/>
  <c r="A72" i="15"/>
  <c r="H72" i="15"/>
  <c r="I72" i="15"/>
  <c r="A73" i="15"/>
  <c r="H73" i="15"/>
  <c r="I73" i="15"/>
  <c r="A74" i="15"/>
  <c r="I74" i="15"/>
  <c r="A75" i="15"/>
  <c r="H75" i="15"/>
  <c r="I75" i="15"/>
  <c r="H76" i="15"/>
  <c r="I76" i="15"/>
  <c r="H77" i="15"/>
  <c r="I77" i="15"/>
  <c r="H79" i="15"/>
  <c r="I79" i="15"/>
  <c r="J79" i="15"/>
  <c r="A81" i="15"/>
  <c r="H81" i="15"/>
  <c r="I81" i="15"/>
  <c r="A82" i="15"/>
  <c r="H82" i="15"/>
  <c r="I82" i="15"/>
  <c r="A83" i="15"/>
  <c r="H83" i="15"/>
  <c r="I83" i="15"/>
  <c r="H85" i="15"/>
  <c r="I85" i="15"/>
  <c r="J85" i="15"/>
  <c r="A87" i="15"/>
  <c r="I87" i="15"/>
  <c r="A88" i="15"/>
  <c r="H88" i="15"/>
  <c r="I88" i="15"/>
  <c r="A89" i="15"/>
  <c r="H89" i="15"/>
  <c r="I89" i="15"/>
  <c r="A90" i="15"/>
  <c r="I90" i="15"/>
  <c r="I91" i="15"/>
  <c r="H93" i="15"/>
  <c r="I93" i="15"/>
  <c r="J93" i="15"/>
  <c r="A95" i="15"/>
  <c r="H95" i="15"/>
  <c r="I95" i="15"/>
  <c r="J95" i="15"/>
  <c r="A96" i="15"/>
  <c r="A97" i="15"/>
  <c r="A98" i="15"/>
  <c r="A99" i="15"/>
  <c r="A100" i="15"/>
  <c r="A101" i="15"/>
  <c r="A102" i="15"/>
  <c r="A103" i="15"/>
  <c r="A104" i="15"/>
  <c r="A105" i="15"/>
  <c r="A106" i="15"/>
  <c r="A107" i="15"/>
  <c r="A108" i="15"/>
  <c r="H110" i="15"/>
  <c r="I110" i="15"/>
  <c r="J110" i="15"/>
  <c r="A112" i="15"/>
  <c r="H112" i="15"/>
  <c r="I112" i="15"/>
  <c r="J112" i="15"/>
  <c r="A113" i="15"/>
  <c r="H113" i="15"/>
  <c r="I113" i="15"/>
  <c r="J113" i="15"/>
  <c r="H114" i="15"/>
  <c r="I114" i="15"/>
  <c r="J114" i="15"/>
  <c r="A115" i="15"/>
  <c r="I115" i="15"/>
  <c r="J115" i="15"/>
  <c r="A116" i="15"/>
  <c r="I116" i="15"/>
  <c r="J116" i="15"/>
  <c r="A117" i="15"/>
  <c r="H117" i="15"/>
  <c r="I117" i="15"/>
  <c r="J117" i="15"/>
  <c r="A118" i="15"/>
  <c r="I118" i="15"/>
  <c r="J118" i="15"/>
  <c r="A119" i="15"/>
  <c r="I119" i="15"/>
  <c r="J119" i="15"/>
  <c r="A120" i="15"/>
  <c r="H120" i="15"/>
  <c r="I120" i="15"/>
  <c r="J120" i="15"/>
  <c r="A121" i="15"/>
  <c r="H121" i="15"/>
  <c r="I121" i="15"/>
  <c r="J121" i="15"/>
  <c r="A122" i="15"/>
  <c r="H122" i="15"/>
  <c r="I122" i="15"/>
  <c r="J122" i="15"/>
  <c r="A123" i="15"/>
  <c r="H123" i="15"/>
  <c r="I123" i="15"/>
  <c r="J123" i="15"/>
  <c r="H124" i="15"/>
  <c r="I124" i="15"/>
  <c r="J124" i="15"/>
  <c r="I125" i="15"/>
  <c r="J125" i="15"/>
  <c r="A126" i="15"/>
  <c r="I126" i="15"/>
  <c r="J126" i="15"/>
  <c r="A127" i="15"/>
  <c r="I127" i="15"/>
  <c r="J127" i="15"/>
  <c r="H128" i="15"/>
  <c r="I128" i="15"/>
  <c r="J128" i="15"/>
  <c r="A129" i="15"/>
  <c r="H130" i="15"/>
  <c r="I130" i="15"/>
  <c r="J130" i="15"/>
  <c r="A132" i="15"/>
  <c r="I132" i="15"/>
  <c r="H133" i="15"/>
  <c r="I133" i="15"/>
  <c r="J133" i="15"/>
  <c r="A135" i="15"/>
  <c r="I135" i="15"/>
  <c r="A136" i="15"/>
  <c r="H137" i="15"/>
  <c r="I137" i="15"/>
  <c r="J137" i="15"/>
  <c r="H139" i="15"/>
  <c r="I139" i="15"/>
  <c r="J139" i="15"/>
  <c r="I140" i="15"/>
  <c r="H141" i="15"/>
  <c r="I141" i="15"/>
  <c r="J141" i="15"/>
  <c r="I142" i="15"/>
  <c r="H144" i="15"/>
  <c r="I144" i="15"/>
  <c r="J144" i="15"/>
  <c r="A146" i="15"/>
  <c r="H146" i="15"/>
  <c r="I146" i="15"/>
  <c r="A147" i="15"/>
  <c r="H147" i="15"/>
  <c r="I147" i="15"/>
  <c r="A148" i="15"/>
  <c r="H148" i="15"/>
  <c r="I148" i="15"/>
  <c r="A149" i="15"/>
  <c r="H149" i="15"/>
  <c r="I149" i="15"/>
  <c r="A150" i="15"/>
  <c r="H150" i="15"/>
  <c r="I150" i="15"/>
  <c r="A151" i="15"/>
  <c r="I151" i="15"/>
  <c r="A152" i="15"/>
  <c r="H152" i="15"/>
  <c r="I152" i="15"/>
  <c r="A153" i="15"/>
  <c r="H153" i="15"/>
  <c r="I153" i="15"/>
  <c r="A154" i="15"/>
  <c r="H154" i="15"/>
  <c r="I154" i="15"/>
  <c r="A155" i="15"/>
  <c r="H155" i="15"/>
  <c r="I155" i="15"/>
  <c r="A156" i="15"/>
  <c r="H156" i="15"/>
  <c r="I156" i="15"/>
  <c r="A157" i="15"/>
  <c r="I157" i="15"/>
  <c r="A158" i="15"/>
  <c r="H158" i="15"/>
  <c r="I158" i="15"/>
  <c r="A159" i="15"/>
  <c r="H159" i="15"/>
  <c r="I159" i="15"/>
  <c r="A160" i="15"/>
  <c r="H160" i="15"/>
  <c r="I160" i="15"/>
  <c r="I161" i="15"/>
  <c r="J161" i="15"/>
  <c r="H162" i="15"/>
  <c r="I162" i="15"/>
  <c r="I163" i="15"/>
  <c r="J163" i="15"/>
  <c r="I164" i="15"/>
  <c r="J164" i="15"/>
  <c r="A165" i="15"/>
  <c r="I165" i="15"/>
  <c r="A166" i="15"/>
  <c r="I166" i="15"/>
  <c r="A167" i="15"/>
  <c r="I167" i="15"/>
  <c r="A168" i="15"/>
  <c r="H168" i="15"/>
  <c r="I168" i="15"/>
  <c r="A169" i="15"/>
  <c r="H169" i="15"/>
  <c r="I169" i="15"/>
  <c r="A170" i="15"/>
  <c r="I170" i="15"/>
  <c r="A171" i="15"/>
  <c r="I171" i="15"/>
  <c r="A172" i="15"/>
  <c r="H172" i="15"/>
  <c r="I172" i="15"/>
  <c r="A173" i="15"/>
  <c r="I173" i="15"/>
  <c r="I174" i="15"/>
  <c r="A175" i="15"/>
  <c r="H175" i="15"/>
  <c r="I175" i="15"/>
  <c r="I176" i="15"/>
  <c r="I177" i="15"/>
  <c r="H178" i="15"/>
  <c r="I178" i="15"/>
  <c r="H180" i="15"/>
  <c r="I180" i="15"/>
  <c r="J180" i="15"/>
  <c r="A182" i="15"/>
  <c r="I182" i="15"/>
  <c r="I183" i="15"/>
  <c r="H184" i="15"/>
  <c r="I184" i="15"/>
  <c r="I185" i="15"/>
  <c r="I186" i="15"/>
  <c r="I187" i="15"/>
  <c r="J187" i="15"/>
  <c r="I188" i="15"/>
  <c r="J188" i="15"/>
  <c r="H192" i="15"/>
  <c r="I192" i="15"/>
  <c r="H194" i="15"/>
  <c r="I194" i="15"/>
  <c r="J194" i="15"/>
  <c r="A196" i="15"/>
  <c r="I196" i="15"/>
  <c r="A197" i="15"/>
  <c r="H197" i="15"/>
  <c r="I197" i="15"/>
  <c r="I198" i="15"/>
  <c r="A199" i="15"/>
  <c r="I199" i="15"/>
  <c r="H200" i="15"/>
  <c r="I200" i="15"/>
  <c r="I201" i="15"/>
  <c r="A202" i="15"/>
  <c r="I202" i="15"/>
  <c r="J202" i="15"/>
  <c r="H203" i="15"/>
  <c r="I203" i="15"/>
  <c r="I204" i="15"/>
  <c r="I205" i="15"/>
  <c r="I206" i="15"/>
  <c r="I207" i="15"/>
  <c r="A208" i="15"/>
  <c r="I208" i="15"/>
  <c r="I209" i="15"/>
  <c r="I210" i="15"/>
  <c r="H211" i="15"/>
  <c r="I211" i="15"/>
  <c r="H213" i="15"/>
  <c r="I213" i="15"/>
  <c r="J213" i="15"/>
  <c r="A215" i="15"/>
  <c r="I215" i="15"/>
  <c r="A216" i="15"/>
  <c r="I216" i="15"/>
  <c r="A217" i="15"/>
  <c r="I217" i="15"/>
  <c r="A218" i="15"/>
  <c r="I218" i="15"/>
  <c r="H219" i="15"/>
  <c r="I219" i="15"/>
  <c r="H221" i="15"/>
  <c r="I221" i="15"/>
  <c r="J221" i="15"/>
  <c r="A223" i="15"/>
  <c r="I223" i="15"/>
  <c r="J223" i="15"/>
  <c r="I224" i="15"/>
  <c r="I225" i="15"/>
  <c r="I226" i="15"/>
  <c r="J226" i="15"/>
  <c r="H227" i="15"/>
  <c r="I227" i="15"/>
  <c r="J227" i="15"/>
  <c r="H229" i="15"/>
  <c r="I229" i="15"/>
  <c r="J229" i="15"/>
  <c r="A231" i="15"/>
  <c r="H231" i="15"/>
  <c r="A232" i="15"/>
  <c r="H232" i="15"/>
  <c r="A233" i="15"/>
  <c r="A234" i="15"/>
  <c r="H234" i="15"/>
  <c r="A236" i="15"/>
  <c r="A237" i="15"/>
  <c r="A238" i="15"/>
  <c r="A243" i="15"/>
  <c r="A248" i="15"/>
  <c r="H248" i="15"/>
  <c r="A249" i="15"/>
  <c r="A254" i="15"/>
  <c r="A260" i="15"/>
  <c r="A274" i="15"/>
  <c r="H277" i="15"/>
  <c r="H279" i="15"/>
  <c r="H281" i="15"/>
  <c r="I281" i="15"/>
  <c r="I282" i="15"/>
  <c r="I283" i="15"/>
  <c r="H285" i="15"/>
  <c r="I285" i="15"/>
  <c r="J285" i="15"/>
  <c r="I287" i="15"/>
  <c r="J287" i="15"/>
  <c r="I288" i="15"/>
  <c r="I289" i="15"/>
  <c r="H291" i="15"/>
  <c r="I291" i="15"/>
  <c r="J291" i="15"/>
  <c r="H293" i="15"/>
  <c r="I293" i="15"/>
  <c r="J293" i="15"/>
  <c r="H294" i="15"/>
  <c r="H297" i="15"/>
  <c r="I297" i="15"/>
  <c r="J297" i="15"/>
  <c r="I299" i="15"/>
  <c r="J299" i="15"/>
  <c r="H301" i="15"/>
  <c r="I301" i="15"/>
  <c r="J301" i="15"/>
  <c r="I303" i="15"/>
  <c r="J303" i="15"/>
  <c r="H305" i="15"/>
  <c r="I305" i="15"/>
  <c r="J305" i="15"/>
  <c r="H307" i="15"/>
  <c r="I307" i="15"/>
  <c r="J307" i="15"/>
  <c r="J308" i="15"/>
  <c r="H309" i="15"/>
  <c r="I309" i="15"/>
  <c r="J309" i="15"/>
  <c r="H310" i="15"/>
  <c r="I310" i="15"/>
  <c r="J310" i="15"/>
  <c r="H311" i="15"/>
  <c r="I311" i="15"/>
  <c r="J311" i="15"/>
  <c r="A1" i="8"/>
  <c r="D6" i="8"/>
  <c r="D8" i="8"/>
  <c r="D11" i="8"/>
  <c r="D12" i="8"/>
  <c r="D13" i="8"/>
  <c r="D14" i="8"/>
  <c r="D15" i="8"/>
  <c r="D16" i="8"/>
  <c r="D17" i="8"/>
  <c r="D18" i="8"/>
  <c r="D19" i="8"/>
  <c r="D20" i="8"/>
  <c r="D21" i="8"/>
  <c r="D22" i="8"/>
  <c r="D24" i="8"/>
  <c r="D28" i="8"/>
  <c r="D29" i="8"/>
  <c r="D30" i="8"/>
  <c r="D31" i="8"/>
  <c r="D32" i="8"/>
  <c r="D33" i="8"/>
  <c r="D34" i="8"/>
  <c r="D36" i="8"/>
  <c r="D38" i="8"/>
  <c r="D43" i="8"/>
  <c r="D45" i="8"/>
  <c r="D48" i="8"/>
  <c r="D51" i="8"/>
  <c r="D52" i="8"/>
  <c r="A1" i="9"/>
  <c r="I5" i="9"/>
  <c r="J5" i="9"/>
  <c r="K5" i="9"/>
  <c r="L5" i="9"/>
  <c r="M5" i="9"/>
  <c r="N5" i="9"/>
  <c r="O5" i="9"/>
  <c r="P5" i="9"/>
  <c r="Q5" i="9"/>
  <c r="R5" i="9"/>
  <c r="S5" i="9"/>
  <c r="A1" i="42"/>
  <c r="E9" i="42"/>
  <c r="F9" i="42"/>
  <c r="E10" i="42"/>
  <c r="F10" i="42"/>
  <c r="E11" i="42"/>
  <c r="F11" i="42"/>
  <c r="E12" i="42"/>
  <c r="F12" i="42"/>
  <c r="E13" i="42"/>
  <c r="F13" i="42"/>
  <c r="E14" i="42"/>
  <c r="F14" i="42"/>
  <c r="E15" i="42"/>
  <c r="F15" i="42"/>
  <c r="B19" i="42"/>
  <c r="F19" i="42"/>
  <c r="A29" i="42"/>
  <c r="B29" i="42"/>
  <c r="A30" i="42"/>
  <c r="B30" i="42"/>
  <c r="A31" i="42"/>
  <c r="B31" i="42"/>
  <c r="A32" i="42"/>
  <c r="B32" i="42"/>
  <c r="A33" i="42"/>
  <c r="B33" i="42"/>
  <c r="A34" i="42"/>
  <c r="B34" i="42"/>
  <c r="A35" i="42"/>
  <c r="B35" i="42"/>
  <c r="A46" i="42"/>
  <c r="B46" i="42"/>
  <c r="C46" i="42"/>
  <c r="D46" i="42"/>
  <c r="E46" i="42"/>
  <c r="F46" i="42"/>
  <c r="G46" i="42"/>
  <c r="H46" i="42"/>
  <c r="I46" i="42"/>
  <c r="J46" i="42"/>
  <c r="A47" i="42"/>
  <c r="B47" i="42"/>
  <c r="C47" i="42"/>
  <c r="D47" i="42"/>
  <c r="E47" i="42"/>
  <c r="F47" i="42"/>
  <c r="G47" i="42"/>
  <c r="H47" i="42"/>
  <c r="I47" i="42"/>
  <c r="J47" i="42"/>
  <c r="A48" i="42"/>
  <c r="C48" i="42"/>
  <c r="D48" i="42"/>
  <c r="E48" i="42"/>
  <c r="F48" i="42"/>
  <c r="G48" i="42"/>
  <c r="H48" i="42"/>
  <c r="I48" i="42"/>
  <c r="J48" i="42"/>
  <c r="A49" i="42"/>
  <c r="C49" i="42"/>
  <c r="D49" i="42"/>
  <c r="E49" i="42"/>
  <c r="F49" i="42"/>
  <c r="G49" i="42"/>
  <c r="H49" i="42"/>
  <c r="I49" i="42"/>
  <c r="J49" i="42"/>
  <c r="A51" i="42"/>
  <c r="B51" i="42"/>
  <c r="C51" i="42"/>
  <c r="D51" i="42"/>
  <c r="E51" i="42"/>
  <c r="F51" i="42"/>
  <c r="G51" i="42"/>
  <c r="H51" i="42"/>
  <c r="I51" i="42"/>
  <c r="J51" i="42"/>
  <c r="A52" i="42"/>
  <c r="B52" i="42"/>
  <c r="C52" i="42"/>
  <c r="D52" i="42"/>
  <c r="E52" i="42"/>
  <c r="F52" i="42"/>
  <c r="G52" i="42"/>
  <c r="H52" i="42"/>
  <c r="I52" i="42"/>
  <c r="J52" i="42"/>
  <c r="A53" i="42"/>
  <c r="C53" i="42"/>
  <c r="D53" i="42"/>
  <c r="E53" i="42"/>
  <c r="F53" i="42"/>
  <c r="G53" i="42"/>
  <c r="H53" i="42"/>
  <c r="I53" i="42"/>
  <c r="J53" i="42"/>
  <c r="C62" i="42"/>
  <c r="D62" i="42"/>
  <c r="E62" i="42"/>
  <c r="G62" i="42"/>
  <c r="A64" i="42"/>
  <c r="B64" i="42"/>
  <c r="C64" i="42"/>
  <c r="D64" i="42"/>
  <c r="E64" i="42"/>
  <c r="F64" i="42"/>
  <c r="G64" i="42"/>
  <c r="H64" i="42"/>
  <c r="I64" i="42"/>
  <c r="A65" i="42"/>
  <c r="B65" i="42"/>
  <c r="C65" i="42"/>
  <c r="D65" i="42"/>
  <c r="E65" i="42"/>
  <c r="F65" i="42"/>
  <c r="G65" i="42"/>
  <c r="H65" i="42"/>
  <c r="I65" i="42"/>
  <c r="A66" i="42"/>
  <c r="B66" i="42"/>
  <c r="C66" i="42"/>
  <c r="D66" i="42"/>
  <c r="E66" i="42"/>
  <c r="F66" i="42"/>
  <c r="G66" i="42"/>
  <c r="H66" i="42"/>
  <c r="I66" i="42"/>
  <c r="A67" i="42"/>
  <c r="B67" i="42"/>
  <c r="C67" i="42"/>
  <c r="D67" i="42"/>
  <c r="E67" i="42"/>
  <c r="F67" i="42"/>
  <c r="G67" i="42"/>
  <c r="H67" i="42"/>
  <c r="I67" i="42"/>
  <c r="A69" i="42"/>
  <c r="B69" i="42"/>
  <c r="C69" i="42"/>
  <c r="D69" i="42"/>
  <c r="E69" i="42"/>
  <c r="F69" i="42"/>
  <c r="G69" i="42"/>
  <c r="H69" i="42"/>
  <c r="I69" i="42"/>
  <c r="A70" i="42"/>
  <c r="B70" i="42"/>
  <c r="C70" i="42"/>
  <c r="D70" i="42"/>
  <c r="E70" i="42"/>
  <c r="F70" i="42"/>
  <c r="G70" i="42"/>
  <c r="H70" i="42"/>
  <c r="I70" i="42"/>
  <c r="A71" i="42"/>
  <c r="B71" i="42"/>
  <c r="C71" i="42"/>
  <c r="D71" i="42"/>
  <c r="E71" i="42"/>
  <c r="F71" i="42"/>
  <c r="G71" i="42"/>
  <c r="H71" i="42"/>
  <c r="I71" i="42"/>
  <c r="A3" i="25"/>
  <c r="E5" i="25"/>
  <c r="F5" i="25"/>
  <c r="D6" i="25"/>
  <c r="F6" i="25"/>
  <c r="D7" i="25"/>
  <c r="F7" i="25"/>
  <c r="D8" i="25"/>
  <c r="E8" i="25"/>
  <c r="F8" i="25"/>
  <c r="D9" i="25"/>
  <c r="E9" i="25"/>
  <c r="F9" i="25"/>
  <c r="D13" i="25"/>
  <c r="E13" i="25"/>
  <c r="F13" i="25"/>
  <c r="E14" i="25"/>
  <c r="F14" i="25"/>
  <c r="D15" i="25"/>
  <c r="E15" i="25"/>
  <c r="F15" i="25"/>
  <c r="D16" i="25"/>
  <c r="E16" i="25"/>
  <c r="F16" i="25"/>
  <c r="D17" i="25"/>
  <c r="E17" i="25"/>
  <c r="F17" i="25"/>
  <c r="D18" i="25"/>
  <c r="E18" i="25"/>
  <c r="F18" i="25"/>
  <c r="E19" i="25"/>
  <c r="F19" i="25"/>
  <c r="E20" i="25"/>
  <c r="F20" i="25"/>
  <c r="E21" i="25"/>
  <c r="F21" i="25"/>
  <c r="D23" i="25"/>
  <c r="E23" i="25"/>
  <c r="F23" i="25"/>
  <c r="E24" i="25"/>
  <c r="F24" i="25"/>
  <c r="E25" i="25"/>
  <c r="F25" i="25"/>
  <c r="C26" i="25"/>
  <c r="C27" i="25"/>
  <c r="E27" i="25"/>
  <c r="F27" i="25"/>
  <c r="D28" i="25"/>
  <c r="E29" i="25"/>
  <c r="F29" i="25"/>
  <c r="E30" i="25"/>
  <c r="F30" i="25"/>
  <c r="E31" i="25"/>
  <c r="F31" i="25"/>
  <c r="E32" i="25"/>
  <c r="F32" i="25"/>
  <c r="F33" i="25"/>
  <c r="F34" i="25"/>
  <c r="E35" i="25"/>
  <c r="F35" i="25"/>
  <c r="E36" i="25"/>
  <c r="F36" i="25"/>
  <c r="E37" i="25"/>
  <c r="F37" i="25"/>
  <c r="D39" i="25"/>
  <c r="E39" i="25"/>
  <c r="F39" i="25"/>
  <c r="E40" i="25"/>
  <c r="F40" i="25"/>
  <c r="E41" i="25"/>
  <c r="F41" i="25"/>
  <c r="E42" i="25"/>
  <c r="F42" i="25"/>
  <c r="E43" i="25"/>
  <c r="F43" i="25"/>
  <c r="E44" i="25"/>
  <c r="F44" i="25"/>
  <c r="F45" i="25"/>
  <c r="F46" i="25"/>
  <c r="D48" i="25"/>
  <c r="E48" i="25"/>
  <c r="F48" i="25"/>
  <c r="E49" i="25"/>
  <c r="F49" i="25"/>
  <c r="F50" i="25"/>
  <c r="E51" i="25"/>
  <c r="F51" i="25"/>
  <c r="E52" i="25"/>
  <c r="F52" i="25"/>
  <c r="F53" i="25"/>
  <c r="D59" i="25"/>
  <c r="E59" i="25"/>
  <c r="F59" i="25"/>
  <c r="E60" i="25"/>
  <c r="F60" i="25"/>
  <c r="E61" i="25"/>
  <c r="F61" i="25"/>
  <c r="E62" i="25"/>
  <c r="F62" i="25"/>
  <c r="E63" i="25"/>
  <c r="F63" i="25"/>
  <c r="E64" i="25"/>
  <c r="F64" i="25"/>
  <c r="F65" i="25"/>
  <c r="F66" i="25"/>
  <c r="E67" i="25"/>
  <c r="F67" i="25"/>
  <c r="F68" i="25"/>
  <c r="F69" i="25"/>
  <c r="E70" i="25"/>
  <c r="F70" i="25"/>
  <c r="E71" i="25"/>
  <c r="F71" i="25"/>
  <c r="E72" i="25"/>
  <c r="F72" i="25"/>
  <c r="E73" i="25"/>
  <c r="F73" i="25"/>
  <c r="E74" i="25"/>
  <c r="F74" i="25"/>
  <c r="E75" i="25"/>
  <c r="F75" i="25"/>
  <c r="E76" i="25"/>
  <c r="F76" i="25"/>
  <c r="E77" i="25"/>
  <c r="F77" i="25"/>
  <c r="E78" i="25"/>
  <c r="F78" i="25"/>
  <c r="E79" i="25"/>
  <c r="F79" i="25"/>
  <c r="E80" i="25"/>
  <c r="F80" i="25"/>
  <c r="E81" i="25"/>
  <c r="F81" i="25"/>
  <c r="E82" i="25"/>
  <c r="F82" i="25"/>
  <c r="E83" i="25"/>
  <c r="F83" i="25"/>
  <c r="E84" i="25"/>
  <c r="F84" i="25"/>
  <c r="E85" i="25"/>
  <c r="F85" i="25"/>
  <c r="D86" i="25"/>
  <c r="E86" i="25"/>
  <c r="F86" i="25"/>
  <c r="D87" i="25"/>
  <c r="D89" i="25"/>
  <c r="E89" i="25"/>
  <c r="F89" i="25"/>
  <c r="E90" i="25"/>
  <c r="F90" i="25"/>
  <c r="D91" i="25"/>
  <c r="E91" i="25"/>
  <c r="F91" i="25"/>
  <c r="E92" i="25"/>
  <c r="F92" i="25"/>
  <c r="D93" i="25"/>
  <c r="D95" i="25"/>
  <c r="E95" i="25"/>
  <c r="F95" i="25"/>
  <c r="F97" i="25"/>
  <c r="D99" i="25"/>
  <c r="E99" i="25"/>
  <c r="F99" i="25"/>
  <c r="E100" i="25"/>
  <c r="F100" i="25"/>
  <c r="E101" i="25"/>
  <c r="F101" i="25"/>
  <c r="E102" i="25"/>
  <c r="F102" i="25"/>
  <c r="E103" i="25"/>
  <c r="F103" i="25"/>
  <c r="E104" i="25"/>
  <c r="F104" i="25"/>
  <c r="E105" i="25"/>
  <c r="F105" i="25"/>
  <c r="E106" i="25"/>
  <c r="F106" i="25"/>
  <c r="E107" i="25"/>
  <c r="F107" i="25"/>
  <c r="E108" i="25"/>
  <c r="F108" i="25"/>
  <c r="D109" i="25"/>
  <c r="E109" i="25"/>
  <c r="F109" i="25"/>
  <c r="E110" i="25"/>
  <c r="F110" i="25"/>
  <c r="F111" i="25"/>
  <c r="E112" i="25"/>
  <c r="F112" i="25"/>
  <c r="E113" i="25"/>
  <c r="F113" i="25"/>
  <c r="E114" i="25"/>
  <c r="F114" i="25"/>
  <c r="D116" i="25"/>
  <c r="E116" i="25"/>
  <c r="F116" i="25"/>
  <c r="E117" i="25"/>
  <c r="F117" i="25"/>
  <c r="E118" i="25"/>
  <c r="F118" i="25"/>
  <c r="E119" i="25"/>
  <c r="F119" i="25"/>
  <c r="D120" i="25"/>
  <c r="E120" i="25"/>
  <c r="F120" i="25"/>
  <c r="E121" i="25"/>
  <c r="F121" i="25"/>
  <c r="D122" i="25"/>
  <c r="E122" i="25"/>
  <c r="F122" i="25"/>
  <c r="E123" i="25"/>
  <c r="F123" i="25"/>
  <c r="E124" i="25"/>
  <c r="F124" i="25"/>
  <c r="E125" i="25"/>
  <c r="F125" i="25"/>
  <c r="E126" i="25"/>
  <c r="F126" i="25"/>
  <c r="E127" i="25"/>
  <c r="F127" i="25"/>
  <c r="E128" i="25"/>
  <c r="F128" i="25"/>
  <c r="D129" i="25"/>
  <c r="E129" i="25"/>
  <c r="F129" i="25"/>
  <c r="E130" i="25"/>
  <c r="F130" i="25"/>
  <c r="D131" i="25"/>
  <c r="E131" i="25"/>
  <c r="F131" i="25"/>
  <c r="E132" i="25"/>
  <c r="F132" i="25"/>
  <c r="D133" i="25"/>
  <c r="E133" i="25"/>
  <c r="F133" i="25"/>
  <c r="D139" i="25"/>
  <c r="E139" i="25"/>
  <c r="F139" i="25"/>
  <c r="E140" i="25"/>
  <c r="F140" i="25"/>
  <c r="E141" i="25"/>
  <c r="F141" i="25"/>
  <c r="E142" i="25"/>
  <c r="F142" i="25"/>
  <c r="E143" i="25"/>
  <c r="F143" i="25"/>
  <c r="E144" i="25"/>
  <c r="F144" i="25"/>
  <c r="E145" i="25"/>
  <c r="F145" i="25"/>
  <c r="E146" i="25"/>
  <c r="F146" i="25"/>
  <c r="E147" i="25"/>
  <c r="F147" i="25"/>
  <c r="D149" i="25"/>
  <c r="E149" i="25"/>
  <c r="F149" i="25"/>
  <c r="E150" i="25"/>
  <c r="F150" i="25"/>
  <c r="E151" i="25"/>
  <c r="F151" i="25"/>
  <c r="E152" i="25"/>
  <c r="F152" i="25"/>
  <c r="E153" i="25"/>
  <c r="F153" i="25"/>
  <c r="E154" i="25"/>
  <c r="F154" i="25"/>
  <c r="E155" i="25"/>
  <c r="F155" i="25"/>
  <c r="E156" i="25"/>
  <c r="F156" i="25"/>
  <c r="E157" i="25"/>
  <c r="F157" i="25"/>
  <c r="D158" i="25"/>
  <c r="E158" i="25"/>
  <c r="F158" i="25"/>
  <c r="E159" i="25"/>
  <c r="F159" i="25"/>
  <c r="E160" i="25"/>
  <c r="F160" i="25"/>
  <c r="E161" i="25"/>
  <c r="F161" i="25"/>
  <c r="E162" i="25"/>
  <c r="F162" i="25"/>
  <c r="E163" i="25"/>
  <c r="F163" i="25"/>
  <c r="E164" i="25"/>
  <c r="F164" i="25"/>
  <c r="E165" i="25"/>
  <c r="F165" i="25"/>
  <c r="E166" i="25"/>
  <c r="F166" i="25"/>
  <c r="D168" i="25"/>
  <c r="E168" i="25"/>
  <c r="F168" i="25"/>
  <c r="E169" i="25"/>
  <c r="F169" i="25"/>
  <c r="E170" i="25"/>
  <c r="F170" i="25"/>
  <c r="E171" i="25"/>
  <c r="F171" i="25"/>
  <c r="E172" i="25"/>
  <c r="F172" i="25"/>
  <c r="E173" i="25"/>
  <c r="F173" i="25"/>
  <c r="E174" i="25"/>
  <c r="F174" i="25"/>
  <c r="E175" i="25"/>
  <c r="F175" i="25"/>
  <c r="E176" i="25"/>
  <c r="F176" i="25"/>
  <c r="E177" i="25"/>
  <c r="F177" i="25"/>
  <c r="D179" i="25"/>
  <c r="E179" i="25"/>
  <c r="F179" i="25"/>
  <c r="E180" i="25"/>
  <c r="F180" i="25"/>
  <c r="E181" i="25"/>
  <c r="F181" i="25"/>
  <c r="E182" i="25"/>
  <c r="F182" i="25"/>
  <c r="E183" i="25"/>
  <c r="F183" i="25"/>
  <c r="E184" i="25"/>
  <c r="F184" i="25"/>
  <c r="E185" i="25"/>
  <c r="F185" i="25"/>
  <c r="E186" i="25"/>
  <c r="F186" i="25"/>
  <c r="D187" i="25"/>
  <c r="E187" i="25"/>
  <c r="F187" i="25"/>
  <c r="E189" i="25"/>
  <c r="F189" i="25"/>
  <c r="F190" i="25"/>
  <c r="E191" i="25"/>
  <c r="F191" i="25"/>
  <c r="E192" i="25"/>
  <c r="F192" i="25"/>
  <c r="E193" i="25"/>
  <c r="F193" i="25"/>
  <c r="E194" i="25"/>
  <c r="F194" i="25"/>
  <c r="E195" i="25"/>
  <c r="F195" i="25"/>
  <c r="E196" i="25"/>
  <c r="F196" i="25"/>
  <c r="E197" i="25"/>
  <c r="F197" i="25"/>
  <c r="D199" i="25"/>
  <c r="E199" i="25"/>
  <c r="F199" i="25"/>
  <c r="E200" i="25"/>
  <c r="F200" i="25"/>
  <c r="E201" i="25"/>
  <c r="F201" i="25"/>
  <c r="E202" i="25"/>
  <c r="F202" i="25"/>
  <c r="E203" i="25"/>
  <c r="F203" i="25"/>
  <c r="E204" i="25"/>
  <c r="F204" i="25"/>
  <c r="E205" i="25"/>
  <c r="F205" i="25"/>
  <c r="E206" i="25"/>
  <c r="F206" i="25"/>
  <c r="E207" i="25"/>
  <c r="F207" i="25"/>
  <c r="D208" i="25"/>
  <c r="E208" i="25"/>
  <c r="F208" i="25"/>
  <c r="D210" i="25"/>
  <c r="E210" i="25"/>
  <c r="F210" i="25"/>
  <c r="F211" i="25"/>
  <c r="E212" i="25"/>
  <c r="F212" i="25"/>
  <c r="D220" i="25"/>
  <c r="E220" i="25"/>
  <c r="F220" i="25"/>
  <c r="F221" i="25"/>
  <c r="E222" i="25"/>
  <c r="F222" i="25"/>
  <c r="E223" i="25"/>
  <c r="F223" i="25"/>
  <c r="E224" i="25"/>
  <c r="F224" i="25"/>
  <c r="E225" i="25"/>
  <c r="F225" i="25"/>
  <c r="E226" i="25"/>
  <c r="F226" i="25"/>
  <c r="D230" i="25"/>
  <c r="E230" i="25"/>
  <c r="F230" i="25"/>
  <c r="E231" i="25"/>
  <c r="F231" i="25"/>
  <c r="E232" i="25"/>
  <c r="F232" i="25"/>
  <c r="E233" i="25"/>
  <c r="F233" i="25"/>
  <c r="D234" i="25"/>
  <c r="E234" i="25"/>
  <c r="F234" i="25"/>
  <c r="D235" i="25"/>
  <c r="E235" i="25"/>
  <c r="F235" i="25"/>
  <c r="E236" i="25"/>
  <c r="F236" i="25"/>
  <c r="E237" i="25"/>
  <c r="F237" i="25"/>
  <c r="E238" i="25"/>
  <c r="F238" i="25"/>
  <c r="E239" i="25"/>
  <c r="F239" i="25"/>
  <c r="E240" i="25"/>
  <c r="F240" i="25"/>
  <c r="E241" i="25"/>
  <c r="F241" i="25"/>
  <c r="E242" i="25"/>
  <c r="F242" i="25"/>
  <c r="E243" i="25"/>
  <c r="F243" i="25"/>
  <c r="E244" i="25"/>
  <c r="F244" i="25"/>
  <c r="E245" i="25"/>
  <c r="F245" i="25"/>
  <c r="E246" i="25"/>
  <c r="F246" i="25"/>
  <c r="E247" i="25"/>
  <c r="F247" i="25"/>
  <c r="D249" i="25"/>
  <c r="E249" i="25"/>
  <c r="F249" i="25"/>
  <c r="E250" i="25"/>
  <c r="F250" i="25"/>
  <c r="D251" i="25"/>
  <c r="F251" i="25"/>
  <c r="D258" i="25"/>
  <c r="E258" i="25"/>
  <c r="F258" i="25"/>
  <c r="E259" i="25"/>
  <c r="F259" i="25"/>
  <c r="F260" i="25"/>
  <c r="D261" i="25"/>
  <c r="D264" i="25"/>
  <c r="E264" i="25"/>
  <c r="F264" i="25"/>
  <c r="E265" i="25"/>
  <c r="F265" i="25"/>
  <c r="D266" i="25"/>
  <c r="E266" i="25"/>
  <c r="F266" i="25"/>
  <c r="E267" i="25"/>
  <c r="F267" i="25"/>
  <c r="E268" i="25"/>
  <c r="F268" i="25"/>
  <c r="D272" i="25"/>
  <c r="E272" i="25"/>
  <c r="F272" i="25"/>
  <c r="E273" i="25"/>
  <c r="F273" i="25"/>
  <c r="E274" i="25"/>
  <c r="F274" i="25"/>
  <c r="D276" i="25"/>
  <c r="E276" i="25"/>
  <c r="F276" i="25"/>
  <c r="E277" i="25"/>
  <c r="F277" i="25"/>
  <c r="D278" i="25"/>
  <c r="E278" i="25"/>
  <c r="F278" i="25"/>
  <c r="E279" i="25"/>
  <c r="F279" i="25"/>
  <c r="D281" i="25"/>
  <c r="E281" i="25"/>
  <c r="F281" i="25"/>
  <c r="E282" i="25"/>
  <c r="F282" i="25"/>
  <c r="E284" i="25"/>
  <c r="F284" i="25"/>
  <c r="F285" i="25"/>
  <c r="E286" i="25"/>
  <c r="F286" i="25"/>
  <c r="F287" i="25"/>
  <c r="E288" i="25"/>
  <c r="F288" i="25"/>
  <c r="F289" i="25"/>
  <c r="E290" i="25"/>
  <c r="F290" i="25"/>
  <c r="F291" i="25"/>
  <c r="E292" i="25"/>
  <c r="F292" i="25"/>
  <c r="D295" i="25"/>
  <c r="E295" i="25"/>
  <c r="F295" i="25"/>
  <c r="A1" i="16"/>
  <c r="E8" i="16"/>
  <c r="B11" i="16"/>
  <c r="E11" i="16"/>
  <c r="B12" i="16"/>
  <c r="B13" i="16"/>
  <c r="E13" i="16"/>
  <c r="B14" i="16"/>
  <c r="E14" i="16"/>
  <c r="B15" i="16"/>
  <c r="E15" i="16"/>
  <c r="B16" i="16"/>
  <c r="E16" i="16"/>
  <c r="B17" i="16"/>
  <c r="E17" i="16"/>
  <c r="B18" i="16"/>
  <c r="B19" i="16"/>
  <c r="E19" i="16"/>
  <c r="B20" i="16"/>
  <c r="E22" i="16"/>
  <c r="E24" i="16"/>
  <c r="B28" i="16"/>
  <c r="E28" i="16"/>
  <c r="B29" i="16"/>
  <c r="E29" i="16"/>
  <c r="B30" i="16"/>
  <c r="B31" i="16"/>
  <c r="B32" i="16"/>
  <c r="B33" i="16"/>
  <c r="E33" i="16"/>
  <c r="B34" i="16"/>
  <c r="E34" i="16"/>
  <c r="B35" i="16"/>
  <c r="E35" i="16"/>
  <c r="B36" i="16"/>
  <c r="E36" i="16"/>
  <c r="B37" i="16"/>
  <c r="E37" i="16"/>
  <c r="B38" i="16"/>
  <c r="E38" i="16"/>
  <c r="E40" i="16"/>
  <c r="E42" i="16"/>
  <c r="E44" i="16"/>
  <c r="D47" i="16"/>
  <c r="G47" i="16"/>
  <c r="G48" i="16"/>
  <c r="G50" i="16"/>
  <c r="G51" i="16"/>
  <c r="G59" i="16"/>
  <c r="G60" i="16"/>
  <c r="D63" i="16"/>
  <c r="D64" i="16"/>
  <c r="A1" i="41"/>
  <c r="A11" i="41"/>
  <c r="C11" i="41"/>
  <c r="D11" i="41"/>
  <c r="G11" i="41"/>
  <c r="A12" i="41"/>
  <c r="C12" i="41"/>
  <c r="D12" i="41"/>
  <c r="E12" i="41"/>
  <c r="G12" i="41"/>
  <c r="A13" i="41"/>
  <c r="C13" i="41"/>
  <c r="D13" i="41"/>
  <c r="G13" i="41"/>
  <c r="A14" i="41"/>
  <c r="C14" i="41"/>
  <c r="D14" i="41"/>
  <c r="E14" i="41"/>
  <c r="F14" i="41"/>
  <c r="G14" i="41"/>
  <c r="C15" i="41"/>
  <c r="G15" i="41"/>
  <c r="H15" i="41"/>
  <c r="B17" i="41"/>
  <c r="G17" i="41"/>
  <c r="C27" i="41"/>
  <c r="D27" i="41"/>
  <c r="F27" i="41"/>
  <c r="G27" i="41"/>
  <c r="H27" i="41"/>
  <c r="A29" i="41"/>
  <c r="C29" i="41"/>
  <c r="D29" i="41"/>
  <c r="E29" i="41"/>
  <c r="F29" i="41"/>
  <c r="G29" i="41"/>
  <c r="H29" i="41"/>
  <c r="I29" i="41"/>
  <c r="J29" i="41"/>
  <c r="K29" i="41"/>
  <c r="A30" i="41"/>
  <c r="B30" i="41"/>
  <c r="C30" i="41"/>
  <c r="D30" i="41"/>
  <c r="E30" i="41"/>
  <c r="F30" i="41"/>
  <c r="G30" i="41"/>
  <c r="H30" i="41"/>
  <c r="I30" i="41"/>
  <c r="J30" i="41"/>
  <c r="A31" i="41"/>
  <c r="B31" i="41"/>
  <c r="C31" i="41"/>
  <c r="D31" i="41"/>
  <c r="E31" i="41"/>
  <c r="F31" i="41"/>
  <c r="G31" i="41"/>
  <c r="H31" i="41"/>
  <c r="I31" i="41"/>
  <c r="J31" i="41"/>
  <c r="K31" i="41"/>
  <c r="A32" i="41"/>
  <c r="B32" i="41"/>
  <c r="C32" i="41"/>
  <c r="D32" i="41"/>
  <c r="E32" i="41"/>
  <c r="F32" i="41"/>
  <c r="G32" i="41"/>
  <c r="H32" i="41"/>
  <c r="I32" i="41"/>
  <c r="J32" i="41"/>
  <c r="K32" i="41"/>
  <c r="A33" i="41"/>
  <c r="A34" i="41"/>
  <c r="B34" i="41"/>
  <c r="C34" i="41"/>
  <c r="D34" i="41"/>
  <c r="E34" i="41"/>
  <c r="F34" i="41"/>
  <c r="G34" i="41"/>
  <c r="H34" i="41"/>
  <c r="I34" i="41"/>
  <c r="J34" i="41"/>
  <c r="A35" i="41"/>
  <c r="B35" i="41"/>
  <c r="C35" i="41"/>
  <c r="D35" i="41"/>
  <c r="E35" i="41"/>
  <c r="F35" i="41"/>
  <c r="G35" i="41"/>
  <c r="H35" i="41"/>
  <c r="I35" i="41"/>
  <c r="J35" i="41"/>
  <c r="A36" i="41"/>
  <c r="B36" i="41"/>
  <c r="C36" i="41"/>
  <c r="D36" i="41"/>
  <c r="E36" i="41"/>
  <c r="F36" i="41"/>
  <c r="G36" i="41"/>
  <c r="H36" i="41"/>
  <c r="I36" i="41"/>
  <c r="J36" i="41"/>
  <c r="K36" i="41"/>
  <c r="C46" i="41"/>
  <c r="D46" i="41"/>
  <c r="E46" i="41"/>
  <c r="F46" i="41"/>
  <c r="G46" i="41"/>
  <c r="H46" i="41"/>
  <c r="A48" i="41"/>
  <c r="A49" i="41"/>
  <c r="A50" i="41"/>
  <c r="A51" i="41"/>
  <c r="B51" i="41"/>
  <c r="C51" i="41"/>
  <c r="D51" i="41"/>
  <c r="E51" i="41"/>
  <c r="F51" i="41"/>
  <c r="G51" i="41"/>
  <c r="H51" i="41"/>
  <c r="I51" i="41"/>
  <c r="A52" i="41"/>
  <c r="A53" i="41"/>
  <c r="A54" i="41"/>
  <c r="B54" i="41"/>
  <c r="C54" i="41"/>
  <c r="D54" i="41"/>
  <c r="E54" i="41"/>
  <c r="F54" i="41"/>
  <c r="G54" i="41"/>
  <c r="H54" i="41"/>
  <c r="I54" i="41"/>
  <c r="A55" i="41"/>
  <c r="B55" i="41"/>
  <c r="C55" i="41"/>
  <c r="D55" i="41"/>
  <c r="E55" i="41"/>
  <c r="F55" i="41"/>
  <c r="G55" i="41"/>
  <c r="H55" i="41"/>
  <c r="I55" i="41"/>
  <c r="A65" i="41"/>
  <c r="G66" i="41"/>
  <c r="C95" i="41"/>
  <c r="D95" i="41"/>
  <c r="E95" i="41"/>
  <c r="F95" i="41"/>
  <c r="G95" i="41"/>
  <c r="C96" i="41"/>
  <c r="D96" i="41"/>
  <c r="E96" i="41"/>
  <c r="F96" i="41"/>
  <c r="G96" i="41"/>
  <c r="C99" i="41"/>
  <c r="D99" i="41"/>
  <c r="E99" i="41"/>
  <c r="F99" i="41"/>
  <c r="G99" i="41"/>
  <c r="C100" i="41"/>
  <c r="D100" i="41"/>
  <c r="C102" i="41"/>
  <c r="D102" i="41"/>
  <c r="F102" i="41"/>
  <c r="G102" i="41"/>
  <c r="D103" i="41"/>
  <c r="C105" i="41"/>
  <c r="D105" i="41"/>
  <c r="G105" i="41"/>
  <c r="C108" i="41"/>
  <c r="D108" i="41"/>
  <c r="E108" i="41"/>
  <c r="C111" i="41"/>
  <c r="D111" i="41"/>
  <c r="E111" i="41"/>
  <c r="F111" i="41"/>
  <c r="C112" i="41"/>
  <c r="C115" i="41"/>
  <c r="D115" i="41"/>
  <c r="E115" i="41"/>
  <c r="F115" i="41"/>
  <c r="G115" i="41"/>
  <c r="C116" i="41"/>
  <c r="D116" i="41"/>
  <c r="E116" i="41"/>
  <c r="F116" i="41"/>
  <c r="G116" i="41"/>
  <c r="C118" i="41"/>
  <c r="D118" i="41"/>
  <c r="E118" i="41"/>
  <c r="F118" i="41"/>
  <c r="G118" i="41"/>
  <c r="C119" i="41"/>
  <c r="D119" i="41"/>
  <c r="E119" i="41"/>
  <c r="F119" i="41"/>
  <c r="G119" i="41"/>
  <c r="C121" i="41"/>
  <c r="D121" i="41"/>
  <c r="C122" i="41"/>
  <c r="D122" i="41"/>
  <c r="E122" i="41"/>
  <c r="F122" i="41"/>
  <c r="G122" i="41"/>
  <c r="C124" i="41"/>
  <c r="D124" i="41"/>
  <c r="E124" i="41"/>
  <c r="F124" i="41"/>
  <c r="G124" i="41"/>
  <c r="C125" i="41"/>
  <c r="D125" i="41"/>
  <c r="E125" i="41"/>
  <c r="F125" i="41"/>
  <c r="G125" i="41"/>
  <c r="A1" i="14"/>
  <c r="B8" i="14"/>
  <c r="D8" i="14"/>
  <c r="B9" i="14"/>
  <c r="D9" i="14"/>
  <c r="D10" i="14"/>
  <c r="D11" i="14"/>
  <c r="D12" i="14"/>
  <c r="D13" i="14"/>
  <c r="D15" i="14"/>
  <c r="D16" i="14"/>
  <c r="D17" i="14"/>
  <c r="D20" i="14"/>
  <c r="D22" i="14"/>
  <c r="D24" i="14"/>
  <c r="A1" i="50"/>
  <c r="B11" i="50"/>
  <c r="B12" i="50"/>
  <c r="B13" i="50"/>
  <c r="B14" i="50"/>
  <c r="B15" i="50"/>
  <c r="B16" i="50"/>
  <c r="B17" i="50"/>
  <c r="C28" i="50"/>
  <c r="D28" i="50"/>
  <c r="E28" i="50"/>
  <c r="F28" i="50"/>
  <c r="G28" i="50"/>
  <c r="H28" i="50"/>
  <c r="I28" i="50"/>
  <c r="J28" i="50"/>
  <c r="K28" i="50"/>
  <c r="L28" i="50"/>
  <c r="O28" i="50"/>
  <c r="P28" i="50"/>
  <c r="S28" i="50"/>
  <c r="B29" i="50"/>
  <c r="C29" i="50"/>
  <c r="D29" i="50"/>
  <c r="E29" i="50"/>
  <c r="F29" i="50"/>
  <c r="G29" i="50"/>
  <c r="H29" i="50"/>
  <c r="I29" i="50"/>
  <c r="K29" i="50"/>
  <c r="L29" i="50"/>
  <c r="O29" i="50"/>
  <c r="P29" i="50"/>
  <c r="S29" i="50"/>
  <c r="C30" i="50"/>
  <c r="D30" i="50"/>
  <c r="E30" i="50"/>
  <c r="F30" i="50"/>
  <c r="G30" i="50"/>
  <c r="H30" i="50"/>
  <c r="I30" i="50"/>
  <c r="K30" i="50"/>
  <c r="L30" i="50"/>
  <c r="O30" i="50"/>
  <c r="P30" i="50"/>
  <c r="S30" i="50"/>
  <c r="C31" i="50"/>
  <c r="D31" i="50"/>
  <c r="E31" i="50"/>
  <c r="F31" i="50"/>
  <c r="G31" i="50"/>
  <c r="H31" i="50"/>
  <c r="I31" i="50"/>
  <c r="J31" i="50"/>
  <c r="K31" i="50"/>
  <c r="L31" i="50"/>
  <c r="O31" i="50"/>
  <c r="P31" i="50"/>
  <c r="S31" i="50"/>
  <c r="B33" i="50"/>
  <c r="C33" i="50"/>
  <c r="D33" i="50"/>
  <c r="E33" i="50"/>
  <c r="F33" i="50"/>
  <c r="G33" i="50"/>
  <c r="H33" i="50"/>
  <c r="I33" i="50"/>
  <c r="J33" i="50"/>
  <c r="K33" i="50"/>
  <c r="L33" i="50"/>
  <c r="P33" i="50"/>
  <c r="S33" i="50"/>
  <c r="C34" i="50"/>
  <c r="D34" i="50"/>
  <c r="E34" i="50"/>
  <c r="F34" i="50"/>
  <c r="G34" i="50"/>
  <c r="H34" i="50"/>
  <c r="I34" i="50"/>
  <c r="J34" i="50"/>
  <c r="K34" i="50"/>
  <c r="L34" i="50"/>
  <c r="O34" i="50"/>
  <c r="P34" i="50"/>
  <c r="S34" i="50"/>
  <c r="C35" i="50"/>
  <c r="D35" i="50"/>
  <c r="E35" i="50"/>
  <c r="F35" i="50"/>
  <c r="G35" i="50"/>
  <c r="H35" i="50"/>
  <c r="I35" i="50"/>
  <c r="J35" i="50"/>
  <c r="K35" i="50"/>
  <c r="L35" i="50"/>
  <c r="O35" i="50"/>
  <c r="P35" i="50"/>
  <c r="R35" i="50"/>
  <c r="S35" i="50"/>
  <c r="C44" i="50"/>
  <c r="D44" i="50"/>
  <c r="E44" i="50"/>
  <c r="G44" i="50"/>
  <c r="H44" i="50"/>
  <c r="A46" i="50"/>
  <c r="B46" i="50"/>
  <c r="C46" i="50"/>
  <c r="D46" i="50"/>
  <c r="E46" i="50"/>
  <c r="F46" i="50"/>
  <c r="G46" i="50"/>
  <c r="H46" i="50"/>
  <c r="K46" i="50"/>
  <c r="P46" i="50"/>
  <c r="S46" i="50"/>
  <c r="A47" i="50"/>
  <c r="B47" i="50"/>
  <c r="C47" i="50"/>
  <c r="D47" i="50"/>
  <c r="E47" i="50"/>
  <c r="F47" i="50"/>
  <c r="G47" i="50"/>
  <c r="H47" i="50"/>
  <c r="K47" i="50"/>
  <c r="P47" i="50"/>
  <c r="S47" i="50"/>
  <c r="A48" i="50"/>
  <c r="B48" i="50"/>
  <c r="C48" i="50"/>
  <c r="D48" i="50"/>
  <c r="E48" i="50"/>
  <c r="F48" i="50"/>
  <c r="G48" i="50"/>
  <c r="H48" i="50"/>
  <c r="K48" i="50"/>
  <c r="P48" i="50"/>
  <c r="S48" i="50"/>
  <c r="A49" i="50"/>
  <c r="B49" i="50"/>
  <c r="C49" i="50"/>
  <c r="D49" i="50"/>
  <c r="E49" i="50"/>
  <c r="F49" i="50"/>
  <c r="G49" i="50"/>
  <c r="H49" i="50"/>
  <c r="K49" i="50"/>
  <c r="P49" i="50"/>
  <c r="S49" i="50"/>
  <c r="A51" i="50"/>
  <c r="B51" i="50"/>
  <c r="C51" i="50"/>
  <c r="D51" i="50"/>
  <c r="E51" i="50"/>
  <c r="F51" i="50"/>
  <c r="G51" i="50"/>
  <c r="H51" i="50"/>
  <c r="K51" i="50"/>
  <c r="P51" i="50"/>
  <c r="S51" i="50"/>
  <c r="A52" i="50"/>
  <c r="B52" i="50"/>
  <c r="C52" i="50"/>
  <c r="D52" i="50"/>
  <c r="E52" i="50"/>
  <c r="F52" i="50"/>
  <c r="G52" i="50"/>
  <c r="H52" i="50"/>
  <c r="K52" i="50"/>
  <c r="O52" i="50"/>
  <c r="P52" i="50"/>
  <c r="R52" i="50"/>
  <c r="S52" i="50"/>
  <c r="A53" i="50"/>
  <c r="B53" i="50"/>
  <c r="C53" i="50"/>
  <c r="D53" i="50"/>
  <c r="E53" i="50"/>
  <c r="F53" i="50"/>
  <c r="G53" i="50"/>
  <c r="H53" i="50"/>
  <c r="K53" i="50"/>
  <c r="O53" i="50"/>
  <c r="P53" i="50"/>
  <c r="R53" i="50"/>
  <c r="S53" i="50"/>
  <c r="P55" i="50"/>
  <c r="S55" i="50"/>
  <c r="A1" i="49"/>
  <c r="A1" i="44"/>
  <c r="E8" i="44"/>
  <c r="F8" i="44"/>
  <c r="I8" i="44"/>
  <c r="K8" i="44"/>
  <c r="M8" i="44"/>
  <c r="N8" i="44"/>
  <c r="E9" i="44"/>
  <c r="F9" i="44"/>
  <c r="I9" i="44"/>
  <c r="K9" i="44"/>
  <c r="M9" i="44"/>
  <c r="N9" i="44"/>
  <c r="E10" i="44"/>
  <c r="F10" i="44"/>
  <c r="I10" i="44"/>
  <c r="K10" i="44"/>
  <c r="M10" i="44"/>
  <c r="N10" i="44"/>
  <c r="E11" i="44"/>
  <c r="F11" i="44"/>
  <c r="I11" i="44"/>
  <c r="K11" i="44"/>
  <c r="M11" i="44"/>
  <c r="N11" i="44"/>
  <c r="E12" i="44"/>
  <c r="F12" i="44"/>
  <c r="I12" i="44"/>
  <c r="K12" i="44"/>
  <c r="M12" i="44"/>
  <c r="N12" i="44"/>
  <c r="E13" i="44"/>
  <c r="F13" i="44"/>
  <c r="I13" i="44"/>
  <c r="K13" i="44"/>
  <c r="M13" i="44"/>
  <c r="N13" i="44"/>
  <c r="E14" i="44"/>
  <c r="F14" i="44"/>
  <c r="I14" i="44"/>
  <c r="K14" i="44"/>
  <c r="M14" i="44"/>
  <c r="N14" i="44"/>
  <c r="E15" i="44"/>
  <c r="F15" i="44"/>
  <c r="I15" i="44"/>
  <c r="K15" i="44"/>
  <c r="M15" i="44"/>
  <c r="N15" i="44"/>
  <c r="E16" i="44"/>
  <c r="F16" i="44"/>
  <c r="I16" i="44"/>
  <c r="K16" i="44"/>
  <c r="M16" i="44"/>
  <c r="N16" i="44"/>
  <c r="E17" i="44"/>
  <c r="F17" i="44"/>
  <c r="I17" i="44"/>
  <c r="K17" i="44"/>
  <c r="M17" i="44"/>
  <c r="N17" i="44"/>
  <c r="E24" i="44"/>
  <c r="E28" i="44"/>
  <c r="D14" i="2"/>
  <c r="G32" i="2"/>
  <c r="G33" i="2"/>
  <c r="A1" i="5"/>
  <c r="J4" i="5"/>
  <c r="E8" i="5"/>
  <c r="E9" i="5"/>
  <c r="E13" i="5"/>
  <c r="F13" i="5"/>
  <c r="E15" i="5"/>
  <c r="E17" i="5"/>
  <c r="E19" i="5"/>
  <c r="E21" i="5"/>
  <c r="F21" i="5"/>
  <c r="F23" i="5"/>
  <c r="E25" i="5"/>
  <c r="F25" i="5"/>
  <c r="E33" i="5"/>
  <c r="F33" i="5"/>
  <c r="F34" i="5"/>
  <c r="E35" i="5"/>
  <c r="G35" i="5"/>
  <c r="J35" i="5"/>
  <c r="E36" i="5"/>
  <c r="F36" i="5"/>
  <c r="G36" i="5"/>
  <c r="J36" i="5"/>
  <c r="F37" i="5"/>
  <c r="J37" i="5"/>
  <c r="J38" i="5"/>
  <c r="E39" i="5"/>
  <c r="J39" i="5"/>
  <c r="E42" i="5"/>
  <c r="G42" i="5"/>
  <c r="E43" i="5"/>
  <c r="E44" i="5"/>
  <c r="G44" i="5"/>
  <c r="F47" i="5"/>
  <c r="G47" i="5"/>
  <c r="E49" i="5"/>
  <c r="F49" i="5"/>
  <c r="G49" i="5"/>
  <c r="E51" i="5"/>
  <c r="F51" i="5"/>
  <c r="G51" i="5"/>
  <c r="F58" i="5"/>
  <c r="A1" i="1"/>
  <c r="G7" i="1"/>
  <c r="B10" i="1"/>
  <c r="G10" i="1"/>
  <c r="B11" i="1"/>
  <c r="G11" i="1"/>
  <c r="B12" i="1"/>
  <c r="G12" i="1"/>
  <c r="A14" i="1"/>
  <c r="G14" i="1"/>
  <c r="A16" i="1"/>
  <c r="G16" i="1"/>
  <c r="B17" i="1"/>
  <c r="G17" i="1"/>
  <c r="B18" i="1"/>
  <c r="G18" i="1"/>
  <c r="B19" i="1"/>
  <c r="G19" i="1"/>
  <c r="B20" i="1"/>
  <c r="G20" i="1"/>
  <c r="B21" i="1"/>
  <c r="G21" i="1"/>
  <c r="B22" i="1"/>
  <c r="G22" i="1"/>
  <c r="A24" i="1"/>
  <c r="G24" i="1"/>
  <c r="B25" i="1"/>
  <c r="G25" i="1"/>
  <c r="B26" i="1"/>
  <c r="G26" i="1"/>
  <c r="B29" i="1"/>
  <c r="G29" i="1"/>
  <c r="G30" i="1"/>
  <c r="A1" i="47"/>
  <c r="C27" i="47"/>
  <c r="F34" i="47"/>
  <c r="F35" i="47"/>
  <c r="F36" i="47"/>
  <c r="F38" i="47"/>
  <c r="F39" i="47"/>
  <c r="F47" i="47"/>
  <c r="F49" i="47"/>
  <c r="F51" i="47"/>
  <c r="A1" i="43"/>
  <c r="I8" i="43"/>
  <c r="I9" i="43"/>
  <c r="I10" i="43"/>
  <c r="I14" i="43"/>
  <c r="I15" i="43"/>
  <c r="I20" i="43"/>
  <c r="I29" i="43"/>
  <c r="I36" i="43"/>
  <c r="I41" i="43"/>
  <c r="I45" i="43"/>
  <c r="I47" i="43"/>
  <c r="I48" i="43"/>
  <c r="I49" i="43"/>
  <c r="I53" i="43"/>
  <c r="I64" i="43"/>
  <c r="K64" i="43"/>
  <c r="H69" i="43"/>
  <c r="H71" i="43"/>
</calcChain>
</file>

<file path=xl/comments1.xml><?xml version="1.0" encoding="utf-8"?>
<comments xmlns="http://schemas.openxmlformats.org/spreadsheetml/2006/main">
  <authors>
    <author>Tina Toburen</author>
  </authors>
  <commentList>
    <comment ref="B47" authorId="0" shapeId="0">
      <text>
        <r>
          <rPr>
            <b/>
            <sz val="8"/>
            <color indexed="81"/>
            <rFont val="Tahoma"/>
          </rPr>
          <t>Tina Toburen:</t>
        </r>
        <r>
          <rPr>
            <sz val="8"/>
            <color indexed="81"/>
            <rFont val="Tahoma"/>
          </rPr>
          <t xml:space="preserve">
Flagged for verification</t>
        </r>
      </text>
    </comment>
  </commentList>
</comments>
</file>

<file path=xl/comments2.xml><?xml version="1.0" encoding="utf-8"?>
<comments xmlns="http://schemas.openxmlformats.org/spreadsheetml/2006/main">
  <authors>
    <author>EI</author>
  </authors>
  <commentList>
    <comment ref="O28" authorId="0" shapeId="0">
      <text>
        <r>
          <rPr>
            <b/>
            <sz val="8"/>
            <color indexed="81"/>
            <rFont val="Tahoma"/>
          </rPr>
          <t>EI:</t>
        </r>
        <r>
          <rPr>
            <sz val="8"/>
            <color indexed="81"/>
            <rFont val="Tahoma"/>
          </rPr>
          <t xml:space="preserve">
7 months</t>
        </r>
      </text>
    </comment>
    <comment ref="O31" authorId="0" shapeId="0">
      <text>
        <r>
          <rPr>
            <b/>
            <sz val="8"/>
            <color indexed="81"/>
            <rFont val="Tahoma"/>
          </rPr>
          <t>EI:</t>
        </r>
        <r>
          <rPr>
            <sz val="8"/>
            <color indexed="81"/>
            <rFont val="Tahoma"/>
          </rPr>
          <t xml:space="preserve">
7 months</t>
        </r>
      </text>
    </comment>
    <comment ref="O34" authorId="0" shapeId="0">
      <text>
        <r>
          <rPr>
            <b/>
            <sz val="8"/>
            <color indexed="81"/>
            <rFont val="Tahoma"/>
          </rPr>
          <t>EI:</t>
        </r>
        <r>
          <rPr>
            <sz val="8"/>
            <color indexed="81"/>
            <rFont val="Tahoma"/>
          </rPr>
          <t xml:space="preserve">
3.5 months</t>
        </r>
      </text>
    </comment>
    <comment ref="N35" authorId="0" shapeId="0">
      <text>
        <r>
          <rPr>
            <b/>
            <sz val="8"/>
            <color indexed="81"/>
            <rFont val="Tahoma"/>
          </rPr>
          <t>EI:</t>
        </r>
        <r>
          <rPr>
            <sz val="8"/>
            <color indexed="81"/>
            <rFont val="Tahoma"/>
          </rPr>
          <t xml:space="preserve">
Assumed to be the contract staff added for the peak season only</t>
        </r>
      </text>
    </comment>
    <comment ref="O35" authorId="0" shapeId="0">
      <text>
        <r>
          <rPr>
            <b/>
            <sz val="8"/>
            <color indexed="81"/>
            <rFont val="Tahoma"/>
          </rPr>
          <t>EI:</t>
        </r>
        <r>
          <rPr>
            <sz val="8"/>
            <color indexed="81"/>
            <rFont val="Tahoma"/>
          </rPr>
          <t xml:space="preserve">
1 month during startup and commissioning. Assume this staff will stay during 1st summer peak.</t>
        </r>
      </text>
    </comment>
    <comment ref="R35" authorId="0" shapeId="0">
      <text>
        <r>
          <rPr>
            <b/>
            <sz val="8"/>
            <color indexed="81"/>
            <rFont val="Tahoma"/>
          </rPr>
          <t>EI:</t>
        </r>
        <r>
          <rPr>
            <sz val="8"/>
            <color indexed="81"/>
            <rFont val="Tahoma"/>
          </rPr>
          <t xml:space="preserve">
Duration of stay to be the required run season plus one additional week as transition time.</t>
        </r>
      </text>
    </comment>
    <comment ref="O52" authorId="0" shapeId="0">
      <text>
        <r>
          <rPr>
            <b/>
            <sz val="8"/>
            <color indexed="81"/>
            <rFont val="Tahoma"/>
          </rPr>
          <t>EI:</t>
        </r>
        <r>
          <rPr>
            <sz val="8"/>
            <color indexed="81"/>
            <rFont val="Tahoma"/>
          </rPr>
          <t xml:space="preserve">
20% overtime</t>
        </r>
      </text>
    </comment>
    <comment ref="R52" authorId="0" shapeId="0">
      <text>
        <r>
          <rPr>
            <b/>
            <sz val="8"/>
            <color indexed="81"/>
            <rFont val="Tahoma"/>
          </rPr>
          <t>EI:</t>
        </r>
        <r>
          <rPr>
            <sz val="8"/>
            <color indexed="81"/>
            <rFont val="Tahoma"/>
          </rPr>
          <t xml:space="preserve">
Assumes 5 x 12 hrs/week  during peak season and 40 hrs/week in off season</t>
        </r>
      </text>
    </comment>
    <comment ref="O53" authorId="0" shapeId="0">
      <text>
        <r>
          <rPr>
            <b/>
            <sz val="8"/>
            <color indexed="81"/>
            <rFont val="Tahoma"/>
          </rPr>
          <t>EI:</t>
        </r>
        <r>
          <rPr>
            <sz val="8"/>
            <color indexed="81"/>
            <rFont val="Tahoma"/>
          </rPr>
          <t xml:space="preserve">
20% overtime</t>
        </r>
      </text>
    </comment>
    <comment ref="R53" authorId="0" shapeId="0">
      <text>
        <r>
          <rPr>
            <b/>
            <sz val="8"/>
            <color indexed="81"/>
            <rFont val="Tahoma"/>
          </rPr>
          <t>EI:</t>
        </r>
        <r>
          <rPr>
            <sz val="8"/>
            <color indexed="81"/>
            <rFont val="Tahoma"/>
          </rPr>
          <t xml:space="preserve">
Assumes 5 x 8 hrs/week during run season with 5 hrs/week for overtime, shift turnover, etc.</t>
        </r>
      </text>
    </comment>
  </commentList>
</comments>
</file>

<file path=xl/sharedStrings.xml><?xml version="1.0" encoding="utf-8"?>
<sst xmlns="http://schemas.openxmlformats.org/spreadsheetml/2006/main" count="3313" uniqueCount="1527">
  <si>
    <t>Maintenance Expenses (excl. GT ScheduIed Maint. Program)</t>
  </si>
  <si>
    <t>Total Maintenance</t>
  </si>
  <si>
    <t>Total O&amp;M Expenses (excl GT Scheduled Maint. Program)</t>
  </si>
  <si>
    <t>GT Scheduled Maintenance Program</t>
  </si>
  <si>
    <t>20 yr total</t>
  </si>
  <si>
    <t>Annual Avg.</t>
  </si>
  <si>
    <t xml:space="preserve">Total Plant O&amp;M Expenses </t>
  </si>
  <si>
    <t>(US$)</t>
  </si>
  <si>
    <t>INDIVIDUAL</t>
  </si>
  <si>
    <t>TOTAL ANNUAL</t>
  </si>
  <si>
    <t>STAFFING</t>
  </si>
  <si>
    <t>GRADE</t>
  </si>
  <si>
    <t>SALARY</t>
  </si>
  <si>
    <t>SALARIES</t>
  </si>
  <si>
    <t>BENEFITS</t>
  </si>
  <si>
    <t>PLANT MANAGER</t>
  </si>
  <si>
    <t>PERMANENT CONTRACT LABOR:</t>
  </si>
  <si>
    <t>SECURITY GUARDS</t>
  </si>
  <si>
    <t>JANITORS</t>
  </si>
  <si>
    <t>GROUNDS/GENERAL WORKS</t>
  </si>
  <si>
    <t>WAREHOUSE HELPER</t>
  </si>
  <si>
    <t>O&amp;M TRAINEES/HELPERS</t>
  </si>
  <si>
    <t>CHEMIST HELPER</t>
  </si>
  <si>
    <t xml:space="preserve">TOTAL CONTRACT STAFF </t>
  </si>
  <si>
    <t>OPERATIONS SUPPORT (duration of 6 months after COD):</t>
  </si>
  <si>
    <t>PAYROLL,</t>
  </si>
  <si>
    <t>HOME LEAVE</t>
  </si>
  <si>
    <t>TAX PROT.</t>
  </si>
  <si>
    <t>PER DIEM</t>
  </si>
  <si>
    <t>TRAVEL</t>
  </si>
  <si>
    <t>OPNS SUPPORT PERSONNEL (EXPATS)</t>
  </si>
  <si>
    <t>TOTAL OPNS SUPPORT STAFF</t>
  </si>
  <si>
    <t>Sustaining Project Expenses</t>
  </si>
  <si>
    <t>Bonus</t>
  </si>
  <si>
    <r>
      <t>Retirement</t>
    </r>
    <r>
      <rPr>
        <b/>
        <vertAlign val="superscript"/>
        <sz val="10"/>
        <rFont val="Arial"/>
        <family val="2"/>
      </rPr>
      <t>1</t>
    </r>
  </si>
  <si>
    <t>of Base Salary</t>
  </si>
  <si>
    <r>
      <t>Allowances</t>
    </r>
    <r>
      <rPr>
        <b/>
        <vertAlign val="superscript"/>
        <sz val="10"/>
        <rFont val="Arial"/>
        <family val="2"/>
      </rPr>
      <t>3</t>
    </r>
  </si>
  <si>
    <t>note 2</t>
  </si>
  <si>
    <r>
      <t>Benefits in Kind</t>
    </r>
    <r>
      <rPr>
        <b/>
        <vertAlign val="superscript"/>
        <sz val="10"/>
        <rFont val="Arial"/>
        <family val="2"/>
      </rPr>
      <t>4</t>
    </r>
  </si>
  <si>
    <t xml:space="preserve">note 2 </t>
  </si>
  <si>
    <t>NOTES:</t>
  </si>
  <si>
    <t xml:space="preserve">1/ Includes PF (FICA) -12%; Gratuity (severence) - 4.3%; and Superannuation - 15%. </t>
  </si>
  <si>
    <t>2/ These vary based on annual salary. See Salary &amp; Benefits table for each pay grade.</t>
  </si>
  <si>
    <t>3/ Allowances include:</t>
  </si>
  <si>
    <t xml:space="preserve">    - Disturbance and House Rent (one year only)</t>
  </si>
  <si>
    <t xml:space="preserve">    - Housing Maintenance</t>
  </si>
  <si>
    <t xml:space="preserve">    - Conveyance (Transportation allowance for grade 4 and lower)</t>
  </si>
  <si>
    <t xml:space="preserve">    - Leave Travel Assistance</t>
  </si>
  <si>
    <t xml:space="preserve">    - Education</t>
  </si>
  <si>
    <t xml:space="preserve">    - Driver (grade 2 and higher)</t>
  </si>
  <si>
    <t>4/ Benefits in Kind include:</t>
  </si>
  <si>
    <t xml:space="preserve">    - Furniture</t>
  </si>
  <si>
    <t xml:space="preserve">    - Car lease, maintenance and fuel (grade 3 and higher)</t>
  </si>
  <si>
    <t xml:space="preserve">    - Interest free transportation loans (grades 4-6)</t>
  </si>
  <si>
    <t xml:space="preserve">    - Medical insurance premium</t>
  </si>
  <si>
    <t>5/ Housing &amp; Utilities Allowance not provided since a Housing Colony is assumed.</t>
  </si>
  <si>
    <t>6/ Source:  Salaries and benefits from Enron HR and DPC (late 1997).</t>
  </si>
  <si>
    <t>Payroll &amp; Burden (Total over project life)</t>
  </si>
  <si>
    <t>Basis: HR data</t>
  </si>
  <si>
    <t>Permanent Contract Labor</t>
  </si>
  <si>
    <t>Basis:</t>
  </si>
  <si>
    <t>Environmental Expense (including permit fees)</t>
  </si>
  <si>
    <t>Technical/Professional Services</t>
  </si>
  <si>
    <t>Safety Expense</t>
  </si>
  <si>
    <t>Routine Safety Supplies</t>
  </si>
  <si>
    <t>Buildings &amp; Grounds</t>
  </si>
  <si>
    <t>Other Rents</t>
  </si>
  <si>
    <t>Office Supplies &amp; Expenses</t>
  </si>
  <si>
    <t>Office Equipment Rental</t>
  </si>
  <si>
    <t>PC Maintenance</t>
  </si>
  <si>
    <t>Public relations/Contributions</t>
  </si>
  <si>
    <t>Operating Insurance</t>
  </si>
  <si>
    <t>Estimated by Risk Management</t>
  </si>
  <si>
    <t>It will add incrementally to the Enron Pool of insured assets</t>
  </si>
  <si>
    <t>Control Room/Laboratory Expenses</t>
  </si>
  <si>
    <t>5% of 75% of total</t>
  </si>
  <si>
    <t>Operations Support (Year 1 Only)</t>
  </si>
  <si>
    <t>2ea.x$350/dayx180days (includes benefits)</t>
  </si>
  <si>
    <t>2ea.x$3000 trip x 2trips (coach class)</t>
  </si>
  <si>
    <t>2 US Expats for 6 months to aid in Initial Operating Period</t>
  </si>
  <si>
    <t>Chemicals (including Water treatment &amp; Lubricity Agent)</t>
  </si>
  <si>
    <t>1 trip x $3M</t>
  </si>
  <si>
    <t>Pretreatment chemicals</t>
  </si>
  <si>
    <t>Chlorine/Clarifier/filter</t>
  </si>
  <si>
    <t>Resin Replacement</t>
  </si>
  <si>
    <t>Boiler/Steam Cycle Treatment</t>
  </si>
  <si>
    <t>Boiler Chemicals</t>
  </si>
  <si>
    <t>Desal RO Chemicals &amp; Membrane replacement</t>
  </si>
  <si>
    <t>Potable Water Chemicals</t>
  </si>
  <si>
    <t>Hydrogen (generators)</t>
  </si>
  <si>
    <t>Assume air cooled</t>
  </si>
  <si>
    <t>Waste Water Treatment</t>
  </si>
  <si>
    <t>Lubricity Agent</t>
  </si>
  <si>
    <t>n/a with PCFD installed on GTs (GTs will have PCFD per Dev. Eng.)</t>
  </si>
  <si>
    <t>taxes/freight</t>
  </si>
  <si>
    <t>10% of total</t>
  </si>
  <si>
    <t>Painting</t>
  </si>
  <si>
    <t>Paint &amp; Materials</t>
  </si>
  <si>
    <t>Scaled on MW</t>
  </si>
  <si>
    <t>75% factor for lower local labor</t>
  </si>
  <si>
    <t>Equipment rental</t>
  </si>
  <si>
    <t>Basis: 13 years of Actuals from Tx City/Clear Lake Plants</t>
  </si>
  <si>
    <t>Electrical &amp; Controls</t>
  </si>
  <si>
    <t>Repair Parts</t>
  </si>
  <si>
    <t>Outside Repair Services</t>
  </si>
  <si>
    <t>Water Treatment System</t>
  </si>
  <si>
    <t>Scaled on Steam Turbine MW</t>
  </si>
  <si>
    <t>$140,000 x (1ST/1ST) x (178MW/140MW)^0.6 x 75%</t>
  </si>
  <si>
    <t>Permanent Employee Cost Breakdown</t>
  </si>
  <si>
    <t>Summer Peaking Staff Cost Breakdown</t>
  </si>
  <si>
    <t>PEAKING OPERATOR</t>
  </si>
  <si>
    <t>Per</t>
  </si>
  <si>
    <t>Diem</t>
  </si>
  <si>
    <t>Move out</t>
  </si>
  <si>
    <t>Move in/</t>
  </si>
  <si>
    <t>Flat</t>
  </si>
  <si>
    <t>$/yr/man</t>
  </si>
  <si>
    <t>$/wk/man</t>
  </si>
  <si>
    <t>wks/yr</t>
  </si>
  <si>
    <t>Outside Contract Labor</t>
  </si>
  <si>
    <t>Basis: 7 years of Actuals from Tx City Plant</t>
  </si>
  <si>
    <t>Cooling System</t>
  </si>
  <si>
    <t>scaled: $179,000 x (500MW/414MW)^0.6*75%labor</t>
  </si>
  <si>
    <t>Substation/Interconnects</t>
  </si>
  <si>
    <t>Scaled on genrator MW and # generators</t>
  </si>
  <si>
    <t>Electric Meter Calibration &amp; Testing</t>
  </si>
  <si>
    <t>Scaled cost = Labor Cost + Materials Cost</t>
  </si>
  <si>
    <t xml:space="preserve">Labor cost (50% of total) = 50% x $94,000 x 50% </t>
  </si>
  <si>
    <t xml:space="preserve">Material Cost (50% of total) = 50% x $94,000 x (4gens/4.5gens) </t>
  </si>
  <si>
    <t xml:space="preserve">                                           x (112MW/104MW)^0.6  </t>
  </si>
  <si>
    <t>5% of 11% of total</t>
  </si>
  <si>
    <t>Basis: 12 years of Actuals from Tx City/Clear Lake Plants</t>
  </si>
  <si>
    <t>Gas Turbines (excluding scheduled maint.)</t>
  </si>
  <si>
    <t>Scaled on # turbines and turbine MW</t>
  </si>
  <si>
    <t>Boilers</t>
  </si>
  <si>
    <t>Scaled on Gas Turbine MW.</t>
  </si>
  <si>
    <t>$337,000 x (3GTs/3GTs) x (112MW/104MW)^0.6 x 75% x 75%</t>
  </si>
  <si>
    <t>75% factor due to Tx City/Clear Lk were cogen plants &amp; suppl. fired</t>
  </si>
  <si>
    <t>Triple pressure boilers</t>
  </si>
  <si>
    <t>Assume non-local manufacturer</t>
  </si>
  <si>
    <t>Steam Turbine (including Scheduled Maint.)</t>
  </si>
  <si>
    <t>Non-scheduled maint. parts/repairs</t>
  </si>
  <si>
    <t>$460,000x(178MW/140MW)^.6x75% labor factor</t>
  </si>
  <si>
    <t>Scheduled Maint.</t>
  </si>
  <si>
    <t>this includes annualized cost for Major Maint Program</t>
  </si>
  <si>
    <t>This is an ANNUALIZED FIGURE for ST MMR planning</t>
  </si>
  <si>
    <t>Auxiliary Parts</t>
  </si>
  <si>
    <t>1% of 75% of total</t>
  </si>
  <si>
    <t>Basis: 7 yrs of TX City Plant actuals on 140MW steam turbine including Schedule Maint.</t>
  </si>
  <si>
    <t>Water Supply Pipeline and Booster Station</t>
  </si>
  <si>
    <t>1.5% of TIC ($6,000,000)</t>
  </si>
  <si>
    <t>ROW maint., pigging, pump repair, cathodic protection</t>
  </si>
  <si>
    <t>61 kms of 16" cast iron pipe</t>
  </si>
  <si>
    <t>Deleted from scope</t>
  </si>
  <si>
    <t>Fuel Facility</t>
  </si>
  <si>
    <t>Misc. repairs (yearly average)</t>
  </si>
  <si>
    <t>plus Dredging cost ($200M every 2 years)</t>
  </si>
  <si>
    <t>Deleted from Scope</t>
  </si>
  <si>
    <t>Miscellaneous Maintenance Expense</t>
  </si>
  <si>
    <t>Maintenance/CMMS (excluding data)</t>
  </si>
  <si>
    <t>5 mandays @$400/manday</t>
  </si>
  <si>
    <t>Warehouse/Inventory</t>
  </si>
  <si>
    <t>Emergency Plans</t>
  </si>
  <si>
    <t>40 mandays @$400/manday</t>
  </si>
  <si>
    <t>Safety and Health</t>
  </si>
  <si>
    <t>Environmental Compliance</t>
  </si>
  <si>
    <t>20 mandays @$400/manday</t>
  </si>
  <si>
    <t>Utility dispatch</t>
  </si>
  <si>
    <t>10 mandays @$400/manday</t>
  </si>
  <si>
    <t>Government Reporting</t>
  </si>
  <si>
    <t>Owner Reports</t>
  </si>
  <si>
    <t>Houston Reports</t>
  </si>
  <si>
    <t>Document Translation</t>
  </si>
  <si>
    <t>50% of sum of mandays x $200/day</t>
  </si>
  <si>
    <t>Reproduction/Printing</t>
  </si>
  <si>
    <t>Freight</t>
  </si>
  <si>
    <t>5% of Reproduction cost</t>
  </si>
  <si>
    <t>O&amp;M Mobilization BudgetOperating ExpensesManuals/Operating Procedures Total</t>
  </si>
  <si>
    <t>O&amp;M Mobilization BudgetOperating ExpensesPermits Title</t>
  </si>
  <si>
    <t>O&amp;M Mobilization BudgetOperating ExpensesPermits Total</t>
  </si>
  <si>
    <t>O&amp;M Mobilization BudgetOperating ExpensesInsurance Title</t>
  </si>
  <si>
    <t>Operator's Insurance</t>
  </si>
  <si>
    <t>O&amp;M Mobilization BudgetOperating ExpensesInsurance Total</t>
  </si>
  <si>
    <t>2ea.x$350/dayx180 days (includes benefits)</t>
  </si>
  <si>
    <t xml:space="preserve">    Per diem </t>
  </si>
  <si>
    <t>2ea.x$25/dayx180days (stay in Guest House)</t>
  </si>
  <si>
    <t xml:space="preserve">    Home leave, travel</t>
  </si>
  <si>
    <t>2ea.x$3000 tripx2trips (coach class)</t>
  </si>
  <si>
    <t xml:space="preserve">   Tax Protection (over 6 months)</t>
  </si>
  <si>
    <t>66% of wages</t>
  </si>
  <si>
    <t>O&amp;M Mobilization BudgetProcurement ExpensesOffice Furnishings, Equipment, Supplies Title</t>
  </si>
  <si>
    <t>Procurement Expenses</t>
  </si>
  <si>
    <t>Office Furnishings, Equipment, Supplies</t>
  </si>
  <si>
    <t>Offices (desk, chair, table, misc)</t>
  </si>
  <si>
    <t>Chairs - misc.</t>
  </si>
  <si>
    <t>Bookshelves</t>
  </si>
  <si>
    <t>File Cabinets</t>
  </si>
  <si>
    <t>Storage Shelves/Cabinets</t>
  </si>
  <si>
    <t>Conference Room (table &amp; chairs)</t>
  </si>
  <si>
    <t>Lunch Room - Tables</t>
  </si>
  <si>
    <t>Lunch Room - Chairs</t>
  </si>
  <si>
    <t>Lunch Room - Microwave</t>
  </si>
  <si>
    <t>Lunch Room - Coffee Pot</t>
  </si>
  <si>
    <t>BASE SALARY</t>
  </si>
  <si>
    <t>MONTHLY</t>
  </si>
  <si>
    <t>ANNUAL</t>
  </si>
  <si>
    <t>REIMBURSABLE</t>
  </si>
  <si>
    <t>NON-REIM</t>
  </si>
  <si>
    <t>20% ON BASE</t>
  </si>
  <si>
    <t>30% HOUSING</t>
  </si>
  <si>
    <t>SALARY &amp;</t>
  </si>
  <si>
    <t>MIN</t>
  </si>
  <si>
    <t>MAX</t>
  </si>
  <si>
    <t>AVG</t>
  </si>
  <si>
    <t>ALLOWANCES</t>
  </si>
  <si>
    <t>BONUS</t>
  </si>
  <si>
    <t>RETIREMENT</t>
  </si>
  <si>
    <t>ALLOWANCE</t>
  </si>
  <si>
    <t>IN KIND</t>
  </si>
  <si>
    <t>Vice President</t>
  </si>
  <si>
    <t>General Manager</t>
  </si>
  <si>
    <t>Sr. Mgr/Perf.Mgr/Purch.Mgr/Ctrl</t>
  </si>
  <si>
    <t>HR Manager/Shift Mgr.</t>
  </si>
  <si>
    <t>Asst. Mgr/Ctrl Rm Optr/Chemist</t>
  </si>
  <si>
    <t>Sr. Operator/Accountant</t>
  </si>
  <si>
    <t>Operator/Mechanic/Jr. Acct.</t>
  </si>
  <si>
    <t>Jr Operator/Jr. Mechanic/Secr.</t>
  </si>
  <si>
    <t>Assistant/Grounds Supvr.</t>
  </si>
  <si>
    <t>Jr. Asst./Driver/Janitor</t>
  </si>
  <si>
    <t>CUMULATIVE INFLATION MULTIPLIER:</t>
  </si>
  <si>
    <t>YEAR THAT DATA IS BEING USED:</t>
  </si>
  <si>
    <t>Enter here the year that the above data is being used.</t>
  </si>
  <si>
    <t>YEAR THAT DATA WAS SUPPLIED:</t>
  </si>
  <si>
    <t>DIFFERENCE IN YEARS:</t>
  </si>
  <si>
    <t>AVG ANNUAL US INFLATION RATE:</t>
  </si>
  <si>
    <t>Enter here the desired annual Indian inflation rate used to convert 1999 Rupees to present terms.</t>
  </si>
  <si>
    <t>Source: Salary and benefits information provided by HR (Ranen Sengupta) Sept. 1999.</t>
  </si>
  <si>
    <t>1/ Annual 30% Housing &amp; Utilities allowance provided</t>
  </si>
  <si>
    <t>US DOLLAR:</t>
  </si>
  <si>
    <t>Salary-Benefits Lookup Table</t>
  </si>
  <si>
    <t>Lunch Room - Refrig.</t>
  </si>
  <si>
    <t>Lunch Room - Stove</t>
  </si>
  <si>
    <t>Computer Tables</t>
  </si>
  <si>
    <t>Computers w printers</t>
  </si>
  <si>
    <t>Systems Software</t>
  </si>
  <si>
    <t>CMMS software/installation</t>
  </si>
  <si>
    <t>CMMS hardware, equipment</t>
  </si>
  <si>
    <t>SUN Acctg System</t>
  </si>
  <si>
    <t>Software &amp; License</t>
  </si>
  <si>
    <t>Training &amp; Implementation</t>
  </si>
  <si>
    <t>Copiers</t>
  </si>
  <si>
    <t>1ea @ $8000</t>
  </si>
  <si>
    <t>Typewriters</t>
  </si>
  <si>
    <t>1ea @ $750</t>
  </si>
  <si>
    <t>Local Area Network</t>
  </si>
  <si>
    <t>Calculators</t>
  </si>
  <si>
    <t>Projectors (overhead, slide, screen)</t>
  </si>
  <si>
    <t>1ea @ $400,$500, $200</t>
  </si>
  <si>
    <t>TV/VCR/Camcorders</t>
  </si>
  <si>
    <t>1ea @ $750/$500/$750</t>
  </si>
  <si>
    <t>Microfilm Reader</t>
  </si>
  <si>
    <t>1ea @ $800</t>
  </si>
  <si>
    <t>White Boards</t>
  </si>
  <si>
    <t>FAX machine</t>
  </si>
  <si>
    <t>Misc Supplies</t>
  </si>
  <si>
    <t>pens, paper, staplers, envelopes, etc.</t>
  </si>
  <si>
    <t>Phones</t>
  </si>
  <si>
    <t>CAD Drawing Control System (PC)</t>
  </si>
  <si>
    <t>1ea @ $25M (will contract when necessary)</t>
  </si>
  <si>
    <t>Janitorial supplies</t>
  </si>
  <si>
    <t>5% of cost</t>
  </si>
  <si>
    <t>O&amp;M Mobilization BudgetProcurement ExpensesOffice Furnishings, Equipment, Supplies Total</t>
  </si>
  <si>
    <t>O&amp;M Mobilization BudgetProcurement ExpensesSafety Equipment &amp; Supplies Title</t>
  </si>
  <si>
    <t>Safety Equipment &amp; Supplies</t>
  </si>
  <si>
    <t>Safety &amp; Environmental Equipment &amp; Supplies</t>
  </si>
  <si>
    <t>Personnel Safety equipment</t>
  </si>
  <si>
    <t>Safety glasses, Hard hats, goggles, face shields, gloves,</t>
  </si>
  <si>
    <t>locks, acid suits, SCBA respirators, safety shoes, etc.</t>
  </si>
  <si>
    <t>Portable Fire Extinguishers</t>
  </si>
  <si>
    <t>30ea. @ $120</t>
  </si>
  <si>
    <t>Firehose Cabinet Accessories</t>
  </si>
  <si>
    <t>First Aid equipment</t>
  </si>
  <si>
    <t>First Aid kit, stretcher, water jell blanket</t>
  </si>
  <si>
    <t>Safety test Equipment</t>
  </si>
  <si>
    <t>Biosystem unit, LEL &amp; O2 meter</t>
  </si>
  <si>
    <t>Environmental Test Equipment</t>
  </si>
  <si>
    <t>Noise level meter</t>
  </si>
  <si>
    <t>6" and 12" containment booms</t>
  </si>
  <si>
    <t xml:space="preserve">30 ton/hr skimmer </t>
  </si>
  <si>
    <t>Misc. anchors, tow bridles, buoys, etc.</t>
  </si>
  <si>
    <t>O&amp;M Mobilization BudgetProcurement ExpensesSafety Equipment &amp; Supplies Total</t>
  </si>
  <si>
    <t>O&amp;M Mobilization BudgetProcurement ExpensesVehicles &amp; Mobile Equipment Title</t>
  </si>
  <si>
    <t>Cars 4 WD w AC</t>
  </si>
  <si>
    <t>2ea Admin, Security</t>
  </si>
  <si>
    <t>$26M</t>
  </si>
  <si>
    <t>1/2 ton Pickup Trucks</t>
  </si>
  <si>
    <t>1ea</t>
  </si>
  <si>
    <t>2 1/2 ton flat bed truck w winch</t>
  </si>
  <si>
    <t>$32M</t>
  </si>
  <si>
    <t>6 ton Forklift (outside)</t>
  </si>
  <si>
    <t>$38M</t>
  </si>
  <si>
    <t>3 ton Forklift (warehouse)</t>
  </si>
  <si>
    <t>12 passenger Van w/o AC</t>
  </si>
  <si>
    <t>$24M</t>
  </si>
  <si>
    <t>18 passenger Van w/o AC</t>
  </si>
  <si>
    <t>0ea</t>
  </si>
  <si>
    <t>$30M</t>
  </si>
  <si>
    <t>Firefighting equipment</t>
  </si>
  <si>
    <t>$1M per</t>
  </si>
  <si>
    <t>Backhoe/heavy equipment</t>
  </si>
  <si>
    <t>Compressor water wash cart</t>
  </si>
  <si>
    <t>$10M</t>
  </si>
  <si>
    <t>250 cfm Air Compressor (trailer mtd)</t>
  </si>
  <si>
    <t>$16M</t>
  </si>
  <si>
    <t>400 amp welder(diesel drvr, trailer)</t>
  </si>
  <si>
    <t>$11M</t>
  </si>
  <si>
    <t>8 ton Crane</t>
  </si>
  <si>
    <t>$30M (used)</t>
  </si>
  <si>
    <t>Crew Boats</t>
  </si>
  <si>
    <t>$60M (used)</t>
  </si>
  <si>
    <t>Switch engine</t>
  </si>
  <si>
    <t>1ea (provided in EPC contract)</t>
  </si>
  <si>
    <t>$300M</t>
  </si>
  <si>
    <t>Technicians II &amp; III</t>
  </si>
  <si>
    <t>TECHNICIAN II</t>
  </si>
  <si>
    <t>Commissioning/Startup</t>
  </si>
  <si>
    <t>Phone Service</t>
  </si>
  <si>
    <t>9 months x $1M/month (excludes cellular service)</t>
  </si>
  <si>
    <t xml:space="preserve">1ea. x 9 months x $150/month </t>
  </si>
  <si>
    <t>cellular activation fee: 1 ea. $50</t>
  </si>
  <si>
    <t>160 manhrs X $75/hr + 2 trip x $1M + 30 days perdiem x$150/day</t>
  </si>
  <si>
    <t>Employee Class Training</t>
  </si>
  <si>
    <t>Days</t>
  </si>
  <si>
    <t>Attending</t>
  </si>
  <si>
    <t xml:space="preserve">New Employee Orientation </t>
  </si>
  <si>
    <t>All</t>
  </si>
  <si>
    <t>O&amp;M Contractor</t>
  </si>
  <si>
    <t xml:space="preserve">Plant Safety/Environmental/Firefighting </t>
  </si>
  <si>
    <t>O&amp;M Practices/Admin Procedures</t>
  </si>
  <si>
    <t xml:space="preserve">Simple Cycle Training Program </t>
  </si>
  <si>
    <t>Power Plant Fundamentals</t>
  </si>
  <si>
    <t>TriTech</t>
  </si>
  <si>
    <t>BOP Familiarization *</t>
  </si>
  <si>
    <t>Combustion Turbine Familiarization</t>
  </si>
  <si>
    <t>Combustion Turbine Operation</t>
  </si>
  <si>
    <t>General Electric</t>
  </si>
  <si>
    <t>BOP Operation *</t>
  </si>
  <si>
    <t>Combustion Turbine Preventive Maintenance</t>
  </si>
  <si>
    <t>Turnkey Contractor: EECC/NEPCO</t>
  </si>
  <si>
    <t>GE LM6000 - Major Maintenance Reserve</t>
  </si>
  <si>
    <t>Gas Fired Operation</t>
  </si>
  <si>
    <t>Project Life</t>
  </si>
  <si>
    <t>Years</t>
  </si>
  <si>
    <t>Lease Club Membership Fees Included</t>
  </si>
  <si>
    <t>total cost</t>
  </si>
  <si>
    <t>cost per engine</t>
  </si>
  <si>
    <t>Total Number of Installed Units</t>
  </si>
  <si>
    <t>cost per year</t>
  </si>
  <si>
    <t>cost per FIRED hour</t>
  </si>
  <si>
    <t>Inputs</t>
  </si>
  <si>
    <t>Annual Lease Club Fees</t>
  </si>
  <si>
    <t>per engine</t>
  </si>
  <si>
    <t>$201,368 for LM6000 DLE (PD) &amp; 20% increase for liquid fuel operation</t>
  </si>
  <si>
    <t xml:space="preserve">Lease Engine Usage Fee </t>
  </si>
  <si>
    <t>per week (1-26 weeks)</t>
  </si>
  <si>
    <t>48,000 hour engine refurbishment assumes assumes 12 week usage of lease engine</t>
  </si>
  <si>
    <t>Preventative Maintenance</t>
  </si>
  <si>
    <t>per year</t>
  </si>
  <si>
    <t>Semi-Annual Preventative Maintenance</t>
  </si>
  <si>
    <t>Hot Section Refurbishment / 24,000 hrs</t>
  </si>
  <si>
    <t>per GT</t>
  </si>
  <si>
    <t>(rotable exchnage)</t>
  </si>
  <si>
    <t>excludes DLE adder</t>
  </si>
  <si>
    <t>Engine Refurbishment / 48,000 hrs</t>
  </si>
  <si>
    <t>excluding 20% adder for DLN</t>
  </si>
  <si>
    <t>Labor &amp; Engineering / Hot Section</t>
  </si>
  <si>
    <t>Travel &amp; diem for GE personnel</t>
  </si>
  <si>
    <t>Labor &amp; Engineering / Major</t>
  </si>
  <si>
    <t>Dispatch</t>
  </si>
  <si>
    <t>Fired hrs/yr</t>
  </si>
  <si>
    <t>Year</t>
  </si>
  <si>
    <t>Hours (EOY)</t>
  </si>
  <si>
    <t>Maint Inspection (H or M)</t>
  </si>
  <si>
    <t>Hot Sec &amp; Major Maint.</t>
  </si>
  <si>
    <t>Preventative Miantenance</t>
  </si>
  <si>
    <t>Labor &amp; Engineering</t>
  </si>
  <si>
    <t>Lease Program</t>
  </si>
  <si>
    <t>Lease Engine Usage Fee</t>
  </si>
  <si>
    <t>Yearly Totals</t>
  </si>
  <si>
    <t>1. Hot Gas Path inspection conducted at 25,000 fired hour intervals.</t>
  </si>
  <si>
    <t>2. Major inspection conducted at 50,000 fired hour intervals.</t>
  </si>
  <si>
    <t>3. Maintenance and lease costs from George Graham/Stewart &amp; Stevenson 12/10/99 e-mail.</t>
  </si>
  <si>
    <t>BASE LOAD CASE</t>
  </si>
  <si>
    <t>MW</t>
  </si>
  <si>
    <t>chemical estimate</t>
  </si>
  <si>
    <t>FOM</t>
  </si>
  <si>
    <t>VOM</t>
  </si>
  <si>
    <t>Total Plant O&amp;M Expenses (excluding fee)</t>
  </si>
  <si>
    <t>(trailer lease)</t>
  </si>
  <si>
    <t>(ammonia)</t>
  </si>
  <si>
    <t>Annual Maint estimate ($000)</t>
  </si>
  <si>
    <t>(gt soap)</t>
  </si>
  <si>
    <t>22)</t>
  </si>
  <si>
    <t>23)</t>
  </si>
  <si>
    <t>24)</t>
  </si>
  <si>
    <t>25)</t>
  </si>
  <si>
    <t>BOP Preventive Maintenance *</t>
  </si>
  <si>
    <t>Gas Turbine Mark V</t>
  </si>
  <si>
    <t>DCS &amp; Mark IV Operations and Maintenance Training (2 people for 4 weeks)</t>
  </si>
  <si>
    <t>Software &amp; Hardware Maintenance</t>
  </si>
  <si>
    <t>Opts/Eng/I&amp;C</t>
  </si>
  <si>
    <t>To be determined</t>
  </si>
  <si>
    <t>Troubleshooting</t>
  </si>
  <si>
    <t>Total Class Training Duration</t>
  </si>
  <si>
    <t>Estimated Training Expenses</t>
  </si>
  <si>
    <t>Meals, Etc.</t>
  </si>
  <si>
    <t>$50/day x 20 days x 7 employees</t>
  </si>
  <si>
    <t>$125/day x 12 days x 7 employees</t>
  </si>
  <si>
    <t>$450 airfare x 7 employees</t>
  </si>
  <si>
    <t xml:space="preserve">Classroom Facility rental: </t>
  </si>
  <si>
    <t>$75/hr x 10 hrs/wk x 5 weeks + OJT Admin @ 40 hours</t>
  </si>
  <si>
    <t>Phase I - Employee Orientation</t>
  </si>
  <si>
    <t>$500/day x 5 days</t>
  </si>
  <si>
    <t>Phase II - Technical Training</t>
  </si>
  <si>
    <t xml:space="preserve">  Fundamentals &amp; BOP Systems</t>
  </si>
  <si>
    <t>TriTech Quotation</t>
  </si>
  <si>
    <t xml:space="preserve">  Combustion Turbine</t>
  </si>
  <si>
    <t>General Electric Option at Caledonia</t>
  </si>
  <si>
    <t xml:space="preserve">  Instructor</t>
  </si>
  <si>
    <t>Included</t>
  </si>
  <si>
    <t xml:space="preserve">  DCS Training</t>
  </si>
  <si>
    <t>General Electric Option</t>
  </si>
  <si>
    <t xml:space="preserve">  Control Room Simulator Training</t>
  </si>
  <si>
    <t>Not included</t>
  </si>
  <si>
    <t>Phase III - Leadership Training</t>
  </si>
  <si>
    <t>By Enron Corp in Houston</t>
  </si>
  <si>
    <t>Phase IV - Safety &amp; Environmental</t>
  </si>
  <si>
    <t>$1500 x 1 trip + 40 hours x $75</t>
  </si>
  <si>
    <t>Phase V - OJT Program</t>
  </si>
  <si>
    <t>Supplied by GE during TD of I</t>
  </si>
  <si>
    <t>Supplies &amp; Other Expenses</t>
  </si>
  <si>
    <t>Gas Compression required:</t>
  </si>
  <si>
    <t>Lease Club Membership Fees Not Included</t>
  </si>
  <si>
    <t>5% of Subtotal</t>
  </si>
  <si>
    <t>Basis: Wilton Center training estimate</t>
  </si>
  <si>
    <t>9 monthsx$750/month</t>
  </si>
  <si>
    <t>$100/month x 9 months</t>
  </si>
  <si>
    <t>$200/month x 9 months</t>
  </si>
  <si>
    <t>5 equip x $100/month x 9 months</t>
  </si>
  <si>
    <t>8 P&amp;IDsx 2 mandays each x $400/day</t>
  </si>
  <si>
    <t>Recruiting/Procedures/CMMS Input/Store Room Setup</t>
  </si>
  <si>
    <t>Travel Expenses (to Minnesota)</t>
  </si>
  <si>
    <t>SAP Acctg System</t>
  </si>
  <si>
    <t>4ea @ $200</t>
  </si>
  <si>
    <t>1ea/9 months lease</t>
  </si>
  <si>
    <t>2ea. extinguisher cart</t>
  </si>
  <si>
    <t>Lakefield</t>
  </si>
  <si>
    <t>Capital &amp; Operational Spares</t>
  </si>
  <si>
    <t>O&amp;M Mobilization BudgetProcurement ExpensesVehicles &amp; Mobile Equipment Total</t>
  </si>
  <si>
    <t>Basis: Purchasing Dept.</t>
  </si>
  <si>
    <t>O&amp;M Mobilization BudgetProcurement ExpensesWarehouse Furnishings &amp; Equipment Title</t>
  </si>
  <si>
    <t>Bins/Racks/shelves</t>
  </si>
  <si>
    <t>includes Lumber, nails, materials (to construct)</t>
  </si>
  <si>
    <t>Equipment/Tools</t>
  </si>
  <si>
    <t>dollies, scales, carpenter tools, banding &amp; labeling machines</t>
  </si>
  <si>
    <t>Furniture</t>
  </si>
  <si>
    <t>tables, desks, chairs, file cabinets</t>
  </si>
  <si>
    <t>Miscellaneous Supplies</t>
  </si>
  <si>
    <t>O&amp;M Mobilization BudgetProcurement ExpensesWarehouse Furnishings &amp; Equipment Total</t>
  </si>
  <si>
    <t>O&amp;M Mobilization BudgetProcurement ExpensesLaboratory Equipment Title</t>
  </si>
  <si>
    <t>Laboratory Analyzers (pH, conductivity, spectrophotometer)</t>
  </si>
  <si>
    <t>Glassware/Misc. Equipment (centrifuge, vacuum pump, PC,scale,oven)</t>
  </si>
  <si>
    <t>Furniture, cabinets, benches, tables, refrigerator</t>
  </si>
  <si>
    <t>Fuel Testing equipment</t>
  </si>
  <si>
    <t>Gas Chromatogragh/Atomic Absorption</t>
  </si>
  <si>
    <t>O&amp;M Mobilization BudgetProcurement ExpensesLaboratory Equipment Total</t>
  </si>
  <si>
    <t>O&amp;M Mobilization BudgetProcurement ExpensesShop Tools &amp; Equipment Title</t>
  </si>
  <si>
    <t>Mechanic Hand Tools</t>
  </si>
  <si>
    <t>tool boxes</t>
  </si>
  <si>
    <t>$1200 each</t>
  </si>
  <si>
    <t>I/E Tech Hand Tools</t>
  </si>
  <si>
    <t>$1500 each</t>
  </si>
  <si>
    <t>Consumables (Cleaning, Mech. supplies, compounds, I&amp;E supplies, hoses)</t>
  </si>
  <si>
    <t>Radios  (Basis: Houston 2-way Radio - Motorola HC1000, 2 channels)</t>
  </si>
  <si>
    <t>$1000 each</t>
  </si>
  <si>
    <t>Radio Base</t>
  </si>
  <si>
    <t>Mechanical Shop Tools &amp; Equip.</t>
  </si>
  <si>
    <t>High Pressure Hand Pump</t>
  </si>
  <si>
    <t>Nordstrom Hyper Grease Gun 5 gal.</t>
  </si>
  <si>
    <t>$3015 each</t>
  </si>
  <si>
    <t>Enron to build, Rochester Public Utilities to own and operate</t>
  </si>
  <si>
    <t>Rochester, Minnesota</t>
  </si>
  <si>
    <t>Leased</t>
  </si>
  <si>
    <t>Water source: Municipal source</t>
  </si>
  <si>
    <t>Yes</t>
  </si>
  <si>
    <t xml:space="preserve">Operating Period for one stand alone, gas-fired LM6000 simple cycle peaking facility </t>
  </si>
  <si>
    <t>Enron to have option on power through 2005</t>
  </si>
  <si>
    <t>Rochester Public Utilities LM6000 PC Power Project</t>
  </si>
  <si>
    <t>Primary fuel: Pipeline Quality Natural Gas delivered at 400 psig.</t>
  </si>
  <si>
    <t>Backup fuel: # 2 Diesel with no planned usage</t>
  </si>
  <si>
    <t>Owner assumed to provide the following functions (Asset Management):</t>
  </si>
  <si>
    <t># gt x 67.5 gpm x 60 min x annual # hrs x $10/Mgal</t>
  </si>
  <si>
    <t>Maintenance Manager</t>
  </si>
  <si>
    <t>Purchasing / Warehouse</t>
  </si>
  <si>
    <t>Supervisor</t>
  </si>
  <si>
    <t>Technician III</t>
  </si>
  <si>
    <t>Technician II</t>
  </si>
  <si>
    <t>Pay &amp; Benefits Calculations</t>
  </si>
  <si>
    <t>ESOP</t>
  </si>
  <si>
    <t>401(k)</t>
  </si>
  <si>
    <t>Clerk</t>
  </si>
  <si>
    <t>Mobilization Period</t>
  </si>
  <si>
    <t>Operating Period</t>
  </si>
  <si>
    <t>Quantity</t>
  </si>
  <si>
    <t>Operations staffing plan based on the operating scenario stated above and the assumption that temporary staff (3 total) will be laid on for the peak season to supplement the permanent staffing of 4 for a staff total of 7 O&amp;M persons during the peak season. RPU has no existing O&amp;M staff in the area.</t>
  </si>
  <si>
    <t>Rockwell Hand Held High Pressure Grease Gun</t>
  </si>
  <si>
    <t>$960 each</t>
  </si>
  <si>
    <t>Hydraulic Torque Wrench</t>
  </si>
  <si>
    <t>$4000 each</t>
  </si>
  <si>
    <t>Centrifugal Pump</t>
  </si>
  <si>
    <t>$2500 each</t>
  </si>
  <si>
    <t>Pneumatic diaphram pump</t>
  </si>
  <si>
    <t>Bead Blaster</t>
  </si>
  <si>
    <t>$1800 each</t>
  </si>
  <si>
    <t>Sand Blaster</t>
  </si>
  <si>
    <t>$900 each</t>
  </si>
  <si>
    <t>Portable Air Compressor</t>
  </si>
  <si>
    <t>$600 each</t>
  </si>
  <si>
    <t>Hydraulic Press - 25 ton</t>
  </si>
  <si>
    <t>$1400 each</t>
  </si>
  <si>
    <t>O&amp;M Mobilization BudgetProcurement ExpensesShop Tools &amp; Equipment Total</t>
  </si>
  <si>
    <t>Post Hole Digger</t>
  </si>
  <si>
    <t>O&amp;M Mobilization BudgetProcurement ExpensesChemicals, Lubricants, Hydraulic Fluids Title</t>
  </si>
  <si>
    <t>Steel Work Bench</t>
  </si>
  <si>
    <t>$160 each</t>
  </si>
  <si>
    <t>Employee Lockers x 6</t>
  </si>
  <si>
    <t>$250 each</t>
  </si>
  <si>
    <t>Storage Cabinets</t>
  </si>
  <si>
    <t>$300 each</t>
  </si>
  <si>
    <t>Parts Washer</t>
  </si>
  <si>
    <t>Bench Grinder</t>
  </si>
  <si>
    <t>$400 each</t>
  </si>
  <si>
    <t>O&amp;M Mobilization BudgetProcurement ExpensesChemicals, Lubricants, Hydraulic Fluids Total</t>
  </si>
  <si>
    <t>Drill Press</t>
  </si>
  <si>
    <t>$2375 each</t>
  </si>
  <si>
    <t>O&amp;M Mobilization BudgetO&amp;M Mobilization Fee Title</t>
  </si>
  <si>
    <t>AC/DC Welder Generator</t>
  </si>
  <si>
    <t>$3100 each</t>
  </si>
  <si>
    <t>Assortment Hammer Wrenches</t>
  </si>
  <si>
    <t>$5000 each</t>
  </si>
  <si>
    <t>Flange Spreader</t>
  </si>
  <si>
    <t>Hoists /Come-a-longs</t>
  </si>
  <si>
    <t>Miscellaneous small hand tools</t>
  </si>
  <si>
    <t>$5000 set</t>
  </si>
  <si>
    <t>O&amp;M Mobilization BudgetO&amp;M Mobilization Fee Total</t>
  </si>
  <si>
    <t>I/E Shop Tools &amp; Test Equipment</t>
  </si>
  <si>
    <t>Gas Detector Calibration Kit</t>
  </si>
  <si>
    <t>$500 each</t>
  </si>
  <si>
    <t>O&amp;M Mobilization BudgetOwner Optional Items Title</t>
  </si>
  <si>
    <t>Owner Optional Items</t>
  </si>
  <si>
    <t>Flow, Press, &amp; Temp Transmitter Communicators</t>
  </si>
  <si>
    <t>Digital Thickness Gauge</t>
  </si>
  <si>
    <t>UV IR Portable Test Kit</t>
  </si>
  <si>
    <t>IRD Vibration Meter</t>
  </si>
  <si>
    <t>$8000 each</t>
  </si>
  <si>
    <t>Fluke Digital Multimeter</t>
  </si>
  <si>
    <t>$350 each</t>
  </si>
  <si>
    <t>O&amp;M Mobilization BudgetOwner Optional Items Total</t>
  </si>
  <si>
    <t>Thermocoupler Calibrator</t>
  </si>
  <si>
    <t>$950 each</t>
  </si>
  <si>
    <t>Precision Pressure Calibrator</t>
  </si>
  <si>
    <t>$5700 each</t>
  </si>
  <si>
    <t>Simpson Multimeter</t>
  </si>
  <si>
    <t>RTD Calibrator</t>
  </si>
  <si>
    <t>$700 each</t>
  </si>
  <si>
    <t>Test Gauges 0 -1500 psig.</t>
  </si>
  <si>
    <t>$1000 set</t>
  </si>
  <si>
    <t>Gravitometer</t>
  </si>
  <si>
    <t>$5850 each</t>
  </si>
  <si>
    <t>PK Tester</t>
  </si>
  <si>
    <t>$4065 each</t>
  </si>
  <si>
    <t>Pipeline Locator</t>
  </si>
  <si>
    <t>$3900 each</t>
  </si>
  <si>
    <t xml:space="preserve">Test/Troubleshooting Equipment </t>
  </si>
  <si>
    <t>Beta Engine Analyzer</t>
  </si>
  <si>
    <t>$60,000 each</t>
  </si>
  <si>
    <t>O&amp;M Mobilization BudgetCapital, Operating and BOP Spares (1998$) Title</t>
  </si>
  <si>
    <t>Capital, Operating and BOP Spares (1996$)</t>
  </si>
  <si>
    <t>Oscilloscope</t>
  </si>
  <si>
    <t>$3000 each</t>
  </si>
  <si>
    <t>Capital, Operating and BOP Spares (1998$)</t>
  </si>
  <si>
    <t>Bore Scope (probe, light source and photo)</t>
  </si>
  <si>
    <t>$15,000 each</t>
  </si>
  <si>
    <t>Combustible Gas Detector</t>
  </si>
  <si>
    <t>$1795 each</t>
  </si>
  <si>
    <t>O&amp;M Mobilization BudgetCapital, Operating and BOP Spares (1998$) Total</t>
  </si>
  <si>
    <t>Warehouse Stock</t>
  </si>
  <si>
    <t xml:space="preserve">1month's worth x chemicals </t>
  </si>
  <si>
    <t>5% of cost (included above)</t>
  </si>
  <si>
    <t>Basis/Justification:</t>
  </si>
  <si>
    <t>10% of mob. money managed excluding</t>
  </si>
  <si>
    <t>Spares, OE and G&amp;A</t>
  </si>
  <si>
    <t>US, UK and like</t>
  </si>
  <si>
    <t xml:space="preserve">Annual % of Payroll &amp; Burden based </t>
  </si>
  <si>
    <t>India, Brazil, Argentina and like</t>
  </si>
  <si>
    <t>on country type</t>
  </si>
  <si>
    <t>Bangladesh and like</t>
  </si>
  <si>
    <t>Basis: Eval team concensus</t>
  </si>
  <si>
    <t>Assume 75% of 1 Year's annual budget</t>
  </si>
  <si>
    <t>Basis:same as yearly G&amp;A</t>
  </si>
  <si>
    <t>EECC provides Turnkey Contract</t>
  </si>
  <si>
    <t>See Owners' Engineer detail sheet</t>
  </si>
  <si>
    <t>Straight Time</t>
  </si>
  <si>
    <t>Salary &amp;</t>
  </si>
  <si>
    <t>Operations &amp; Maintenance Cost Estimate</t>
  </si>
  <si>
    <t>Table of Contents</t>
  </si>
  <si>
    <t>Scope</t>
  </si>
  <si>
    <t>Project Scope Description</t>
  </si>
  <si>
    <t>List of Assumptions</t>
  </si>
  <si>
    <t>Map</t>
  </si>
  <si>
    <t>Summary - Operations &amp; Maintenance Cost Estimate</t>
  </si>
  <si>
    <t xml:space="preserve">1) </t>
  </si>
  <si>
    <t>Base year for all costs and prices herein: current 2000 US $ (no escalation or inflation included).</t>
  </si>
  <si>
    <t xml:space="preserve">2) </t>
  </si>
  <si>
    <t xml:space="preserve">3) </t>
  </si>
  <si>
    <t xml:space="preserve">4)  </t>
  </si>
  <si>
    <t xml:space="preserve">5)  </t>
  </si>
  <si>
    <t xml:space="preserve">6) </t>
  </si>
  <si>
    <t>7) .</t>
  </si>
  <si>
    <t xml:space="preserve">12)   </t>
  </si>
  <si>
    <t>Standard Scope Split between Turnkey/Startup Contractor and Owner/Operator per enclosed.</t>
  </si>
  <si>
    <t xml:space="preserve">17) </t>
  </si>
  <si>
    <t>This O&amp;M Estimate does not include the cost of the following items:</t>
  </si>
  <si>
    <t>O&amp;M Pre-Mobilization / Mobilization Cost Estimate</t>
  </si>
  <si>
    <t>Training Program</t>
  </si>
  <si>
    <t>Owners' Engineer</t>
  </si>
  <si>
    <t>Commercial Operations O&amp;M Estimate</t>
  </si>
  <si>
    <t>Contract &amp; Opns Support Staffing Plan</t>
  </si>
  <si>
    <t>Personnel Benefits</t>
  </si>
  <si>
    <t>O&amp;M Estimate Backup/Detail</t>
  </si>
  <si>
    <t>Major Maintenance Cost Estimate</t>
  </si>
  <si>
    <t>Initial Operating Spares</t>
  </si>
  <si>
    <t>GT Scheduled Major Maint. Program (year by year)</t>
  </si>
  <si>
    <t>Staffing Plan</t>
  </si>
  <si>
    <t>Equipment:</t>
  </si>
  <si>
    <t>Fuel:</t>
  </si>
  <si>
    <t>Operations Mode:</t>
  </si>
  <si>
    <t>PPA:</t>
  </si>
  <si>
    <t>Tentative schedule:</t>
  </si>
  <si>
    <t>COD</t>
  </si>
  <si>
    <t>Commercial Office:</t>
  </si>
  <si>
    <t>Owners Engineer:</t>
  </si>
  <si>
    <t xml:space="preserve">                    </t>
  </si>
  <si>
    <t>Revenue and Property Book Accounting including customer and fuel supplier billing</t>
  </si>
  <si>
    <t>Tax Accounting including preparing Local and US tax returns</t>
  </si>
  <si>
    <t>Annual financial audits by outside auditors.</t>
  </si>
  <si>
    <t xml:space="preserve">Maintaining Bank accounts and treasury functions </t>
  </si>
  <si>
    <t>Commercial contracts and interface with Power Purchasers and Fuel Suppliers</t>
  </si>
  <si>
    <t>Fuel purchasing &amp; supply, logistics and scheduling</t>
  </si>
  <si>
    <t>Government and Public Relations</t>
  </si>
  <si>
    <t>Legal and contractual requirements</t>
  </si>
  <si>
    <t>Project Human resources (compensation and benefits plans)</t>
  </si>
  <si>
    <t>Interface with Lenders and Partners regarding funding and information requests</t>
  </si>
  <si>
    <t>Budgeting, Operating and Capital planning</t>
  </si>
  <si>
    <t>Dealing with Customs authorities with regard to imported goods and services.</t>
  </si>
  <si>
    <t>Purchased (backfeed) power and other purchased utilities</t>
  </si>
  <si>
    <t>Buildings:  Administration, Warehouse and Shop facilities</t>
  </si>
  <si>
    <t>Communications facilities (internal &amp; external)</t>
  </si>
  <si>
    <t>Expenses before Commercial Operation:</t>
  </si>
  <si>
    <t>US $</t>
  </si>
  <si>
    <t>O&amp;M Pre-Mobilization / Mobilization Expenses</t>
  </si>
  <si>
    <t>Pre-Mobilization Expenses</t>
  </si>
  <si>
    <t>Mobilization Payroll and Burden</t>
  </si>
  <si>
    <t>Mobilization Operating Expenses</t>
  </si>
  <si>
    <t>Mobilization Procurement Expenses</t>
  </si>
  <si>
    <t>Total O&amp;M Pre-Mobilization / Mobilization Expenses</t>
  </si>
  <si>
    <t>Housing Colony Mobilization Expenses</t>
  </si>
  <si>
    <t>Commercial Office Mobilization Expenses</t>
  </si>
  <si>
    <t>Owners' Engineer Expenses</t>
  </si>
  <si>
    <t>Operator Overhead Charge (G&amp;A)</t>
  </si>
  <si>
    <t>Expenses during Commercial Operation:</t>
  </si>
  <si>
    <t>Annual</t>
  </si>
  <si>
    <t>O&amp;M Expenses</t>
  </si>
  <si>
    <t>Payroll and Burden</t>
  </si>
  <si>
    <t>Administration &amp; Operations Expenses</t>
  </si>
  <si>
    <t>Maintenance Expenses (excl. GT Scheduled Maint. Program)</t>
  </si>
  <si>
    <t>Sustaining Capital Expenses</t>
  </si>
  <si>
    <t>Total O&amp;M Expenses (ex GT Scheduled Maint.)</t>
  </si>
  <si>
    <t>GT Scheduled Major Maintenance Program</t>
  </si>
  <si>
    <t>Housing Colony Operating Expenses</t>
  </si>
  <si>
    <t>Commercial Office Expenses</t>
  </si>
  <si>
    <t>Average Annual Operating Expenses (excluding Fee and G&amp;A)</t>
  </si>
  <si>
    <t>Tech III</t>
  </si>
  <si>
    <t>O&amp;M Pre-Mobilization Expenses</t>
  </si>
  <si>
    <t>Mobilization Payroll &amp; Burden</t>
  </si>
  <si>
    <t>Employee Expenses</t>
  </si>
  <si>
    <t>Recruiting Expenses</t>
  </si>
  <si>
    <t>Relocation Expenses</t>
  </si>
  <si>
    <t>Outside Services</t>
  </si>
  <si>
    <t>Other Supplies &amp; Expenses</t>
  </si>
  <si>
    <t>Communications</t>
  </si>
  <si>
    <t>Temporary Offices/Facilities</t>
  </si>
  <si>
    <t>Training</t>
  </si>
  <si>
    <t>Manuals &amp; Procedures</t>
  </si>
  <si>
    <t>Permits</t>
  </si>
  <si>
    <t>Insurance</t>
  </si>
  <si>
    <t>Operations Support Personnel</t>
  </si>
  <si>
    <t>Total Mobilization Operating Expenses</t>
  </si>
  <si>
    <t>Office Furnishings &amp; Equipment</t>
  </si>
  <si>
    <t>Safety &amp; Environmental Equipment</t>
  </si>
  <si>
    <t>Vehicles &amp; Mobile Equipment (excluding switch engine)</t>
  </si>
  <si>
    <t>Warehouse Furnishings &amp; Equipment</t>
  </si>
  <si>
    <t>Laboratory Equipment</t>
  </si>
  <si>
    <t>Shop Tools &amp; Equipment</t>
  </si>
  <si>
    <t>Chemicals, Lubricants, Hydraulic Fluids</t>
  </si>
  <si>
    <t>Total Mobilization Procurement Expenses</t>
  </si>
  <si>
    <t>Housing Colony Mobilization</t>
  </si>
  <si>
    <t>Commercial Office Mobilization</t>
  </si>
  <si>
    <t>OM&amp;A Mobilization Fee (incl. Commercial Office)</t>
  </si>
  <si>
    <t>Staff Mobilization Schedule</t>
  </si>
  <si>
    <t>MOB. MONTHS</t>
  </si>
  <si>
    <t>SCHEDULE</t>
  </si>
  <si>
    <t>FACILITY NEEDS</t>
  </si>
  <si>
    <t>ADMINISTRATION FACILITIES</t>
  </si>
  <si>
    <t>OFFICE EQUIPMENT</t>
  </si>
  <si>
    <t>WAREHOUSE/SHOP</t>
  </si>
  <si>
    <t>VEHICLES</t>
  </si>
  <si>
    <t>TRAINING FACILITIES</t>
  </si>
  <si>
    <t>O&amp;M Mobilization Period Fee</t>
  </si>
  <si>
    <t>Scope of Work:</t>
  </si>
  <si>
    <t>Distributed Control System</t>
  </si>
  <si>
    <t>Warehouse with some climate control space</t>
  </si>
  <si>
    <t>Central control room and small lab area</t>
  </si>
  <si>
    <t>Sanitary facilities, to include lockers &amp; showers</t>
  </si>
  <si>
    <t>Chillers with condenser and chilled water pumps</t>
  </si>
  <si>
    <t>induced draft Cooling Tower with circ. water pumps with bromine treatment</t>
  </si>
  <si>
    <t>Water injection for Spray Intercooling (SPRINT) at a rate of 7.5 gpm/GT</t>
  </si>
  <si>
    <t>Water injection for NOX control at a rate of 60 gpm/GT</t>
  </si>
  <si>
    <t>dispatch on Monday-Friday 6am to 10pm, June-September</t>
  </si>
  <si>
    <t>Type of combustion system: standard with water injection for NOx control to 25 ppmv.</t>
  </si>
  <si>
    <t>Sustaining project capital expenses cover only replacement of initial procurement items at end of useful life.</t>
  </si>
  <si>
    <t>In owner's scope.</t>
  </si>
  <si>
    <t xml:space="preserve">Maintenance shop with bay </t>
  </si>
  <si>
    <t xml:space="preserve">Water rights and water usage costs </t>
  </si>
  <si>
    <t>Customs duties, Taxes or VAT</t>
  </si>
  <si>
    <t>Emissions, discharge or waste hauling Fees</t>
  </si>
  <si>
    <t>Security (At Owner's discretion)</t>
  </si>
  <si>
    <t>Assume all major schedule maintenance to be performed during off-peak season.</t>
  </si>
  <si>
    <t>Gas turbine scheduled maintenance costs and initial spare parts based on S&amp;S (George Graham) email dated 12/10/99.</t>
  </si>
  <si>
    <t xml:space="preserve">18)  Major scheduled maintenance intervals per OEM (S&amp;S): Hot Gas Path - 24,000 hrs; Major - 50,000 hours. </t>
  </si>
  <si>
    <t>19)  EPC Contract to provide an allowance for GT familiarization and operations training to O&amp;M staff.</t>
  </si>
  <si>
    <t>$/fired hr/GT</t>
  </si>
  <si>
    <t>Owner's Engineer Estimate</t>
  </si>
  <si>
    <t>per kW</t>
  </si>
  <si>
    <t>Variable ($/mWh)</t>
  </si>
  <si>
    <t>$/mWhr</t>
  </si>
  <si>
    <t xml:space="preserve">20) </t>
  </si>
  <si>
    <t>Does not include annual Lease Engine Membership dues.</t>
  </si>
  <si>
    <t xml:space="preserve">21) </t>
  </si>
  <si>
    <t>No gas and electric distribution systems</t>
  </si>
  <si>
    <t>TOOLS AND O&amp;M EQUIPMENT</t>
  </si>
  <si>
    <t>Staff</t>
  </si>
  <si>
    <t>Number</t>
  </si>
  <si>
    <t>Total</t>
  </si>
  <si>
    <t>Total Salary</t>
  </si>
  <si>
    <t>Personnel</t>
  </si>
  <si>
    <t>Area</t>
  </si>
  <si>
    <t>of</t>
  </si>
  <si>
    <t>Salary</t>
  </si>
  <si>
    <t>Benefits</t>
  </si>
  <si>
    <t>&amp; Benefits</t>
  </si>
  <si>
    <t>A,O or M</t>
  </si>
  <si>
    <t>Months</t>
  </si>
  <si>
    <t>US$/Month</t>
  </si>
  <si>
    <t>A</t>
  </si>
  <si>
    <t>O</t>
  </si>
  <si>
    <t>M</t>
  </si>
  <si>
    <t>TOTALS</t>
  </si>
  <si>
    <t>Weeks</t>
  </si>
  <si>
    <t/>
  </si>
  <si>
    <t xml:space="preserve">        </t>
  </si>
  <si>
    <t>Turnkey/O&amp;M/Owner Scope Split</t>
  </si>
  <si>
    <t>Turnkey/</t>
  </si>
  <si>
    <t>Startup</t>
  </si>
  <si>
    <t>O&amp;M</t>
  </si>
  <si>
    <t>Owner</t>
  </si>
  <si>
    <t>Remarks/Comments</t>
  </si>
  <si>
    <t>OPERATING EXPENSES (pre-COD):</t>
  </si>
  <si>
    <t>Payroll and Benefits</t>
  </si>
  <si>
    <t xml:space="preserve">    for Owner Personnel</t>
  </si>
  <si>
    <t>x</t>
  </si>
  <si>
    <t xml:space="preserve">    for O&amp;M Personnel</t>
  </si>
  <si>
    <t xml:space="preserve">    for Turnkey/Startup Personnel</t>
  </si>
  <si>
    <t>Employee Expenses/Recruiting/Relocation</t>
  </si>
  <si>
    <t xml:space="preserve">    Technical Direction of Installation (TD&amp;I)</t>
  </si>
  <si>
    <t xml:space="preserve">    Vendor reps &amp; startup services</t>
  </si>
  <si>
    <t xml:space="preserve">    Security before COD</t>
  </si>
  <si>
    <t xml:space="preserve">    Security after COD</t>
  </si>
  <si>
    <t xml:space="preserve">    O&amp;M related services</t>
  </si>
  <si>
    <t xml:space="preserve">    Reliability Availability Maintainability (RAM) Study</t>
  </si>
  <si>
    <t>EPC to assist &amp; participate</t>
  </si>
  <si>
    <t xml:space="preserve">    Process Hazards Analysis (HAZOP)</t>
  </si>
  <si>
    <t>O&amp;M to assist &amp; participate</t>
  </si>
  <si>
    <t>Communications (phone bills, etc.)</t>
  </si>
  <si>
    <t xml:space="preserve">    for Startup Personnel</t>
  </si>
  <si>
    <t>Offices/Buildings/Facilities (temporary)</t>
  </si>
  <si>
    <t xml:space="preserve">    for O&amp;M Personnel (admin, training, etc.)</t>
  </si>
  <si>
    <t xml:space="preserve">    for Startup/Commissioning Personnel</t>
  </si>
  <si>
    <t>Training for O&amp;M Personnel *</t>
  </si>
  <si>
    <t xml:space="preserve">    Vendor Familiarization Training (CT, ST, HRSG, WT/Desal)</t>
  </si>
  <si>
    <t>Defined scope req'd</t>
  </si>
  <si>
    <t xml:space="preserve">    Add'l Major Equip. Vendor (CT,ST,HRSG, WT/Desal,DCS)</t>
  </si>
  <si>
    <t xml:space="preserve">    OJT during startup/commissioning</t>
  </si>
  <si>
    <t xml:space="preserve">    Basic Power Plant Training (&amp; all other training) </t>
  </si>
  <si>
    <t>Permits/Insurance</t>
  </si>
  <si>
    <t xml:space="preserve">    Construction &amp; Startup Contractor's name</t>
  </si>
  <si>
    <t>need permit matrix</t>
  </si>
  <si>
    <t xml:space="preserve">    Operator's name</t>
  </si>
  <si>
    <t>"</t>
  </si>
  <si>
    <t xml:space="preserve">    Owner's name</t>
  </si>
  <si>
    <t>Manuals, Procedures and Plans</t>
  </si>
  <si>
    <t xml:space="preserve">    Startup/Commissioning Plans &amp; Procedures</t>
  </si>
  <si>
    <t xml:space="preserve">    Job Data books</t>
  </si>
  <si>
    <t xml:space="preserve">    Engineering drawings (incl. "as builts")</t>
  </si>
  <si>
    <t>AutoCad 14 (or apprvd substitute)</t>
  </si>
  <si>
    <t xml:space="preserve">    Systems Descriptions</t>
  </si>
  <si>
    <t xml:space="preserve">    Test procedures &amp; report</t>
  </si>
  <si>
    <t xml:space="preserve">    O&amp;M Procedures</t>
  </si>
  <si>
    <t xml:space="preserve">    Admin and all other Plant procedures</t>
  </si>
  <si>
    <t>Punchlist resolution</t>
  </si>
  <si>
    <t>with O&amp;M walkdown</t>
  </si>
  <si>
    <t>Purchase and transportation of fuel to plant (startup)</t>
  </si>
  <si>
    <t>Allowance in LSTK price</t>
  </si>
  <si>
    <t>Schedule fuel deliveries from supplier</t>
  </si>
  <si>
    <t>Purchase of turbine generator startup power (backfeed)</t>
  </si>
  <si>
    <t>Purchase of construction power (from fence line)</t>
  </si>
  <si>
    <t>Purchase and delivery of Process water (hydrotests, etc)</t>
  </si>
  <si>
    <t>Steam Blows</t>
  </si>
  <si>
    <t>Given power, fuel and water</t>
  </si>
  <si>
    <t>Chemical Cleaning (including disposal)</t>
  </si>
  <si>
    <t>Oil Flushes</t>
  </si>
  <si>
    <t>*  O&amp;M has overall responsibility for training O&amp;M personnel, but Major Equip. Vendor training (for CTs, STs, HRSGs, Water</t>
  </si>
  <si>
    <t xml:space="preserve">   Treatment/Desal, and DCS) will be provided under the major equip. purchase orders (with O&amp;M participation in scoping).</t>
  </si>
  <si>
    <t>Warranty Implementation</t>
  </si>
  <si>
    <t>O&amp;M/Owner participate</t>
  </si>
  <si>
    <t>Pre-Mobilization expenses</t>
  </si>
  <si>
    <t xml:space="preserve">    O&amp;M engineering review/comments</t>
  </si>
  <si>
    <t xml:space="preserve">    Operating plans/budgets/estimates</t>
  </si>
  <si>
    <t xml:space="preserve">    Other Owner directed O&amp;M services</t>
  </si>
  <si>
    <t>Fuel/water quality checking (pre-COD)</t>
  </si>
  <si>
    <t>Procurement Expenses:</t>
  </si>
  <si>
    <t xml:space="preserve">    Stationary items (built-ins)</t>
  </si>
  <si>
    <t xml:space="preserve">    PABX (internal) telephone system &amp; wiring</t>
  </si>
  <si>
    <t xml:space="preserve">    LAN wiring</t>
  </si>
  <si>
    <t xml:space="preserve">    External communications (satellite dish)</t>
  </si>
  <si>
    <t xml:space="preserve">    Office/Building furniture</t>
  </si>
  <si>
    <t xml:space="preserve">    Office equipment (copiers, fax, etc.)</t>
  </si>
  <si>
    <t xml:space="preserve">    Computer hardware/software</t>
  </si>
  <si>
    <t xml:space="preserve">    CMMS computer system (incl training)</t>
  </si>
  <si>
    <t>with Owner approval</t>
  </si>
  <si>
    <t>Safety &amp; Environmental equipment</t>
  </si>
  <si>
    <t xml:space="preserve">    Permanent Fire protection</t>
  </si>
  <si>
    <t xml:space="preserve">    Portable fire extinguishers (for offices &amp; buildings)</t>
  </si>
  <si>
    <t xml:space="preserve">    Portable fire extinguishers (exterior)</t>
  </si>
  <si>
    <t xml:space="preserve">    Safety showers/eye washes</t>
  </si>
  <si>
    <t xml:space="preserve">    Permanent Environmental testing equip.</t>
  </si>
  <si>
    <t>if required</t>
  </si>
  <si>
    <t xml:space="preserve">    Portable Environmental testing equip.</t>
  </si>
  <si>
    <t xml:space="preserve">    O&amp;M Personnel Safety/First Aid  equip.</t>
  </si>
  <si>
    <t>Vehicles &amp; Mobile Equipment</t>
  </si>
  <si>
    <t xml:space="preserve">    Construction/Startup Contractor requirements</t>
  </si>
  <si>
    <t xml:space="preserve">    O&amp;M requirements (@ post Comm. Opns level)</t>
  </si>
  <si>
    <t>Warehouse/Shop Furnishings &amp; Equipment</t>
  </si>
  <si>
    <t xml:space="preserve">    Stationary items incl hoists (built-ins)</t>
  </si>
  <si>
    <t xml:space="preserve">    Non-stationary items (bins, furniture, etc.)</t>
  </si>
  <si>
    <t>Process Monitoring &amp; Laboratory Equipment</t>
  </si>
  <si>
    <t xml:space="preserve">    Installed analyzers/instruments</t>
  </si>
  <si>
    <t xml:space="preserve">Basis:  </t>
  </si>
  <si>
    <t xml:space="preserve">Basic Plant Training </t>
  </si>
  <si>
    <t>New Employee Orientation (1 day)</t>
  </si>
  <si>
    <t>Supplied by:</t>
  </si>
  <si>
    <t xml:space="preserve"> OEC</t>
  </si>
  <si>
    <t>Plant Safety/Environmental/Firefighting (1 day)</t>
  </si>
  <si>
    <t>Power Plant Fundamentals (20 days)</t>
  </si>
  <si>
    <t>Introduction to Plant Systems (1 day)</t>
  </si>
  <si>
    <t>Introduction to Power Gen. Equipment (1day)</t>
  </si>
  <si>
    <t>HRSG &amp; Cooling Water Chemistry (1day)</t>
  </si>
  <si>
    <t>Steam Distribution System (1day)</t>
  </si>
  <si>
    <t xml:space="preserve">Power Block </t>
  </si>
  <si>
    <t>CT-Generator Operation (5 days)</t>
  </si>
  <si>
    <t>1 ea @ $600</t>
  </si>
  <si>
    <t>to be located at an existing, staffed cogeneration facility</t>
  </si>
  <si>
    <t>Operating or Environmental Permits</t>
  </si>
  <si>
    <t>cost per year/engine</t>
  </si>
  <si>
    <t>cost per fired hr/engine</t>
  </si>
  <si>
    <t>1 ea @ $750</t>
  </si>
  <si>
    <t>2 ea. @ $50</t>
  </si>
  <si>
    <t>3ea @ $200</t>
  </si>
  <si>
    <t>3ea @ $2500</t>
  </si>
  <si>
    <t>3ea @ $500</t>
  </si>
  <si>
    <t>$10M License + $10M installation/training</t>
  </si>
  <si>
    <t>1 PC's ($2500), printer</t>
  </si>
  <si>
    <t>LAN $3M + Installation $1,000</t>
  </si>
  <si>
    <t>3ea @ $20</t>
  </si>
  <si>
    <t>2ea @ $80</t>
  </si>
  <si>
    <t>1ea @ $600</t>
  </si>
  <si>
    <t>$600/month</t>
  </si>
  <si>
    <t>$500/month</t>
  </si>
  <si>
    <t>Assorted Plant Operational Spares for:</t>
  </si>
  <si>
    <t>Fuel System (Nozzles + Accessories)</t>
  </si>
  <si>
    <t>Turbine Control / DCS Panels / Excitation</t>
  </si>
  <si>
    <t>Starting System (Torque Converter + Misc)</t>
  </si>
  <si>
    <t>CT Operational Spares</t>
  </si>
  <si>
    <t>CT Misc. Auxiliary Systems</t>
  </si>
  <si>
    <t xml:space="preserve">CEMS </t>
  </si>
  <si>
    <t>Total  Capital &amp; Operational Spares</t>
  </si>
  <si>
    <t>GrandTotal Capital &amp; Operational Spares</t>
  </si>
  <si>
    <t>Water Wash Detergent</t>
  </si>
  <si>
    <t>Demin Water for Water Wash</t>
  </si>
  <si>
    <t>Salaries &amp; Benefits</t>
  </si>
  <si>
    <t>HO Meetings (Travel &amp; Expense)</t>
  </si>
  <si>
    <t>Participation in Industry Groups</t>
  </si>
  <si>
    <t>Commercial Business Trips</t>
  </si>
  <si>
    <t>3 trips @ $ 1000/trip</t>
  </si>
  <si>
    <t>Misc Expense</t>
  </si>
  <si>
    <t>$ 10,000/yr</t>
  </si>
  <si>
    <t>2 meetings @ $1,500/meeting</t>
  </si>
  <si>
    <t>3 trips @ $ 1,000/trip</t>
  </si>
  <si>
    <t>ST-Generator Operation (3 days)</t>
  </si>
  <si>
    <t>HRSG Operation (2 days)</t>
  </si>
  <si>
    <t xml:space="preserve">Utility Systems Operator Training </t>
  </si>
  <si>
    <t xml:space="preserve">Water Treatment &amp; Cooling System Operation </t>
  </si>
  <si>
    <t xml:space="preserve">Fuel Handling Systems </t>
  </si>
  <si>
    <t>Plant Utility Systems (BOP: hydrogen, misc. systems)</t>
  </si>
  <si>
    <t xml:space="preserve">Control Room Training </t>
  </si>
  <si>
    <t xml:space="preserve">Basic Controls and DCS </t>
  </si>
  <si>
    <t xml:space="preserve">HRSG Controls </t>
  </si>
  <si>
    <t xml:space="preserve">Basic Maintenance Training </t>
  </si>
  <si>
    <t>HRSG Maintenance (vendor)</t>
  </si>
  <si>
    <t>ST Maintenance (vendor)</t>
  </si>
  <si>
    <t>CTG Maintenance (Vendor)</t>
  </si>
  <si>
    <t xml:space="preserve">Electrical/Controls Maintenance Training </t>
  </si>
  <si>
    <t>Excitation/Generator Maintenance (vendor)</t>
  </si>
  <si>
    <t xml:space="preserve">ST Controls Maintenance (vendor) </t>
  </si>
  <si>
    <t>Electrical System Maintenance (vendor)</t>
  </si>
  <si>
    <t>DCS Maintenance (vendor)</t>
  </si>
  <si>
    <t>CT Controls</t>
  </si>
  <si>
    <t>Total Class Training Duration (weeks)</t>
  </si>
  <si>
    <t>Training Plan</t>
  </si>
  <si>
    <t>Fundamentals Training Material</t>
  </si>
  <si>
    <t>Develop Site Specific Technical Systems Training Material</t>
  </si>
  <si>
    <t>Instruction for Fundamentals Training Material</t>
  </si>
  <si>
    <t>Full Operations and Maintenance services during the Pre-Operating and</t>
  </si>
  <si>
    <t>From</t>
  </si>
  <si>
    <t>To</t>
  </si>
  <si>
    <t>Changes/Comments</t>
  </si>
  <si>
    <t>Rev 0</t>
  </si>
  <si>
    <t>Rev 1</t>
  </si>
  <si>
    <t>3. Reduction in delivered, unit cost of 28% aqueous ammonia solution from $0.25/lb to $0.15/lb, based on verbal quote from Ashland Chemical, 2/00.</t>
  </si>
  <si>
    <t>4. Increase in the benefits cost for labor due to change in OEC benefits package for O&amp;M staff.</t>
  </si>
  <si>
    <t>2. Increase in the usage of ammonia for NOx control in the SCR from 25 lbs/hr/GT to 46 lbs/hr/GT, based on specifications for the use of the Engelhard CO + SCR system.</t>
  </si>
  <si>
    <t>1. Assume that water plant will be installed instead of leasing of trailer mounted demineralizers. Presents a net reduction in annual O&amp;M expense, but an increase in the initial capital costs of project.</t>
  </si>
  <si>
    <t>Water treatment plant:</t>
  </si>
  <si>
    <t>Facilities:</t>
  </si>
  <si>
    <t>COD is June 2001</t>
  </si>
  <si>
    <t>Revisions Listing</t>
  </si>
  <si>
    <t>Some administrative and support functions to operate the project are provided by the Operator from the home office or other project sites.</t>
  </si>
  <si>
    <t>Instruction for Technical Systems Training Material</t>
  </si>
  <si>
    <t>DCS/Speedtronics Training</t>
  </si>
  <si>
    <t>Facilities &amp; Catering</t>
  </si>
  <si>
    <t xml:space="preserve">Grand Total Training Cost </t>
  </si>
  <si>
    <t>Training Time Required by Position:</t>
  </si>
  <si>
    <t xml:space="preserve">Weeks of </t>
  </si>
  <si>
    <t xml:space="preserve">Months of </t>
  </si>
  <si>
    <t>Hired</t>
  </si>
  <si>
    <t># People</t>
  </si>
  <si>
    <t>Group A</t>
  </si>
  <si>
    <t>Plant Manager</t>
  </si>
  <si>
    <t>Group B</t>
  </si>
  <si>
    <t>Plant Supervisors, Maintenance Manager</t>
  </si>
  <si>
    <t>Group C</t>
  </si>
  <si>
    <t>Technicians IV - V</t>
  </si>
  <si>
    <t>Group D</t>
  </si>
  <si>
    <t xml:space="preserve">Purchasing / Warehouse </t>
  </si>
  <si>
    <t xml:space="preserve">CT Controls </t>
  </si>
  <si>
    <t>Radio Parts and repairs</t>
  </si>
  <si>
    <t>O&amp;M Annual Fee</t>
  </si>
  <si>
    <t>Raiwind (BC Hydro) (120MW)      $3.67/MW</t>
  </si>
  <si>
    <t>$440M/yr</t>
  </si>
  <si>
    <t>Dabhol (2150 MW)                          $1.72/MW</t>
  </si>
  <si>
    <t>$3700M/yr</t>
  </si>
  <si>
    <t>Use 10% of O&amp;M costs managed</t>
  </si>
  <si>
    <t>East Java (500 MW)(GE quote)     $2.00/MW</t>
  </si>
  <si>
    <t>$1000M/yr</t>
  </si>
  <si>
    <t>including Comm. Office and GT</t>
  </si>
  <si>
    <t>Multan (800 MW)                           $2.50/MW</t>
  </si>
  <si>
    <t>$2000M/yr</t>
  </si>
  <si>
    <t>Hainan (150 MW)                           $4.40/MW</t>
  </si>
  <si>
    <t>$660M/yr</t>
  </si>
  <si>
    <t xml:space="preserve">Guam (88 MW)                               $6.81/MW   </t>
  </si>
  <si>
    <t>$600M/yr</t>
  </si>
  <si>
    <t>Tapal (Wartsila) (126 MW)   $1.90/MW (18 mo.)</t>
  </si>
  <si>
    <t>$240M/yr</t>
  </si>
  <si>
    <t>Major Equipment Maintenance Program (20 year total)</t>
  </si>
  <si>
    <t xml:space="preserve">See detailed Schedule </t>
  </si>
  <si>
    <t>Administrative/Technical</t>
  </si>
  <si>
    <t>10% of procurement items</t>
  </si>
  <si>
    <t>Vehicular Fuel Usage</t>
  </si>
  <si>
    <t>3 Trucks:</t>
  </si>
  <si>
    <t>3 x gal/15 miles x $1.5/gal x 20000 miles/yr</t>
  </si>
  <si>
    <t>1 Van &amp; 1 Flat-bed Truck:</t>
  </si>
  <si>
    <t>2 x gal/ 10 miles x $1.5/gal x 20 miles/day x 365 days/year</t>
  </si>
  <si>
    <t>2 Forklifts:</t>
  </si>
  <si>
    <t>2 x 2 gal/hr x $1.5/gal x 2 hr/day x 365 days/yr</t>
  </si>
  <si>
    <t>1 Crane:</t>
  </si>
  <si>
    <t>5 gal/hr x $1.5/gal x 40 days/yr x 8 hours/day</t>
  </si>
  <si>
    <t>1 Crew Boats:</t>
  </si>
  <si>
    <t>20 gal/hr x 1hr/30 miles x 30 miles x 2rd trips/d x365 days/yr x $1.5/gal x 2.0 (idle factor)</t>
  </si>
  <si>
    <t>THESE COSTS ARE ALREADY INCLUDED ABOVE IN "OFFICE SUPPLIES/EXPENSES"</t>
  </si>
  <si>
    <t xml:space="preserve">Basis: </t>
  </si>
  <si>
    <t>YEAR</t>
  </si>
  <si>
    <t>C</t>
  </si>
  <si>
    <t>H</t>
  </si>
  <si>
    <t>NEW PARTS</t>
  </si>
  <si>
    <t>REPAIR COSTS</t>
  </si>
  <si>
    <t>Transition Pieces</t>
  </si>
  <si>
    <t xml:space="preserve"> </t>
  </si>
  <si>
    <t>DATE</t>
  </si>
  <si>
    <t>UNIT 1 GE7000EA</t>
  </si>
  <si>
    <t>OPERATING HOURS</t>
  </si>
  <si>
    <t>STARTS</t>
  </si>
  <si>
    <t>Liners</t>
  </si>
  <si>
    <t>Transition Seals</t>
  </si>
  <si>
    <t>Fuel Nozzles</t>
  </si>
  <si>
    <t>Row 1 Blades</t>
  </si>
  <si>
    <t>Row 2 Blades</t>
  </si>
  <si>
    <t>Row 3 Blades</t>
  </si>
  <si>
    <t xml:space="preserve">Row 1 Nozzles </t>
  </si>
  <si>
    <t>Row 2 Nozzles</t>
  </si>
  <si>
    <t>Row 3 Nozzles</t>
  </si>
  <si>
    <t>1st Stage Support Ring</t>
  </si>
  <si>
    <t xml:space="preserve">1st Stage Shroud Blocks </t>
  </si>
  <si>
    <t>2nd &amp; 3rd Stage Shroud Blocks</t>
  </si>
  <si>
    <t>IGV Blades</t>
  </si>
  <si>
    <t>Comp Rotor Blades</t>
  </si>
  <si>
    <t>Comp Diaphrams</t>
  </si>
  <si>
    <t>Turb/Gen Bearings</t>
  </si>
  <si>
    <t>Renewables Comb Insp</t>
  </si>
  <si>
    <t>Renewables HGP Insp</t>
  </si>
  <si>
    <t>Renewables Major Insp</t>
  </si>
  <si>
    <t>Generator Field</t>
  </si>
  <si>
    <t>Generator Stator</t>
  </si>
  <si>
    <t>Parts Total</t>
  </si>
  <si>
    <t>Repairs Total</t>
  </si>
  <si>
    <t>Cost per</t>
  </si>
  <si>
    <t>Start</t>
  </si>
  <si>
    <t>Total Maintenance Costs</t>
  </si>
  <si>
    <t>LABOR AND ENGINEERING</t>
  </si>
  <si>
    <t>Row 1 Support Ring</t>
  </si>
  <si>
    <t>REPAIR TOTAL (parts)</t>
  </si>
  <si>
    <t>REPAIR TOTAL (parts &amp;labor)</t>
  </si>
  <si>
    <t>SPARE PARTS ROTATION   GE7000EA</t>
  </si>
  <si>
    <t>INSPECTION</t>
  </si>
  <si>
    <t>HOURS</t>
  </si>
  <si>
    <t>TRANSITIONS   REPAIR 8000hrs, 400 starts REPLACE 48000hrs, 2400 starts</t>
  </si>
  <si>
    <t>REPAIR</t>
  </si>
  <si>
    <t>N</t>
  </si>
  <si>
    <t>Y</t>
  </si>
  <si>
    <t>REPLACE</t>
  </si>
  <si>
    <t>LINERS   REPAIR 8000hrs, 400Starts  REPLACE 40,000hrs, 2000starts</t>
  </si>
  <si>
    <t>FUEL NOZZLES    REPAIR 8000hrs, 400 starts  REPLACE 24000 hrs,  1200 starts</t>
  </si>
  <si>
    <t>1st, 2nd, 3rd STAGE NOZZLES, 1st STAGE SUPPORT RING   REPAIR 24000 hrs, 1200 starts  REPLACE 72000hrs, 3600 starts</t>
  </si>
  <si>
    <t>2nd &amp; 3rd STAGE BLADES, 2ND &amp; 3RD STAGE SHROUD BLOCKS   REPAIR 24000hrs, 1200starts  REPLACE 72000hrs, 4800 starts</t>
  </si>
  <si>
    <t>COMPRESSOR BLADES &amp; DIAPHRAMS   REPAIR 48000hrs, 2400starts  REPLACE 120000 hrs, 6000 starts</t>
  </si>
  <si>
    <t>1ST STAGE SHROUD BLOCKS  REPAIR 24000hrs, 1200starts  REPLACE 48000hrs, 2400starts</t>
  </si>
  <si>
    <t xml:space="preserve">1st STAGE BLADES  REPAIR 24000hrs, 1200starts   REPLACE 48000 hrs, 3600starts   </t>
  </si>
  <si>
    <t>MAINTENANCE LIFE CYCLE COSTS</t>
  </si>
  <si>
    <t>GENERAL ELECTRIC 7000EA (DLN)</t>
  </si>
  <si>
    <t>Part</t>
  </si>
  <si>
    <t>New Cost</t>
  </si>
  <si>
    <t>Replacement Interval</t>
  </si>
  <si>
    <t>Repair Cost</t>
  </si>
  <si>
    <t>Repair Interval</t>
  </si>
  <si>
    <t>($x1000)</t>
  </si>
  <si>
    <t>(hours)</t>
  </si>
  <si>
    <t>(starts)</t>
  </si>
  <si>
    <t>Row 1 Nozzles</t>
  </si>
  <si>
    <t>LABOR/ENGINEERING</t>
  </si>
  <si>
    <t>Combustion inspection</t>
  </si>
  <si>
    <t>Hot gas path inspection</t>
  </si>
  <si>
    <t>Major inspection</t>
  </si>
  <si>
    <t>Assumes all inspection labor will be by plant staff except for OEM TD</t>
  </si>
  <si>
    <t>Typical Dispatch Day (Mon.-Fri) in Peak Season</t>
  </si>
  <si>
    <t>Shift Technicians</t>
  </si>
  <si>
    <t>Engine Status</t>
  </si>
  <si>
    <t>Hour</t>
  </si>
  <si>
    <t>B</t>
  </si>
  <si>
    <t>D</t>
  </si>
  <si>
    <t>E</t>
  </si>
  <si>
    <t>Run</t>
  </si>
  <si>
    <t>Cool Down</t>
  </si>
  <si>
    <t>Headcount</t>
  </si>
  <si>
    <t>Burdened</t>
  </si>
  <si>
    <t>0000</t>
  </si>
  <si>
    <t>X</t>
  </si>
  <si>
    <t>Hours</t>
  </si>
  <si>
    <t>Annual Labor</t>
  </si>
  <si>
    <t>0100</t>
  </si>
  <si>
    <t>Hourly Wage</t>
  </si>
  <si>
    <t>Worked</t>
  </si>
  <si>
    <t>Cost</t>
  </si>
  <si>
    <t>Cost by Site</t>
  </si>
  <si>
    <t>0200</t>
  </si>
  <si>
    <t>Shift Change</t>
  </si>
  <si>
    <t>0300</t>
  </si>
  <si>
    <t>0400</t>
  </si>
  <si>
    <t>0500</t>
  </si>
  <si>
    <t>0600</t>
  </si>
  <si>
    <t>0700</t>
  </si>
  <si>
    <t>0800</t>
  </si>
  <si>
    <t>0900</t>
  </si>
  <si>
    <t>1000</t>
  </si>
  <si>
    <t>1100</t>
  </si>
  <si>
    <t>1200</t>
  </si>
  <si>
    <t>1300</t>
  </si>
  <si>
    <t>1400</t>
  </si>
  <si>
    <t>1500</t>
  </si>
  <si>
    <t>1600</t>
  </si>
  <si>
    <t>1700</t>
  </si>
  <si>
    <t>1800</t>
  </si>
  <si>
    <t>1900</t>
  </si>
  <si>
    <t>2000</t>
  </si>
  <si>
    <t>2100</t>
  </si>
  <si>
    <t>2200</t>
  </si>
  <si>
    <t>2300</t>
  </si>
  <si>
    <t>Typical Day</t>
  </si>
  <si>
    <t>ST Hours</t>
  </si>
  <si>
    <t>OT Hours</t>
  </si>
  <si>
    <t xml:space="preserve">Week </t>
  </si>
  <si>
    <t>Total Headcount</t>
  </si>
  <si>
    <t>Grand Total Annual Labor Cost</t>
  </si>
  <si>
    <t>Straight Time Domestic Rates</t>
  </si>
  <si>
    <t>Employee Cost Breakdown</t>
  </si>
  <si>
    <t xml:space="preserve">Base Rate </t>
  </si>
  <si>
    <t>Base</t>
  </si>
  <si>
    <t>Payroll</t>
  </si>
  <si>
    <t>Workers</t>
  </si>
  <si>
    <t>Group</t>
  </si>
  <si>
    <t>General</t>
  </si>
  <si>
    <t>Multiplier</t>
  </si>
  <si>
    <t>Position or</t>
  </si>
  <si>
    <t>Hourly</t>
  </si>
  <si>
    <t>Comp.</t>
  </si>
  <si>
    <t>O/H</t>
  </si>
  <si>
    <t>Ins.</t>
  </si>
  <si>
    <t>Liability</t>
  </si>
  <si>
    <t>Pension</t>
  </si>
  <si>
    <t xml:space="preserve">Unburdened </t>
  </si>
  <si>
    <t>for</t>
  </si>
  <si>
    <t>Employee Name</t>
  </si>
  <si>
    <t>Rate</t>
  </si>
  <si>
    <t>Burdens</t>
  </si>
  <si>
    <t>Alloc.</t>
  </si>
  <si>
    <t>Prem.</t>
  </si>
  <si>
    <t xml:space="preserve">Benefit </t>
  </si>
  <si>
    <t>5 Week</t>
  </si>
  <si>
    <t>Totals</t>
  </si>
  <si>
    <t>15 Week</t>
  </si>
  <si>
    <t>Balance of Year</t>
  </si>
  <si>
    <t>Totals (37 Wks)</t>
  </si>
  <si>
    <t>Over Time Domestic Rates</t>
  </si>
  <si>
    <t>n/a</t>
  </si>
  <si>
    <t>Lakefield Staff</t>
  </si>
  <si>
    <t>Mobilization Before CommercialOperation</t>
  </si>
  <si>
    <t>No.</t>
  </si>
  <si>
    <t>MAINTENANCE MANAGER</t>
  </si>
  <si>
    <t xml:space="preserve">PURCHASING / WAREHOUSE </t>
  </si>
  <si>
    <t>CLERK</t>
  </si>
  <si>
    <t>O,M</t>
  </si>
  <si>
    <t>PLANT SUPERVISOR</t>
  </si>
  <si>
    <t>TECHNICIAN III</t>
  </si>
  <si>
    <t>Overtime (15%) for last 2 months of Mobilization added to Techs by way of increasing months by .33</t>
  </si>
  <si>
    <t>ASSUMPTIONS FOR PRE-OPERATIONS STAFF MOBILIZATION</t>
  </si>
  <si>
    <t>POSITIONS</t>
  </si>
  <si>
    <t>ANNUAL*</t>
  </si>
  <si>
    <t>IN US $</t>
  </si>
  <si>
    <t>Operations &amp; Maint.</t>
  </si>
  <si>
    <t xml:space="preserve">  (See detailed MobStaff schedule)</t>
  </si>
  <si>
    <t>O&amp;M Mobilization Staffing Plan</t>
  </si>
  <si>
    <t xml:space="preserve">    Stationary lab items (vent hoods, lab benches, etc.) </t>
  </si>
  <si>
    <t xml:space="preserve">    Analytical equipment, glassware, etc.</t>
  </si>
  <si>
    <t>Shop Tools and Equipment</t>
  </si>
  <si>
    <t xml:space="preserve">    Machine shop/Instrument shop tools</t>
  </si>
  <si>
    <t xml:space="preserve">    Maint. (incl I/C&amp;E) test equipment</t>
  </si>
  <si>
    <t xml:space="preserve">    Work benches, storage bins</t>
  </si>
  <si>
    <t xml:space="preserve">    Hand tools for O&amp;M personnel</t>
  </si>
  <si>
    <t xml:space="preserve">    Hand tools for Startup personnel</t>
  </si>
  <si>
    <t>Special Tools</t>
  </si>
  <si>
    <t xml:space="preserve">    Startup, Std Vendor supply</t>
  </si>
  <si>
    <t xml:space="preserve">    Optional vendor supply</t>
  </si>
  <si>
    <t xml:space="preserve">Incl with Vendor PO </t>
  </si>
  <si>
    <t>Chemicals, Lubricants, Fluids</t>
  </si>
  <si>
    <t xml:space="preserve">    Initial equipment/vessel fill</t>
  </si>
  <si>
    <t xml:space="preserve">    Consumption (pre-COD)</t>
  </si>
  <si>
    <t xml:space="preserve">    Consumption (post-COD)</t>
  </si>
  <si>
    <t xml:space="preserve">    Warehouse stock</t>
  </si>
  <si>
    <t>Spare parts*</t>
  </si>
  <si>
    <t xml:space="preserve">    Capital (Overhaul) Spares for major equip.</t>
  </si>
  <si>
    <t>Incl. with Vendor PO</t>
  </si>
  <si>
    <t xml:space="preserve">    Operating (Initial) Spares for major equip.</t>
  </si>
  <si>
    <t xml:space="preserve">    Warehouse stock &amp; BOP spare parts</t>
  </si>
  <si>
    <t>Installed Cranes</t>
  </si>
  <si>
    <t>Summer Peaking Staff</t>
  </si>
  <si>
    <t xml:space="preserve">All In </t>
  </si>
  <si>
    <t>Hrs/wk</t>
  </si>
  <si>
    <t>Expenses</t>
  </si>
  <si>
    <t>SUMMER PEAKING STAFF</t>
  </si>
  <si>
    <t>Training ($ 2,700 /tech x 2 tech)</t>
  </si>
  <si>
    <t>CEMS Testing Consultant</t>
  </si>
  <si>
    <t>$ 16,000/site/yr</t>
  </si>
  <si>
    <t>Special Gases CEMS testing</t>
  </si>
  <si>
    <t>$ 2,000/site/yr</t>
  </si>
  <si>
    <t>CEMS Maintenance</t>
  </si>
  <si>
    <t>$ 5,000/site/yr</t>
  </si>
  <si>
    <t>Misc Environmental Costs</t>
  </si>
  <si>
    <t>$ 3,000/site/yr</t>
  </si>
  <si>
    <t>Basis: Based on Caledonia estimate</t>
  </si>
  <si>
    <t>Safety Training</t>
  </si>
  <si>
    <t>$3,000/site/yr</t>
  </si>
  <si>
    <t>$ 4,000/site/yr</t>
  </si>
  <si>
    <t xml:space="preserve">Building Repairs </t>
  </si>
  <si>
    <t>$ 6,000/site/yr</t>
  </si>
  <si>
    <t>Landscaping and Site Maintenance</t>
  </si>
  <si>
    <t>Contract Labor - General</t>
  </si>
  <si>
    <t xml:space="preserve">Weekend/Night Security </t>
  </si>
  <si>
    <t>Fixed</t>
  </si>
  <si>
    <t>52 weeks x 5 days x 12 hours x $20</t>
  </si>
  <si>
    <t>52 weekends x 48 hours x $20</t>
  </si>
  <si>
    <t>Materials, Small Equip &amp; Supplies</t>
  </si>
  <si>
    <t xml:space="preserve">Outside Services </t>
  </si>
  <si>
    <t>Garbage &amp; Trash, Janitorial, &amp; Pest Control</t>
  </si>
  <si>
    <t>Employee Uniforms</t>
  </si>
  <si>
    <t>PC Hardware/Software</t>
  </si>
  <si>
    <t>Postage &amp; Freight Expenses, FedEx</t>
  </si>
  <si>
    <t>Utilities (office water, garbage removal)</t>
  </si>
  <si>
    <t xml:space="preserve">Phone service </t>
  </si>
  <si>
    <t>Admin-$18,000/yr + $1200/site/yr</t>
  </si>
  <si>
    <t xml:space="preserve">Pagers </t>
  </si>
  <si>
    <t>9 x $15/mo x 12 mo.</t>
  </si>
  <si>
    <t xml:space="preserve">Cellular phone service </t>
  </si>
  <si>
    <t>1 x $150/mo x 12 mo.</t>
  </si>
  <si>
    <t>Oil Analysis</t>
  </si>
  <si>
    <t xml:space="preserve">8) </t>
  </si>
  <si>
    <t xml:space="preserve">9)  </t>
  </si>
  <si>
    <t xml:space="preserve">10) </t>
  </si>
  <si>
    <t xml:space="preserve">11)   </t>
  </si>
  <si>
    <t xml:space="preserve">13)  </t>
  </si>
  <si>
    <t>14) .</t>
  </si>
  <si>
    <t xml:space="preserve">16) </t>
  </si>
  <si>
    <t>15)</t>
  </si>
  <si>
    <t>$500/wash/wk/unit x 15wks x 6 units</t>
  </si>
  <si>
    <t>$8.80/1000 gal*500 gal/wash/wk*15 wks*6 units</t>
  </si>
  <si>
    <t>Controls (DCS)</t>
  </si>
  <si>
    <t>$ 8,000/yr/site</t>
  </si>
  <si>
    <t xml:space="preserve">Meters and Relay work </t>
  </si>
  <si>
    <t>$ 7,000/yr/site</t>
  </si>
  <si>
    <t>Switchgear / Breakers</t>
  </si>
  <si>
    <t>$ 9,000/yr/site</t>
  </si>
  <si>
    <t xml:space="preserve">Instrumention Calibration </t>
  </si>
  <si>
    <t>$ 2,000/yr/site</t>
  </si>
  <si>
    <t xml:space="preserve">Motor Overhauls </t>
  </si>
  <si>
    <t>$ 30k/unit x 6 unit</t>
  </si>
  <si>
    <t>Instruments</t>
  </si>
  <si>
    <t>$ 6k/unit x 6 unit</t>
  </si>
  <si>
    <t>Filters</t>
  </si>
  <si>
    <t>$ 13k/unit x 6 unit</t>
  </si>
  <si>
    <t>Misc.</t>
  </si>
  <si>
    <t>$ 5k/unit x 6 unit</t>
  </si>
  <si>
    <t>6 - 7EA</t>
  </si>
  <si>
    <t>Misc Maint Materials &amp; Consumables</t>
  </si>
  <si>
    <t>$ 7000/site/yr.</t>
  </si>
  <si>
    <t>Vehicle (s)</t>
  </si>
  <si>
    <t xml:space="preserve">     P/U Truck Fuel; Repairs &amp; maintenance; lease (5ea @ $600/mo.)</t>
  </si>
  <si>
    <t xml:space="preserve">      Forklift Fuel, Maint. &amp; Lease</t>
  </si>
  <si>
    <t>(3 ea @ $450/mo.)</t>
  </si>
  <si>
    <t>Lubricants/Turbine Oil/Grease/Compounds/Gear oil  $ 2000/site/yr</t>
  </si>
  <si>
    <t>Tools &amp; Tool Repair/Replacement</t>
  </si>
  <si>
    <t xml:space="preserve">     Mechanical</t>
  </si>
  <si>
    <t>$ 500/site/yr</t>
  </si>
  <si>
    <t xml:space="preserve">     Electrical</t>
  </si>
  <si>
    <t>$ 250/site/yr</t>
  </si>
  <si>
    <t>Equipment Rental</t>
  </si>
  <si>
    <t xml:space="preserve">     Assorted Equipment </t>
  </si>
  <si>
    <t>Professional Specialty Services</t>
  </si>
  <si>
    <t>$ 17,500/yr</t>
  </si>
  <si>
    <t>OM&amp;A Annual Fee</t>
  </si>
  <si>
    <t xml:space="preserve">Total Project Operating Expenses </t>
  </si>
  <si>
    <t xml:space="preserve">            $/Mwh @ 14% PLF</t>
  </si>
  <si>
    <t xml:space="preserve">            $/Mwh @14% PLF</t>
  </si>
  <si>
    <t xml:space="preserve">Chemicals @ 14% Plant Load Factor (PLF) </t>
  </si>
  <si>
    <t>US$</t>
  </si>
  <si>
    <t>* Turbine spare parts will be purchased based on competitive bids as part of and prior to Turbine vendors selection;</t>
  </si>
  <si>
    <t xml:space="preserve">   actual parts purchased will be approved by Owner.</t>
  </si>
  <si>
    <t>TOTAL</t>
  </si>
  <si>
    <t>O&amp;M Mobilization Fee</t>
  </si>
  <si>
    <t>Owners' Engineer Cost Estimate</t>
  </si>
  <si>
    <t>(US $)</t>
  </si>
  <si>
    <t>(Contracted Service)</t>
  </si>
  <si>
    <t>Monthly</t>
  </si>
  <si>
    <t>No. of Mos.</t>
  </si>
  <si>
    <t>Engineer  (Payroll Cost)</t>
  </si>
  <si>
    <t>Engineer (Benefits &amp; Allowances)</t>
  </si>
  <si>
    <t>Home Leave &amp; Vacation (4 X yr.)</t>
  </si>
  <si>
    <t>Vehicle &amp; Fuel</t>
  </si>
  <si>
    <t>Housing and Utilities</t>
  </si>
  <si>
    <t>Misc. Off.  Supplies and Exps.</t>
  </si>
  <si>
    <t>Computer &amp; Other Eqpt.</t>
  </si>
  <si>
    <t>Meeting and Repr. Exp. (Local)</t>
  </si>
  <si>
    <t>Off-Island Meeting &amp; Eqpt. Inspection</t>
  </si>
  <si>
    <t>Specialized Engineering Support (2 X 15 Mos.)</t>
  </si>
  <si>
    <t>Contingency/Other</t>
  </si>
  <si>
    <t xml:space="preserve">                               Sub- Total</t>
  </si>
  <si>
    <t>10% Owner's Engineer Fee</t>
  </si>
  <si>
    <t>Total Owner's Engineer Expense</t>
  </si>
  <si>
    <t>Assumptions:</t>
  </si>
  <si>
    <t>* Owner's Engineer contracted from the Philippine</t>
  </si>
  <si>
    <t>* Scope of Work is similar to Guam services, act as Owner's QA/QC</t>
  </si>
  <si>
    <t>* Owner's Engineer mobilized 2 mos. before NTP date to famliarize with construction contract</t>
  </si>
  <si>
    <t xml:space="preserve">      and Owner's QA/QC requirement and 1 months after COD for winddown</t>
  </si>
  <si>
    <t>EstimateSummary</t>
  </si>
  <si>
    <t>Group Item</t>
  </si>
  <si>
    <t>Budget Item</t>
  </si>
  <si>
    <t>Line Item</t>
  </si>
  <si>
    <t>Detail/Basis</t>
  </si>
  <si>
    <t>Total (US $)</t>
  </si>
  <si>
    <t>LOCAL</t>
  </si>
  <si>
    <t>FOREIGN</t>
  </si>
  <si>
    <t>Calculation and Note Area</t>
  </si>
  <si>
    <t>O&amp;M Pre-Mobilization / Mobilization Estimate Backup/Detail</t>
  </si>
  <si>
    <t>O&amp;M Mobilization BudgetOperating ExpensesPublic Relations Title</t>
  </si>
  <si>
    <t>O&amp;M Mobilization Budget</t>
  </si>
  <si>
    <t>Operating Expenses</t>
  </si>
  <si>
    <t>Public Relations</t>
  </si>
  <si>
    <t>Payroll and Benefits (US)</t>
  </si>
  <si>
    <t>Travel Expenses in Region</t>
  </si>
  <si>
    <t>6 overseas tripsx$6000/trip + $150/dayperdiem x 90 days</t>
  </si>
  <si>
    <t>Travel for Expat To/From Home (UK)</t>
  </si>
  <si>
    <t>1 trip/quarter x 3 quarters x $6M/trip</t>
  </si>
  <si>
    <t>Temporary Living (Expat) in Houston</t>
  </si>
  <si>
    <t>$3000/month x 9 months</t>
  </si>
  <si>
    <t>Tech Services/Studies</t>
  </si>
  <si>
    <t>15 mandaysx$75/hrx8hrs/d</t>
  </si>
  <si>
    <t>Miscellaneous (comms, etc.)</t>
  </si>
  <si>
    <t>$1000/month x 12 months</t>
  </si>
  <si>
    <t>HAZOP Study (3rd party consultant)</t>
  </si>
  <si>
    <t>RAM Study (3rd party consultant)</t>
  </si>
  <si>
    <t>Expat Recruiting</t>
  </si>
  <si>
    <t>40% x Base</t>
  </si>
  <si>
    <t>O&amp;M Mobilization BudgetOperating ExpensesPublic Relations Total</t>
  </si>
  <si>
    <t>(Assumes Mob period begins 5/99)</t>
  </si>
  <si>
    <t>Sub-Total</t>
  </si>
  <si>
    <t>O&amp;M Mobilization BudgetOperating ExpensesPayroll with burden Title</t>
  </si>
  <si>
    <t>Payroll with burden</t>
  </si>
  <si>
    <t>O&amp;M Mobilization BudgetOperating ExpensesPayroll with burden Total</t>
  </si>
  <si>
    <t>Basis: Project Schedule</t>
  </si>
  <si>
    <t>O&amp;M Mobilization BudgetOperating ExpensesEmployee Expenses Title</t>
  </si>
  <si>
    <t>Trips to US</t>
  </si>
  <si>
    <t>5 trips to US x $6M + $150/dayperdiem x 50 days</t>
  </si>
  <si>
    <t>Misc. (OT meals, Conferences,etc.)</t>
  </si>
  <si>
    <t>Travel Exp./O.T. Meals (33% of Travel)</t>
  </si>
  <si>
    <t>Meal Allowance</t>
  </si>
  <si>
    <t>$2/day/employee x 200 days x # staff</t>
  </si>
  <si>
    <t>O&amp;M Mobilization BudgetOperating ExpensesEmployee Expenses Total</t>
  </si>
  <si>
    <t>Basis: HR recommends 1 meal/day subsidized by the company</t>
  </si>
  <si>
    <t>O&amp;M Mobilization BudgetOperating ExpensesRecruiting Expenses Title</t>
  </si>
  <si>
    <t>HR Support (Regional)</t>
  </si>
  <si>
    <t>120 manhrs x $75/hr</t>
  </si>
  <si>
    <t>HR Travel (within Region)</t>
  </si>
  <si>
    <t>5 trips x $2M/trip + $150/dayperdiem x 25 days</t>
  </si>
  <si>
    <t>O&amp;M Mobilization BudgetOperating ExpensesRecruiting Expenses Total</t>
  </si>
  <si>
    <t>O&amp;M Mobilization BudgetOperating ExpensesRelocation Expenses Title</t>
  </si>
  <si>
    <t>Locals</t>
  </si>
  <si>
    <t>25% of Base Salaries + $200/person for examination</t>
  </si>
  <si>
    <t>O&amp;M Mobilization BudgetOperating ExpensesRelocation Expenses Total</t>
  </si>
  <si>
    <t>O&amp;M Mobilization BudgetOperating ExpensesOutside Services Title</t>
  </si>
  <si>
    <t>Opns support (1 Opns pers)</t>
  </si>
  <si>
    <t>Startup Coord: See Operations Support section</t>
  </si>
  <si>
    <t xml:space="preserve">   per diem(lodging, meals, travel)</t>
  </si>
  <si>
    <t>Guards</t>
  </si>
  <si>
    <t>Turnkey responsibility</t>
  </si>
  <si>
    <t>Groundskeepers</t>
  </si>
  <si>
    <t>Translator</t>
  </si>
  <si>
    <t>N/A</t>
  </si>
  <si>
    <t>Janitors</t>
  </si>
  <si>
    <t>2 x grade 10 pay x 12 months</t>
  </si>
  <si>
    <t>Drivers</t>
  </si>
  <si>
    <t>Have 3 in Housing colony count</t>
  </si>
  <si>
    <t>Clerks/Receptionist</t>
  </si>
  <si>
    <t>Maintenance helpers</t>
  </si>
  <si>
    <t>hired after COD</t>
  </si>
  <si>
    <t>Warehousemen</t>
  </si>
  <si>
    <t>Legal</t>
  </si>
  <si>
    <t>80 manhrs X $125/hr</t>
  </si>
  <si>
    <t>Tax</t>
  </si>
  <si>
    <t>80 manhrs X $75/hr</t>
  </si>
  <si>
    <t>Accounting</t>
  </si>
  <si>
    <t>Safety</t>
  </si>
  <si>
    <t>80 manhrs X $75/hr + 2 trip x $3M + 15 days perdiem x$150/day</t>
  </si>
  <si>
    <t>Environmental</t>
  </si>
  <si>
    <t>80 manhrs X $75/hr + 1 trip x $3M + 7 days perdiem x$150/day</t>
  </si>
  <si>
    <t>Regional Technical Support</t>
  </si>
  <si>
    <t>120 manhrs X $75/hr + 2 trip x $3M + 14 days perdiem x$150/day</t>
  </si>
  <si>
    <t>ISO 9002 Certification</t>
  </si>
  <si>
    <t>Certifying consultant</t>
  </si>
  <si>
    <t>Customs</t>
  </si>
  <si>
    <t>Misc. agent fees</t>
  </si>
  <si>
    <t>Trash/Waste Disposal</t>
  </si>
  <si>
    <t>Electrical Testing/Calibration</t>
  </si>
  <si>
    <t>Technical/Professional</t>
  </si>
  <si>
    <t>Office Equipment Maintenance</t>
  </si>
  <si>
    <t>O&amp;M Mobilization BudgetOperating ExpensesOutside Services Total</t>
  </si>
  <si>
    <t>Basis: HR Salary &amp; Benefits Survey</t>
  </si>
  <si>
    <t>Location:</t>
  </si>
  <si>
    <t>Capacity:</t>
  </si>
  <si>
    <t>Primary Fuel to be Pipeline Quality Natural Gas</t>
  </si>
  <si>
    <t>No backup fuel</t>
  </si>
  <si>
    <t>.5 x Annual Salary covers relocation policy benefits</t>
  </si>
  <si>
    <t>Plant manager</t>
  </si>
  <si>
    <t>Rest of Staff</t>
  </si>
  <si>
    <t>Hire from local area</t>
  </si>
  <si>
    <t>3ea @ $800/set</t>
  </si>
  <si>
    <t>6ea @ $100</t>
  </si>
  <si>
    <t>5ea @ $75</t>
  </si>
  <si>
    <t>5ea @ $200</t>
  </si>
  <si>
    <t>5ea @ $50</t>
  </si>
  <si>
    <t>6ea @ $150 + $1500</t>
  </si>
  <si>
    <t>1ea @ $150</t>
  </si>
  <si>
    <t>6ea @ $75</t>
  </si>
  <si>
    <t>1 ea @ $300</t>
  </si>
  <si>
    <t>O&amp;M Mobilization BudgetOperating ExpensesOther Supplies &amp; Expenses Title</t>
  </si>
  <si>
    <t xml:space="preserve"> Postage &amp; Freight</t>
  </si>
  <si>
    <t>Office &amp; Misc. Supplies (usage)</t>
  </si>
  <si>
    <t>Equipment rental/leasing</t>
  </si>
  <si>
    <t>Vehicle Lease,fuel, maint. (temp.)</t>
  </si>
  <si>
    <t>2vehx$40/dayx60days</t>
  </si>
  <si>
    <t>Janitorial Supplies (usage)</t>
  </si>
  <si>
    <t>Bldg. Utilities (water, power, gas)</t>
  </si>
  <si>
    <t>Vehicle fuel usage</t>
  </si>
  <si>
    <t>assume 1/2 of avg annual usage</t>
  </si>
  <si>
    <t>ea. LM6000 PC Sprint gas turbines in simple cycle with water injection</t>
  </si>
  <si>
    <t>SCR units</t>
  </si>
  <si>
    <t>Annual run hours:</t>
  </si>
  <si>
    <t>Annual # of starts:</t>
  </si>
  <si>
    <t>Annual plant load factor:</t>
  </si>
  <si>
    <t>Administrative office space, storage</t>
  </si>
  <si>
    <t>Ownership:</t>
  </si>
  <si>
    <t xml:space="preserve">MW (GTs @ ISO) </t>
  </si>
  <si>
    <t>Plant operating scenario based on operating Jun-Sept., Mon-Fri., 16 hours/day at a baseload setting. Plant to not be considered available during the weekends (year round) and evenings during the off-peak season. Some maintenance outage will be required in off seasons.</t>
  </si>
  <si>
    <t>Variable costs are based on the above assumed plant operating scenario.</t>
  </si>
  <si>
    <t xml:space="preserve">Fuel </t>
  </si>
  <si>
    <t>escalation, inflation or exchange rate risk</t>
  </si>
  <si>
    <t>26)</t>
  </si>
  <si>
    <t>Owner's Engineer within the Owner's scope, but estimate is provided.</t>
  </si>
  <si>
    <t xml:space="preserve">Chemicals </t>
  </si>
  <si>
    <t>46 lbs/hr/SCR x # SCR units x annual # hrs x $0.20/lb</t>
  </si>
  <si>
    <t># gts x $2000/yr/gt</t>
  </si>
  <si>
    <t>Assume cooling tower flow rate of 8,500 gpm/GT, approach of 5, range of 10, 3 cycles of concentration.</t>
  </si>
  <si>
    <t>Cooling tower treatment for # annual hrs of service ($10,000/GT/1,400 hrs)</t>
  </si>
  <si>
    <t>Term in years:</t>
  </si>
  <si>
    <t>SCR Catalyst Replacement Annual Accrual</t>
  </si>
  <si>
    <t xml:space="preserve">   Term total   </t>
  </si>
  <si>
    <t>($/kw-yr)</t>
  </si>
  <si>
    <t>Annual US $</t>
  </si>
  <si>
    <t>Fixed ($/kw-yr)</t>
  </si>
  <si>
    <t>Vehicle maintenance</t>
  </si>
  <si>
    <t>$500/vehicle/yr</t>
  </si>
  <si>
    <t>O&amp;M Mobilization BudgetOperating ExpensesOther Supplies &amp; Expenses Total</t>
  </si>
  <si>
    <t>O&amp;M Mobilization BudgetOperating ExpensesCommunications Title</t>
  </si>
  <si>
    <t>Cellular Phones</t>
  </si>
  <si>
    <t>O&amp;M Mobilization BudgetOperating ExpensesCommunications Total</t>
  </si>
  <si>
    <t>O&amp;M Mobilization BudgetOperating ExpensesMiscellaneous Office Expenses Title</t>
  </si>
  <si>
    <t>Miscellaneous Office Expenses</t>
  </si>
  <si>
    <t>Office Bldgs.</t>
  </si>
  <si>
    <t>1000 sq ft x $20/sq ft x 6 months</t>
  </si>
  <si>
    <t>Trailers (admin only, ex training)</t>
  </si>
  <si>
    <t>3x6monthsx$600/month (if available)</t>
  </si>
  <si>
    <t>Sanitary facilities</t>
  </si>
  <si>
    <t>5x6monthsx$100/month</t>
  </si>
  <si>
    <t>Misc. Furnishings</t>
  </si>
  <si>
    <t>Temporary Living Quarters</t>
  </si>
  <si>
    <t>Expat covered in "Relocation" expenses</t>
  </si>
  <si>
    <t>Assume admin facilties complete COD minus 12 months</t>
  </si>
  <si>
    <t>O&amp;M Mobilization BudgetOperating ExpensesMiscellaneous Office Expenses Total</t>
  </si>
  <si>
    <t>O&amp;M Mobilization BudgetOperating ExpensesTraining Title</t>
  </si>
  <si>
    <t>Basic Plant Training</t>
  </si>
  <si>
    <t>See Training sheet</t>
  </si>
  <si>
    <t>Major Systems Training</t>
  </si>
  <si>
    <t>Plant Chemistry</t>
  </si>
  <si>
    <t>Control Room Training</t>
  </si>
  <si>
    <t>Basic Maintenance</t>
  </si>
  <si>
    <t>Electrical/Controls Maintenance</t>
  </si>
  <si>
    <t>Additional Vendor Training</t>
  </si>
  <si>
    <t>Per diem for instructors</t>
  </si>
  <si>
    <t>Facilities (trailer rental, hall)</t>
  </si>
  <si>
    <t xml:space="preserve">Travel </t>
  </si>
  <si>
    <t>Training Coordinator</t>
  </si>
  <si>
    <t>Additional Manuals/Documents</t>
  </si>
  <si>
    <t>Miscellaneous</t>
  </si>
  <si>
    <t>Translation</t>
  </si>
  <si>
    <t>O&amp;M Mobilization BudgetOperating ExpensesTraining Total</t>
  </si>
  <si>
    <t>Basis: Eval TM consensus</t>
  </si>
  <si>
    <t>O&amp;M Mobilization BudgetOperating ExpensesManuals/Operating Procedures Title</t>
  </si>
  <si>
    <t>Manuals/Operating Procedures</t>
  </si>
  <si>
    <t>Administration</t>
  </si>
  <si>
    <t>5 mandays x $400/day</t>
  </si>
  <si>
    <t>Operations check lists</t>
  </si>
  <si>
    <t xml:space="preserve">Maintenance </t>
  </si>
  <si>
    <t>1/2 of Operating procedures</t>
  </si>
  <si>
    <t>Overtime</t>
  </si>
  <si>
    <t>NA</t>
  </si>
  <si>
    <t>Capital, Operating and BOP Spares</t>
  </si>
  <si>
    <t xml:space="preserve"> (See Capital/Operating Spares)</t>
  </si>
  <si>
    <t xml:space="preserve">3% of cost </t>
  </si>
  <si>
    <t>0.25% of cost</t>
  </si>
  <si>
    <t>Payroll &amp; Burden</t>
  </si>
  <si>
    <t>Administration and Operations Expenses</t>
  </si>
  <si>
    <t>Total Administration &amp; Operations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</si>
</sst>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6" formatCode="_(* #,##0_);_(* \(#,##0\);_(* &quot;-&quot;??_);_(@_)"/>
    <numFmt numFmtId="171" formatCode="0.0"/>
    <numFmt numFmtId="174" formatCode="0.000"/>
    <numFmt numFmtId="182" formatCode="_(&quot;$&quot;* #,##0.000_);_(&quot;$&quot;* \(#,##0.000\);_(&quot;$&quot;* &quot;-&quot;??_);_(@_)"/>
    <numFmt numFmtId="185" formatCode="_(&quot;$&quot;* #,##0_);_(&quot;$&quot;* \(#,##0\);_(&quot;$&quot;* &quot;-&quot;??_);_(@_)"/>
    <numFmt numFmtId="186" formatCode="0.0%"/>
    <numFmt numFmtId="210" formatCode="_-&quot;£&quot;* #,##0_-;\-&quot;£&quot;* #,##0_-;_-&quot;£&quot;* &quot;-&quot;_-;_-@_-"/>
    <numFmt numFmtId="211" formatCode="_-* #,##0_-;\-* #,##0_-;_-* &quot;-&quot;_-;_-@_-"/>
    <numFmt numFmtId="212" formatCode="_-&quot;£&quot;* #,##0.00_-;\-&quot;£&quot;* #,##0.00_-;_-&quot;£&quot;* &quot;-&quot;??_-;_-@_-"/>
    <numFmt numFmtId="213" formatCode="_-* #,##0.00_-;\-* #,##0.00_-;_-* &quot;-&quot;??_-;_-@_-"/>
    <numFmt numFmtId="228" formatCode="&quot;$&quot;#,##0"/>
    <numFmt numFmtId="230" formatCode="#,##0.000_);\(#,##0.000\)"/>
    <numFmt numFmtId="278" formatCode="&quot;$&quot;#,##0.00"/>
    <numFmt numFmtId="310" formatCode="&quot;$&quot;#,##0;\(&quot;$&quot;#,##0\)"/>
    <numFmt numFmtId="311" formatCode="\(#,##0_)\);\(#,##0\)"/>
  </numFmts>
  <fonts count="56">
    <font>
      <sz val="10"/>
      <name val="Arial"/>
    </font>
    <font>
      <b/>
      <sz val="10"/>
      <name val="Arial"/>
    </font>
    <font>
      <i/>
      <sz val="10"/>
      <name val="Arial"/>
    </font>
    <font>
      <b/>
      <i/>
      <sz val="10"/>
      <name val="Arial"/>
    </font>
    <font>
      <sz val="10"/>
      <name val="Arial"/>
    </font>
    <font>
      <b/>
      <sz val="12"/>
      <name val="Arial"/>
    </font>
    <font>
      <sz val="10"/>
      <name val="Arial"/>
      <family val="2"/>
    </font>
    <font>
      <b/>
      <i/>
      <sz val="12"/>
      <name val="Arial"/>
      <family val="2"/>
    </font>
    <font>
      <b/>
      <i/>
      <sz val="10"/>
      <name val="Arial"/>
      <family val="2"/>
    </font>
    <font>
      <sz val="14"/>
      <name val="Arial"/>
      <family val="2"/>
    </font>
    <font>
      <u/>
      <sz val="10"/>
      <name val="Arial"/>
      <family val="2"/>
    </font>
    <font>
      <b/>
      <u/>
      <sz val="10"/>
      <name val="Arial"/>
      <family val="2"/>
    </font>
    <font>
      <b/>
      <sz val="14"/>
      <name val="Arial"/>
    </font>
    <font>
      <sz val="12"/>
      <name val="Arial MT"/>
    </font>
    <font>
      <b/>
      <sz val="12"/>
      <name val="Arial"/>
      <family val="2"/>
    </font>
    <font>
      <sz val="10"/>
      <color indexed="8"/>
      <name val="Arial"/>
      <family val="2"/>
    </font>
    <font>
      <sz val="12"/>
      <name val="Arial"/>
      <family val="2"/>
    </font>
    <font>
      <b/>
      <sz val="12"/>
      <color indexed="8"/>
      <name val="Arial"/>
      <family val="2"/>
    </font>
    <font>
      <b/>
      <i/>
      <sz val="12"/>
      <color indexed="8"/>
      <name val="Arial"/>
      <family val="2"/>
    </font>
    <font>
      <b/>
      <i/>
      <sz val="10"/>
      <color indexed="8"/>
      <name val="Arial"/>
      <family val="2"/>
    </font>
    <font>
      <sz val="14"/>
      <color indexed="8"/>
      <name val="Arial"/>
      <family val="2"/>
    </font>
    <font>
      <i/>
      <sz val="10"/>
      <color indexed="8"/>
      <name val="Arial"/>
      <family val="2"/>
    </font>
    <font>
      <b/>
      <sz val="14"/>
      <color indexed="8"/>
      <name val="Arial"/>
      <family val="2"/>
    </font>
    <font>
      <b/>
      <sz val="10"/>
      <name val="Arial"/>
      <family val="2"/>
    </font>
    <font>
      <sz val="8"/>
      <name val="Arial"/>
      <family val="2"/>
    </font>
    <font>
      <b/>
      <sz val="10"/>
      <color indexed="8"/>
      <name val="Arial"/>
    </font>
    <font>
      <sz val="8"/>
      <color indexed="8"/>
      <name val="Arial"/>
      <family val="2"/>
    </font>
    <font>
      <b/>
      <sz val="10"/>
      <color indexed="8"/>
      <name val="Arial"/>
      <family val="2"/>
    </font>
    <font>
      <sz val="12"/>
      <name val="Helv"/>
    </font>
    <font>
      <b/>
      <sz val="10"/>
      <name val="Times New Roman"/>
    </font>
    <font>
      <sz val="10"/>
      <name val="Times New Roman"/>
      <family val="1"/>
    </font>
    <font>
      <sz val="10"/>
      <name val="Times New Roman"/>
    </font>
    <font>
      <sz val="10"/>
      <color indexed="10"/>
      <name val="Arial"/>
      <family val="2"/>
    </font>
    <font>
      <b/>
      <vertAlign val="superscript"/>
      <sz val="10"/>
      <name val="Arial"/>
      <family val="2"/>
    </font>
    <font>
      <b/>
      <u/>
      <sz val="12"/>
      <name val="Arial"/>
      <family val="2"/>
    </font>
    <font>
      <sz val="8"/>
      <name val="Arial"/>
    </font>
    <font>
      <b/>
      <sz val="10"/>
      <color indexed="38"/>
      <name val="Arial"/>
      <family val="2"/>
    </font>
    <font>
      <sz val="10"/>
      <name val="Arial MT"/>
    </font>
    <font>
      <sz val="10"/>
      <color indexed="38"/>
      <name val="Arial"/>
      <family val="2"/>
    </font>
    <font>
      <b/>
      <sz val="10"/>
      <name val="Arial MT"/>
    </font>
    <font>
      <b/>
      <sz val="12"/>
      <name val="Arial MT"/>
    </font>
    <font>
      <b/>
      <sz val="8"/>
      <color indexed="81"/>
      <name val="Tahoma"/>
    </font>
    <font>
      <sz val="8"/>
      <color indexed="81"/>
      <name val="Tahoma"/>
    </font>
    <font>
      <sz val="10"/>
      <color indexed="20"/>
      <name val="Arial"/>
      <family val="2"/>
    </font>
    <font>
      <b/>
      <sz val="10"/>
      <color indexed="19"/>
      <name val="Arial"/>
      <family val="2"/>
    </font>
    <font>
      <sz val="10"/>
      <color indexed="19"/>
      <name val="Arial"/>
      <family val="2"/>
    </font>
    <font>
      <b/>
      <sz val="10"/>
      <color indexed="19"/>
      <name val="Arial MT"/>
    </font>
    <font>
      <sz val="12"/>
      <color indexed="8"/>
      <name val="Times New Roman"/>
      <family val="1"/>
    </font>
    <font>
      <sz val="10"/>
      <color indexed="8"/>
      <name val="MS Sans Serif"/>
    </font>
    <font>
      <sz val="10"/>
      <color indexed="50"/>
      <name val="Arial"/>
      <family val="2"/>
    </font>
    <font>
      <b/>
      <sz val="16"/>
      <name val="Arial"/>
      <family val="2"/>
    </font>
    <font>
      <b/>
      <sz val="14"/>
      <name val="Arial"/>
      <family val="2"/>
    </font>
    <font>
      <b/>
      <sz val="14"/>
      <name val="Arial Narrow"/>
      <family val="2"/>
    </font>
    <font>
      <b/>
      <sz val="10"/>
      <color indexed="10"/>
      <name val="Arial"/>
      <family val="2"/>
    </font>
    <font>
      <b/>
      <sz val="12"/>
      <name val="Arial Narrow"/>
      <family val="2"/>
    </font>
    <font>
      <sz val="12"/>
      <name val="Arial Narrow"/>
      <family val="2"/>
    </font>
  </fonts>
  <fills count="8">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22"/>
        <bgColor indexed="64"/>
      </patternFill>
    </fill>
    <fill>
      <patternFill patternType="lightUp"/>
    </fill>
    <fill>
      <patternFill patternType="solid">
        <fgColor indexed="13"/>
        <bgColor indexed="64"/>
      </patternFill>
    </fill>
    <fill>
      <patternFill patternType="solid">
        <fgColor indexed="10"/>
        <bgColor indexed="64"/>
      </patternFill>
    </fill>
  </fills>
  <borders count="7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medium">
        <color indexed="64"/>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dashed">
        <color indexed="64"/>
      </right>
      <top/>
      <bottom/>
      <diagonal/>
    </border>
    <border>
      <left style="dashed">
        <color indexed="64"/>
      </left>
      <right style="dashed">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dashed">
        <color indexed="64"/>
      </right>
      <top/>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right style="dashed">
        <color indexed="64"/>
      </right>
      <top/>
      <bottom style="thin">
        <color indexed="64"/>
      </bottom>
      <diagonal/>
    </border>
    <border>
      <left/>
      <right style="thin">
        <color indexed="64"/>
      </right>
      <top/>
      <bottom/>
      <diagonal/>
    </border>
    <border>
      <left/>
      <right/>
      <top style="medium">
        <color indexed="64"/>
      </top>
      <bottom style="medium">
        <color indexed="64"/>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right style="thin">
        <color indexed="64"/>
      </right>
      <top/>
      <bottom style="thin">
        <color indexed="64"/>
      </bottom>
      <diagonal/>
    </border>
    <border>
      <left style="thin">
        <color indexed="64"/>
      </left>
      <right style="dashed">
        <color indexed="64"/>
      </right>
      <top style="thin">
        <color indexed="64"/>
      </top>
      <bottom/>
      <diagonal/>
    </border>
    <border>
      <left style="thin">
        <color indexed="64"/>
      </left>
      <right/>
      <top/>
      <bottom style="medium">
        <color indexed="64"/>
      </bottom>
      <diagonal/>
    </border>
    <border>
      <left style="dashed">
        <color indexed="64"/>
      </left>
      <right style="dashed">
        <color indexed="64"/>
      </right>
      <top style="thin">
        <color indexed="64"/>
      </top>
      <bottom/>
      <diagonal/>
    </border>
    <border>
      <left style="dashed">
        <color indexed="64"/>
      </left>
      <right/>
      <top/>
      <bottom/>
      <diagonal/>
    </border>
    <border>
      <left style="dashed">
        <color indexed="64"/>
      </left>
      <right style="dashed">
        <color indexed="64"/>
      </right>
      <top/>
      <bottom style="thin">
        <color indexed="64"/>
      </bottom>
      <diagonal/>
    </border>
    <border>
      <left style="thin">
        <color indexed="64"/>
      </left>
      <right style="dashed">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8"/>
      </top>
      <bottom/>
      <diagonal/>
    </border>
    <border>
      <left style="medium">
        <color indexed="12"/>
      </left>
      <right style="medium">
        <color indexed="12"/>
      </right>
      <top style="medium">
        <color indexed="12"/>
      </top>
      <bottom style="medium">
        <color indexed="12"/>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s>
  <cellStyleXfs count="7">
    <xf numFmtId="0" fontId="0" fillId="0" borderId="0"/>
    <xf numFmtId="0" fontId="2" fillId="0" borderId="0" applyNumberForma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310" fontId="4" fillId="0" borderId="0" applyNumberFormat="0" applyFont="0" applyFill="0" applyBorder="0" applyAlignment="0" applyProtection="0"/>
    <xf numFmtId="0" fontId="35" fillId="0" borderId="0"/>
    <xf numFmtId="9" fontId="4" fillId="0" borderId="0" applyFont="0" applyFill="0" applyBorder="0" applyAlignment="0" applyProtection="0"/>
  </cellStyleXfs>
  <cellXfs count="736">
    <xf numFmtId="0" fontId="0" fillId="0" borderId="0" xfId="0"/>
    <xf numFmtId="3" fontId="5" fillId="0" borderId="0" xfId="0" applyNumberFormat="1" applyFont="1" applyAlignment="1" applyProtection="1">
      <alignment horizontal="centerContinuous"/>
    </xf>
    <xf numFmtId="3" fontId="0" fillId="0" borderId="0" xfId="0" applyNumberFormat="1" applyProtection="1"/>
    <xf numFmtId="0" fontId="0" fillId="0" borderId="0" xfId="0" applyProtection="1"/>
    <xf numFmtId="0" fontId="0" fillId="0" borderId="0" xfId="0" applyProtection="1">
      <protection locked="0"/>
    </xf>
    <xf numFmtId="0" fontId="0" fillId="0" borderId="1" xfId="0" applyBorder="1" applyProtection="1">
      <protection locked="0"/>
    </xf>
    <xf numFmtId="0" fontId="0" fillId="0" borderId="2" xfId="0" applyBorder="1" applyAlignment="1" applyProtection="1">
      <alignment horizontal="center"/>
      <protection locked="0"/>
    </xf>
    <xf numFmtId="0" fontId="0" fillId="0" borderId="2" xfId="0" applyBorder="1" applyAlignment="1" applyProtection="1">
      <alignment horizontal="centerContinuous"/>
      <protection locked="0"/>
    </xf>
    <xf numFmtId="0" fontId="0" fillId="0" borderId="3" xfId="0" applyBorder="1" applyAlignment="1" applyProtection="1">
      <alignment horizontal="centerContinuous"/>
      <protection locked="0"/>
    </xf>
    <xf numFmtId="166" fontId="4" fillId="0" borderId="0" xfId="2" applyNumberFormat="1" applyBorder="1" applyProtection="1">
      <protection locked="0"/>
    </xf>
    <xf numFmtId="166" fontId="4" fillId="0" borderId="3" xfId="2" applyNumberFormat="1" applyBorder="1" applyProtection="1">
      <protection locked="0"/>
    </xf>
    <xf numFmtId="0" fontId="0" fillId="0" borderId="4" xfId="0" applyBorder="1" applyAlignment="1" applyProtection="1">
      <alignment horizontal="centerContinuous"/>
      <protection locked="0"/>
    </xf>
    <xf numFmtId="0" fontId="0" fillId="0" borderId="0" xfId="0" applyBorder="1" applyAlignment="1" applyProtection="1">
      <alignment horizontal="centerContinuous"/>
      <protection locked="0"/>
    </xf>
    <xf numFmtId="166" fontId="4" fillId="0" borderId="4" xfId="2" applyNumberFormat="1" applyBorder="1" applyProtection="1">
      <protection locked="0"/>
    </xf>
    <xf numFmtId="0" fontId="0" fillId="0" borderId="5" xfId="0" applyBorder="1" applyAlignment="1" applyProtection="1">
      <alignment horizontal="centerContinuous"/>
      <protection locked="0"/>
    </xf>
    <xf numFmtId="0" fontId="0" fillId="0" borderId="0" xfId="0" applyAlignment="1" applyProtection="1">
      <alignment horizontal="centerContinuous"/>
      <protection locked="0"/>
    </xf>
    <xf numFmtId="0" fontId="3" fillId="0" borderId="0" xfId="0" applyFont="1" applyProtection="1">
      <protection locked="0"/>
    </xf>
    <xf numFmtId="0" fontId="9" fillId="0" borderId="0" xfId="0" applyFont="1" applyAlignment="1" applyProtection="1">
      <alignment horizontal="left"/>
      <protection locked="0"/>
    </xf>
    <xf numFmtId="0" fontId="0" fillId="0" borderId="0" xfId="0" applyAlignment="1" applyProtection="1">
      <alignment horizontal="center"/>
      <protection locked="0"/>
    </xf>
    <xf numFmtId="3" fontId="0" fillId="2" borderId="1" xfId="0" applyNumberFormat="1" applyFill="1" applyBorder="1" applyProtection="1">
      <protection locked="0"/>
    </xf>
    <xf numFmtId="0" fontId="2" fillId="0" borderId="0" xfId="1" applyProtection="1">
      <protection locked="0"/>
    </xf>
    <xf numFmtId="0" fontId="2" fillId="0" borderId="0" xfId="0" applyFont="1" applyProtection="1">
      <protection locked="0"/>
    </xf>
    <xf numFmtId="3" fontId="0" fillId="0" borderId="4" xfId="0" applyNumberFormat="1" applyBorder="1" applyProtection="1">
      <protection locked="0"/>
    </xf>
    <xf numFmtId="0" fontId="0" fillId="0" borderId="0" xfId="0" applyBorder="1" applyProtection="1">
      <protection locked="0"/>
    </xf>
    <xf numFmtId="166" fontId="4" fillId="0" borderId="5" xfId="2" applyNumberFormat="1" applyBorder="1" applyProtection="1">
      <protection locked="0"/>
    </xf>
    <xf numFmtId="166" fontId="4" fillId="0" borderId="2" xfId="2" applyNumberFormat="1" applyBorder="1" applyProtection="1">
      <protection locked="0"/>
    </xf>
    <xf numFmtId="0" fontId="0" fillId="0" borderId="1" xfId="0" applyBorder="1" applyAlignment="1" applyProtection="1">
      <alignment horizontal="centerContinuous"/>
      <protection locked="0"/>
    </xf>
    <xf numFmtId="166" fontId="4" fillId="0" borderId="6" xfId="2" applyNumberFormat="1" applyBorder="1" applyProtection="1">
      <protection locked="0"/>
    </xf>
    <xf numFmtId="3" fontId="0" fillId="0" borderId="1" xfId="0" applyNumberFormat="1" applyBorder="1" applyProtection="1">
      <protection locked="0"/>
    </xf>
    <xf numFmtId="0" fontId="0" fillId="0" borderId="7" xfId="0" applyBorder="1" applyAlignment="1" applyProtection="1">
      <alignment horizontal="centerContinuous"/>
      <protection locked="0"/>
    </xf>
    <xf numFmtId="0" fontId="0" fillId="0" borderId="8" xfId="0" applyBorder="1" applyAlignment="1" applyProtection="1">
      <protection locked="0"/>
    </xf>
    <xf numFmtId="3" fontId="0" fillId="0" borderId="0" xfId="0" applyNumberFormat="1"/>
    <xf numFmtId="3" fontId="0" fillId="0" borderId="0" xfId="0" applyNumberFormat="1" applyBorder="1" applyProtection="1">
      <protection locked="0"/>
    </xf>
    <xf numFmtId="3" fontId="5" fillId="0" borderId="0" xfId="0" applyNumberFormat="1" applyFont="1" applyAlignment="1" applyProtection="1">
      <alignment horizontal="centerContinuous"/>
      <protection locked="0"/>
    </xf>
    <xf numFmtId="3" fontId="0" fillId="0" borderId="0" xfId="0" applyNumberFormat="1" applyProtection="1">
      <protection locked="0"/>
    </xf>
    <xf numFmtId="3" fontId="0" fillId="0" borderId="0" xfId="0" applyNumberFormat="1" applyAlignment="1" applyProtection="1">
      <alignment horizontal="center"/>
      <protection locked="0"/>
    </xf>
    <xf numFmtId="0" fontId="0" fillId="0" borderId="3" xfId="0" applyBorder="1" applyProtection="1">
      <protection locked="0"/>
    </xf>
    <xf numFmtId="0" fontId="0" fillId="0" borderId="4" xfId="0" applyBorder="1" applyProtection="1">
      <protection locked="0"/>
    </xf>
    <xf numFmtId="0" fontId="1" fillId="0" borderId="0" xfId="0" applyFont="1" applyBorder="1" applyProtection="1">
      <protection locked="0"/>
    </xf>
    <xf numFmtId="3" fontId="0" fillId="0" borderId="2" xfId="0" applyNumberFormat="1" applyBorder="1" applyProtection="1">
      <protection locked="0"/>
    </xf>
    <xf numFmtId="0" fontId="4" fillId="0" borderId="0" xfId="0" applyFont="1" applyBorder="1" applyProtection="1">
      <protection locked="0"/>
    </xf>
    <xf numFmtId="0" fontId="1" fillId="0" borderId="0" xfId="0" applyFont="1" applyProtection="1">
      <protection locked="0"/>
    </xf>
    <xf numFmtId="0" fontId="0" fillId="0" borderId="0" xfId="0" applyAlignment="1" applyProtection="1">
      <protection locked="0"/>
    </xf>
    <xf numFmtId="0" fontId="1" fillId="0" borderId="0" xfId="0" applyFont="1" applyAlignment="1" applyProtection="1">
      <protection locked="0"/>
    </xf>
    <xf numFmtId="0" fontId="5" fillId="0" borderId="0" xfId="0" applyFont="1" applyAlignment="1" applyProtection="1">
      <alignment horizontal="centerContinuous"/>
      <protection locked="0"/>
    </xf>
    <xf numFmtId="0" fontId="5" fillId="0" borderId="0" xfId="0" applyFont="1" applyProtection="1">
      <protection locked="0"/>
    </xf>
    <xf numFmtId="166" fontId="0" fillId="0" borderId="4" xfId="0" applyNumberFormat="1" applyBorder="1" applyProtection="1">
      <protection locked="0"/>
    </xf>
    <xf numFmtId="0" fontId="4" fillId="0" borderId="4" xfId="0" applyFont="1" applyBorder="1" applyAlignment="1" applyProtection="1">
      <alignment horizontal="centerContinuous"/>
      <protection locked="0"/>
    </xf>
    <xf numFmtId="0" fontId="1" fillId="0" borderId="1" xfId="0" applyFont="1" applyBorder="1" applyAlignment="1" applyProtection="1">
      <alignment horizontal="centerContinuous"/>
      <protection locked="0"/>
    </xf>
    <xf numFmtId="166" fontId="1" fillId="0" borderId="1" xfId="2" applyNumberFormat="1" applyFont="1" applyBorder="1" applyProtection="1">
      <protection locked="0"/>
    </xf>
    <xf numFmtId="0" fontId="0" fillId="0" borderId="1" xfId="0" applyBorder="1" applyAlignment="1" applyProtection="1">
      <protection locked="0"/>
    </xf>
    <xf numFmtId="3" fontId="6" fillId="0" borderId="4" xfId="0" applyNumberFormat="1" applyFont="1" applyBorder="1" applyAlignment="1" applyProtection="1">
      <alignment horizontal="centerContinuous"/>
      <protection locked="0"/>
    </xf>
    <xf numFmtId="166" fontId="4" fillId="0" borderId="9" xfId="2" applyNumberFormat="1" applyFont="1" applyBorder="1" applyAlignment="1" applyProtection="1">
      <alignment horizontal="centerContinuous"/>
      <protection locked="0"/>
    </xf>
    <xf numFmtId="166" fontId="4" fillId="0" borderId="10" xfId="2" applyNumberFormat="1" applyBorder="1" applyAlignment="1" applyProtection="1">
      <alignment horizontal="centerContinuous"/>
      <protection locked="0"/>
    </xf>
    <xf numFmtId="166" fontId="4" fillId="0" borderId="7" xfId="2" applyNumberFormat="1" applyFont="1" applyBorder="1" applyAlignment="1" applyProtection="1">
      <protection locked="0"/>
    </xf>
    <xf numFmtId="166" fontId="4" fillId="0" borderId="5" xfId="2" applyNumberFormat="1" applyFont="1" applyBorder="1" applyAlignment="1" applyProtection="1">
      <alignment horizontal="centerContinuous"/>
      <protection locked="0"/>
    </xf>
    <xf numFmtId="166" fontId="4" fillId="0" borderId="2" xfId="2" applyNumberFormat="1" applyFont="1" applyBorder="1" applyAlignment="1" applyProtection="1">
      <alignment horizontal="centerContinuous"/>
      <protection locked="0"/>
    </xf>
    <xf numFmtId="166" fontId="4" fillId="0" borderId="11" xfId="2" applyNumberFormat="1" applyBorder="1" applyAlignment="1" applyProtection="1">
      <alignment horizontal="centerContinuous"/>
      <protection locked="0"/>
    </xf>
    <xf numFmtId="166" fontId="4" fillId="0" borderId="12" xfId="2" applyNumberFormat="1" applyBorder="1" applyAlignment="1" applyProtection="1">
      <alignment horizontal="centerContinuous"/>
      <protection locked="0"/>
    </xf>
    <xf numFmtId="166" fontId="4" fillId="0" borderId="4" xfId="2" applyNumberFormat="1" applyBorder="1" applyAlignment="1" applyProtection="1">
      <alignment horizontal="centerContinuous"/>
      <protection locked="0"/>
    </xf>
    <xf numFmtId="166" fontId="4" fillId="0" borderId="0" xfId="2" applyNumberFormat="1" applyFont="1" applyBorder="1" applyAlignment="1" applyProtection="1">
      <alignment horizontal="centerContinuous"/>
      <protection locked="0"/>
    </xf>
    <xf numFmtId="166" fontId="4" fillId="0" borderId="4" xfId="2" applyNumberFormat="1" applyFont="1" applyBorder="1" applyAlignment="1" applyProtection="1">
      <alignment horizontal="centerContinuous"/>
      <protection locked="0"/>
    </xf>
    <xf numFmtId="166" fontId="4" fillId="0" borderId="13" xfId="2" applyNumberFormat="1" applyBorder="1" applyAlignment="1" applyProtection="1">
      <alignment horizontal="centerContinuous"/>
      <protection locked="0"/>
    </xf>
    <xf numFmtId="166" fontId="4" fillId="0" borderId="0" xfId="2" applyNumberFormat="1" applyBorder="1" applyAlignment="1" applyProtection="1">
      <alignment horizontal="centerContinuous"/>
      <protection locked="0"/>
    </xf>
    <xf numFmtId="0" fontId="0" fillId="0" borderId="12" xfId="0" applyBorder="1" applyAlignment="1" applyProtection="1">
      <alignment horizontal="centerContinuous"/>
      <protection locked="0"/>
    </xf>
    <xf numFmtId="0" fontId="0" fillId="0" borderId="13" xfId="0" applyBorder="1" applyProtection="1">
      <protection locked="0"/>
    </xf>
    <xf numFmtId="0" fontId="0" fillId="0" borderId="2" xfId="0" applyBorder="1" applyProtection="1">
      <protection locked="0"/>
    </xf>
    <xf numFmtId="0" fontId="0" fillId="0" borderId="11" xfId="0" applyBorder="1" applyProtection="1">
      <protection locked="0"/>
    </xf>
    <xf numFmtId="3" fontId="0" fillId="0" borderId="0" xfId="0" applyNumberFormat="1" applyAlignment="1" applyProtection="1">
      <alignment horizontal="centerContinuous"/>
      <protection locked="0"/>
    </xf>
    <xf numFmtId="3" fontId="3" fillId="0" borderId="0" xfId="0" applyNumberFormat="1" applyFont="1" applyProtection="1">
      <protection locked="0"/>
    </xf>
    <xf numFmtId="3" fontId="2" fillId="0" borderId="0" xfId="0" applyNumberFormat="1" applyFont="1" applyProtection="1">
      <protection locked="0"/>
    </xf>
    <xf numFmtId="3" fontId="1" fillId="0" borderId="1" xfId="0" applyNumberFormat="1" applyFont="1" applyBorder="1" applyAlignment="1" applyProtection="1">
      <alignment horizontal="center"/>
      <protection locked="0"/>
    </xf>
    <xf numFmtId="0" fontId="0" fillId="0" borderId="0" xfId="0" applyAlignment="1" applyProtection="1">
      <alignment horizontal="right"/>
      <protection locked="0"/>
    </xf>
    <xf numFmtId="166" fontId="0" fillId="0" borderId="0" xfId="2" applyNumberFormat="1" applyFont="1" applyProtection="1">
      <protection locked="0"/>
    </xf>
    <xf numFmtId="0" fontId="7" fillId="3" borderId="14" xfId="0" applyFont="1" applyFill="1" applyBorder="1" applyProtection="1">
      <protection locked="0"/>
    </xf>
    <xf numFmtId="0" fontId="7" fillId="3" borderId="15" xfId="0" applyFont="1" applyFill="1" applyBorder="1" applyProtection="1">
      <protection locked="0"/>
    </xf>
    <xf numFmtId="0" fontId="7" fillId="3" borderId="16" xfId="0" applyFont="1" applyFill="1" applyBorder="1" applyProtection="1">
      <protection locked="0"/>
    </xf>
    <xf numFmtId="0" fontId="7" fillId="4" borderId="6" xfId="0" applyFont="1" applyFill="1" applyBorder="1" applyAlignment="1" applyProtection="1">
      <alignment horizontal="centerContinuous"/>
      <protection locked="0"/>
    </xf>
    <xf numFmtId="0" fontId="8" fillId="4" borderId="10" xfId="0" applyFont="1" applyFill="1" applyBorder="1" applyAlignment="1" applyProtection="1">
      <alignment horizontal="centerContinuous" vertical="center"/>
      <protection locked="0"/>
    </xf>
    <xf numFmtId="0" fontId="12" fillId="4" borderId="7" xfId="0" applyFont="1" applyFill="1" applyBorder="1" applyProtection="1">
      <protection locked="0"/>
    </xf>
    <xf numFmtId="0" fontId="7" fillId="4" borderId="5" xfId="0" applyFont="1" applyFill="1" applyBorder="1" applyProtection="1">
      <protection locked="0"/>
    </xf>
    <xf numFmtId="0" fontId="8" fillId="4" borderId="11" xfId="0" applyFont="1" applyFill="1" applyBorder="1" applyAlignment="1" applyProtection="1">
      <alignment horizontal="centerContinuous" vertical="center"/>
      <protection locked="0"/>
    </xf>
    <xf numFmtId="0" fontId="2" fillId="4" borderId="13" xfId="0" applyFont="1" applyFill="1" applyBorder="1" applyProtection="1">
      <protection locked="0"/>
    </xf>
    <xf numFmtId="0" fontId="0" fillId="0" borderId="12" xfId="0" applyBorder="1" applyProtection="1">
      <protection locked="0"/>
    </xf>
    <xf numFmtId="0" fontId="2" fillId="0" borderId="0" xfId="1" applyNumberFormat="1" applyProtection="1">
      <protection locked="0"/>
    </xf>
    <xf numFmtId="0" fontId="3" fillId="3" borderId="17" xfId="1" applyFont="1" applyFill="1" applyBorder="1" applyAlignment="1" applyProtection="1">
      <alignment horizontal="right"/>
      <protection locked="0"/>
    </xf>
    <xf numFmtId="3" fontId="3" fillId="2" borderId="1" xfId="1" applyNumberFormat="1" applyFont="1" applyFill="1" applyBorder="1" applyProtection="1">
      <protection locked="0"/>
    </xf>
    <xf numFmtId="3" fontId="3" fillId="4" borderId="1" xfId="1" applyNumberFormat="1" applyFont="1" applyFill="1" applyBorder="1" applyProtection="1">
      <protection locked="0"/>
    </xf>
    <xf numFmtId="0" fontId="15" fillId="0" borderId="0" xfId="0" applyFont="1" applyBorder="1" applyProtection="1">
      <protection locked="0"/>
    </xf>
    <xf numFmtId="0" fontId="0" fillId="0" borderId="0" xfId="0" applyAlignment="1">
      <alignment horizontal="centerContinuous"/>
    </xf>
    <xf numFmtId="0" fontId="1" fillId="0" borderId="0" xfId="0" applyFont="1"/>
    <xf numFmtId="0" fontId="0" fillId="0" borderId="0" xfId="0" quotePrefix="1"/>
    <xf numFmtId="0" fontId="0" fillId="0" borderId="0" xfId="0" applyAlignment="1"/>
    <xf numFmtId="0" fontId="16" fillId="0" borderId="0" xfId="0" applyFont="1" applyAlignment="1">
      <alignment horizontal="centerContinuous"/>
    </xf>
    <xf numFmtId="0" fontId="16" fillId="0" borderId="0" xfId="0" applyFont="1" applyBorder="1" applyAlignment="1">
      <alignment horizontal="centerContinuous"/>
    </xf>
    <xf numFmtId="0" fontId="16" fillId="0" borderId="0" xfId="0" applyFont="1" applyAlignment="1">
      <alignment horizontal="left"/>
    </xf>
    <xf numFmtId="0" fontId="16" fillId="0" borderId="18" xfId="0" applyFont="1" applyBorder="1" applyAlignment="1">
      <alignment horizontal="left"/>
    </xf>
    <xf numFmtId="0" fontId="16" fillId="0" borderId="19" xfId="0" applyFont="1" applyBorder="1" applyAlignment="1">
      <alignment horizontal="left"/>
    </xf>
    <xf numFmtId="0" fontId="16" fillId="0" borderId="0" xfId="0" applyFont="1"/>
    <xf numFmtId="0" fontId="16" fillId="0" borderId="18" xfId="0" applyFont="1" applyBorder="1"/>
    <xf numFmtId="0" fontId="16" fillId="0" borderId="19" xfId="0" applyFont="1" applyBorder="1"/>
    <xf numFmtId="0" fontId="16" fillId="0" borderId="19" xfId="0" applyFont="1" applyFill="1" applyBorder="1"/>
    <xf numFmtId="3" fontId="17" fillId="0" borderId="0" xfId="0" applyNumberFormat="1" applyFont="1" applyAlignment="1" applyProtection="1">
      <alignment horizontal="centerContinuous"/>
    </xf>
    <xf numFmtId="14" fontId="15" fillId="0" borderId="0" xfId="0" applyNumberFormat="1" applyFont="1" applyProtection="1">
      <protection locked="0"/>
    </xf>
    <xf numFmtId="0" fontId="15" fillId="0" borderId="0" xfId="0" applyFont="1" applyProtection="1">
      <protection locked="0"/>
    </xf>
    <xf numFmtId="0" fontId="18" fillId="3" borderId="14" xfId="0" applyFont="1" applyFill="1" applyBorder="1" applyProtection="1">
      <protection locked="0"/>
    </xf>
    <xf numFmtId="0" fontId="18" fillId="3" borderId="15" xfId="0" applyFont="1" applyFill="1" applyBorder="1" applyProtection="1">
      <protection locked="0"/>
    </xf>
    <xf numFmtId="0" fontId="18" fillId="3" borderId="16" xfId="0" applyFont="1" applyFill="1" applyBorder="1" applyProtection="1">
      <protection locked="0"/>
    </xf>
    <xf numFmtId="0" fontId="20" fillId="0" borderId="0" xfId="0" applyFont="1" applyAlignment="1" applyProtection="1">
      <alignment horizontal="left"/>
      <protection locked="0"/>
    </xf>
    <xf numFmtId="0" fontId="15" fillId="0" borderId="0" xfId="0" applyFont="1" applyAlignment="1" applyProtection="1">
      <alignment horizontal="center"/>
      <protection locked="0"/>
    </xf>
    <xf numFmtId="0" fontId="15" fillId="4" borderId="6" xfId="0" applyFont="1" applyFill="1" applyBorder="1" applyAlignment="1" applyProtection="1">
      <alignment horizontal="centerContinuous"/>
      <protection locked="0"/>
    </xf>
    <xf numFmtId="0" fontId="19" fillId="4" borderId="6" xfId="1" applyFont="1" applyFill="1" applyBorder="1" applyAlignment="1" applyProtection="1">
      <alignment horizontal="centerContinuous"/>
      <protection locked="0"/>
    </xf>
    <xf numFmtId="3" fontId="19" fillId="2" borderId="1" xfId="1" applyNumberFormat="1" applyFont="1" applyFill="1" applyBorder="1" applyProtection="1">
      <protection locked="0"/>
    </xf>
    <xf numFmtId="0" fontId="21" fillId="0" borderId="0" xfId="1" applyFont="1" applyProtection="1">
      <protection locked="0"/>
    </xf>
    <xf numFmtId="0" fontId="22" fillId="4" borderId="7" xfId="0" applyFont="1" applyFill="1" applyBorder="1" applyProtection="1">
      <protection locked="0"/>
    </xf>
    <xf numFmtId="0" fontId="15" fillId="4" borderId="5" xfId="0" applyFont="1" applyFill="1" applyBorder="1" applyProtection="1">
      <protection locked="0"/>
    </xf>
    <xf numFmtId="0" fontId="19" fillId="4" borderId="5" xfId="1" applyFont="1" applyFill="1" applyBorder="1" applyAlignment="1" applyProtection="1">
      <alignment horizontal="right"/>
      <protection locked="0"/>
    </xf>
    <xf numFmtId="0" fontId="19" fillId="4" borderId="20" xfId="1" applyFont="1" applyFill="1" applyBorder="1" applyAlignment="1" applyProtection="1">
      <alignment horizontal="left"/>
      <protection locked="0"/>
    </xf>
    <xf numFmtId="0" fontId="21" fillId="4" borderId="21" xfId="1" applyFont="1" applyFill="1" applyBorder="1" applyProtection="1">
      <protection locked="0"/>
    </xf>
    <xf numFmtId="0" fontId="19" fillId="4" borderId="17" xfId="1" applyFont="1" applyFill="1" applyBorder="1" applyAlignment="1" applyProtection="1">
      <alignment horizontal="right"/>
      <protection locked="0"/>
    </xf>
    <xf numFmtId="3" fontId="19" fillId="4" borderId="1" xfId="1" applyNumberFormat="1" applyFont="1" applyFill="1" applyBorder="1" applyProtection="1">
      <protection locked="0"/>
    </xf>
    <xf numFmtId="0" fontId="15" fillId="0" borderId="12" xfId="0" applyFont="1" applyBorder="1" applyProtection="1">
      <protection locked="0"/>
    </xf>
    <xf numFmtId="0" fontId="15" fillId="0" borderId="13" xfId="0" applyFont="1" applyBorder="1" applyProtection="1">
      <protection locked="0"/>
    </xf>
    <xf numFmtId="3" fontId="15" fillId="2" borderId="1" xfId="0" applyNumberFormat="1" applyFont="1" applyFill="1" applyBorder="1" applyProtection="1">
      <protection locked="0"/>
    </xf>
    <xf numFmtId="0" fontId="19" fillId="3" borderId="17" xfId="1" applyFont="1" applyFill="1" applyBorder="1" applyAlignment="1" applyProtection="1">
      <alignment horizontal="right"/>
      <protection locked="0"/>
    </xf>
    <xf numFmtId="0" fontId="21" fillId="4" borderId="22" xfId="1" applyFont="1" applyFill="1" applyBorder="1" applyProtection="1">
      <protection locked="0"/>
    </xf>
    <xf numFmtId="0" fontId="21" fillId="0" borderId="0" xfId="0" applyFont="1" applyProtection="1">
      <protection locked="0"/>
    </xf>
    <xf numFmtId="0" fontId="6" fillId="0" borderId="0" xfId="0" applyFont="1" applyProtection="1">
      <protection locked="0"/>
    </xf>
    <xf numFmtId="3" fontId="15" fillId="0" borderId="0" xfId="0" applyNumberFormat="1" applyFont="1" applyProtection="1">
      <protection locked="0"/>
    </xf>
    <xf numFmtId="41" fontId="15" fillId="0" borderId="0" xfId="0" applyNumberFormat="1" applyFont="1" applyAlignment="1" applyProtection="1">
      <alignment horizontal="right"/>
      <protection locked="0"/>
    </xf>
    <xf numFmtId="3" fontId="17" fillId="0" borderId="0" xfId="0" applyNumberFormat="1" applyFont="1" applyAlignment="1" applyProtection="1">
      <alignment horizontal="centerContinuous"/>
      <protection locked="0"/>
    </xf>
    <xf numFmtId="3" fontId="15" fillId="0" borderId="0" xfId="0" applyNumberFormat="1" applyFont="1" applyAlignment="1" applyProtection="1">
      <alignment horizontal="centerContinuous"/>
      <protection locked="0"/>
    </xf>
    <xf numFmtId="3" fontId="15" fillId="0" borderId="0" xfId="0" applyNumberFormat="1" applyFont="1" applyAlignment="1" applyProtection="1">
      <protection locked="0"/>
    </xf>
    <xf numFmtId="3" fontId="15" fillId="0" borderId="0" xfId="0" applyNumberFormat="1" applyFont="1" applyProtection="1"/>
    <xf numFmtId="0" fontId="15" fillId="0" borderId="0" xfId="0" applyFont="1"/>
    <xf numFmtId="0" fontId="5" fillId="0" borderId="0" xfId="0" applyFont="1" applyAlignment="1">
      <alignment horizontal="centerContinuous"/>
    </xf>
    <xf numFmtId="0" fontId="0" fillId="0" borderId="0" xfId="0" applyAlignment="1">
      <alignment horizontal="right"/>
    </xf>
    <xf numFmtId="0" fontId="4" fillId="0" borderId="0" xfId="0" applyFont="1"/>
    <xf numFmtId="0" fontId="1" fillId="0" borderId="0" xfId="0" applyFont="1" applyBorder="1" applyAlignment="1" applyProtection="1">
      <alignment horizontal="center"/>
      <protection locked="0"/>
    </xf>
    <xf numFmtId="0" fontId="24" fillId="0" borderId="0" xfId="0" applyFont="1" applyProtection="1">
      <protection locked="0"/>
    </xf>
    <xf numFmtId="0" fontId="16" fillId="0" borderId="23" xfId="0" applyFont="1" applyBorder="1" applyAlignment="1">
      <alignment horizontal="left"/>
    </xf>
    <xf numFmtId="0" fontId="16" fillId="0" borderId="23" xfId="0" applyFont="1" applyBorder="1"/>
    <xf numFmtId="0" fontId="16" fillId="0" borderId="23" xfId="0" applyFont="1" applyFill="1" applyBorder="1"/>
    <xf numFmtId="0" fontId="0" fillId="0" borderId="0" xfId="0" applyAlignment="1">
      <alignment horizontal="center"/>
    </xf>
    <xf numFmtId="0" fontId="3" fillId="4" borderId="22" xfId="0" applyFont="1" applyFill="1" applyBorder="1" applyProtection="1">
      <protection locked="0"/>
    </xf>
    <xf numFmtId="0" fontId="2" fillId="4" borderId="24" xfId="0" applyFont="1" applyFill="1" applyBorder="1" applyProtection="1">
      <protection locked="0"/>
    </xf>
    <xf numFmtId="0" fontId="2" fillId="4" borderId="22" xfId="1" applyFill="1" applyBorder="1" applyProtection="1">
      <protection locked="0"/>
    </xf>
    <xf numFmtId="0" fontId="3" fillId="4" borderId="24" xfId="1" applyFont="1" applyFill="1" applyBorder="1" applyAlignment="1" applyProtection="1">
      <alignment horizontal="right"/>
      <protection locked="0"/>
    </xf>
    <xf numFmtId="0" fontId="19" fillId="4" borderId="24" xfId="1" applyFont="1" applyFill="1" applyBorder="1" applyAlignment="1" applyProtection="1">
      <alignment horizontal="right"/>
      <protection locked="0"/>
    </xf>
    <xf numFmtId="0" fontId="0" fillId="0" borderId="25" xfId="0" applyBorder="1" applyProtection="1">
      <protection locked="0"/>
    </xf>
    <xf numFmtId="0" fontId="0" fillId="0" borderId="26" xfId="0" applyBorder="1" applyProtection="1">
      <protection locked="0"/>
    </xf>
    <xf numFmtId="0" fontId="0" fillId="0" borderId="0" xfId="0" applyBorder="1" applyAlignment="1" applyProtection="1">
      <alignment horizontal="center"/>
      <protection locked="0"/>
    </xf>
    <xf numFmtId="0" fontId="4" fillId="0" borderId="0" xfId="0" applyFont="1" applyBorder="1" applyAlignment="1" applyProtection="1">
      <alignment horizontal="center"/>
      <protection locked="0"/>
    </xf>
    <xf numFmtId="0" fontId="1" fillId="0" borderId="0" xfId="0" applyFont="1" applyBorder="1" applyAlignment="1" applyProtection="1">
      <alignment horizontal="left"/>
      <protection locked="0"/>
    </xf>
    <xf numFmtId="3" fontId="10" fillId="0" borderId="0" xfId="0" applyNumberFormat="1" applyFont="1" applyBorder="1" applyAlignment="1" applyProtection="1">
      <alignment horizontal="center"/>
      <protection locked="0"/>
    </xf>
    <xf numFmtId="0" fontId="8" fillId="4" borderId="27" xfId="1" applyFont="1" applyFill="1" applyBorder="1" applyAlignment="1" applyProtection="1">
      <alignment horizontal="left"/>
      <protection locked="0"/>
    </xf>
    <xf numFmtId="0" fontId="3" fillId="4" borderId="28" xfId="0" applyFont="1" applyFill="1" applyBorder="1" applyProtection="1">
      <protection locked="0"/>
    </xf>
    <xf numFmtId="0" fontId="2" fillId="4" borderId="29" xfId="0" applyFont="1" applyFill="1" applyBorder="1" applyProtection="1">
      <protection locked="0"/>
    </xf>
    <xf numFmtId="0" fontId="8" fillId="4" borderId="30" xfId="1" applyFont="1" applyFill="1" applyBorder="1" applyAlignment="1" applyProtection="1">
      <alignment horizontal="left"/>
      <protection locked="0"/>
    </xf>
    <xf numFmtId="0" fontId="3" fillId="4" borderId="30" xfId="1" applyFont="1" applyFill="1" applyBorder="1" applyAlignment="1" applyProtection="1">
      <alignment horizontal="left"/>
      <protection locked="0"/>
    </xf>
    <xf numFmtId="0" fontId="10" fillId="0" borderId="0" xfId="0" applyFont="1" applyBorder="1" applyAlignment="1" applyProtection="1">
      <alignment horizontal="center"/>
      <protection locked="0"/>
    </xf>
    <xf numFmtId="0" fontId="26" fillId="0" borderId="0" xfId="0" applyFont="1" applyProtection="1">
      <protection locked="0"/>
    </xf>
    <xf numFmtId="0" fontId="19" fillId="4" borderId="27" xfId="1" applyFont="1" applyFill="1" applyBorder="1" applyAlignment="1" applyProtection="1">
      <alignment horizontal="left"/>
      <protection locked="0"/>
    </xf>
    <xf numFmtId="0" fontId="21" fillId="4" borderId="28" xfId="1" applyFont="1" applyFill="1" applyBorder="1" applyProtection="1">
      <protection locked="0"/>
    </xf>
    <xf numFmtId="0" fontId="19" fillId="4" borderId="29" xfId="1" applyFont="1" applyFill="1" applyBorder="1" applyAlignment="1" applyProtection="1">
      <alignment horizontal="right"/>
      <protection locked="0"/>
    </xf>
    <xf numFmtId="0" fontId="19" fillId="4" borderId="30" xfId="1" applyFont="1" applyFill="1" applyBorder="1" applyAlignment="1" applyProtection="1">
      <alignment horizontal="left"/>
      <protection locked="0"/>
    </xf>
    <xf numFmtId="0" fontId="0" fillId="0" borderId="0" xfId="0" applyBorder="1"/>
    <xf numFmtId="0" fontId="6" fillId="0" borderId="0" xfId="0" applyFont="1" applyBorder="1" applyAlignment="1" applyProtection="1">
      <alignment horizontal="center"/>
      <protection locked="0"/>
    </xf>
    <xf numFmtId="0" fontId="6" fillId="0" borderId="13" xfId="0" applyFont="1" applyBorder="1" applyAlignment="1" applyProtection="1">
      <alignment horizontal="center"/>
      <protection locked="0"/>
    </xf>
    <xf numFmtId="0" fontId="23" fillId="0" borderId="13" xfId="0" applyFont="1" applyBorder="1" applyAlignment="1" applyProtection="1">
      <alignment horizontal="center"/>
      <protection locked="0"/>
    </xf>
    <xf numFmtId="3" fontId="10" fillId="0" borderId="0" xfId="0" applyNumberFormat="1" applyFont="1" applyAlignment="1" applyProtection="1">
      <alignment horizontal="center"/>
      <protection locked="0"/>
    </xf>
    <xf numFmtId="6" fontId="15" fillId="0" borderId="13" xfId="0" applyNumberFormat="1" applyFont="1" applyBorder="1" applyProtection="1">
      <protection locked="0"/>
    </xf>
    <xf numFmtId="0" fontId="15" fillId="0" borderId="7" xfId="0" applyFont="1" applyBorder="1" applyProtection="1">
      <protection locked="0"/>
    </xf>
    <xf numFmtId="0" fontId="15" fillId="0" borderId="5" xfId="0" applyFont="1" applyBorder="1" applyProtection="1">
      <protection locked="0"/>
    </xf>
    <xf numFmtId="0" fontId="19" fillId="3" borderId="31" xfId="1" applyFont="1" applyFill="1" applyBorder="1" applyAlignment="1" applyProtection="1">
      <alignment horizontal="right"/>
      <protection locked="0"/>
    </xf>
    <xf numFmtId="0" fontId="0" fillId="0" borderId="7" xfId="0" applyBorder="1" applyProtection="1">
      <protection locked="0"/>
    </xf>
    <xf numFmtId="0" fontId="0" fillId="0" borderId="5" xfId="0" applyBorder="1" applyProtection="1">
      <protection locked="0"/>
    </xf>
    <xf numFmtId="0" fontId="3" fillId="3" borderId="31" xfId="1" applyFont="1" applyFill="1" applyBorder="1" applyAlignment="1" applyProtection="1">
      <alignment horizontal="right"/>
      <protection locked="0"/>
    </xf>
    <xf numFmtId="0" fontId="6" fillId="0" borderId="0" xfId="0" applyFont="1"/>
    <xf numFmtId="0" fontId="10" fillId="0" borderId="0" xfId="0" applyFont="1"/>
    <xf numFmtId="0" fontId="0" fillId="0" borderId="0" xfId="0" applyBorder="1" applyProtection="1"/>
    <xf numFmtId="3" fontId="5" fillId="0" borderId="0" xfId="0" applyNumberFormat="1" applyFont="1" applyAlignment="1">
      <alignment horizontal="centerContinuous"/>
    </xf>
    <xf numFmtId="3" fontId="1" fillId="0" borderId="2" xfId="0" applyNumberFormat="1" applyFont="1" applyBorder="1" applyAlignment="1" applyProtection="1">
      <alignment horizontal="center"/>
      <protection locked="0"/>
    </xf>
    <xf numFmtId="3" fontId="0" fillId="0" borderId="1" xfId="2" applyNumberFormat="1" applyFont="1" applyBorder="1" applyProtection="1">
      <protection locked="0"/>
    </xf>
    <xf numFmtId="0" fontId="0" fillId="0" borderId="32" xfId="0" applyBorder="1"/>
    <xf numFmtId="0" fontId="6" fillId="0" borderId="0" xfId="0" applyFont="1" applyProtection="1"/>
    <xf numFmtId="0" fontId="6" fillId="0" borderId="0" xfId="0" applyFont="1" applyBorder="1" applyProtection="1"/>
    <xf numFmtId="0" fontId="5" fillId="0" borderId="0" xfId="0" applyFont="1"/>
    <xf numFmtId="3" fontId="0" fillId="0" borderId="4" xfId="0" applyNumberFormat="1" applyBorder="1" applyAlignment="1">
      <alignment horizontal="centerContinuous"/>
    </xf>
    <xf numFmtId="166" fontId="4" fillId="0" borderId="4" xfId="2" applyNumberFormat="1" applyBorder="1"/>
    <xf numFmtId="14" fontId="0" fillId="0" borderId="0" xfId="0" applyNumberFormat="1"/>
    <xf numFmtId="0" fontId="16" fillId="0" borderId="26" xfId="0" applyFont="1" applyBorder="1" applyAlignment="1">
      <alignment horizontal="left"/>
    </xf>
    <xf numFmtId="0" fontId="23" fillId="0" borderId="0" xfId="0" applyFont="1"/>
    <xf numFmtId="0" fontId="23" fillId="0" borderId="26" xfId="0" applyFont="1" applyBorder="1" applyAlignment="1">
      <alignment horizontal="center"/>
    </xf>
    <xf numFmtId="0" fontId="23" fillId="0" borderId="26" xfId="0" applyFont="1" applyBorder="1" applyAlignment="1">
      <alignment horizontal="centerContinuous"/>
    </xf>
    <xf numFmtId="0" fontId="23" fillId="0" borderId="26" xfId="0" applyFont="1" applyBorder="1"/>
    <xf numFmtId="9" fontId="15" fillId="0" borderId="13" xfId="0" applyNumberFormat="1" applyFont="1" applyBorder="1" applyProtection="1">
      <protection locked="0"/>
    </xf>
    <xf numFmtId="0" fontId="16" fillId="0" borderId="21" xfId="0" applyFont="1" applyBorder="1" applyAlignment="1"/>
    <xf numFmtId="0" fontId="16" fillId="0" borderId="33" xfId="0" applyFont="1" applyBorder="1" applyAlignment="1">
      <alignment horizontal="left"/>
    </xf>
    <xf numFmtId="166" fontId="0" fillId="0" borderId="1" xfId="2" applyNumberFormat="1" applyFont="1" applyBorder="1" applyProtection="1">
      <protection locked="0"/>
    </xf>
    <xf numFmtId="166" fontId="4" fillId="0" borderId="3" xfId="2" applyNumberFormat="1" applyFont="1" applyBorder="1" applyAlignment="1" applyProtection="1">
      <alignment horizontal="centerContinuous"/>
      <protection locked="0"/>
    </xf>
    <xf numFmtId="166" fontId="4" fillId="0" borderId="6" xfId="2" applyNumberFormat="1" applyFont="1" applyBorder="1" applyAlignment="1" applyProtection="1">
      <protection locked="0"/>
    </xf>
    <xf numFmtId="166" fontId="0" fillId="0" borderId="0" xfId="2" applyNumberFormat="1" applyFont="1" applyBorder="1" applyProtection="1">
      <protection locked="0"/>
    </xf>
    <xf numFmtId="0" fontId="1" fillId="0" borderId="0" xfId="0" applyFont="1" applyAlignment="1">
      <alignment horizontal="left"/>
    </xf>
    <xf numFmtId="0" fontId="0" fillId="0" borderId="21" xfId="0" applyBorder="1"/>
    <xf numFmtId="166" fontId="4" fillId="0" borderId="0" xfId="2" applyNumberFormat="1"/>
    <xf numFmtId="9" fontId="15" fillId="0" borderId="13" xfId="6" applyFont="1" applyBorder="1" applyProtection="1">
      <protection locked="0"/>
    </xf>
    <xf numFmtId="6" fontId="15" fillId="0" borderId="0" xfId="0" applyNumberFormat="1" applyFont="1" applyBorder="1" applyProtection="1">
      <protection locked="0"/>
    </xf>
    <xf numFmtId="0" fontId="1" fillId="0" borderId="0" xfId="0" quotePrefix="1" applyFont="1" applyBorder="1" applyProtection="1">
      <protection locked="0"/>
    </xf>
    <xf numFmtId="0" fontId="16" fillId="0" borderId="34" xfId="0" applyFont="1" applyBorder="1"/>
    <xf numFmtId="0" fontId="16" fillId="0" borderId="34" xfId="0" applyFont="1" applyFill="1" applyBorder="1"/>
    <xf numFmtId="0" fontId="0" fillId="0" borderId="35" xfId="0" applyBorder="1" applyAlignment="1" applyProtection="1">
      <protection locked="0"/>
    </xf>
    <xf numFmtId="6" fontId="0" fillId="0" borderId="0" xfId="0" applyNumberFormat="1" applyBorder="1"/>
    <xf numFmtId="3" fontId="0" fillId="0" borderId="4" xfId="0" applyNumberFormat="1" applyBorder="1" applyAlignment="1">
      <alignment horizontal="center"/>
    </xf>
    <xf numFmtId="0" fontId="6" fillId="0" borderId="4" xfId="0" applyFont="1" applyBorder="1" applyAlignment="1" applyProtection="1">
      <alignment horizontal="centerContinuous"/>
      <protection locked="0"/>
    </xf>
    <xf numFmtId="0" fontId="0" fillId="0" borderId="3" xfId="0" applyBorder="1" applyAlignment="1" applyProtection="1">
      <alignment horizontal="center"/>
      <protection locked="0"/>
    </xf>
    <xf numFmtId="0" fontId="0" fillId="0" borderId="4" xfId="0" applyBorder="1" applyAlignment="1" applyProtection="1">
      <alignment horizontal="center"/>
      <protection locked="0"/>
    </xf>
    <xf numFmtId="0" fontId="4" fillId="0" borderId="4" xfId="0" applyFont="1" applyBorder="1" applyAlignment="1" applyProtection="1">
      <alignment horizontal="center"/>
      <protection locked="0"/>
    </xf>
    <xf numFmtId="0" fontId="6" fillId="0" borderId="2" xfId="0" applyFont="1" applyBorder="1" applyAlignment="1" applyProtection="1">
      <alignment horizontal="center"/>
      <protection locked="0"/>
    </xf>
    <xf numFmtId="0" fontId="1" fillId="0" borderId="1" xfId="0" applyFont="1" applyBorder="1" applyAlignment="1" applyProtection="1">
      <alignment horizontal="center"/>
      <protection locked="0"/>
    </xf>
    <xf numFmtId="0" fontId="27" fillId="0" borderId="0" xfId="0" applyFont="1" applyBorder="1" applyProtection="1">
      <protection locked="0"/>
    </xf>
    <xf numFmtId="0" fontId="23" fillId="0" borderId="0" xfId="0" applyFont="1" applyBorder="1"/>
    <xf numFmtId="0" fontId="23" fillId="0" borderId="0" xfId="0" applyFont="1" applyProtection="1">
      <protection locked="0"/>
    </xf>
    <xf numFmtId="0" fontId="0" fillId="0" borderId="36" xfId="0" applyBorder="1"/>
    <xf numFmtId="0" fontId="16" fillId="0" borderId="0" xfId="0" applyFont="1" applyBorder="1"/>
    <xf numFmtId="174" fontId="0" fillId="0" borderId="0" xfId="0" applyNumberFormat="1"/>
    <xf numFmtId="0" fontId="1" fillId="0" borderId="0" xfId="0" applyFont="1" applyAlignment="1">
      <alignment horizontal="centerContinuous"/>
    </xf>
    <xf numFmtId="0" fontId="23" fillId="0" borderId="0" xfId="0" applyFont="1" applyAlignment="1">
      <alignment horizontal="center"/>
    </xf>
    <xf numFmtId="0" fontId="1" fillId="0" borderId="26" xfId="0" applyFont="1" applyBorder="1" applyAlignment="1">
      <alignment horizontal="center"/>
    </xf>
    <xf numFmtId="6" fontId="0" fillId="0" borderId="0" xfId="0" applyNumberFormat="1"/>
    <xf numFmtId="6" fontId="0" fillId="0" borderId="0" xfId="0" applyNumberFormat="1" applyAlignment="1">
      <alignment horizontal="right"/>
    </xf>
    <xf numFmtId="0" fontId="11" fillId="0" borderId="21" xfId="0" applyFont="1" applyBorder="1" applyAlignment="1">
      <alignment horizontal="center"/>
    </xf>
    <xf numFmtId="0" fontId="11" fillId="0" borderId="21" xfId="0" applyFont="1" applyBorder="1" applyAlignment="1"/>
    <xf numFmtId="0" fontId="0" fillId="0" borderId="21" xfId="0" applyBorder="1" applyAlignment="1">
      <alignment horizontal="center"/>
    </xf>
    <xf numFmtId="0" fontId="0" fillId="0" borderId="21" xfId="0" applyBorder="1" applyAlignment="1"/>
    <xf numFmtId="0" fontId="4" fillId="0" borderId="21" xfId="0" applyFont="1" applyBorder="1"/>
    <xf numFmtId="0" fontId="23" fillId="0" borderId="0" xfId="0" applyFont="1" applyAlignment="1">
      <alignment horizontal="centerContinuous"/>
    </xf>
    <xf numFmtId="0" fontId="23" fillId="3" borderId="1" xfId="0" applyFont="1" applyFill="1" applyBorder="1" applyAlignment="1" applyProtection="1">
      <alignment horizontal="centerContinuous" vertical="center"/>
      <protection locked="0"/>
    </xf>
    <xf numFmtId="0" fontId="2" fillId="4" borderId="37" xfId="0" applyFont="1" applyFill="1" applyBorder="1" applyProtection="1">
      <protection locked="0"/>
    </xf>
    <xf numFmtId="9" fontId="6" fillId="4" borderId="1" xfId="6" applyFont="1" applyFill="1" applyBorder="1" applyProtection="1">
      <protection locked="0"/>
    </xf>
    <xf numFmtId="9" fontId="6" fillId="4" borderId="1" xfId="0" applyNumberFormat="1" applyFont="1" applyFill="1" applyBorder="1" applyProtection="1">
      <protection locked="0"/>
    </xf>
    <xf numFmtId="3" fontId="6" fillId="2" borderId="1" xfId="1" applyNumberFormat="1" applyFont="1" applyFill="1" applyBorder="1" applyProtection="1">
      <protection locked="0"/>
    </xf>
    <xf numFmtId="10" fontId="0" fillId="0" borderId="0" xfId="0" applyNumberFormat="1" applyBorder="1" applyAlignment="1" applyProtection="1">
      <alignment horizontal="left"/>
      <protection locked="0"/>
    </xf>
    <xf numFmtId="0" fontId="6" fillId="0" borderId="0" xfId="0" applyFont="1" applyAlignment="1">
      <alignment horizontal="center"/>
    </xf>
    <xf numFmtId="186" fontId="4" fillId="0" borderId="0" xfId="6" applyNumberFormat="1" applyAlignment="1">
      <alignment horizontal="center"/>
    </xf>
    <xf numFmtId="9" fontId="1" fillId="0" borderId="0" xfId="0" applyNumberFormat="1" applyFont="1" applyAlignment="1">
      <alignment horizontal="left"/>
    </xf>
    <xf numFmtId="9" fontId="4" fillId="0" borderId="0" xfId="6" applyAlignment="1">
      <alignment horizontal="center"/>
    </xf>
    <xf numFmtId="9" fontId="4" fillId="0" borderId="0" xfId="6" applyFont="1" applyAlignment="1">
      <alignment horizontal="center"/>
    </xf>
    <xf numFmtId="9" fontId="1" fillId="0" borderId="0" xfId="0" applyNumberFormat="1" applyFont="1" applyBorder="1" applyAlignment="1">
      <alignment horizontal="left"/>
    </xf>
    <xf numFmtId="9" fontId="4" fillId="0" borderId="0" xfId="6" quotePrefix="1" applyAlignment="1">
      <alignment horizontal="center"/>
    </xf>
    <xf numFmtId="3" fontId="23" fillId="0" borderId="0" xfId="0" applyNumberFormat="1" applyFont="1" applyAlignment="1">
      <alignment horizontal="centerContinuous"/>
    </xf>
    <xf numFmtId="166" fontId="4" fillId="0" borderId="3" xfId="2" applyNumberFormat="1" applyFont="1" applyBorder="1" applyAlignment="1" applyProtection="1">
      <alignment horizontal="center"/>
      <protection locked="0"/>
    </xf>
    <xf numFmtId="0" fontId="27" fillId="0" borderId="12" xfId="0" applyFont="1" applyBorder="1" applyProtection="1">
      <protection locked="0"/>
    </xf>
    <xf numFmtId="14" fontId="0" fillId="0" borderId="0" xfId="0" applyNumberFormat="1" applyAlignment="1">
      <alignment horizontal="left"/>
    </xf>
    <xf numFmtId="3" fontId="6" fillId="2" borderId="1" xfId="0" applyNumberFormat="1" applyFont="1" applyFill="1" applyBorder="1" applyProtection="1">
      <protection locked="0"/>
    </xf>
    <xf numFmtId="43" fontId="0" fillId="0" borderId="0" xfId="0" applyNumberFormat="1" applyProtection="1">
      <protection locked="0"/>
    </xf>
    <xf numFmtId="3" fontId="34" fillId="0" borderId="0" xfId="0" applyNumberFormat="1" applyFont="1" applyProtection="1">
      <protection locked="0"/>
    </xf>
    <xf numFmtId="0" fontId="16" fillId="5" borderId="22" xfId="0" applyFont="1" applyFill="1" applyBorder="1"/>
    <xf numFmtId="0" fontId="16" fillId="0" borderId="38" xfId="0" applyFont="1" applyBorder="1" applyAlignment="1">
      <alignment horizontal="left"/>
    </xf>
    <xf numFmtId="0" fontId="16" fillId="0" borderId="24" xfId="0" applyFont="1" applyBorder="1" applyAlignment="1"/>
    <xf numFmtId="0" fontId="16" fillId="0" borderId="0" xfId="0" applyFont="1" applyBorder="1" applyAlignment="1">
      <alignment horizontal="left"/>
    </xf>
    <xf numFmtId="0" fontId="16" fillId="0" borderId="22" xfId="0" applyFont="1" applyBorder="1" applyAlignment="1">
      <alignment horizontal="left"/>
    </xf>
    <xf numFmtId="0" fontId="16" fillId="0" borderId="39" xfId="0" applyFont="1" applyBorder="1" applyAlignment="1">
      <alignment horizontal="left"/>
    </xf>
    <xf numFmtId="0" fontId="16" fillId="0" borderId="39" xfId="0" applyFont="1" applyBorder="1" applyAlignment="1"/>
    <xf numFmtId="0" fontId="23" fillId="0" borderId="0" xfId="0" applyFont="1" applyBorder="1" applyProtection="1"/>
    <xf numFmtId="0" fontId="14" fillId="0" borderId="0" xfId="0" applyFont="1" applyAlignment="1">
      <alignment horizontal="center"/>
    </xf>
    <xf numFmtId="0" fontId="29" fillId="0" borderId="0" xfId="0" applyFont="1" applyAlignment="1">
      <alignment horizontal="center"/>
    </xf>
    <xf numFmtId="0" fontId="30" fillId="0" borderId="0" xfId="0" applyFont="1" applyAlignment="1">
      <alignment horizontal="center"/>
    </xf>
    <xf numFmtId="166" fontId="16" fillId="0" borderId="0" xfId="2" applyNumberFormat="1" applyFont="1"/>
    <xf numFmtId="166" fontId="31" fillId="0" borderId="0" xfId="2" applyNumberFormat="1" applyFont="1"/>
    <xf numFmtId="9" fontId="19" fillId="4" borderId="1" xfId="6" applyFont="1" applyFill="1" applyBorder="1" applyProtection="1">
      <protection locked="0"/>
    </xf>
    <xf numFmtId="166" fontId="15" fillId="0" borderId="13" xfId="2" applyNumberFormat="1" applyFont="1" applyBorder="1" applyProtection="1">
      <protection locked="0"/>
    </xf>
    <xf numFmtId="166" fontId="15" fillId="0" borderId="0" xfId="2" applyNumberFormat="1" applyFont="1" applyProtection="1">
      <protection locked="0"/>
    </xf>
    <xf numFmtId="0" fontId="23" fillId="0" borderId="0" xfId="0" applyFont="1" applyAlignment="1">
      <alignment horizontal="left"/>
    </xf>
    <xf numFmtId="0" fontId="6" fillId="0" borderId="0" xfId="0" applyFont="1" applyBorder="1" applyProtection="1">
      <protection locked="0"/>
    </xf>
    <xf numFmtId="166" fontId="23" fillId="0" borderId="0" xfId="2" applyNumberFormat="1" applyFont="1"/>
    <xf numFmtId="185" fontId="23" fillId="0" borderId="0" xfId="3" applyNumberFormat="1" applyFont="1" applyBorder="1"/>
    <xf numFmtId="0" fontId="23" fillId="0" borderId="0" xfId="0" quotePrefix="1" applyFont="1"/>
    <xf numFmtId="0" fontId="23" fillId="0" borderId="9" xfId="0" applyFont="1" applyBorder="1" applyAlignment="1">
      <alignment horizontal="left"/>
    </xf>
    <xf numFmtId="0" fontId="23" fillId="0" borderId="10" xfId="0" applyFont="1" applyBorder="1" applyAlignment="1">
      <alignment horizontal="left"/>
    </xf>
    <xf numFmtId="0" fontId="23" fillId="0" borderId="12" xfId="0" applyFont="1" applyBorder="1"/>
    <xf numFmtId="0" fontId="23" fillId="0" borderId="13" xfId="0" applyFont="1" applyBorder="1"/>
    <xf numFmtId="166" fontId="6" fillId="0" borderId="12" xfId="2" applyNumberFormat="1" applyFont="1" applyBorder="1"/>
    <xf numFmtId="166" fontId="6" fillId="0" borderId="13" xfId="2" applyNumberFormat="1" applyFont="1" applyBorder="1"/>
    <xf numFmtId="166" fontId="6" fillId="0" borderId="12" xfId="2" applyNumberFormat="1" applyFont="1" applyBorder="1" applyProtection="1">
      <protection locked="0"/>
    </xf>
    <xf numFmtId="0" fontId="23" fillId="0" borderId="3" xfId="0" applyFont="1" applyBorder="1" applyAlignment="1">
      <alignment horizontal="left"/>
    </xf>
    <xf numFmtId="0" fontId="23" fillId="0" borderId="4" xfId="0" applyFont="1" applyBorder="1"/>
    <xf numFmtId="166" fontId="6" fillId="0" borderId="4" xfId="2" applyNumberFormat="1" applyFont="1" applyBorder="1"/>
    <xf numFmtId="166" fontId="6" fillId="0" borderId="4" xfId="2" applyNumberFormat="1" applyFont="1" applyBorder="1" applyProtection="1">
      <protection locked="0"/>
    </xf>
    <xf numFmtId="166" fontId="23" fillId="0" borderId="8" xfId="2" applyNumberFormat="1" applyFont="1" applyBorder="1"/>
    <xf numFmtId="166" fontId="23" fillId="0" borderId="1" xfId="2" applyNumberFormat="1" applyFont="1" applyBorder="1"/>
    <xf numFmtId="185" fontId="23" fillId="0" borderId="37" xfId="3" applyNumberFormat="1" applyFont="1" applyBorder="1"/>
    <xf numFmtId="0" fontId="23" fillId="0" borderId="7" xfId="0" applyFont="1" applyBorder="1" applyAlignment="1">
      <alignment horizontal="center"/>
    </xf>
    <xf numFmtId="0" fontId="23" fillId="0" borderId="2" xfId="0" applyFont="1" applyBorder="1" applyAlignment="1">
      <alignment horizontal="center"/>
    </xf>
    <xf numFmtId="0" fontId="23" fillId="0" borderId="11" xfId="0" applyFont="1" applyBorder="1" applyAlignment="1">
      <alignment horizontal="center"/>
    </xf>
    <xf numFmtId="0" fontId="14" fillId="0" borderId="0" xfId="0" applyFont="1" applyAlignment="1">
      <alignment horizontal="centerContinuous"/>
    </xf>
    <xf numFmtId="9" fontId="0" fillId="0" borderId="13" xfId="0" applyNumberFormat="1" applyBorder="1" applyProtection="1">
      <protection locked="0"/>
    </xf>
    <xf numFmtId="9" fontId="0" fillId="2" borderId="1" xfId="6" applyFont="1" applyFill="1" applyBorder="1" applyProtection="1">
      <protection locked="0"/>
    </xf>
    <xf numFmtId="9" fontId="3" fillId="2" borderId="1" xfId="6" applyFont="1" applyFill="1" applyBorder="1" applyProtection="1">
      <protection locked="0"/>
    </xf>
    <xf numFmtId="166" fontId="0" fillId="0" borderId="3" xfId="2" applyNumberFormat="1" applyFont="1" applyBorder="1" applyProtection="1">
      <protection locked="0"/>
    </xf>
    <xf numFmtId="166" fontId="0" fillId="0" borderId="2" xfId="2" applyNumberFormat="1" applyFont="1" applyBorder="1" applyProtection="1">
      <protection locked="0"/>
    </xf>
    <xf numFmtId="3" fontId="0" fillId="0" borderId="3" xfId="0" applyNumberFormat="1" applyBorder="1" applyProtection="1">
      <protection locked="0"/>
    </xf>
    <xf numFmtId="166" fontId="0" fillId="0" borderId="4" xfId="2" applyNumberFormat="1" applyFont="1" applyBorder="1" applyProtection="1">
      <protection locked="0"/>
    </xf>
    <xf numFmtId="3" fontId="0" fillId="0" borderId="0" xfId="2" applyNumberFormat="1" applyFont="1" applyBorder="1" applyProtection="1">
      <protection locked="0"/>
    </xf>
    <xf numFmtId="43" fontId="0" fillId="0" borderId="1" xfId="2" applyFont="1" applyBorder="1" applyProtection="1">
      <protection locked="0"/>
    </xf>
    <xf numFmtId="0" fontId="0" fillId="0" borderId="0" xfId="0" applyBorder="1" applyAlignment="1" applyProtection="1">
      <alignment horizontal="right"/>
      <protection locked="0"/>
    </xf>
    <xf numFmtId="43" fontId="0" fillId="0" borderId="0" xfId="2" applyFont="1" applyBorder="1" applyProtection="1">
      <protection locked="0"/>
    </xf>
    <xf numFmtId="166" fontId="0" fillId="0" borderId="0" xfId="0" applyNumberFormat="1" applyBorder="1" applyProtection="1">
      <protection locked="0"/>
    </xf>
    <xf numFmtId="3" fontId="5" fillId="4" borderId="6" xfId="0" applyNumberFormat="1" applyFont="1" applyFill="1" applyBorder="1" applyAlignment="1" applyProtection="1">
      <alignment horizontal="left"/>
      <protection locked="0"/>
    </xf>
    <xf numFmtId="3" fontId="22" fillId="4" borderId="6" xfId="0" applyNumberFormat="1" applyFont="1" applyFill="1" applyBorder="1" applyAlignment="1" applyProtection="1">
      <alignment horizontal="left"/>
      <protection locked="0"/>
    </xf>
    <xf numFmtId="166" fontId="0" fillId="0" borderId="0" xfId="0" applyNumberFormat="1" applyBorder="1" applyAlignment="1" applyProtection="1">
      <alignment horizontal="left"/>
      <protection locked="0"/>
    </xf>
    <xf numFmtId="0" fontId="6" fillId="0" borderId="12" xfId="0" applyFont="1" applyBorder="1" applyProtection="1">
      <protection locked="0"/>
    </xf>
    <xf numFmtId="0" fontId="6" fillId="0" borderId="13" xfId="0" applyFont="1" applyBorder="1" applyProtection="1">
      <protection locked="0"/>
    </xf>
    <xf numFmtId="0" fontId="4" fillId="0" borderId="0" xfId="5" applyFont="1" applyBorder="1"/>
    <xf numFmtId="5" fontId="4" fillId="0" borderId="0" xfId="5" applyNumberFormat="1" applyFont="1" applyBorder="1"/>
    <xf numFmtId="0" fontId="6" fillId="0" borderId="12" xfId="5" applyFont="1" applyBorder="1"/>
    <xf numFmtId="0" fontId="6" fillId="0" borderId="0" xfId="5" applyFont="1" applyBorder="1"/>
    <xf numFmtId="5" fontId="6" fillId="0" borderId="0" xfId="5" applyNumberFormat="1" applyFont="1" applyBorder="1"/>
    <xf numFmtId="0" fontId="30" fillId="0" borderId="12" xfId="0" applyFont="1" applyBorder="1" applyProtection="1">
      <protection locked="0"/>
    </xf>
    <xf numFmtId="9" fontId="6" fillId="0" borderId="0" xfId="0" applyNumberFormat="1" applyFont="1" applyBorder="1" applyProtection="1">
      <protection locked="0"/>
    </xf>
    <xf numFmtId="0" fontId="6" fillId="0" borderId="25" xfId="0" applyFont="1" applyBorder="1" applyProtection="1">
      <protection locked="0"/>
    </xf>
    <xf numFmtId="0" fontId="6" fillId="0" borderId="26" xfId="0" applyFont="1" applyBorder="1" applyProtection="1">
      <protection locked="0"/>
    </xf>
    <xf numFmtId="0" fontId="8" fillId="3" borderId="17" xfId="1" applyFont="1" applyFill="1" applyBorder="1" applyAlignment="1" applyProtection="1">
      <alignment horizontal="right"/>
      <protection locked="0"/>
    </xf>
    <xf numFmtId="3" fontId="8" fillId="2" borderId="1" xfId="1" applyNumberFormat="1" applyFont="1" applyFill="1" applyBorder="1" applyProtection="1">
      <protection locked="0"/>
    </xf>
    <xf numFmtId="6" fontId="6" fillId="0" borderId="13" xfId="0" applyNumberFormat="1" applyFont="1" applyBorder="1" applyProtection="1">
      <protection locked="0"/>
    </xf>
    <xf numFmtId="6" fontId="6" fillId="0" borderId="13" xfId="0" applyNumberFormat="1" applyFont="1" applyBorder="1" applyAlignment="1" applyProtection="1">
      <alignment horizontal="left"/>
      <protection locked="0"/>
    </xf>
    <xf numFmtId="166" fontId="4" fillId="0" borderId="21" xfId="2" applyNumberFormat="1" applyBorder="1"/>
    <xf numFmtId="0" fontId="0" fillId="0" borderId="21" xfId="0" applyNumberFormat="1" applyBorder="1"/>
    <xf numFmtId="0" fontId="4" fillId="0" borderId="21" xfId="2" applyNumberFormat="1" applyBorder="1"/>
    <xf numFmtId="166" fontId="4" fillId="0" borderId="21" xfId="2" applyNumberFormat="1" applyFont="1" applyBorder="1"/>
    <xf numFmtId="0" fontId="0" fillId="0" borderId="26" xfId="0" applyBorder="1"/>
    <xf numFmtId="166" fontId="4" fillId="0" borderId="0" xfId="2" applyNumberFormat="1" applyFont="1" applyBorder="1"/>
    <xf numFmtId="0" fontId="0" fillId="0" borderId="0" xfId="0" applyBorder="1" applyAlignment="1">
      <alignment horizontal="right"/>
    </xf>
    <xf numFmtId="166" fontId="0" fillId="0" borderId="21" xfId="0" applyNumberFormat="1" applyBorder="1" applyAlignment="1">
      <alignment horizontal="right"/>
    </xf>
    <xf numFmtId="0" fontId="0" fillId="0" borderId="21" xfId="0" applyBorder="1" applyAlignment="1">
      <alignment horizontal="right"/>
    </xf>
    <xf numFmtId="0" fontId="23" fillId="0" borderId="21" xfId="0" applyFont="1" applyBorder="1"/>
    <xf numFmtId="166" fontId="36" fillId="0" borderId="0" xfId="2" applyNumberFormat="1" applyFont="1"/>
    <xf numFmtId="278" fontId="0" fillId="0" borderId="0" xfId="0" applyNumberFormat="1" applyAlignment="1">
      <alignment horizontal="center"/>
    </xf>
    <xf numFmtId="166" fontId="4" fillId="0" borderId="22" xfId="2" applyNumberFormat="1" applyFont="1" applyBorder="1"/>
    <xf numFmtId="0" fontId="0" fillId="0" borderId="22" xfId="0" applyBorder="1"/>
    <xf numFmtId="0" fontId="0" fillId="0" borderId="24" xfId="0" applyBorder="1"/>
    <xf numFmtId="166" fontId="0" fillId="0" borderId="21" xfId="0" applyNumberFormat="1" applyBorder="1"/>
    <xf numFmtId="166" fontId="23" fillId="0" borderId="0" xfId="2" applyNumberFormat="1" applyFont="1" applyBorder="1"/>
    <xf numFmtId="166" fontId="23" fillId="0" borderId="21" xfId="2" applyNumberFormat="1" applyFont="1" applyBorder="1"/>
    <xf numFmtId="0" fontId="0" fillId="0" borderId="40" xfId="0" applyBorder="1"/>
    <xf numFmtId="0" fontId="0" fillId="0" borderId="40" xfId="0" applyBorder="1" applyAlignment="1">
      <alignment horizontal="right"/>
    </xf>
    <xf numFmtId="0" fontId="0" fillId="0" borderId="26" xfId="0" applyBorder="1" applyAlignment="1">
      <alignment horizontal="right"/>
    </xf>
    <xf numFmtId="0" fontId="0" fillId="0" borderId="21" xfId="0" applyBorder="1" applyAlignment="1">
      <alignment horizontal="left"/>
    </xf>
    <xf numFmtId="166" fontId="4" fillId="0" borderId="21" xfId="2" applyNumberFormat="1" applyFont="1" applyBorder="1" applyAlignment="1">
      <alignment horizontal="right"/>
    </xf>
    <xf numFmtId="166" fontId="4" fillId="0" borderId="21" xfId="2" applyNumberFormat="1" applyBorder="1" applyAlignment="1">
      <alignment horizontal="right"/>
    </xf>
    <xf numFmtId="0" fontId="0" fillId="0" borderId="39" xfId="0" applyBorder="1" applyAlignment="1">
      <alignment horizontal="center"/>
    </xf>
    <xf numFmtId="0" fontId="0" fillId="0" borderId="20" xfId="0" applyBorder="1" applyAlignment="1">
      <alignment horizontal="center"/>
    </xf>
    <xf numFmtId="0" fontId="0" fillId="0" borderId="17" xfId="0" applyBorder="1" applyAlignment="1">
      <alignment horizontal="center"/>
    </xf>
    <xf numFmtId="0" fontId="37" fillId="0" borderId="41" xfId="0" applyFont="1" applyBorder="1" applyAlignment="1">
      <alignment horizontal="center"/>
    </xf>
    <xf numFmtId="0" fontId="0" fillId="0" borderId="41" xfId="0" applyBorder="1"/>
    <xf numFmtId="49" fontId="0" fillId="0" borderId="39" xfId="0" applyNumberFormat="1" applyBorder="1" applyAlignment="1">
      <alignment horizontal="center"/>
    </xf>
    <xf numFmtId="0" fontId="23" fillId="0" borderId="42" xfId="0" applyFont="1" applyBorder="1" applyAlignment="1">
      <alignment horizontal="center"/>
    </xf>
    <xf numFmtId="0" fontId="23" fillId="0" borderId="43" xfId="0" applyFont="1" applyBorder="1" applyAlignment="1">
      <alignment horizontal="center"/>
    </xf>
    <xf numFmtId="0" fontId="23" fillId="0" borderId="44" xfId="0" applyFont="1" applyBorder="1" applyAlignment="1">
      <alignment horizontal="center"/>
    </xf>
    <xf numFmtId="0" fontId="37" fillId="0" borderId="36" xfId="0" applyFont="1" applyBorder="1" applyAlignment="1">
      <alignment horizontal="center"/>
    </xf>
    <xf numFmtId="0" fontId="37" fillId="0" borderId="43" xfId="0" applyFont="1" applyBorder="1" applyAlignment="1">
      <alignment horizontal="center"/>
    </xf>
    <xf numFmtId="9" fontId="37" fillId="0" borderId="43" xfId="0" applyNumberFormat="1" applyFont="1" applyBorder="1" applyAlignment="1">
      <alignment horizontal="center"/>
    </xf>
    <xf numFmtId="10" fontId="37" fillId="0" borderId="43" xfId="0" applyNumberFormat="1" applyFont="1" applyBorder="1" applyAlignment="1">
      <alignment horizontal="center"/>
    </xf>
    <xf numFmtId="0" fontId="0" fillId="0" borderId="43" xfId="0" applyBorder="1"/>
    <xf numFmtId="49" fontId="0" fillId="0" borderId="45" xfId="0" applyNumberFormat="1" applyBorder="1" applyAlignment="1">
      <alignment horizontal="center"/>
    </xf>
    <xf numFmtId="49" fontId="0" fillId="0" borderId="46" xfId="0" applyNumberFormat="1"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0" fontId="0" fillId="0" borderId="42" xfId="0" applyBorder="1" applyAlignment="1">
      <alignment horizontal="center"/>
    </xf>
    <xf numFmtId="0" fontId="0" fillId="0" borderId="39" xfId="0" applyBorder="1" applyAlignment="1">
      <alignment horizontal="left"/>
    </xf>
    <xf numFmtId="0" fontId="0" fillId="2" borderId="21" xfId="0" applyFill="1" applyBorder="1" applyAlignment="1">
      <alignment horizontal="center"/>
    </xf>
    <xf numFmtId="230" fontId="0" fillId="0" borderId="21" xfId="0" applyNumberFormat="1" applyBorder="1" applyAlignment="1">
      <alignment horizontal="center"/>
    </xf>
    <xf numFmtId="166" fontId="4" fillId="0" borderId="21" xfId="2" applyNumberFormat="1" applyBorder="1" applyAlignment="1">
      <alignment horizontal="center"/>
    </xf>
    <xf numFmtId="166" fontId="38" fillId="0" borderId="43" xfId="0" applyNumberFormat="1" applyFont="1" applyBorder="1"/>
    <xf numFmtId="0" fontId="23" fillId="0" borderId="39" xfId="0" applyFont="1" applyBorder="1"/>
    <xf numFmtId="0" fontId="0" fillId="0" borderId="47" xfId="0" applyBorder="1" applyAlignment="1">
      <alignment horizontal="center"/>
    </xf>
    <xf numFmtId="0" fontId="23" fillId="0" borderId="48" xfId="0" applyFont="1" applyBorder="1" applyAlignment="1">
      <alignment horizontal="center"/>
    </xf>
    <xf numFmtId="0" fontId="0" fillId="0" borderId="49" xfId="0" applyBorder="1" applyAlignment="1">
      <alignment horizontal="center"/>
    </xf>
    <xf numFmtId="0" fontId="23" fillId="0" borderId="50" xfId="0" applyFont="1" applyBorder="1" applyAlignment="1">
      <alignment horizontal="center"/>
    </xf>
    <xf numFmtId="0" fontId="0" fillId="0" borderId="31" xfId="0" applyBorder="1" applyAlignment="1">
      <alignment horizontal="center"/>
    </xf>
    <xf numFmtId="166" fontId="0" fillId="0" borderId="0" xfId="0" applyNumberFormat="1"/>
    <xf numFmtId="0" fontId="14" fillId="0" borderId="0" xfId="0" applyFont="1" applyProtection="1"/>
    <xf numFmtId="0" fontId="6" fillId="0" borderId="51" xfId="0" applyFont="1" applyBorder="1" applyProtection="1"/>
    <xf numFmtId="230" fontId="6" fillId="0" borderId="51" xfId="0" applyNumberFormat="1" applyFont="1" applyBorder="1" applyProtection="1"/>
    <xf numFmtId="0" fontId="23" fillId="0" borderId="52" xfId="0" applyFont="1" applyBorder="1" applyAlignment="1" applyProtection="1">
      <alignment horizontal="center"/>
    </xf>
    <xf numFmtId="230" fontId="23" fillId="0" borderId="53" xfId="0" applyNumberFormat="1" applyFont="1" applyBorder="1" applyAlignment="1" applyProtection="1">
      <alignment horizontal="center"/>
    </xf>
    <xf numFmtId="0" fontId="23" fillId="0" borderId="53" xfId="0" applyFont="1" applyBorder="1" applyAlignment="1" applyProtection="1">
      <alignment horizontal="center"/>
    </xf>
    <xf numFmtId="0" fontId="23" fillId="0" borderId="54" xfId="0" applyFont="1" applyBorder="1" applyAlignment="1" applyProtection="1">
      <alignment horizontal="center"/>
    </xf>
    <xf numFmtId="0" fontId="23" fillId="0" borderId="41" xfId="0" applyFont="1" applyBorder="1" applyAlignment="1" applyProtection="1">
      <alignment horizontal="center"/>
    </xf>
    <xf numFmtId="0" fontId="23" fillId="0" borderId="55" xfId="0" applyFont="1" applyBorder="1" applyAlignment="1" applyProtection="1">
      <alignment horizontal="center"/>
    </xf>
    <xf numFmtId="0" fontId="23" fillId="0" borderId="56" xfId="0" applyFont="1" applyBorder="1" applyAlignment="1" applyProtection="1">
      <alignment horizontal="center"/>
    </xf>
    <xf numFmtId="9" fontId="23" fillId="0" borderId="56" xfId="0" applyNumberFormat="1" applyFont="1" applyBorder="1" applyAlignment="1" applyProtection="1">
      <alignment horizontal="center"/>
    </xf>
    <xf numFmtId="9" fontId="23" fillId="0" borderId="0" xfId="0" applyNumberFormat="1" applyFont="1" applyBorder="1" applyAlignment="1" applyProtection="1">
      <alignment horizontal="center"/>
    </xf>
    <xf numFmtId="0" fontId="23" fillId="0" borderId="36" xfId="0" applyFont="1" applyBorder="1" applyAlignment="1" applyProtection="1">
      <alignment horizontal="center"/>
    </xf>
    <xf numFmtId="230" fontId="23" fillId="0" borderId="56" xfId="0" applyNumberFormat="1" applyFont="1" applyBorder="1" applyAlignment="1" applyProtection="1">
      <alignment horizontal="center"/>
    </xf>
    <xf numFmtId="0" fontId="23" fillId="0" borderId="0" xfId="0" applyFont="1" applyBorder="1" applyAlignment="1" applyProtection="1">
      <alignment horizontal="center"/>
    </xf>
    <xf numFmtId="0" fontId="39" fillId="0" borderId="36" xfId="0" applyFont="1" applyBorder="1" applyAlignment="1">
      <alignment horizontal="center"/>
    </xf>
    <xf numFmtId="10" fontId="23" fillId="0" borderId="56" xfId="6" applyNumberFormat="1" applyFont="1" applyBorder="1" applyAlignment="1" applyProtection="1">
      <alignment horizontal="center"/>
    </xf>
    <xf numFmtId="44" fontId="23" fillId="0" borderId="56" xfId="3" applyFont="1" applyBorder="1" applyAlignment="1" applyProtection="1">
      <alignment horizontal="center"/>
    </xf>
    <xf numFmtId="10" fontId="23" fillId="0" borderId="0" xfId="6" applyNumberFormat="1" applyFont="1" applyBorder="1" applyAlignment="1" applyProtection="1">
      <alignment horizontal="center"/>
    </xf>
    <xf numFmtId="9" fontId="39" fillId="0" borderId="43" xfId="6" applyFont="1" applyBorder="1" applyAlignment="1">
      <alignment horizontal="center"/>
    </xf>
    <xf numFmtId="230" fontId="23" fillId="0" borderId="43" xfId="0" applyNumberFormat="1" applyFont="1" applyBorder="1" applyAlignment="1" applyProtection="1">
      <alignment horizontal="center"/>
    </xf>
    <xf numFmtId="0" fontId="40" fillId="0" borderId="21" xfId="0" applyFont="1" applyBorder="1" applyAlignment="1">
      <alignment horizontal="center"/>
    </xf>
    <xf numFmtId="0" fontId="23" fillId="0" borderId="21" xfId="0" applyFont="1" applyBorder="1" applyAlignment="1" applyProtection="1">
      <alignment horizontal="center"/>
    </xf>
    <xf numFmtId="230" fontId="23" fillId="0" borderId="21" xfId="0" applyNumberFormat="1" applyFont="1" applyBorder="1" applyAlignment="1" applyProtection="1">
      <alignment horizontal="center"/>
    </xf>
    <xf numFmtId="0" fontId="6" fillId="0" borderId="21" xfId="0" applyFont="1" applyBorder="1" applyAlignment="1">
      <alignment horizontal="center"/>
    </xf>
    <xf numFmtId="39" fontId="6" fillId="0" borderId="21" xfId="0" applyNumberFormat="1" applyFont="1" applyBorder="1" applyAlignment="1" applyProtection="1">
      <alignment horizontal="center"/>
    </xf>
    <xf numFmtId="230" fontId="6" fillId="0" borderId="21" xfId="0" applyNumberFormat="1" applyFont="1" applyBorder="1" applyAlignment="1" applyProtection="1">
      <alignment horizontal="center"/>
    </xf>
    <xf numFmtId="166" fontId="6" fillId="0" borderId="21" xfId="2" applyNumberFormat="1" applyFont="1" applyBorder="1" applyAlignment="1">
      <alignment horizontal="center"/>
    </xf>
    <xf numFmtId="39" fontId="6" fillId="0" borderId="0" xfId="0" applyNumberFormat="1" applyFont="1" applyAlignment="1">
      <alignment horizontal="center"/>
    </xf>
    <xf numFmtId="0" fontId="23" fillId="0" borderId="21" xfId="0" applyFont="1" applyBorder="1" applyAlignment="1">
      <alignment horizontal="center"/>
    </xf>
    <xf numFmtId="10" fontId="6" fillId="0" borderId="56" xfId="6" applyNumberFormat="1" applyFont="1" applyBorder="1" applyAlignment="1" applyProtection="1">
      <alignment horizontal="center"/>
    </xf>
    <xf numFmtId="43" fontId="23" fillId="0" borderId="56" xfId="2" applyFont="1" applyBorder="1" applyAlignment="1" applyProtection="1">
      <alignment horizontal="center"/>
    </xf>
    <xf numFmtId="39" fontId="6" fillId="0" borderId="21" xfId="0" applyNumberFormat="1" applyFont="1" applyBorder="1" applyProtection="1"/>
    <xf numFmtId="230" fontId="6" fillId="0" borderId="21" xfId="0" applyNumberFormat="1" applyFont="1" applyBorder="1" applyProtection="1"/>
    <xf numFmtId="5" fontId="4" fillId="0" borderId="0" xfId="2" applyNumberFormat="1" applyFont="1" applyBorder="1" applyAlignment="1" applyProtection="1">
      <alignment horizontal="center"/>
      <protection locked="0"/>
    </xf>
    <xf numFmtId="5" fontId="4" fillId="0" borderId="4" xfId="2" applyNumberFormat="1" applyBorder="1" applyAlignment="1" applyProtection="1">
      <alignment horizontal="center"/>
      <protection locked="0"/>
    </xf>
    <xf numFmtId="5" fontId="4" fillId="0" borderId="5" xfId="2" applyNumberFormat="1" applyBorder="1" applyAlignment="1" applyProtection="1">
      <alignment horizontal="center"/>
      <protection locked="0"/>
    </xf>
    <xf numFmtId="5" fontId="4" fillId="0" borderId="2" xfId="2" applyNumberFormat="1" applyBorder="1" applyAlignment="1" applyProtection="1">
      <alignment horizontal="center"/>
      <protection locked="0"/>
    </xf>
    <xf numFmtId="5" fontId="4" fillId="0" borderId="0" xfId="2" applyNumberFormat="1" applyBorder="1" applyAlignment="1" applyProtection="1">
      <alignment horizontal="center"/>
      <protection locked="0"/>
    </xf>
    <xf numFmtId="5" fontId="0" fillId="0" borderId="0" xfId="0" applyNumberFormat="1" applyBorder="1" applyAlignment="1" applyProtection="1">
      <alignment horizontal="center"/>
      <protection locked="0"/>
    </xf>
    <xf numFmtId="5" fontId="0" fillId="0" borderId="37" xfId="0" applyNumberFormat="1" applyBorder="1" applyAlignment="1" applyProtection="1">
      <alignment horizontal="center"/>
      <protection locked="0"/>
    </xf>
    <xf numFmtId="5" fontId="43" fillId="0" borderId="1" xfId="2" applyNumberFormat="1" applyFont="1" applyBorder="1" applyAlignment="1" applyProtection="1">
      <alignment horizontal="center"/>
      <protection locked="0"/>
    </xf>
    <xf numFmtId="5" fontId="0" fillId="0" borderId="0" xfId="0" applyNumberFormat="1" applyAlignment="1" applyProtection="1">
      <alignment horizontal="center"/>
      <protection locked="0"/>
    </xf>
    <xf numFmtId="10" fontId="44" fillId="2" borderId="56" xfId="6" applyNumberFormat="1" applyFont="1" applyFill="1" applyBorder="1" applyAlignment="1" applyProtection="1">
      <alignment horizontal="center"/>
    </xf>
    <xf numFmtId="10" fontId="45" fillId="2" borderId="56" xfId="6" applyNumberFormat="1" applyFont="1" applyFill="1" applyBorder="1" applyAlignment="1" applyProtection="1">
      <alignment horizontal="center"/>
    </xf>
    <xf numFmtId="44" fontId="44" fillId="2" borderId="56" xfId="3" applyFont="1" applyFill="1" applyBorder="1" applyAlignment="1" applyProtection="1">
      <alignment horizontal="center"/>
    </xf>
    <xf numFmtId="10" fontId="44" fillId="2" borderId="0" xfId="6" applyNumberFormat="1" applyFont="1" applyFill="1" applyBorder="1" applyAlignment="1" applyProtection="1">
      <alignment horizontal="center"/>
    </xf>
    <xf numFmtId="9" fontId="46" fillId="2" borderId="43" xfId="6" applyFont="1" applyFill="1" applyBorder="1" applyAlignment="1">
      <alignment horizontal="center"/>
    </xf>
    <xf numFmtId="39" fontId="45" fillId="2" borderId="21" xfId="0" applyNumberFormat="1" applyFont="1" applyFill="1" applyBorder="1" applyProtection="1"/>
    <xf numFmtId="166" fontId="6" fillId="0" borderId="21" xfId="2" applyNumberFormat="1" applyFont="1" applyBorder="1"/>
    <xf numFmtId="39" fontId="45" fillId="2" borderId="0" xfId="0" applyNumberFormat="1" applyFont="1" applyFill="1"/>
    <xf numFmtId="39" fontId="6" fillId="0" borderId="0" xfId="0" applyNumberFormat="1" applyFont="1"/>
    <xf numFmtId="10" fontId="32" fillId="0" borderId="56" xfId="6" applyNumberFormat="1" applyFont="1" applyBorder="1" applyAlignment="1" applyProtection="1">
      <alignment horizontal="center"/>
    </xf>
    <xf numFmtId="43" fontId="44" fillId="2" borderId="56" xfId="2" applyFont="1" applyFill="1" applyBorder="1" applyAlignment="1" applyProtection="1">
      <alignment horizontal="center"/>
    </xf>
    <xf numFmtId="0" fontId="23" fillId="0" borderId="36" xfId="0" applyFont="1" applyBorder="1" applyAlignment="1">
      <alignment horizontal="center"/>
    </xf>
    <xf numFmtId="0" fontId="0" fillId="0" borderId="57" xfId="0" applyBorder="1" applyProtection="1">
      <protection locked="0"/>
    </xf>
    <xf numFmtId="3" fontId="1" fillId="0" borderId="0" xfId="0" applyNumberFormat="1" applyFont="1" applyAlignment="1" applyProtection="1">
      <protection locked="0"/>
    </xf>
    <xf numFmtId="0" fontId="0" fillId="0" borderId="58" xfId="0" applyBorder="1"/>
    <xf numFmtId="0" fontId="16" fillId="0" borderId="0" xfId="0" applyFont="1" applyProtection="1">
      <protection locked="0"/>
    </xf>
    <xf numFmtId="0" fontId="23" fillId="0" borderId="5" xfId="0" applyFont="1" applyBorder="1" applyAlignment="1">
      <alignment horizontal="right"/>
    </xf>
    <xf numFmtId="0" fontId="10" fillId="0" borderId="0" xfId="0" applyFont="1" applyAlignment="1">
      <alignment horizontal="right"/>
    </xf>
    <xf numFmtId="171" fontId="0" fillId="0" borderId="0" xfId="0" applyNumberFormat="1"/>
    <xf numFmtId="171" fontId="10" fillId="0" borderId="0" xfId="0" applyNumberFormat="1" applyFont="1"/>
    <xf numFmtId="171" fontId="6" fillId="0" borderId="0" xfId="0" applyNumberFormat="1" applyFont="1"/>
    <xf numFmtId="1" fontId="0" fillId="0" borderId="5" xfId="0" applyNumberFormat="1" applyBorder="1"/>
    <xf numFmtId="1" fontId="0" fillId="0" borderId="0" xfId="0" applyNumberFormat="1"/>
    <xf numFmtId="185" fontId="4" fillId="0" borderId="0" xfId="3" applyNumberFormat="1"/>
    <xf numFmtId="166" fontId="4" fillId="0" borderId="0" xfId="2" applyNumberFormat="1" applyFont="1"/>
    <xf numFmtId="185" fontId="43" fillId="0" borderId="0" xfId="3" applyNumberFormat="1" applyFont="1"/>
    <xf numFmtId="166" fontId="6" fillId="0" borderId="0" xfId="2" applyNumberFormat="1" applyFont="1" applyBorder="1"/>
    <xf numFmtId="166" fontId="10" fillId="0" borderId="0" xfId="2" applyNumberFormat="1" applyFont="1"/>
    <xf numFmtId="10" fontId="0" fillId="0" borderId="37" xfId="0" applyNumberFormat="1" applyBorder="1"/>
    <xf numFmtId="0" fontId="6" fillId="0" borderId="21" xfId="0" applyFont="1" applyFill="1" applyBorder="1" applyAlignment="1">
      <alignment horizontal="center"/>
    </xf>
    <xf numFmtId="0" fontId="0" fillId="0" borderId="21" xfId="0" applyFill="1" applyBorder="1" applyAlignment="1">
      <alignment horizontal="center"/>
    </xf>
    <xf numFmtId="0" fontId="0" fillId="0" borderId="5" xfId="0" applyBorder="1"/>
    <xf numFmtId="0" fontId="0" fillId="0" borderId="5" xfId="0" applyBorder="1" applyAlignment="1">
      <alignment horizontal="centerContinuous"/>
    </xf>
    <xf numFmtId="0" fontId="0" fillId="0" borderId="59" xfId="0" applyBorder="1" applyAlignment="1">
      <alignment horizontal="centerContinuous"/>
    </xf>
    <xf numFmtId="0" fontId="0" fillId="0" borderId="38" xfId="0" applyBorder="1"/>
    <xf numFmtId="9" fontId="0" fillId="0" borderId="0" xfId="0" applyNumberFormat="1"/>
    <xf numFmtId="0" fontId="0" fillId="0" borderId="59" xfId="0" applyBorder="1"/>
    <xf numFmtId="0" fontId="0" fillId="0" borderId="8" xfId="0" applyBorder="1"/>
    <xf numFmtId="0" fontId="0" fillId="0" borderId="35" xfId="0" applyBorder="1"/>
    <xf numFmtId="0" fontId="0" fillId="0" borderId="37" xfId="0" applyBorder="1"/>
    <xf numFmtId="0" fontId="0" fillId="0" borderId="14" xfId="0" applyBorder="1"/>
    <xf numFmtId="0" fontId="0" fillId="0" borderId="15" xfId="0" applyBorder="1"/>
    <xf numFmtId="0" fontId="32" fillId="0" borderId="16" xfId="0" applyFont="1" applyBorder="1"/>
    <xf numFmtId="0" fontId="32" fillId="0" borderId="0" xfId="0" applyFont="1"/>
    <xf numFmtId="0" fontId="0" fillId="0" borderId="20" xfId="0" applyBorder="1"/>
    <xf numFmtId="0" fontId="0" fillId="0" borderId="17" xfId="0" applyBorder="1"/>
    <xf numFmtId="0" fontId="0" fillId="0" borderId="47" xfId="0" applyBorder="1"/>
    <xf numFmtId="0" fontId="0" fillId="0" borderId="49" xfId="0" applyBorder="1"/>
    <xf numFmtId="9" fontId="32" fillId="0" borderId="31" xfId="0" applyNumberFormat="1" applyFont="1" applyBorder="1"/>
    <xf numFmtId="3" fontId="14" fillId="0" borderId="0" xfId="0" applyNumberFormat="1" applyFont="1" applyAlignment="1">
      <alignment horizontal="centerContinuous"/>
    </xf>
    <xf numFmtId="0" fontId="0" fillId="2" borderId="4" xfId="0" applyFill="1" applyBorder="1" applyAlignment="1" applyProtection="1">
      <alignment horizontal="center"/>
      <protection locked="0"/>
    </xf>
    <xf numFmtId="0" fontId="1" fillId="0" borderId="0" xfId="0" applyFont="1" applyProtection="1"/>
    <xf numFmtId="9" fontId="0" fillId="2" borderId="1" xfId="6" applyNumberFormat="1" applyFont="1" applyFill="1" applyBorder="1" applyProtection="1">
      <protection locked="0"/>
    </xf>
    <xf numFmtId="3" fontId="0" fillId="0" borderId="0" xfId="0" applyNumberFormat="1" applyAlignment="1" applyProtection="1">
      <alignment horizontal="centerContinuous"/>
    </xf>
    <xf numFmtId="3" fontId="1" fillId="0" borderId="0" xfId="0" applyNumberFormat="1" applyFont="1" applyAlignment="1" applyProtection="1">
      <alignment horizontal="centerContinuous"/>
    </xf>
    <xf numFmtId="3" fontId="1" fillId="0" borderId="0" xfId="0" applyNumberFormat="1" applyFont="1" applyBorder="1" applyProtection="1"/>
    <xf numFmtId="3" fontId="0" fillId="0" borderId="0" xfId="0" applyNumberFormat="1" applyBorder="1" applyAlignment="1" applyProtection="1"/>
    <xf numFmtId="3" fontId="6" fillId="0" borderId="21" xfId="0" applyNumberFormat="1" applyFont="1" applyBorder="1" applyAlignment="1" applyProtection="1">
      <alignment horizontal="centerContinuous"/>
    </xf>
    <xf numFmtId="3" fontId="6" fillId="0" borderId="21" xfId="0" applyNumberFormat="1" applyFont="1" applyBorder="1" applyProtection="1"/>
    <xf numFmtId="3" fontId="1" fillId="0" borderId="41" xfId="0" applyNumberFormat="1" applyFont="1" applyBorder="1" applyAlignment="1" applyProtection="1">
      <alignment horizontal="centerContinuous"/>
    </xf>
    <xf numFmtId="3" fontId="0" fillId="0" borderId="41" xfId="0" applyNumberFormat="1" applyBorder="1" applyProtection="1"/>
    <xf numFmtId="3" fontId="6" fillId="0" borderId="36" xfId="0" applyNumberFormat="1" applyFont="1" applyBorder="1" applyAlignment="1" applyProtection="1">
      <alignment horizontal="center"/>
    </xf>
    <xf numFmtId="3" fontId="6" fillId="0" borderId="0" xfId="0" applyNumberFormat="1" applyFont="1" applyBorder="1" applyProtection="1"/>
    <xf numFmtId="3" fontId="1" fillId="0" borderId="0" xfId="0" applyNumberFormat="1" applyFont="1" applyProtection="1"/>
    <xf numFmtId="3" fontId="0" fillId="0" borderId="0" xfId="0" applyNumberFormat="1" applyBorder="1" applyProtection="1"/>
    <xf numFmtId="166" fontId="6" fillId="0" borderId="36" xfId="2" applyNumberFormat="1" applyFont="1" applyBorder="1" applyAlignment="1" applyProtection="1">
      <alignment horizontal="center"/>
    </xf>
    <xf numFmtId="3" fontId="6" fillId="0" borderId="43" xfId="0" applyNumberFormat="1" applyFont="1" applyBorder="1" applyProtection="1">
      <protection locked="0"/>
    </xf>
    <xf numFmtId="166" fontId="6" fillId="0" borderId="43" xfId="2" applyNumberFormat="1" applyFont="1" applyBorder="1" applyProtection="1"/>
    <xf numFmtId="3" fontId="43" fillId="0" borderId="21" xfId="0" applyNumberFormat="1" applyFont="1" applyBorder="1" applyProtection="1">
      <protection locked="0"/>
    </xf>
    <xf numFmtId="3" fontId="6" fillId="0" borderId="21" xfId="0" applyNumberFormat="1" applyFont="1" applyBorder="1" applyProtection="1">
      <protection locked="0"/>
    </xf>
    <xf numFmtId="3" fontId="49" fillId="0" borderId="21" xfId="0" applyNumberFormat="1" applyFont="1" applyBorder="1" applyProtection="1"/>
    <xf numFmtId="0" fontId="1" fillId="0" borderId="0" xfId="0" applyFont="1" applyBorder="1" applyProtection="1"/>
    <xf numFmtId="3" fontId="6" fillId="2" borderId="36" xfId="0" applyNumberFormat="1" applyFont="1" applyFill="1" applyBorder="1" applyAlignment="1" applyProtection="1"/>
    <xf numFmtId="3" fontId="6" fillId="2" borderId="36" xfId="2" applyNumberFormat="1" applyFont="1" applyFill="1" applyBorder="1" applyAlignment="1" applyProtection="1"/>
    <xf numFmtId="3" fontId="6" fillId="2" borderId="36" xfId="2" applyNumberFormat="1" applyFont="1" applyFill="1" applyBorder="1" applyAlignment="1"/>
    <xf numFmtId="0" fontId="6" fillId="0" borderId="12" xfId="0" applyFont="1" applyFill="1" applyBorder="1" applyProtection="1">
      <protection locked="0"/>
    </xf>
    <xf numFmtId="0" fontId="6" fillId="0" borderId="0" xfId="0" applyFont="1" applyFill="1" applyBorder="1" applyProtection="1">
      <protection locked="0"/>
    </xf>
    <xf numFmtId="0" fontId="16" fillId="0" borderId="60" xfId="0" applyFont="1" applyBorder="1" applyAlignment="1">
      <alignment horizontal="left"/>
    </xf>
    <xf numFmtId="0" fontId="0" fillId="0" borderId="18" xfId="0" applyBorder="1"/>
    <xf numFmtId="0" fontId="16" fillId="0" borderId="61" xfId="0" applyFont="1" applyBorder="1"/>
    <xf numFmtId="0" fontId="16" fillId="0" borderId="58" xfId="0" applyFont="1" applyBorder="1"/>
    <xf numFmtId="0" fontId="16" fillId="0" borderId="62" xfId="0" applyFont="1" applyBorder="1" applyAlignment="1">
      <alignment horizontal="left"/>
    </xf>
    <xf numFmtId="0" fontId="16" fillId="0" borderId="63" xfId="0" applyFont="1" applyBorder="1" applyAlignment="1"/>
    <xf numFmtId="3" fontId="5" fillId="0" borderId="0" xfId="0" applyNumberFormat="1" applyFont="1" applyBorder="1" applyAlignment="1" applyProtection="1">
      <alignment horizontal="centerContinuous"/>
    </xf>
    <xf numFmtId="0" fontId="0" fillId="0" borderId="0" xfId="0" applyBorder="1" applyAlignment="1" applyProtection="1">
      <alignment horizontal="centerContinuous"/>
    </xf>
    <xf numFmtId="0" fontId="0" fillId="0" borderId="0" xfId="0" applyBorder="1" applyAlignment="1" applyProtection="1"/>
    <xf numFmtId="0" fontId="5" fillId="0" borderId="0" xfId="0" applyFont="1" applyBorder="1" applyAlignment="1" applyProtection="1">
      <alignment horizontal="center"/>
    </xf>
    <xf numFmtId="0" fontId="1" fillId="0" borderId="64" xfId="0" applyFont="1" applyBorder="1" applyProtection="1"/>
    <xf numFmtId="0" fontId="0" fillId="0" borderId="40" xfId="0" applyBorder="1" applyProtection="1"/>
    <xf numFmtId="0" fontId="23" fillId="0" borderId="40" xfId="0" applyFont="1" applyBorder="1" applyAlignment="1" applyProtection="1">
      <alignment horizontal="center"/>
    </xf>
    <xf numFmtId="0" fontId="1" fillId="0" borderId="40" xfId="0" applyFont="1" applyBorder="1" applyAlignment="1" applyProtection="1">
      <alignment horizontal="center"/>
    </xf>
    <xf numFmtId="0" fontId="0" fillId="0" borderId="65" xfId="0" applyBorder="1" applyProtection="1"/>
    <xf numFmtId="0" fontId="0" fillId="0" borderId="46" xfId="0" applyBorder="1" applyProtection="1"/>
    <xf numFmtId="0" fontId="0" fillId="0" borderId="26" xfId="0" applyBorder="1" applyProtection="1"/>
    <xf numFmtId="0" fontId="10" fillId="0" borderId="26" xfId="0" applyFont="1" applyBorder="1" applyAlignment="1" applyProtection="1">
      <alignment horizontal="right"/>
    </xf>
    <xf numFmtId="0" fontId="0" fillId="0" borderId="57" xfId="0" applyBorder="1" applyProtection="1"/>
    <xf numFmtId="0" fontId="0" fillId="0" borderId="38" xfId="0" applyBorder="1" applyProtection="1"/>
    <xf numFmtId="2" fontId="0" fillId="0" borderId="0" xfId="0" applyNumberFormat="1" applyBorder="1" applyAlignment="1" applyProtection="1">
      <alignment horizontal="center"/>
    </xf>
    <xf numFmtId="0" fontId="0" fillId="0" borderId="0" xfId="0" applyBorder="1" applyAlignment="1" applyProtection="1">
      <alignment horizontal="center"/>
    </xf>
    <xf numFmtId="0" fontId="0" fillId="0" borderId="34" xfId="0" applyBorder="1" applyProtection="1"/>
    <xf numFmtId="2" fontId="0" fillId="0" borderId="26" xfId="0" applyNumberFormat="1" applyBorder="1" applyAlignment="1" applyProtection="1">
      <alignment horizontal="center"/>
    </xf>
    <xf numFmtId="2" fontId="0" fillId="0" borderId="40" xfId="0" applyNumberFormat="1" applyBorder="1" applyAlignment="1" applyProtection="1">
      <alignment horizontal="center"/>
    </xf>
    <xf numFmtId="0" fontId="0" fillId="0" borderId="26" xfId="0" applyBorder="1" applyAlignment="1" applyProtection="1">
      <alignment horizontal="center"/>
    </xf>
    <xf numFmtId="2" fontId="0" fillId="0" borderId="0" xfId="0" applyNumberFormat="1" applyFill="1" applyBorder="1" applyAlignment="1" applyProtection="1">
      <alignment horizontal="center"/>
    </xf>
    <xf numFmtId="1" fontId="0" fillId="0" borderId="0" xfId="0" applyNumberFormat="1" applyBorder="1" applyProtection="1"/>
    <xf numFmtId="0" fontId="0" fillId="0" borderId="64" xfId="0" applyBorder="1" applyProtection="1"/>
    <xf numFmtId="1" fontId="0" fillId="0" borderId="40" xfId="0" applyNumberFormat="1" applyBorder="1" applyProtection="1"/>
    <xf numFmtId="0" fontId="1" fillId="0" borderId="46" xfId="0" applyFont="1" applyBorder="1" applyProtection="1"/>
    <xf numFmtId="2" fontId="23" fillId="0" borderId="26" xfId="0" applyNumberFormat="1" applyFont="1" applyBorder="1" applyAlignment="1" applyProtection="1">
      <alignment horizontal="center"/>
    </xf>
    <xf numFmtId="0" fontId="23" fillId="0" borderId="26" xfId="0" applyFont="1" applyBorder="1" applyProtection="1"/>
    <xf numFmtId="1" fontId="0" fillId="0" borderId="26" xfId="0" applyNumberFormat="1" applyBorder="1" applyProtection="1"/>
    <xf numFmtId="2" fontId="0" fillId="0" borderId="65" xfId="0" applyNumberFormat="1" applyBorder="1" applyAlignment="1" applyProtection="1">
      <alignment horizontal="center"/>
    </xf>
    <xf numFmtId="0" fontId="0" fillId="0" borderId="38" xfId="0" quotePrefix="1" applyBorder="1" applyProtection="1"/>
    <xf numFmtId="171" fontId="0" fillId="0" borderId="34" xfId="0" applyNumberFormat="1" applyBorder="1" applyAlignment="1" applyProtection="1">
      <alignment horizontal="center"/>
    </xf>
    <xf numFmtId="0" fontId="1" fillId="0" borderId="38" xfId="0" applyFont="1" applyBorder="1" applyProtection="1"/>
    <xf numFmtId="171" fontId="0" fillId="0" borderId="0" xfId="0" applyNumberFormat="1" applyBorder="1" applyAlignment="1" applyProtection="1">
      <alignment horizontal="center"/>
    </xf>
    <xf numFmtId="0" fontId="14" fillId="0" borderId="39" xfId="0" applyFont="1" applyBorder="1" applyProtection="1"/>
    <xf numFmtId="0" fontId="14" fillId="0" borderId="22" xfId="0" applyFont="1" applyBorder="1" applyProtection="1"/>
    <xf numFmtId="6" fontId="14" fillId="0" borderId="22" xfId="0" applyNumberFormat="1" applyFont="1" applyBorder="1" applyProtection="1"/>
    <xf numFmtId="0" fontId="14" fillId="0" borderId="24" xfId="0" applyFont="1" applyBorder="1" applyProtection="1"/>
    <xf numFmtId="171" fontId="14" fillId="0" borderId="0" xfId="0" applyNumberFormat="1" applyFont="1" applyBorder="1" applyProtection="1"/>
    <xf numFmtId="0" fontId="14" fillId="0" borderId="0" xfId="0" applyFont="1" applyBorder="1" applyProtection="1"/>
    <xf numFmtId="171" fontId="0" fillId="0" borderId="0" xfId="0" applyNumberFormat="1" applyBorder="1" applyProtection="1"/>
    <xf numFmtId="185" fontId="4" fillId="2" borderId="0" xfId="3" applyNumberFormat="1" applyFill="1" applyBorder="1" applyProtection="1"/>
    <xf numFmtId="0" fontId="0" fillId="0" borderId="0" xfId="0" applyFill="1" applyBorder="1" applyProtection="1"/>
    <xf numFmtId="185" fontId="6" fillId="2" borderId="0" xfId="3" applyNumberFormat="1" applyFont="1" applyFill="1" applyBorder="1" applyProtection="1"/>
    <xf numFmtId="6" fontId="0" fillId="0" borderId="0" xfId="0" applyNumberFormat="1" applyBorder="1" applyProtection="1"/>
    <xf numFmtId="0" fontId="0" fillId="0" borderId="0" xfId="0" quotePrefix="1" applyBorder="1" applyProtection="1"/>
    <xf numFmtId="185" fontId="14" fillId="0" borderId="22" xfId="3" applyNumberFormat="1" applyFont="1" applyBorder="1" applyProtection="1"/>
    <xf numFmtId="3" fontId="1" fillId="0" borderId="0" xfId="0" applyNumberFormat="1" applyFont="1"/>
    <xf numFmtId="0" fontId="23" fillId="6" borderId="20" xfId="0" applyFont="1" applyFill="1" applyBorder="1" applyAlignment="1">
      <alignment horizontal="center"/>
    </xf>
    <xf numFmtId="0" fontId="23" fillId="6" borderId="21" xfId="0" applyFont="1" applyFill="1" applyBorder="1" applyAlignment="1">
      <alignment horizontal="center"/>
    </xf>
    <xf numFmtId="0" fontId="23" fillId="7" borderId="21" xfId="0" applyFont="1" applyFill="1" applyBorder="1" applyAlignment="1">
      <alignment horizontal="center"/>
    </xf>
    <xf numFmtId="0" fontId="23" fillId="7" borderId="17" xfId="0" applyFont="1" applyFill="1" applyBorder="1" applyAlignment="1">
      <alignment horizontal="center"/>
    </xf>
    <xf numFmtId="3" fontId="17" fillId="0" borderId="0" xfId="0" applyNumberFormat="1" applyFont="1" applyAlignment="1" applyProtection="1">
      <alignment horizontal="center"/>
      <protection locked="0"/>
    </xf>
    <xf numFmtId="0" fontId="23" fillId="0" borderId="0" xfId="0" applyFont="1" applyAlignment="1" applyProtection="1">
      <alignment horizontal="center"/>
    </xf>
    <xf numFmtId="0" fontId="6" fillId="0" borderId="0" xfId="0" applyFont="1" applyAlignment="1" applyProtection="1">
      <alignment horizontal="center"/>
    </xf>
    <xf numFmtId="0" fontId="6" fillId="0" borderId="0" xfId="0" applyFont="1" applyAlignment="1" applyProtection="1">
      <alignment horizontal="center"/>
      <protection locked="0"/>
    </xf>
    <xf numFmtId="0" fontId="15" fillId="0" borderId="0" xfId="0" applyFont="1" applyAlignment="1">
      <alignment horizontal="center"/>
    </xf>
    <xf numFmtId="0" fontId="25" fillId="0" borderId="0" xfId="0" applyFont="1" applyAlignment="1" applyProtection="1">
      <alignment horizontal="center"/>
      <protection locked="0"/>
    </xf>
    <xf numFmtId="3" fontId="6" fillId="0" borderId="36" xfId="0" applyNumberFormat="1" applyFont="1" applyBorder="1" applyAlignment="1" applyProtection="1">
      <alignment horizontal="right"/>
    </xf>
    <xf numFmtId="0" fontId="39" fillId="0" borderId="0" xfId="0" applyFont="1" applyBorder="1" applyAlignment="1">
      <alignment horizontal="center"/>
    </xf>
    <xf numFmtId="9" fontId="39" fillId="0" borderId="0" xfId="6" applyFont="1" applyBorder="1" applyAlignment="1">
      <alignment horizontal="center"/>
    </xf>
    <xf numFmtId="230" fontId="23" fillId="0" borderId="0" xfId="0" applyNumberFormat="1" applyFont="1" applyBorder="1" applyAlignment="1" applyProtection="1">
      <alignment horizontal="center"/>
    </xf>
    <xf numFmtId="39" fontId="6" fillId="0" borderId="0" xfId="0" applyNumberFormat="1" applyFont="1" applyBorder="1" applyAlignment="1" applyProtection="1">
      <alignment horizontal="center"/>
    </xf>
    <xf numFmtId="0" fontId="23" fillId="0" borderId="66" xfId="0" applyFont="1" applyBorder="1" applyAlignment="1" applyProtection="1">
      <alignment horizontal="center"/>
    </xf>
    <xf numFmtId="9" fontId="23" fillId="0" borderId="34" xfId="0" applyNumberFormat="1" applyFont="1" applyBorder="1" applyAlignment="1" applyProtection="1">
      <alignment horizontal="center"/>
    </xf>
    <xf numFmtId="10" fontId="23" fillId="0" borderId="34" xfId="6" applyNumberFormat="1" applyFont="1" applyBorder="1" applyAlignment="1" applyProtection="1">
      <alignment horizontal="center"/>
    </xf>
    <xf numFmtId="0" fontId="0" fillId="0" borderId="0" xfId="0" applyFill="1" applyBorder="1" applyAlignment="1">
      <alignment horizontal="center"/>
    </xf>
    <xf numFmtId="0" fontId="0" fillId="0" borderId="0" xfId="0" applyFill="1" applyBorder="1"/>
    <xf numFmtId="49" fontId="0" fillId="0" borderId="0" xfId="0" applyNumberFormat="1" applyFill="1" applyBorder="1" applyAlignment="1">
      <alignment horizontal="center"/>
    </xf>
    <xf numFmtId="0" fontId="23" fillId="0" borderId="0" xfId="0" applyFont="1" applyFill="1" applyBorder="1" applyAlignment="1">
      <alignment horizontal="center"/>
    </xf>
    <xf numFmtId="0" fontId="6" fillId="0" borderId="0" xfId="0" applyFont="1" applyFill="1" applyBorder="1" applyAlignment="1">
      <alignment horizontal="center"/>
    </xf>
    <xf numFmtId="0" fontId="6" fillId="0" borderId="12" xfId="0" applyFont="1" applyFill="1" applyBorder="1"/>
    <xf numFmtId="3" fontId="15" fillId="2" borderId="37" xfId="0" applyNumberFormat="1" applyFont="1" applyFill="1" applyBorder="1" applyProtection="1">
      <protection locked="0"/>
    </xf>
    <xf numFmtId="3" fontId="19" fillId="4" borderId="3" xfId="1" applyNumberFormat="1" applyFont="1" applyFill="1" applyBorder="1" applyProtection="1">
      <protection locked="0"/>
    </xf>
    <xf numFmtId="3" fontId="15" fillId="2" borderId="2" xfId="0" applyNumberFormat="1" applyFont="1" applyFill="1" applyBorder="1" applyProtection="1">
      <protection locked="0"/>
    </xf>
    <xf numFmtId="0" fontId="6" fillId="0" borderId="0" xfId="0" quotePrefix="1" applyFont="1" applyFill="1" applyBorder="1" applyProtection="1">
      <protection locked="0"/>
    </xf>
    <xf numFmtId="0" fontId="6" fillId="0" borderId="0" xfId="0" applyFont="1" applyFill="1" applyBorder="1"/>
    <xf numFmtId="5" fontId="43" fillId="2" borderId="1" xfId="2" applyNumberFormat="1" applyFont="1" applyFill="1" applyBorder="1" applyAlignment="1" applyProtection="1">
      <protection locked="0"/>
    </xf>
    <xf numFmtId="3" fontId="1" fillId="0" borderId="0" xfId="0" applyNumberFormat="1" applyFont="1" applyBorder="1" applyAlignment="1" applyProtection="1">
      <alignment horizontal="centerContinuous"/>
      <protection locked="0"/>
    </xf>
    <xf numFmtId="3" fontId="0" fillId="0" borderId="0" xfId="0" applyNumberFormat="1" applyBorder="1" applyAlignment="1" applyProtection="1">
      <alignment horizontal="centerContinuous"/>
      <protection locked="0"/>
    </xf>
    <xf numFmtId="3" fontId="1" fillId="0" borderId="5" xfId="0" applyNumberFormat="1" applyFont="1" applyBorder="1" applyAlignment="1" applyProtection="1">
      <alignment horizontal="centerContinuous"/>
      <protection locked="0"/>
    </xf>
    <xf numFmtId="0" fontId="23" fillId="0" borderId="3" xfId="0" applyFont="1" applyBorder="1" applyAlignment="1">
      <alignment horizontal="center"/>
    </xf>
    <xf numFmtId="0" fontId="0" fillId="0" borderId="0" xfId="0" applyBorder="1" applyAlignment="1" applyProtection="1">
      <protection locked="0"/>
    </xf>
    <xf numFmtId="3" fontId="23" fillId="0" borderId="1" xfId="0" applyNumberFormat="1" applyFont="1" applyBorder="1" applyAlignment="1" applyProtection="1">
      <alignment horizontal="center"/>
      <protection locked="0"/>
    </xf>
    <xf numFmtId="0" fontId="0" fillId="0" borderId="3" xfId="0" applyFill="1" applyBorder="1" applyProtection="1">
      <protection locked="0"/>
    </xf>
    <xf numFmtId="3" fontId="0" fillId="0" borderId="4" xfId="0" applyNumberFormat="1" applyFill="1" applyBorder="1" applyProtection="1">
      <protection locked="0"/>
    </xf>
    <xf numFmtId="0" fontId="0" fillId="0" borderId="4" xfId="0" applyFill="1" applyBorder="1" applyProtection="1">
      <protection locked="0"/>
    </xf>
    <xf numFmtId="3" fontId="0" fillId="0" borderId="2" xfId="0" applyNumberFormat="1" applyFill="1" applyBorder="1" applyProtection="1">
      <protection locked="0"/>
    </xf>
    <xf numFmtId="0" fontId="27" fillId="0" borderId="0" xfId="0" applyFont="1" applyProtection="1">
      <protection locked="0"/>
    </xf>
    <xf numFmtId="0" fontId="23" fillId="0" borderId="0" xfId="0" applyFont="1" applyBorder="1" applyAlignment="1" applyProtection="1"/>
    <xf numFmtId="0" fontId="23" fillId="0" borderId="0" xfId="0" applyFont="1" applyAlignment="1"/>
    <xf numFmtId="0" fontId="6" fillId="0" borderId="0" xfId="0" applyFont="1" applyAlignment="1"/>
    <xf numFmtId="0" fontId="6" fillId="0" borderId="0" xfId="0" applyFont="1" applyBorder="1" applyAlignment="1" applyProtection="1"/>
    <xf numFmtId="4" fontId="0" fillId="0" borderId="1" xfId="0" applyNumberFormat="1" applyBorder="1" applyProtection="1">
      <protection locked="0"/>
    </xf>
    <xf numFmtId="166" fontId="6" fillId="0" borderId="1" xfId="2" applyNumberFormat="1" applyFont="1" applyBorder="1" applyProtection="1">
      <protection locked="0"/>
    </xf>
    <xf numFmtId="278" fontId="0" fillId="0" borderId="0" xfId="0" applyNumberFormat="1" applyProtection="1">
      <protection locked="0"/>
    </xf>
    <xf numFmtId="278" fontId="0" fillId="0" borderId="0" xfId="0" applyNumberFormat="1" applyBorder="1" applyProtection="1">
      <protection locked="0"/>
    </xf>
    <xf numFmtId="44" fontId="0" fillId="0" borderId="0" xfId="3" applyFont="1" applyProtection="1">
      <protection locked="0"/>
    </xf>
    <xf numFmtId="182" fontId="0" fillId="0" borderId="0" xfId="3" applyNumberFormat="1" applyFont="1" applyBorder="1" applyProtection="1">
      <protection locked="0"/>
    </xf>
    <xf numFmtId="182" fontId="0" fillId="0" borderId="0" xfId="0" applyNumberFormat="1" applyBorder="1" applyProtection="1">
      <protection locked="0"/>
    </xf>
    <xf numFmtId="182" fontId="0" fillId="0" borderId="0" xfId="0" applyNumberFormat="1" applyProtection="1">
      <protection locked="0"/>
    </xf>
    <xf numFmtId="182" fontId="0" fillId="0" borderId="1" xfId="2" applyNumberFormat="1" applyFont="1" applyBorder="1" applyProtection="1">
      <protection locked="0"/>
    </xf>
    <xf numFmtId="182" fontId="0" fillId="0" borderId="1" xfId="0" applyNumberFormat="1" applyBorder="1" applyProtection="1">
      <protection locked="0"/>
    </xf>
    <xf numFmtId="182" fontId="0" fillId="0" borderId="0" xfId="3" applyNumberFormat="1" applyFont="1" applyProtection="1">
      <protection locked="0"/>
    </xf>
    <xf numFmtId="166" fontId="0" fillId="0" borderId="8" xfId="2" applyNumberFormat="1" applyFont="1" applyBorder="1" applyProtection="1">
      <protection locked="0"/>
    </xf>
    <xf numFmtId="3" fontId="0" fillId="0" borderId="8" xfId="0" applyNumberFormat="1" applyBorder="1" applyProtection="1">
      <protection locked="0"/>
    </xf>
    <xf numFmtId="182" fontId="0" fillId="0" borderId="3" xfId="3" applyNumberFormat="1" applyFont="1" applyBorder="1" applyProtection="1">
      <protection locked="0"/>
    </xf>
    <xf numFmtId="182" fontId="0" fillId="0" borderId="4" xfId="3" applyNumberFormat="1" applyFont="1" applyBorder="1" applyProtection="1">
      <protection locked="0"/>
    </xf>
    <xf numFmtId="182" fontId="0" fillId="0" borderId="4" xfId="0" applyNumberFormat="1" applyBorder="1" applyProtection="1">
      <protection locked="0"/>
    </xf>
    <xf numFmtId="182" fontId="0" fillId="0" borderId="4" xfId="0" applyNumberFormat="1" applyBorder="1"/>
    <xf numFmtId="182" fontId="0" fillId="0" borderId="2" xfId="0" applyNumberFormat="1" applyBorder="1" applyAlignment="1" applyProtection="1">
      <alignment horizontal="right"/>
      <protection locked="0"/>
    </xf>
    <xf numFmtId="3" fontId="50" fillId="0" borderId="0" xfId="0" applyNumberFormat="1" applyFont="1" applyAlignment="1">
      <alignment horizontal="center"/>
    </xf>
    <xf numFmtId="0" fontId="51" fillId="0" borderId="0" xfId="0" applyFont="1" applyAlignment="1">
      <alignment horizontal="center"/>
    </xf>
    <xf numFmtId="44" fontId="0" fillId="0" borderId="4" xfId="3" applyFont="1" applyBorder="1" applyProtection="1">
      <protection locked="0"/>
    </xf>
    <xf numFmtId="0" fontId="0" fillId="0" borderId="4" xfId="0" applyBorder="1"/>
    <xf numFmtId="0" fontId="0" fillId="0" borderId="2" xfId="0" applyBorder="1" applyAlignment="1" applyProtection="1">
      <alignment horizontal="right"/>
      <protection locked="0"/>
    </xf>
    <xf numFmtId="278" fontId="0" fillId="0" borderId="8" xfId="0" applyNumberFormat="1" applyBorder="1" applyProtection="1">
      <protection locked="0"/>
    </xf>
    <xf numFmtId="0" fontId="0" fillId="0" borderId="37" xfId="0" applyBorder="1" applyProtection="1">
      <protection locked="0"/>
    </xf>
    <xf numFmtId="0" fontId="0" fillId="0" borderId="0" xfId="0" applyAlignment="1">
      <alignment horizontal="left"/>
    </xf>
    <xf numFmtId="0" fontId="51" fillId="0" borderId="9" xfId="0" applyFont="1" applyBorder="1"/>
    <xf numFmtId="0" fontId="0" fillId="0" borderId="6" xfId="0" applyBorder="1"/>
    <xf numFmtId="0" fontId="51" fillId="0" borderId="1" xfId="0" applyFont="1" applyBorder="1" applyAlignment="1">
      <alignment horizontal="center"/>
    </xf>
    <xf numFmtId="0" fontId="51" fillId="0" borderId="6" xfId="0" applyFont="1" applyBorder="1"/>
    <xf numFmtId="0" fontId="0" fillId="0" borderId="10" xfId="0" applyBorder="1"/>
    <xf numFmtId="0" fontId="51" fillId="0" borderId="12" xfId="0" applyFont="1" applyBorder="1"/>
    <xf numFmtId="228" fontId="52" fillId="0" borderId="0" xfId="0" applyNumberFormat="1" applyFont="1" applyBorder="1" applyAlignment="1">
      <alignment horizontal="right"/>
    </xf>
    <xf numFmtId="0" fontId="12" fillId="0" borderId="0" xfId="0" applyFont="1" applyBorder="1"/>
    <xf numFmtId="0" fontId="0" fillId="0" borderId="13" xfId="0" applyBorder="1"/>
    <xf numFmtId="0" fontId="0" fillId="0" borderId="12" xfId="0" applyBorder="1"/>
    <xf numFmtId="0" fontId="9" fillId="0" borderId="0" xfId="0" applyFont="1" applyBorder="1"/>
    <xf numFmtId="228" fontId="52" fillId="0" borderId="0" xfId="0" applyNumberFormat="1" applyFont="1" applyBorder="1" applyAlignment="1"/>
    <xf numFmtId="228" fontId="52" fillId="0" borderId="67" xfId="0" applyNumberFormat="1" applyFont="1" applyBorder="1" applyAlignment="1">
      <alignment horizontal="center"/>
    </xf>
    <xf numFmtId="0" fontId="0" fillId="0" borderId="7" xfId="0" applyBorder="1"/>
    <xf numFmtId="0" fontId="0" fillId="0" borderId="11" xfId="0" applyBorder="1"/>
    <xf numFmtId="0" fontId="14" fillId="0" borderId="12" xfId="0" applyFont="1" applyBorder="1"/>
    <xf numFmtId="228" fontId="0" fillId="0" borderId="0" xfId="0" applyNumberFormat="1" applyBorder="1" applyAlignment="1">
      <alignment horizontal="center"/>
    </xf>
    <xf numFmtId="228" fontId="14" fillId="0" borderId="43" xfId="0" applyNumberFormat="1" applyFont="1" applyBorder="1" applyAlignment="1">
      <alignment horizontal="center"/>
    </xf>
    <xf numFmtId="228" fontId="0" fillId="0" borderId="6" xfId="0" applyNumberFormat="1" applyBorder="1" applyAlignment="1">
      <alignment horizontal="center"/>
    </xf>
    <xf numFmtId="0" fontId="1" fillId="0" borderId="12" xfId="4" applyNumberFormat="1" applyFont="1" applyBorder="1"/>
    <xf numFmtId="0" fontId="4" fillId="0" borderId="0" xfId="4" applyNumberFormat="1" applyBorder="1" applyAlignment="1">
      <alignment horizontal="center"/>
    </xf>
    <xf numFmtId="0" fontId="4" fillId="0" borderId="0" xfId="4" applyNumberFormat="1" applyBorder="1"/>
    <xf numFmtId="6" fontId="23" fillId="6" borderId="21" xfId="4" applyNumberFormat="1" applyFont="1" applyFill="1" applyBorder="1" applyAlignment="1">
      <alignment horizontal="right"/>
    </xf>
    <xf numFmtId="0" fontId="23" fillId="0" borderId="0" xfId="4" applyNumberFormat="1" applyFont="1" applyBorder="1" applyAlignment="1">
      <alignment horizontal="center"/>
    </xf>
    <xf numFmtId="228" fontId="0" fillId="0" borderId="0" xfId="0" applyNumberFormat="1" applyBorder="1" applyAlignment="1">
      <alignment horizontal="left"/>
    </xf>
    <xf numFmtId="0" fontId="23" fillId="0" borderId="0" xfId="4" applyNumberFormat="1" applyFont="1" applyBorder="1" applyAlignment="1">
      <alignment horizontal="left"/>
    </xf>
    <xf numFmtId="6" fontId="53" fillId="6" borderId="21" xfId="4" applyNumberFormat="1" applyFont="1" applyFill="1" applyBorder="1" applyAlignment="1">
      <alignment horizontal="right"/>
    </xf>
    <xf numFmtId="0" fontId="6" fillId="0" borderId="0" xfId="4" applyNumberFormat="1" applyFont="1" applyBorder="1" applyAlignment="1">
      <alignment horizontal="left"/>
    </xf>
    <xf numFmtId="0" fontId="0" fillId="0" borderId="12" xfId="0" applyBorder="1" applyAlignment="1">
      <alignment horizontal="right"/>
    </xf>
    <xf numFmtId="9" fontId="23" fillId="0" borderId="0" xfId="0" applyNumberFormat="1" applyFont="1" applyBorder="1"/>
    <xf numFmtId="0" fontId="23" fillId="0" borderId="39" xfId="0" applyFont="1" applyBorder="1" applyAlignment="1">
      <alignment horizontal="center"/>
    </xf>
    <xf numFmtId="0" fontId="23" fillId="0" borderId="24" xfId="0" applyFont="1" applyBorder="1"/>
    <xf numFmtId="3" fontId="0" fillId="0" borderId="21" xfId="0" applyNumberFormat="1" applyBorder="1" applyAlignment="1">
      <alignment horizontal="center"/>
    </xf>
    <xf numFmtId="228" fontId="0" fillId="0" borderId="21" xfId="0" applyNumberFormat="1" applyBorder="1" applyAlignment="1">
      <alignment horizontal="center"/>
    </xf>
    <xf numFmtId="0" fontId="54" fillId="0" borderId="12" xfId="0" applyFont="1" applyBorder="1" applyAlignment="1">
      <alignment horizontal="right"/>
    </xf>
    <xf numFmtId="228" fontId="54" fillId="0" borderId="0" xfId="0" applyNumberFormat="1" applyFont="1" applyBorder="1" applyAlignment="1">
      <alignment horizontal="center"/>
    </xf>
    <xf numFmtId="0" fontId="55" fillId="0" borderId="12" xfId="0" applyFont="1" applyBorder="1"/>
    <xf numFmtId="0" fontId="51" fillId="0" borderId="2" xfId="0" applyFont="1" applyBorder="1" applyAlignment="1">
      <alignment horizontal="center"/>
    </xf>
    <xf numFmtId="0" fontId="51" fillId="0" borderId="0" xfId="0" applyFont="1" applyBorder="1"/>
    <xf numFmtId="0" fontId="14" fillId="0" borderId="9" xfId="0" applyFont="1" applyBorder="1"/>
    <xf numFmtId="228" fontId="14" fillId="0" borderId="6" xfId="0" applyNumberFormat="1" applyFont="1" applyBorder="1" applyAlignment="1">
      <alignment horizontal="center"/>
    </xf>
    <xf numFmtId="3" fontId="5" fillId="0" borderId="8" xfId="0" applyNumberFormat="1" applyFont="1" applyBorder="1" applyAlignment="1" applyProtection="1">
      <alignment horizontal="centerContinuous"/>
      <protection locked="0"/>
    </xf>
    <xf numFmtId="3" fontId="5" fillId="0" borderId="37" xfId="0" applyNumberFormat="1" applyFont="1" applyBorder="1" applyAlignment="1" applyProtection="1">
      <alignment horizontal="centerContinuous"/>
      <protection locked="0"/>
    </xf>
    <xf numFmtId="4" fontId="0" fillId="0" borderId="0" xfId="0" applyNumberFormat="1" applyBorder="1" applyProtection="1">
      <protection locked="0"/>
    </xf>
    <xf numFmtId="311" fontId="0" fillId="0" borderId="0" xfId="0" applyNumberFormat="1" applyAlignment="1">
      <alignment horizontal="center"/>
    </xf>
    <xf numFmtId="3" fontId="23" fillId="0" borderId="39" xfId="0" applyNumberFormat="1" applyFont="1" applyBorder="1" applyAlignment="1">
      <alignment horizontal="center"/>
    </xf>
    <xf numFmtId="311" fontId="0" fillId="0" borderId="0" xfId="0" applyNumberFormat="1" applyAlignment="1">
      <alignment horizontal="left"/>
    </xf>
    <xf numFmtId="0" fontId="11" fillId="0" borderId="0" xfId="0" applyFont="1" applyAlignment="1">
      <alignment horizontal="center"/>
    </xf>
    <xf numFmtId="186" fontId="0" fillId="0" borderId="0" xfId="6" applyNumberFormat="1" applyFont="1"/>
    <xf numFmtId="0" fontId="0" fillId="0" borderId="0" xfId="0" applyAlignment="1" applyProtection="1">
      <alignment horizontal="centerContinuous"/>
    </xf>
    <xf numFmtId="0" fontId="0" fillId="2" borderId="0" xfId="0" applyFill="1" applyAlignment="1" applyProtection="1">
      <alignment horizontal="center"/>
    </xf>
    <xf numFmtId="5" fontId="0" fillId="0" borderId="0" xfId="0" applyNumberFormat="1" applyAlignment="1" applyProtection="1">
      <alignment horizontal="center"/>
    </xf>
    <xf numFmtId="3" fontId="23" fillId="0" borderId="1" xfId="0" applyNumberFormat="1" applyFont="1" applyBorder="1" applyAlignment="1" applyProtection="1">
      <alignment horizontal="centerContinuous"/>
      <protection locked="0"/>
    </xf>
    <xf numFmtId="182" fontId="0" fillId="0" borderId="0" xfId="0" applyNumberFormat="1" applyAlignment="1" applyProtection="1">
      <alignment horizontal="center"/>
      <protection locked="0"/>
    </xf>
    <xf numFmtId="0" fontId="0" fillId="0" borderId="41" xfId="0" applyBorder="1" applyProtection="1"/>
    <xf numFmtId="0" fontId="0" fillId="0" borderId="36" xfId="0" applyBorder="1" applyProtection="1"/>
    <xf numFmtId="0" fontId="39" fillId="0" borderId="36" xfId="0" applyFont="1" applyBorder="1" applyAlignment="1" applyProtection="1">
      <alignment horizontal="center"/>
    </xf>
    <xf numFmtId="0" fontId="0" fillId="0" borderId="43" xfId="0" applyBorder="1" applyProtection="1"/>
    <xf numFmtId="0" fontId="40" fillId="0" borderId="21" xfId="0" applyFont="1" applyBorder="1" applyAlignment="1" applyProtection="1">
      <alignment horizontal="center"/>
    </xf>
    <xf numFmtId="0" fontId="0" fillId="0" borderId="21" xfId="0" applyBorder="1" applyProtection="1"/>
    <xf numFmtId="0" fontId="0" fillId="0" borderId="21" xfId="0" applyBorder="1" applyAlignment="1" applyProtection="1">
      <alignment horizontal="left"/>
    </xf>
    <xf numFmtId="166" fontId="6" fillId="0" borderId="21" xfId="2" applyNumberFormat="1" applyFont="1" applyBorder="1" applyProtection="1"/>
    <xf numFmtId="0" fontId="37" fillId="0" borderId="21" xfId="0" applyFont="1" applyBorder="1" applyAlignment="1" applyProtection="1">
      <alignment horizontal="left"/>
    </xf>
    <xf numFmtId="39" fontId="45" fillId="2" borderId="0" xfId="0" applyNumberFormat="1" applyFont="1" applyFill="1" applyProtection="1"/>
    <xf numFmtId="39" fontId="6" fillId="0" borderId="0" xfId="0" applyNumberFormat="1" applyFont="1" applyProtection="1"/>
    <xf numFmtId="44" fontId="23" fillId="0" borderId="56" xfId="6" applyNumberFormat="1" applyFont="1" applyBorder="1" applyAlignment="1" applyProtection="1">
      <alignment horizontal="center"/>
    </xf>
    <xf numFmtId="10" fontId="46" fillId="2" borderId="43" xfId="6" applyNumberFormat="1" applyFont="1" applyFill="1" applyBorder="1" applyAlignment="1" applyProtection="1">
      <alignment horizontal="center"/>
    </xf>
    <xf numFmtId="44" fontId="0" fillId="0" borderId="1" xfId="0" applyNumberFormat="1" applyBorder="1"/>
    <xf numFmtId="0" fontId="0" fillId="0" borderId="12"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3" fontId="0" fillId="0" borderId="0" xfId="0" applyNumberFormat="1" applyBorder="1" applyAlignment="1">
      <alignment horizontal="center"/>
    </xf>
    <xf numFmtId="44" fontId="0" fillId="0" borderId="13" xfId="3" applyFont="1" applyBorder="1" applyAlignment="1">
      <alignment horizontal="center"/>
    </xf>
    <xf numFmtId="3" fontId="0" fillId="0" borderId="0" xfId="0" applyNumberFormat="1" applyBorder="1"/>
    <xf numFmtId="44" fontId="0" fillId="0" borderId="13" xfId="3" applyFont="1" applyBorder="1"/>
    <xf numFmtId="0" fontId="23" fillId="0" borderId="25" xfId="0" applyFont="1" applyBorder="1" applyAlignment="1">
      <alignment horizontal="center"/>
    </xf>
    <xf numFmtId="0" fontId="23" fillId="0" borderId="69" xfId="0" applyFont="1" applyBorder="1" applyAlignment="1">
      <alignment horizontal="center"/>
    </xf>
    <xf numFmtId="0" fontId="1" fillId="0" borderId="0" xfId="0" applyFont="1" applyAlignment="1">
      <alignment shrinkToFit="1"/>
    </xf>
    <xf numFmtId="0" fontId="0" fillId="0" borderId="0" xfId="0" applyAlignment="1"/>
    <xf numFmtId="0" fontId="0" fillId="0" borderId="0" xfId="0" applyAlignment="1">
      <alignment wrapText="1"/>
    </xf>
    <xf numFmtId="3" fontId="14" fillId="0" borderId="0" xfId="0" applyNumberFormat="1" applyFont="1" applyAlignment="1">
      <alignment horizontal="center"/>
    </xf>
    <xf numFmtId="0" fontId="6" fillId="0" borderId="0" xfId="0" applyFont="1" applyBorder="1" applyAlignment="1" applyProtection="1">
      <alignment wrapText="1"/>
    </xf>
    <xf numFmtId="3" fontId="15" fillId="0" borderId="0" xfId="0" applyNumberFormat="1" applyFont="1" applyAlignment="1" applyProtection="1">
      <alignment wrapText="1"/>
    </xf>
    <xf numFmtId="0" fontId="15" fillId="0" borderId="0" xfId="0" applyFont="1" applyAlignment="1" applyProtection="1">
      <alignment wrapText="1"/>
      <protection locked="0"/>
    </xf>
    <xf numFmtId="0" fontId="6" fillId="0" borderId="0" xfId="0" applyFont="1" applyBorder="1" applyAlignment="1" applyProtection="1">
      <alignment horizontal="left" wrapText="1"/>
    </xf>
    <xf numFmtId="0" fontId="0" fillId="0" borderId="0" xfId="0" applyAlignment="1">
      <alignment horizontal="left" wrapText="1"/>
    </xf>
    <xf numFmtId="0" fontId="23" fillId="0" borderId="0" xfId="0" applyFont="1" applyBorder="1" applyAlignment="1" applyProtection="1">
      <alignment wrapText="1"/>
    </xf>
    <xf numFmtId="0" fontId="15" fillId="0" borderId="0" xfId="0" applyFont="1" applyBorder="1" applyAlignment="1" applyProtection="1">
      <alignment wrapText="1"/>
      <protection locked="0"/>
    </xf>
    <xf numFmtId="0" fontId="16" fillId="4" borderId="39" xfId="0" applyFont="1" applyFill="1" applyBorder="1" applyAlignment="1">
      <alignment horizontal="center"/>
    </xf>
    <xf numFmtId="0" fontId="6" fillId="4" borderId="22" xfId="0" applyFont="1" applyFill="1" applyBorder="1" applyAlignment="1">
      <alignment horizontal="center"/>
    </xf>
    <xf numFmtId="0" fontId="6" fillId="4" borderId="24" xfId="0" applyFont="1" applyFill="1" applyBorder="1" applyAlignment="1">
      <alignment horizontal="center"/>
    </xf>
    <xf numFmtId="0" fontId="16" fillId="0" borderId="39" xfId="0" applyFont="1" applyBorder="1" applyAlignment="1">
      <alignment horizontal="center"/>
    </xf>
    <xf numFmtId="0" fontId="0" fillId="0" borderId="24" xfId="0" applyBorder="1" applyAlignment="1">
      <alignment horizontal="center"/>
    </xf>
    <xf numFmtId="0" fontId="0" fillId="4" borderId="22" xfId="0" applyFill="1" applyBorder="1" applyAlignment="1">
      <alignment horizontal="center"/>
    </xf>
    <xf numFmtId="0" fontId="0" fillId="4" borderId="24" xfId="0" applyFill="1" applyBorder="1" applyAlignment="1">
      <alignment horizontal="center"/>
    </xf>
    <xf numFmtId="0" fontId="5" fillId="0" borderId="0" xfId="0" applyFont="1" applyBorder="1" applyAlignment="1" applyProtection="1">
      <alignment horizontal="center"/>
    </xf>
    <xf numFmtId="0" fontId="23" fillId="0" borderId="9" xfId="0" applyFont="1" applyBorder="1" applyAlignment="1">
      <alignment horizontal="center"/>
    </xf>
    <xf numFmtId="0" fontId="23" fillId="0" borderId="6" xfId="0" applyFont="1" applyBorder="1" applyAlignment="1">
      <alignment horizontal="center"/>
    </xf>
    <xf numFmtId="0" fontId="23" fillId="0" borderId="10" xfId="0" applyFont="1" applyBorder="1" applyAlignment="1">
      <alignment horizontal="center"/>
    </xf>
    <xf numFmtId="3" fontId="50" fillId="0" borderId="0" xfId="0" applyNumberFormat="1" applyFont="1" applyAlignment="1">
      <alignment horizontal="center"/>
    </xf>
    <xf numFmtId="0" fontId="51" fillId="0" borderId="0" xfId="0" applyFont="1" applyBorder="1" applyAlignment="1">
      <alignment horizontal="right"/>
    </xf>
    <xf numFmtId="0" fontId="51" fillId="0" borderId="0" xfId="0" applyFont="1" applyAlignment="1">
      <alignment horizontal="center"/>
    </xf>
    <xf numFmtId="0" fontId="51" fillId="0" borderId="6" xfId="0" applyFont="1" applyBorder="1" applyAlignment="1">
      <alignment horizontal="right"/>
    </xf>
    <xf numFmtId="0" fontId="51" fillId="0" borderId="8" xfId="0" applyFont="1" applyBorder="1" applyAlignment="1">
      <alignment horizontal="center"/>
    </xf>
    <xf numFmtId="0" fontId="51" fillId="0" borderId="35" xfId="0" applyFont="1" applyBorder="1" applyAlignment="1">
      <alignment horizontal="center"/>
    </xf>
    <xf numFmtId="0" fontId="51" fillId="0" borderId="37" xfId="0" applyFont="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68" xfId="0" applyBorder="1" applyAlignment="1">
      <alignment horizontal="center"/>
    </xf>
    <xf numFmtId="0" fontId="23" fillId="0" borderId="0" xfId="0" applyFont="1" applyAlignment="1">
      <alignment horizontal="center"/>
    </xf>
    <xf numFmtId="0" fontId="0" fillId="0" borderId="0" xfId="0" applyFill="1" applyBorder="1" applyAlignment="1">
      <alignment horizontal="center"/>
    </xf>
  </cellXfs>
  <cellStyles count="7">
    <cellStyle name="Comma" xfId="2" builtinId="3"/>
    <cellStyle name="Currency" xfId="3" builtinId="4"/>
    <cellStyle name="Normal" xfId="0" builtinId="0"/>
    <cellStyle name="Normal_9FA MR x 2" xfId="4"/>
    <cellStyle name="Normal_YUCATAN5" xfId="5"/>
    <cellStyle name="Percent" xfId="6" builtinId="5"/>
    <cellStyle name="RowLevel_2" xfId="1" builtinId="1" iLevel="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4C599241-6926-101B-9992-00000B65C6F9}"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114300</xdr:colOff>
          <xdr:row>15</xdr:row>
          <xdr:rowOff>114300</xdr:rowOff>
        </xdr:from>
        <xdr:to>
          <xdr:col>5</xdr:col>
          <xdr:colOff>419100</xdr:colOff>
          <xdr:row>21</xdr:row>
          <xdr:rowOff>57150</xdr:rowOff>
        </xdr:to>
        <xdr:sp macro="" textlink="">
          <xdr:nvSpPr>
            <xdr:cNvPr id="1026" name="Image2" hidden="1">
              <a:extLst>
                <a:ext uri="{63B3BB69-23CF-44E3-9099-C40C66FF867C}">
                  <a14:compatExt spid="_x0000_s1026"/>
                </a:ext>
                <a:ext uri="{FF2B5EF4-FFF2-40B4-BE49-F238E27FC236}">
                  <a16:creationId xmlns:a16="http://schemas.microsoft.com/office/drawing/2014/main" id="{7B9F567A-C535-AA90-1C20-8B00853EBF1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533400</xdr:colOff>
      <xdr:row>3</xdr:row>
      <xdr:rowOff>9525</xdr:rowOff>
    </xdr:from>
    <xdr:to>
      <xdr:col>7</xdr:col>
      <xdr:colOff>76200</xdr:colOff>
      <xdr:row>26</xdr:row>
      <xdr:rowOff>95250</xdr:rowOff>
    </xdr:to>
    <xdr:pic>
      <xdr:nvPicPr>
        <xdr:cNvPr id="1027" name="Picture 3">
          <a:extLst>
            <a:ext uri="{FF2B5EF4-FFF2-40B4-BE49-F238E27FC236}">
              <a16:creationId xmlns:a16="http://schemas.microsoft.com/office/drawing/2014/main" id="{AF545010-B578-74B2-3BDD-7357AD31C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571500"/>
          <a:ext cx="3810000" cy="38100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4</xdr:col>
      <xdr:colOff>438150</xdr:colOff>
      <xdr:row>13</xdr:row>
      <xdr:rowOff>57150</xdr:rowOff>
    </xdr:from>
    <xdr:to>
      <xdr:col>5</xdr:col>
      <xdr:colOff>476250</xdr:colOff>
      <xdr:row>14</xdr:row>
      <xdr:rowOff>38100</xdr:rowOff>
    </xdr:to>
    <xdr:sp macro="" textlink="">
      <xdr:nvSpPr>
        <xdr:cNvPr id="1035" name="Text Box 11">
          <a:extLst>
            <a:ext uri="{FF2B5EF4-FFF2-40B4-BE49-F238E27FC236}">
              <a16:creationId xmlns:a16="http://schemas.microsoft.com/office/drawing/2014/main" id="{334C2A83-97F0-196C-1341-CFCDFB7EC266}"/>
            </a:ext>
          </a:extLst>
        </xdr:cNvPr>
        <xdr:cNvSpPr txBox="1">
          <a:spLocks noChangeArrowheads="1"/>
        </xdr:cNvSpPr>
      </xdr:nvSpPr>
      <xdr:spPr bwMode="auto">
        <a:xfrm>
          <a:off x="2876550" y="2238375"/>
          <a:ext cx="647700" cy="142875"/>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Lakefield</a:t>
          </a:r>
        </a:p>
      </xdr:txBody>
    </xdr:sp>
    <xdr:clientData/>
  </xdr:twoCellAnchor>
  <xdr:twoCellAnchor>
    <xdr:from>
      <xdr:col>4</xdr:col>
      <xdr:colOff>114300</xdr:colOff>
      <xdr:row>14</xdr:row>
      <xdr:rowOff>0</xdr:rowOff>
    </xdr:from>
    <xdr:to>
      <xdr:col>4</xdr:col>
      <xdr:colOff>409575</xdr:colOff>
      <xdr:row>14</xdr:row>
      <xdr:rowOff>95250</xdr:rowOff>
    </xdr:to>
    <xdr:sp macro="" textlink="">
      <xdr:nvSpPr>
        <xdr:cNvPr id="1036" name="Line 12">
          <a:extLst>
            <a:ext uri="{FF2B5EF4-FFF2-40B4-BE49-F238E27FC236}">
              <a16:creationId xmlns:a16="http://schemas.microsoft.com/office/drawing/2014/main" id="{35387F37-0BFE-D8EF-F0AA-BC8A97214677}"/>
            </a:ext>
          </a:extLst>
        </xdr:cNvPr>
        <xdr:cNvSpPr>
          <a:spLocks noChangeShapeType="1"/>
        </xdr:cNvSpPr>
      </xdr:nvSpPr>
      <xdr:spPr bwMode="auto">
        <a:xfrm flipH="1">
          <a:off x="2552700" y="2343150"/>
          <a:ext cx="295275" cy="95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vli/source/repos/enron_xls/edrm/Santee%20Cooper/Minnesota/OMPEAKERS8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of Contents"/>
      <sheetName val="Scope"/>
      <sheetName val="Summary"/>
      <sheetName val="Assumptions"/>
      <sheetName val="Mob"/>
      <sheetName val="MobStaff"/>
      <sheetName val="Cap Spares"/>
      <sheetName val="MobBackup"/>
      <sheetName val="ComOps"/>
      <sheetName val="OpStaff"/>
      <sheetName val="CommOpsBackup"/>
      <sheetName val="W501D5"/>
      <sheetName val="W501D5A"/>
      <sheetName val="GE7EA"/>
      <sheetName val="GE7E"/>
      <sheetName val="GE7B"/>
      <sheetName val="Schedule"/>
      <sheetName val="MobWS"/>
      <sheetName val="OpsWS"/>
      <sheetName val="ScopeSplit"/>
      <sheetName val="Training"/>
    </sheetNames>
    <sheetDataSet>
      <sheetData sheetId="0"/>
      <sheetData sheetId="1"/>
      <sheetData sheetId="2"/>
      <sheetData sheetId="3"/>
      <sheetData sheetId="4"/>
      <sheetData sheetId="5">
        <row r="44">
          <cell r="C44">
            <v>0.1434</v>
          </cell>
          <cell r="D44">
            <v>7.7799999999999994E-2</v>
          </cell>
          <cell r="F44">
            <v>440.66</v>
          </cell>
          <cell r="G44">
            <v>0.01</v>
          </cell>
          <cell r="H44">
            <v>0.05</v>
          </cell>
        </row>
        <row r="47">
          <cell r="B47">
            <v>38.46153846153846</v>
          </cell>
        </row>
        <row r="48">
          <cell r="B48">
            <v>25</v>
          </cell>
        </row>
        <row r="49">
          <cell r="B49">
            <v>12.25</v>
          </cell>
        </row>
        <row r="51">
          <cell r="B51">
            <v>26.442307692307693</v>
          </cell>
        </row>
        <row r="62">
          <cell r="F62">
            <v>0</v>
          </cell>
          <cell r="H62">
            <v>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control" Target="../activeX/activeX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V233"/>
  <sheetViews>
    <sheetView zoomScaleNormal="25" zoomScaleSheetLayoutView="75" workbookViewId="0">
      <selection activeCell="F28" sqref="F28"/>
    </sheetView>
  </sheetViews>
  <sheetFormatPr defaultRowHeight="12.75"/>
  <cols>
    <col min="6" max="6" width="13" customWidth="1"/>
  </cols>
  <sheetData>
    <row r="1" spans="1:22" ht="15.75">
      <c r="A1" s="102" t="str">
        <f>Scope!A1</f>
        <v>Rochester Public Utilities LM6000 PC Power Project</v>
      </c>
      <c r="B1" s="15"/>
      <c r="C1" s="15"/>
      <c r="D1" s="15"/>
      <c r="E1" s="15"/>
      <c r="F1" s="15"/>
      <c r="G1" s="15"/>
      <c r="H1" s="4"/>
      <c r="I1" s="4"/>
      <c r="J1" s="4"/>
      <c r="K1" s="4"/>
      <c r="L1" s="4"/>
      <c r="M1" s="4"/>
      <c r="N1" s="4"/>
      <c r="O1" s="4"/>
      <c r="P1" s="4"/>
      <c r="Q1" s="4"/>
      <c r="R1" s="4"/>
      <c r="S1" s="4"/>
      <c r="T1" s="4"/>
      <c r="U1" s="4"/>
      <c r="V1" s="4"/>
    </row>
    <row r="2" spans="1:22" ht="15.75">
      <c r="A2" s="33" t="s">
        <v>614</v>
      </c>
      <c r="B2" s="15"/>
      <c r="C2" s="15"/>
      <c r="D2" s="15"/>
      <c r="E2" s="15"/>
      <c r="F2" s="15"/>
      <c r="G2" s="15"/>
      <c r="H2" s="4"/>
      <c r="I2" s="4"/>
      <c r="J2" s="4"/>
      <c r="K2" s="4"/>
      <c r="L2" s="4"/>
      <c r="M2" s="4"/>
      <c r="N2" s="4"/>
      <c r="O2" s="4"/>
      <c r="P2" s="4"/>
      <c r="Q2" s="4"/>
      <c r="R2" s="4"/>
      <c r="S2" s="4"/>
      <c r="T2" s="4"/>
      <c r="U2" s="4"/>
      <c r="V2" s="4"/>
    </row>
    <row r="3" spans="1:22" ht="15.75">
      <c r="A3" s="33" t="s">
        <v>615</v>
      </c>
      <c r="B3" s="15"/>
      <c r="C3" s="15"/>
      <c r="D3" s="15"/>
      <c r="E3" s="15"/>
      <c r="F3" s="15"/>
      <c r="G3" s="15"/>
      <c r="H3" s="4"/>
      <c r="I3" s="4"/>
      <c r="J3" s="4"/>
      <c r="K3" s="4"/>
      <c r="L3" s="4"/>
      <c r="M3" s="4"/>
      <c r="N3" s="4"/>
      <c r="O3" s="4"/>
      <c r="P3" s="4"/>
      <c r="Q3" s="4"/>
      <c r="R3" s="4"/>
      <c r="S3" s="4"/>
      <c r="T3" s="4"/>
      <c r="U3" s="4"/>
      <c r="V3" s="4"/>
    </row>
    <row r="4" spans="1:22">
      <c r="A4" s="42"/>
      <c r="B4" s="42"/>
      <c r="C4" s="42"/>
      <c r="D4" s="42"/>
      <c r="E4" s="42"/>
      <c r="F4" s="42"/>
      <c r="G4" s="42"/>
      <c r="H4" s="4"/>
      <c r="I4" s="4"/>
      <c r="J4" s="4"/>
      <c r="K4" s="4"/>
      <c r="L4" s="4"/>
      <c r="M4" s="4"/>
      <c r="N4" s="4"/>
      <c r="O4" s="4"/>
      <c r="P4" s="4"/>
      <c r="Q4" s="4"/>
      <c r="R4" s="4"/>
      <c r="S4" s="4"/>
      <c r="T4" s="4"/>
      <c r="U4" s="4"/>
      <c r="V4" s="4"/>
    </row>
    <row r="5" spans="1:22">
      <c r="A5" s="42"/>
      <c r="B5" s="42"/>
      <c r="C5" s="42"/>
      <c r="D5" s="42"/>
      <c r="E5" s="42"/>
      <c r="F5" s="42"/>
      <c r="G5" s="42"/>
      <c r="H5" s="4"/>
      <c r="I5" s="4"/>
      <c r="J5" s="4"/>
      <c r="K5" s="4"/>
      <c r="L5" s="4"/>
      <c r="M5" s="4"/>
      <c r="N5" s="4"/>
      <c r="O5" s="4"/>
      <c r="P5" s="4"/>
      <c r="Q5" s="4"/>
      <c r="R5" s="4"/>
      <c r="S5" s="4"/>
      <c r="T5" s="4"/>
      <c r="U5" s="4"/>
      <c r="V5" s="4"/>
    </row>
    <row r="6" spans="1:22">
      <c r="H6" s="4"/>
      <c r="I6" s="4"/>
      <c r="J6" s="4"/>
      <c r="K6" s="4"/>
      <c r="L6" s="4"/>
      <c r="M6" s="4"/>
      <c r="N6" s="4"/>
      <c r="O6" s="4"/>
      <c r="P6" s="4"/>
      <c r="Q6" s="4"/>
      <c r="R6" s="4"/>
      <c r="S6" s="4"/>
      <c r="T6" s="4"/>
      <c r="U6" s="4"/>
      <c r="V6" s="4"/>
    </row>
    <row r="7" spans="1:22">
      <c r="A7" s="43" t="s">
        <v>615</v>
      </c>
      <c r="B7" s="42"/>
      <c r="C7" s="42"/>
      <c r="D7" s="42"/>
      <c r="F7" s="42"/>
      <c r="G7" s="72">
        <f>MAX(G4:G6)+1</f>
        <v>1</v>
      </c>
      <c r="H7" s="4"/>
      <c r="I7" s="4"/>
      <c r="J7" s="4"/>
      <c r="K7" s="4"/>
      <c r="L7" s="4"/>
      <c r="M7" s="4"/>
      <c r="N7" s="4"/>
      <c r="O7" s="4"/>
      <c r="P7" s="4"/>
      <c r="Q7" s="4"/>
      <c r="R7" s="4"/>
      <c r="S7" s="4"/>
      <c r="T7" s="4"/>
      <c r="U7" s="4"/>
      <c r="V7" s="4"/>
    </row>
    <row r="8" spans="1:22">
      <c r="A8" s="42"/>
      <c r="B8" s="42"/>
      <c r="C8" s="42"/>
      <c r="D8" s="42"/>
      <c r="E8" s="42"/>
      <c r="F8" s="42"/>
      <c r="G8" s="72"/>
      <c r="H8" s="4"/>
      <c r="I8" s="4"/>
      <c r="J8" s="4"/>
      <c r="K8" s="4"/>
      <c r="L8" s="4"/>
      <c r="M8" s="4"/>
      <c r="N8" s="4"/>
      <c r="O8" s="4"/>
      <c r="P8" s="4"/>
      <c r="Q8" s="4"/>
      <c r="R8" s="4"/>
      <c r="S8" s="4"/>
      <c r="T8" s="4"/>
      <c r="U8" s="4"/>
      <c r="V8" s="4"/>
    </row>
    <row r="9" spans="1:22">
      <c r="A9" s="43" t="s">
        <v>616</v>
      </c>
      <c r="B9" s="42"/>
      <c r="C9" s="42"/>
      <c r="D9" s="42"/>
      <c r="E9" s="42"/>
      <c r="F9" s="42"/>
      <c r="G9" s="72"/>
      <c r="H9" s="4"/>
      <c r="I9" s="4"/>
      <c r="J9" s="4"/>
      <c r="K9" s="4"/>
      <c r="L9" s="4"/>
      <c r="M9" s="4"/>
      <c r="N9" s="4"/>
      <c r="O9" s="4"/>
      <c r="P9" s="4"/>
      <c r="Q9" s="4"/>
      <c r="R9" s="4"/>
      <c r="S9" s="4"/>
      <c r="T9" s="4"/>
      <c r="U9" s="4"/>
      <c r="V9" s="4"/>
    </row>
    <row r="10" spans="1:22">
      <c r="B10" s="437" t="str">
        <f>Scope!$A$2</f>
        <v>Project Scope Description</v>
      </c>
      <c r="C10" s="42"/>
      <c r="D10" s="42"/>
      <c r="F10" s="42"/>
      <c r="G10" s="72">
        <f t="shared" ref="G10:G30" si="0">MAX(G7:G9)+1</f>
        <v>2</v>
      </c>
      <c r="H10" s="4"/>
      <c r="I10" s="4"/>
      <c r="J10" s="4"/>
      <c r="K10" s="4"/>
      <c r="L10" s="4"/>
      <c r="M10" s="4"/>
      <c r="N10" s="4"/>
      <c r="O10" s="4"/>
      <c r="P10" s="4"/>
      <c r="Q10" s="4"/>
      <c r="R10" s="4"/>
      <c r="S10" s="4"/>
      <c r="T10" s="4"/>
      <c r="U10" s="4"/>
      <c r="V10" s="4"/>
    </row>
    <row r="11" spans="1:22">
      <c r="A11" s="43"/>
      <c r="B11" s="437" t="str">
        <f>Assumptions!$A$2</f>
        <v>List of Assumptions</v>
      </c>
      <c r="C11" s="42"/>
      <c r="D11" s="42"/>
      <c r="F11" s="42"/>
      <c r="G11" s="72">
        <f t="shared" si="0"/>
        <v>3</v>
      </c>
      <c r="H11" s="4"/>
      <c r="I11" s="4"/>
      <c r="J11" s="4"/>
      <c r="K11" s="4"/>
      <c r="L11" s="4"/>
      <c r="M11" s="4"/>
      <c r="N11" s="4"/>
      <c r="O11" s="4"/>
      <c r="P11" s="4"/>
      <c r="Q11" s="4"/>
      <c r="R11" s="4"/>
      <c r="S11" s="4"/>
      <c r="T11" s="4"/>
      <c r="U11" s="4"/>
      <c r="V11" s="4"/>
    </row>
    <row r="12" spans="1:22">
      <c r="A12" s="43"/>
      <c r="B12" s="43" t="str">
        <f>Map!$A$2</f>
        <v>Map</v>
      </c>
      <c r="C12" s="42"/>
      <c r="D12" s="42"/>
      <c r="F12" s="42"/>
      <c r="G12" s="72">
        <f t="shared" si="0"/>
        <v>4</v>
      </c>
      <c r="H12" s="4"/>
      <c r="I12" s="4"/>
      <c r="J12" s="4"/>
      <c r="K12" s="4"/>
      <c r="L12" s="4"/>
      <c r="M12" s="4"/>
      <c r="N12" s="4"/>
      <c r="O12" s="4"/>
      <c r="P12" s="4"/>
      <c r="Q12" s="4"/>
      <c r="R12" s="4"/>
      <c r="S12" s="4"/>
      <c r="T12" s="4"/>
      <c r="U12" s="4"/>
      <c r="V12" s="4"/>
    </row>
    <row r="13" spans="1:22">
      <c r="A13" s="43"/>
      <c r="B13" s="43"/>
      <c r="C13" s="42"/>
      <c r="D13" s="42"/>
      <c r="F13" s="42"/>
      <c r="G13" s="72"/>
      <c r="H13" s="4"/>
      <c r="I13" s="4"/>
      <c r="J13" s="4"/>
      <c r="K13" s="4"/>
      <c r="L13" s="4"/>
      <c r="M13" s="4"/>
      <c r="N13" s="4"/>
      <c r="O13" s="4"/>
      <c r="P13" s="4"/>
      <c r="Q13" s="4"/>
      <c r="R13" s="4"/>
      <c r="S13" s="4"/>
      <c r="T13" s="4"/>
      <c r="U13" s="4"/>
      <c r="V13" s="4"/>
    </row>
    <row r="14" spans="1:22">
      <c r="A14" s="437" t="str">
        <f>Summary!$A$2</f>
        <v>Summary - Operations &amp; Maintenance Cost Estimate</v>
      </c>
      <c r="B14" s="43"/>
      <c r="C14" s="42"/>
      <c r="D14" s="42"/>
      <c r="E14" s="42"/>
      <c r="F14" s="42"/>
      <c r="G14" s="72">
        <f t="shared" si="0"/>
        <v>5</v>
      </c>
      <c r="H14" s="4"/>
      <c r="I14" s="4"/>
      <c r="J14" s="4"/>
      <c r="K14" s="4"/>
      <c r="L14" s="4"/>
      <c r="M14" s="4"/>
      <c r="N14" s="4"/>
      <c r="O14" s="4"/>
      <c r="P14" s="4"/>
      <c r="Q14" s="4"/>
      <c r="R14" s="4"/>
      <c r="S14" s="4"/>
      <c r="T14" s="4"/>
      <c r="U14" s="4"/>
      <c r="V14" s="4"/>
    </row>
    <row r="15" spans="1:22">
      <c r="A15" s="42"/>
      <c r="C15" s="42"/>
      <c r="D15" s="42"/>
      <c r="E15" s="42"/>
      <c r="F15" s="42"/>
      <c r="G15" s="72"/>
      <c r="H15" s="4"/>
      <c r="I15" s="4"/>
      <c r="J15" s="4"/>
      <c r="K15" s="4"/>
      <c r="L15" s="4"/>
      <c r="M15" s="4"/>
      <c r="N15" s="4"/>
      <c r="O15" s="4"/>
      <c r="P15" s="4"/>
      <c r="Q15" s="4"/>
      <c r="R15" s="4"/>
      <c r="S15" s="4"/>
      <c r="T15" s="4"/>
      <c r="U15" s="4"/>
      <c r="V15" s="4"/>
    </row>
    <row r="16" spans="1:22">
      <c r="A16" s="437" t="str">
        <f>Mob_Estimate!$A$2</f>
        <v>O&amp;M Pre-Mobilization / Mobilization Cost Estimate</v>
      </c>
      <c r="C16" s="42"/>
      <c r="D16" s="42"/>
      <c r="E16" s="42"/>
      <c r="F16" s="42"/>
      <c r="G16" s="72">
        <f>MAX(G7:G15)+1</f>
        <v>6</v>
      </c>
      <c r="H16" s="4"/>
      <c r="I16" s="4"/>
      <c r="J16" s="4"/>
      <c r="K16" s="4"/>
      <c r="L16" s="4"/>
      <c r="M16" s="4"/>
      <c r="N16" s="4"/>
      <c r="O16" s="4"/>
      <c r="P16" s="4"/>
      <c r="Q16" s="4"/>
      <c r="R16" s="4"/>
      <c r="S16" s="4"/>
      <c r="T16" s="4"/>
      <c r="U16" s="4"/>
      <c r="V16" s="4"/>
    </row>
    <row r="17" spans="1:22">
      <c r="A17" s="43"/>
      <c r="B17" s="90" t="str">
        <f>Mob_Schedule!$A$2</f>
        <v>Staff Mobilization Schedule</v>
      </c>
      <c r="C17" s="42"/>
      <c r="D17" s="42"/>
      <c r="E17" s="42"/>
      <c r="F17" s="42"/>
      <c r="G17" s="72">
        <f>MAX(G15:G16)+1</f>
        <v>7</v>
      </c>
      <c r="H17" s="4"/>
      <c r="I17" s="4"/>
      <c r="J17" s="4"/>
      <c r="K17" s="4"/>
      <c r="L17" s="4"/>
      <c r="M17" s="4"/>
      <c r="N17" s="4"/>
      <c r="O17" s="4"/>
      <c r="P17" s="4"/>
      <c r="Q17" s="4"/>
      <c r="R17" s="4"/>
      <c r="S17" s="4"/>
      <c r="T17" s="4"/>
      <c r="U17" s="4"/>
      <c r="V17" s="4"/>
    </row>
    <row r="18" spans="1:22">
      <c r="A18" s="43"/>
      <c r="B18" s="90" t="str">
        <f>MobStaff!$A$2</f>
        <v>O&amp;M Mobilization Staffing Plan</v>
      </c>
      <c r="C18" s="42"/>
      <c r="D18" s="42"/>
      <c r="E18" s="42"/>
      <c r="F18" s="42"/>
      <c r="G18" s="72">
        <f t="shared" si="0"/>
        <v>8</v>
      </c>
      <c r="H18" s="4"/>
      <c r="I18" s="4"/>
      <c r="J18" s="4"/>
      <c r="K18" s="4"/>
      <c r="L18" s="4"/>
      <c r="M18" s="4"/>
      <c r="N18" s="4"/>
      <c r="O18" s="4"/>
      <c r="P18" s="4"/>
      <c r="Q18" s="4"/>
      <c r="R18" s="4"/>
      <c r="S18" s="4"/>
      <c r="T18" s="4"/>
      <c r="U18" s="4"/>
      <c r="V18" s="4"/>
    </row>
    <row r="19" spans="1:22">
      <c r="A19" s="43"/>
      <c r="B19" s="90" t="str">
        <f>Training!$A$2</f>
        <v>Training Program</v>
      </c>
      <c r="C19" s="42"/>
      <c r="D19" s="42"/>
      <c r="E19" s="42"/>
      <c r="F19" s="42"/>
      <c r="G19" s="72">
        <f t="shared" si="0"/>
        <v>9</v>
      </c>
      <c r="H19" s="4"/>
      <c r="I19" s="4"/>
      <c r="J19" s="4"/>
      <c r="K19" s="4"/>
      <c r="L19" s="4"/>
      <c r="M19" s="4"/>
      <c r="N19" s="4"/>
      <c r="O19" s="4"/>
      <c r="P19" s="4"/>
      <c r="Q19" s="4"/>
      <c r="R19" s="4"/>
      <c r="S19" s="4"/>
      <c r="T19" s="4"/>
      <c r="U19" s="4"/>
      <c r="V19" s="4"/>
    </row>
    <row r="20" spans="1:22">
      <c r="A20" s="43"/>
      <c r="B20" s="90" t="str">
        <f>'Assumed ScopeSplit'!$A$2</f>
        <v>Turnkey/O&amp;M/Owner Scope Split</v>
      </c>
      <c r="C20" s="42"/>
      <c r="D20" s="42"/>
      <c r="E20" s="42"/>
      <c r="F20" s="42"/>
      <c r="G20" s="72">
        <f t="shared" si="0"/>
        <v>10</v>
      </c>
      <c r="H20" s="4"/>
      <c r="I20" s="4"/>
      <c r="J20" s="4"/>
      <c r="K20" s="4"/>
      <c r="L20" s="4"/>
      <c r="M20" s="4"/>
      <c r="N20" s="4"/>
      <c r="O20" s="4"/>
      <c r="P20" s="4"/>
      <c r="Q20" s="4"/>
      <c r="R20" s="4"/>
      <c r="S20" s="4"/>
      <c r="T20" s="4"/>
      <c r="U20" s="4"/>
      <c r="V20" s="4"/>
    </row>
    <row r="21" spans="1:22">
      <c r="A21" s="43"/>
      <c r="B21" s="90" t="str">
        <f>'Owner''s Engineer'!$A$2</f>
        <v>Owners' Engineer Cost Estimate</v>
      </c>
      <c r="C21" s="42"/>
      <c r="D21" s="42"/>
      <c r="E21" s="42"/>
      <c r="F21" s="42"/>
      <c r="G21" s="72">
        <f>MAX(G18:G20)+2</f>
        <v>12</v>
      </c>
      <c r="H21" s="4"/>
      <c r="I21" s="4"/>
      <c r="J21" s="4"/>
      <c r="K21" s="4"/>
      <c r="L21" s="4"/>
      <c r="M21" s="4"/>
      <c r="N21" s="4"/>
      <c r="O21" s="4"/>
      <c r="P21" s="4"/>
      <c r="Q21" s="4"/>
      <c r="R21" s="4"/>
      <c r="S21" s="4"/>
      <c r="T21" s="4"/>
      <c r="U21" s="4"/>
      <c r="V21" s="4"/>
    </row>
    <row r="22" spans="1:22">
      <c r="A22" s="43"/>
      <c r="B22" s="702" t="str">
        <f>Mob_Backup!$E$4</f>
        <v>O&amp;M Pre-Mobilization / Mobilization Estimate Backup/Detail</v>
      </c>
      <c r="C22" s="703"/>
      <c r="D22" s="703"/>
      <c r="E22" s="703"/>
      <c r="F22" s="703"/>
      <c r="G22" s="72">
        <f t="shared" si="0"/>
        <v>13</v>
      </c>
      <c r="H22" s="4"/>
      <c r="I22" s="4"/>
      <c r="J22" s="4"/>
      <c r="K22" s="4"/>
      <c r="L22" s="4"/>
      <c r="M22" s="4"/>
      <c r="N22" s="4"/>
      <c r="O22" s="4"/>
      <c r="P22" s="4"/>
      <c r="Q22" s="4"/>
      <c r="R22" s="4"/>
      <c r="S22" s="4"/>
      <c r="T22" s="4"/>
      <c r="U22" s="4"/>
      <c r="V22" s="4"/>
    </row>
    <row r="23" spans="1:22">
      <c r="A23" s="43"/>
      <c r="B23" s="90"/>
      <c r="C23" s="42"/>
      <c r="D23" s="42"/>
      <c r="E23" s="42"/>
      <c r="F23" s="42"/>
      <c r="G23" s="72"/>
      <c r="H23" s="4"/>
      <c r="I23" s="4"/>
      <c r="J23" s="4"/>
      <c r="K23" s="4"/>
      <c r="L23" s="4"/>
      <c r="M23" s="4"/>
      <c r="N23" s="4"/>
      <c r="O23" s="4"/>
      <c r="P23" s="4"/>
      <c r="Q23" s="4"/>
      <c r="R23" s="4"/>
      <c r="S23" s="4"/>
      <c r="T23" s="4"/>
      <c r="U23" s="4"/>
      <c r="V23" s="4"/>
    </row>
    <row r="24" spans="1:22">
      <c r="A24" s="437" t="str">
        <f>'O&amp;M_Estimate'!$A$2</f>
        <v>Commercial Operations O&amp;M Estimate</v>
      </c>
      <c r="C24" s="42"/>
      <c r="D24" s="42"/>
      <c r="E24" s="42"/>
      <c r="F24" s="42"/>
      <c r="G24" s="72">
        <f>MAX(G21:G23)+5</f>
        <v>18</v>
      </c>
      <c r="H24" s="4"/>
      <c r="I24" s="4"/>
      <c r="J24" s="4"/>
      <c r="K24" s="4"/>
      <c r="L24" s="4"/>
      <c r="M24" s="4"/>
      <c r="N24" s="4"/>
      <c r="O24" s="4"/>
      <c r="P24" s="4"/>
      <c r="Q24" s="4"/>
      <c r="R24" s="4"/>
      <c r="S24" s="4"/>
      <c r="T24" s="4"/>
      <c r="U24" s="4"/>
      <c r="V24" s="4"/>
    </row>
    <row r="25" spans="1:22">
      <c r="A25" s="43"/>
      <c r="B25" s="90" t="str">
        <f>Ops_Staff!$A$2</f>
        <v>Staffing Plan</v>
      </c>
      <c r="C25" s="42"/>
      <c r="D25" s="42"/>
      <c r="E25" s="42"/>
      <c r="F25" s="42"/>
      <c r="G25" s="72">
        <f t="shared" si="0"/>
        <v>19</v>
      </c>
      <c r="H25" s="4"/>
      <c r="I25" s="4"/>
      <c r="J25" s="4"/>
      <c r="K25" s="4"/>
      <c r="L25" s="4"/>
      <c r="M25" s="4"/>
      <c r="N25" s="4"/>
      <c r="O25" s="4"/>
      <c r="P25" s="4"/>
      <c r="Q25" s="4"/>
      <c r="R25" s="4"/>
      <c r="S25" s="4"/>
      <c r="T25" s="4"/>
      <c r="U25" s="4"/>
      <c r="V25" s="4"/>
    </row>
    <row r="26" spans="1:22">
      <c r="A26" s="43"/>
      <c r="B26" s="90" t="str">
        <f>'O&amp;M_Backup'!$A$4</f>
        <v>O&amp;M Estimate Backup/Detail</v>
      </c>
      <c r="C26" s="42"/>
      <c r="D26" s="42"/>
      <c r="E26" s="42"/>
      <c r="F26" s="42"/>
      <c r="G26" s="72">
        <f>MAX(G25:G25)+1</f>
        <v>20</v>
      </c>
      <c r="H26" s="4"/>
      <c r="I26" s="4"/>
      <c r="J26" s="4"/>
      <c r="K26" s="4"/>
      <c r="L26" s="4"/>
      <c r="M26" s="4"/>
      <c r="N26" s="4"/>
      <c r="O26" s="4"/>
      <c r="P26" s="4"/>
      <c r="Q26" s="4"/>
      <c r="R26" s="4"/>
      <c r="S26" s="4"/>
      <c r="T26" s="4"/>
      <c r="U26" s="4"/>
      <c r="V26" s="4"/>
    </row>
    <row r="27" spans="1:22">
      <c r="A27" s="43"/>
      <c r="B27" s="90"/>
      <c r="C27" s="42"/>
      <c r="D27" s="42"/>
      <c r="E27" s="42"/>
      <c r="F27" s="42"/>
      <c r="G27" s="72"/>
      <c r="H27" s="4"/>
      <c r="I27" s="4"/>
      <c r="J27" s="4"/>
      <c r="K27" s="4"/>
      <c r="L27" s="4"/>
      <c r="M27" s="4"/>
      <c r="N27" s="4"/>
      <c r="O27" s="4"/>
      <c r="P27" s="4"/>
      <c r="Q27" s="4"/>
      <c r="R27" s="4"/>
      <c r="S27" s="4"/>
      <c r="T27" s="4"/>
      <c r="U27" s="4"/>
      <c r="V27" s="4"/>
    </row>
    <row r="28" spans="1:22">
      <c r="A28" s="43" t="s">
        <v>640</v>
      </c>
      <c r="C28" s="42"/>
      <c r="D28" s="42"/>
      <c r="E28" s="42"/>
      <c r="F28" s="42"/>
      <c r="G28" s="72"/>
      <c r="H28" s="4"/>
      <c r="I28" s="4"/>
      <c r="J28" s="4"/>
      <c r="K28" s="4"/>
      <c r="L28" s="4"/>
      <c r="M28" s="4"/>
      <c r="N28" s="4"/>
      <c r="O28" s="4"/>
      <c r="P28" s="4"/>
      <c r="Q28" s="4"/>
      <c r="R28" s="4"/>
      <c r="S28" s="4"/>
      <c r="T28" s="4"/>
      <c r="U28" s="4"/>
      <c r="V28" s="4"/>
    </row>
    <row r="29" spans="1:22">
      <c r="A29" s="43"/>
      <c r="B29" s="553" t="str">
        <f>'Cap Spares'!$A$2</f>
        <v>Capital &amp; Operational Spares</v>
      </c>
      <c r="C29" s="42"/>
      <c r="D29" s="42"/>
      <c r="E29" s="42"/>
      <c r="F29" s="42"/>
      <c r="G29" s="72">
        <f>MAX(G26:G28)+5</f>
        <v>25</v>
      </c>
      <c r="H29" s="4"/>
      <c r="I29" s="4"/>
      <c r="J29" s="4"/>
      <c r="K29" s="4"/>
      <c r="L29" s="4"/>
      <c r="M29" s="4"/>
      <c r="N29" s="4"/>
      <c r="O29" s="4"/>
      <c r="P29" s="4"/>
      <c r="Q29" s="4"/>
      <c r="R29" s="4"/>
      <c r="S29" s="4"/>
      <c r="T29" s="4"/>
      <c r="U29" s="4"/>
      <c r="V29" s="4"/>
    </row>
    <row r="30" spans="1:22">
      <c r="A30" s="42"/>
      <c r="B30" s="43" t="s">
        <v>642</v>
      </c>
      <c r="C30" s="42"/>
      <c r="D30" s="42"/>
      <c r="E30" s="42"/>
      <c r="F30" s="42"/>
      <c r="G30" s="72">
        <f t="shared" si="0"/>
        <v>26</v>
      </c>
      <c r="H30" s="4"/>
      <c r="I30" s="4"/>
      <c r="J30" s="4"/>
      <c r="K30" s="4"/>
      <c r="L30" s="4"/>
      <c r="M30" s="4"/>
      <c r="N30" s="4"/>
      <c r="O30" s="4"/>
      <c r="P30" s="4"/>
      <c r="Q30" s="4"/>
      <c r="R30" s="4"/>
      <c r="S30" s="4"/>
      <c r="T30" s="4"/>
      <c r="U30" s="4"/>
      <c r="V30" s="4"/>
    </row>
    <row r="31" spans="1:22">
      <c r="A31" s="42"/>
      <c r="B31" s="43"/>
      <c r="C31" s="42"/>
      <c r="D31" s="42"/>
      <c r="E31" s="42"/>
      <c r="F31" s="42"/>
      <c r="G31" s="72"/>
      <c r="H31" s="4"/>
      <c r="I31" s="4"/>
      <c r="J31" s="4"/>
      <c r="K31" s="4"/>
      <c r="L31" s="4"/>
      <c r="M31" s="4"/>
      <c r="N31" s="4"/>
      <c r="O31" s="4"/>
      <c r="P31" s="4"/>
      <c r="Q31" s="4"/>
      <c r="R31" s="4"/>
      <c r="S31" s="4"/>
      <c r="T31" s="4"/>
      <c r="U31" s="4"/>
      <c r="V31" s="4"/>
    </row>
    <row r="32" spans="1:22">
      <c r="A32" s="4"/>
      <c r="B32" s="4"/>
      <c r="C32" s="4"/>
      <c r="D32" s="4"/>
      <c r="E32" s="4"/>
      <c r="F32" s="4"/>
      <c r="G32" s="4"/>
      <c r="H32" s="4"/>
      <c r="I32" s="4"/>
      <c r="J32" s="4"/>
      <c r="K32" s="4"/>
      <c r="L32" s="4"/>
      <c r="M32" s="4"/>
      <c r="N32" s="4"/>
      <c r="O32" s="4"/>
      <c r="P32" s="4"/>
      <c r="Q32" s="4"/>
      <c r="R32" s="4"/>
      <c r="S32" s="4"/>
      <c r="T32" s="4"/>
      <c r="U32" s="4"/>
      <c r="V32" s="4"/>
    </row>
    <row r="33" spans="1:22">
      <c r="A33" s="4"/>
      <c r="B33" s="4"/>
      <c r="C33" s="4"/>
      <c r="D33" s="4"/>
      <c r="E33" s="4"/>
      <c r="F33" s="4"/>
      <c r="G33" s="4"/>
      <c r="H33" s="4"/>
      <c r="I33" s="4"/>
      <c r="J33" s="4"/>
      <c r="K33" s="4"/>
      <c r="L33" s="4"/>
      <c r="M33" s="4"/>
      <c r="N33" s="4"/>
      <c r="O33" s="4"/>
      <c r="P33" s="4"/>
      <c r="Q33" s="4"/>
      <c r="R33" s="4"/>
      <c r="S33" s="4"/>
      <c r="T33" s="4"/>
      <c r="U33" s="4"/>
      <c r="V33" s="4"/>
    </row>
    <row r="34" spans="1:22">
      <c r="A34" s="4"/>
      <c r="B34" s="4"/>
      <c r="C34" s="4"/>
      <c r="D34" s="4"/>
      <c r="E34" s="4"/>
      <c r="F34" s="4"/>
      <c r="G34" s="4"/>
      <c r="H34" s="4"/>
      <c r="I34" s="4"/>
      <c r="J34" s="4"/>
      <c r="K34" s="4"/>
      <c r="L34" s="4"/>
      <c r="M34" s="4"/>
      <c r="N34" s="4"/>
      <c r="O34" s="4"/>
      <c r="P34" s="4"/>
      <c r="Q34" s="4"/>
      <c r="R34" s="4"/>
      <c r="S34" s="4"/>
      <c r="T34" s="4"/>
      <c r="U34" s="4"/>
      <c r="V34" s="4"/>
    </row>
    <row r="35" spans="1:22">
      <c r="A35" s="4"/>
      <c r="B35" s="4"/>
      <c r="C35" s="4"/>
      <c r="D35" s="4"/>
      <c r="E35" s="4"/>
      <c r="F35" s="4"/>
      <c r="G35" s="4"/>
      <c r="H35" s="4"/>
      <c r="I35" s="4"/>
      <c r="J35" s="4"/>
      <c r="K35" s="4"/>
      <c r="L35" s="4"/>
      <c r="M35" s="4"/>
      <c r="N35" s="4"/>
      <c r="O35" s="4"/>
      <c r="P35" s="4"/>
      <c r="Q35" s="4"/>
      <c r="R35" s="4"/>
      <c r="S35" s="4"/>
      <c r="T35" s="4"/>
      <c r="U35" s="4"/>
      <c r="V35" s="4"/>
    </row>
    <row r="36" spans="1:22">
      <c r="A36" s="4"/>
      <c r="B36" s="4"/>
      <c r="C36" s="4"/>
      <c r="D36" s="4"/>
      <c r="E36" s="4"/>
      <c r="F36" s="4"/>
      <c r="G36" s="4"/>
      <c r="H36" s="4"/>
      <c r="I36" s="4"/>
      <c r="J36" s="4"/>
      <c r="K36" s="4"/>
      <c r="L36" s="4"/>
      <c r="M36" s="4"/>
      <c r="N36" s="4"/>
      <c r="O36" s="4"/>
      <c r="P36" s="4"/>
      <c r="Q36" s="4"/>
      <c r="R36" s="4"/>
      <c r="S36" s="4"/>
      <c r="T36" s="4"/>
      <c r="U36" s="4"/>
      <c r="V36" s="4"/>
    </row>
    <row r="37" spans="1:22">
      <c r="A37" s="4"/>
      <c r="B37" s="4"/>
      <c r="C37" s="4"/>
      <c r="D37" s="4"/>
      <c r="E37" s="4"/>
      <c r="F37" s="4"/>
      <c r="G37" s="4"/>
      <c r="H37" s="4"/>
      <c r="I37" s="4"/>
      <c r="J37" s="4"/>
      <c r="K37" s="4"/>
      <c r="L37" s="4"/>
      <c r="M37" s="4"/>
      <c r="N37" s="4"/>
      <c r="O37" s="4"/>
      <c r="P37" s="4"/>
      <c r="Q37" s="4"/>
      <c r="R37" s="4"/>
      <c r="S37" s="4"/>
      <c r="T37" s="4"/>
      <c r="U37" s="4"/>
      <c r="V37" s="4"/>
    </row>
    <row r="38" spans="1:22">
      <c r="A38" s="4"/>
      <c r="B38" s="4"/>
      <c r="C38" s="4"/>
      <c r="D38" s="4"/>
      <c r="E38" s="4"/>
      <c r="F38" s="4"/>
      <c r="G38" s="4"/>
      <c r="H38" s="4"/>
      <c r="I38" s="4"/>
      <c r="J38" s="4"/>
      <c r="K38" s="4"/>
      <c r="L38" s="4"/>
      <c r="M38" s="4"/>
      <c r="N38" s="4"/>
      <c r="O38" s="4"/>
      <c r="P38" s="4"/>
      <c r="Q38" s="4"/>
      <c r="R38" s="4"/>
      <c r="S38" s="4"/>
      <c r="T38" s="4"/>
      <c r="U38" s="4"/>
      <c r="V38" s="4"/>
    </row>
    <row r="39" spans="1:22">
      <c r="A39" s="4"/>
      <c r="B39" s="4"/>
      <c r="C39" s="4"/>
      <c r="D39" s="4"/>
      <c r="E39" s="4"/>
      <c r="F39" s="4"/>
      <c r="G39" s="4"/>
      <c r="H39" s="4"/>
      <c r="I39" s="4"/>
      <c r="J39" s="4"/>
      <c r="K39" s="4"/>
      <c r="L39" s="4"/>
      <c r="M39" s="4"/>
      <c r="N39" s="4"/>
      <c r="O39" s="4"/>
      <c r="P39" s="4"/>
      <c r="Q39" s="4"/>
      <c r="R39" s="4"/>
      <c r="S39" s="4"/>
      <c r="T39" s="4"/>
      <c r="U39" s="4"/>
      <c r="V39" s="4"/>
    </row>
    <row r="40" spans="1:22">
      <c r="A40" s="4"/>
      <c r="B40" s="4"/>
      <c r="C40" s="4"/>
      <c r="D40" s="4"/>
      <c r="E40" s="4"/>
      <c r="F40" s="4"/>
      <c r="G40" s="4"/>
      <c r="H40" s="4"/>
      <c r="I40" s="4"/>
      <c r="J40" s="4"/>
      <c r="K40" s="4"/>
      <c r="L40" s="4"/>
      <c r="M40" s="4"/>
      <c r="N40" s="4"/>
      <c r="O40" s="4"/>
      <c r="P40" s="4"/>
      <c r="Q40" s="4"/>
      <c r="R40" s="4"/>
      <c r="S40" s="4"/>
      <c r="T40" s="4"/>
      <c r="U40" s="4"/>
      <c r="V40" s="4"/>
    </row>
    <row r="41" spans="1:22">
      <c r="A41" s="4"/>
      <c r="B41" s="4"/>
      <c r="C41" s="4"/>
      <c r="D41" s="4"/>
      <c r="E41" s="4"/>
      <c r="F41" s="4"/>
      <c r="G41" s="4"/>
      <c r="H41" s="4"/>
      <c r="I41" s="4"/>
      <c r="J41" s="4"/>
      <c r="K41" s="4"/>
      <c r="L41" s="4"/>
      <c r="M41" s="4"/>
      <c r="N41" s="4"/>
      <c r="O41" s="4"/>
      <c r="P41" s="4"/>
      <c r="Q41" s="4"/>
      <c r="R41" s="4"/>
      <c r="S41" s="4"/>
      <c r="T41" s="4"/>
      <c r="U41" s="4"/>
      <c r="V41" s="4"/>
    </row>
    <row r="42" spans="1:22">
      <c r="A42" s="4"/>
      <c r="B42" s="4"/>
      <c r="C42" s="4"/>
      <c r="D42" s="4"/>
      <c r="E42" s="4"/>
      <c r="F42" s="4"/>
      <c r="G42" s="4"/>
      <c r="H42" s="4"/>
      <c r="I42" s="4"/>
      <c r="J42" s="4"/>
      <c r="K42" s="4"/>
      <c r="L42" s="4"/>
      <c r="M42" s="4"/>
      <c r="N42" s="4"/>
      <c r="O42" s="4"/>
      <c r="P42" s="4"/>
      <c r="Q42" s="4"/>
      <c r="R42" s="4"/>
      <c r="S42" s="4"/>
      <c r="T42" s="4"/>
      <c r="U42" s="4"/>
      <c r="V42" s="4"/>
    </row>
    <row r="43" spans="1:22">
      <c r="A43" s="4"/>
      <c r="B43" s="4"/>
      <c r="C43" s="4"/>
      <c r="D43" s="4"/>
      <c r="E43" s="4"/>
      <c r="F43" s="4"/>
      <c r="G43" s="4"/>
      <c r="H43" s="4"/>
      <c r="I43" s="4"/>
      <c r="J43" s="4"/>
      <c r="K43" s="4"/>
      <c r="L43" s="4"/>
      <c r="M43" s="4"/>
      <c r="N43" s="4"/>
      <c r="O43" s="4"/>
      <c r="P43" s="4"/>
      <c r="Q43" s="4"/>
      <c r="R43" s="4"/>
      <c r="S43" s="4"/>
      <c r="T43" s="4"/>
      <c r="U43" s="4"/>
      <c r="V43" s="4"/>
    </row>
    <row r="44" spans="1:22">
      <c r="A44" s="4"/>
      <c r="B44" s="4"/>
      <c r="C44" s="4"/>
      <c r="D44" s="4"/>
      <c r="E44" s="4"/>
      <c r="F44" s="4"/>
      <c r="G44" s="4"/>
      <c r="H44" s="4"/>
      <c r="I44" s="4"/>
      <c r="J44" s="4"/>
      <c r="K44" s="4"/>
      <c r="L44" s="4"/>
      <c r="M44" s="4"/>
      <c r="N44" s="4"/>
      <c r="O44" s="4"/>
      <c r="P44" s="4"/>
      <c r="Q44" s="4"/>
      <c r="R44" s="4"/>
      <c r="S44" s="4"/>
      <c r="T44" s="4"/>
      <c r="U44" s="4"/>
      <c r="V44" s="4"/>
    </row>
    <row r="45" spans="1:22">
      <c r="A45" s="4"/>
      <c r="B45" s="4"/>
      <c r="C45" s="4"/>
      <c r="D45" s="4"/>
      <c r="E45" s="4"/>
      <c r="F45" s="4"/>
      <c r="G45" s="4"/>
      <c r="H45" s="4"/>
      <c r="I45" s="4"/>
      <c r="J45" s="4"/>
      <c r="K45" s="4"/>
      <c r="L45" s="4"/>
      <c r="M45" s="4"/>
      <c r="N45" s="4"/>
      <c r="O45" s="4"/>
      <c r="P45" s="4"/>
      <c r="Q45" s="4"/>
      <c r="R45" s="4"/>
      <c r="S45" s="4"/>
      <c r="T45" s="4"/>
      <c r="U45" s="4"/>
      <c r="V45" s="4"/>
    </row>
    <row r="46" spans="1:22">
      <c r="A46" s="4"/>
      <c r="B46" s="4"/>
      <c r="C46" s="4"/>
      <c r="D46" s="4"/>
      <c r="E46" s="4"/>
      <c r="F46" s="4"/>
      <c r="G46" s="4"/>
      <c r="H46" s="4"/>
      <c r="I46" s="4"/>
      <c r="J46" s="4"/>
      <c r="K46" s="4"/>
      <c r="L46" s="4"/>
      <c r="M46" s="4"/>
      <c r="N46" s="4"/>
      <c r="O46" s="4"/>
      <c r="P46" s="4"/>
      <c r="Q46" s="4"/>
      <c r="R46" s="4"/>
      <c r="S46" s="4"/>
      <c r="T46" s="4"/>
      <c r="U46" s="4"/>
      <c r="V46" s="4"/>
    </row>
    <row r="47" spans="1:22">
      <c r="A47" s="4"/>
      <c r="B47" s="4"/>
      <c r="C47" s="4"/>
      <c r="D47" s="4"/>
      <c r="E47" s="4"/>
      <c r="F47" s="4"/>
      <c r="G47" s="4"/>
      <c r="H47" s="4"/>
      <c r="I47" s="4"/>
      <c r="J47" s="4"/>
      <c r="K47" s="4"/>
      <c r="L47" s="4"/>
      <c r="M47" s="4"/>
      <c r="N47" s="4"/>
      <c r="O47" s="4"/>
      <c r="P47" s="4"/>
      <c r="Q47" s="4"/>
      <c r="R47" s="4"/>
      <c r="S47" s="4"/>
      <c r="T47" s="4"/>
      <c r="U47" s="4"/>
      <c r="V47" s="4"/>
    </row>
    <row r="48" spans="1:22">
      <c r="A48" s="4"/>
      <c r="B48" s="4"/>
      <c r="C48" s="4"/>
      <c r="D48" s="4"/>
      <c r="E48" s="4"/>
      <c r="F48" s="4"/>
      <c r="G48" s="4"/>
      <c r="H48" s="4"/>
      <c r="I48" s="4"/>
      <c r="J48" s="4"/>
      <c r="K48" s="4"/>
      <c r="L48" s="4"/>
      <c r="M48" s="4"/>
      <c r="N48" s="4"/>
      <c r="O48" s="4"/>
      <c r="P48" s="4"/>
      <c r="Q48" s="4"/>
      <c r="R48" s="4"/>
      <c r="S48" s="4"/>
      <c r="T48" s="4"/>
      <c r="U48" s="4"/>
      <c r="V48" s="4"/>
    </row>
    <row r="49" spans="1:22">
      <c r="A49" s="4"/>
      <c r="B49" s="4"/>
      <c r="C49" s="4"/>
      <c r="D49" s="4"/>
      <c r="E49" s="4"/>
      <c r="F49" s="4"/>
      <c r="G49" s="4"/>
      <c r="H49" s="4"/>
      <c r="I49" s="4"/>
      <c r="J49" s="4"/>
      <c r="K49" s="4"/>
      <c r="L49" s="4"/>
      <c r="M49" s="4"/>
      <c r="N49" s="4"/>
      <c r="O49" s="4"/>
      <c r="P49" s="4"/>
      <c r="Q49" s="4"/>
      <c r="R49" s="4"/>
      <c r="S49" s="4"/>
      <c r="T49" s="4"/>
      <c r="U49" s="4"/>
      <c r="V49" s="4"/>
    </row>
    <row r="50" spans="1:22">
      <c r="A50" s="4"/>
      <c r="B50" s="4"/>
      <c r="C50" s="4"/>
      <c r="D50" s="4"/>
      <c r="E50" s="4"/>
      <c r="F50" s="4"/>
      <c r="G50" s="4"/>
      <c r="H50" s="4"/>
      <c r="I50" s="4"/>
      <c r="J50" s="4"/>
      <c r="K50" s="4"/>
      <c r="L50" s="4"/>
      <c r="M50" s="4"/>
      <c r="N50" s="4"/>
      <c r="O50" s="4"/>
      <c r="P50" s="4"/>
      <c r="Q50" s="4"/>
      <c r="R50" s="4"/>
      <c r="S50" s="4"/>
      <c r="T50" s="4"/>
      <c r="U50" s="4"/>
      <c r="V50" s="4"/>
    </row>
    <row r="51" spans="1:22">
      <c r="A51" s="4"/>
      <c r="B51" s="4"/>
      <c r="C51" s="4"/>
      <c r="D51" s="4"/>
      <c r="E51" s="4"/>
      <c r="F51" s="4"/>
      <c r="G51" s="4"/>
      <c r="H51" s="4"/>
      <c r="I51" s="4"/>
      <c r="J51" s="4"/>
      <c r="K51" s="4"/>
      <c r="L51" s="4"/>
      <c r="M51" s="4"/>
      <c r="N51" s="4"/>
      <c r="O51" s="4"/>
      <c r="P51" s="4"/>
      <c r="Q51" s="4"/>
      <c r="R51" s="4"/>
      <c r="S51" s="4"/>
      <c r="T51" s="4"/>
      <c r="U51" s="4"/>
      <c r="V51" s="4"/>
    </row>
    <row r="52" spans="1:22">
      <c r="A52" s="4"/>
      <c r="B52" s="4"/>
      <c r="C52" s="4"/>
      <c r="D52" s="4"/>
      <c r="E52" s="4"/>
      <c r="F52" s="4"/>
      <c r="G52" s="4"/>
      <c r="H52" s="4"/>
      <c r="I52" s="4"/>
      <c r="J52" s="4"/>
      <c r="K52" s="4"/>
      <c r="L52" s="4"/>
      <c r="M52" s="4"/>
      <c r="N52" s="4"/>
      <c r="O52" s="4"/>
      <c r="P52" s="4"/>
      <c r="Q52" s="4"/>
      <c r="R52" s="4"/>
      <c r="S52" s="4"/>
      <c r="T52" s="4"/>
      <c r="U52" s="4"/>
      <c r="V52" s="4"/>
    </row>
    <row r="53" spans="1:22">
      <c r="A53" s="4"/>
      <c r="B53" s="4"/>
      <c r="C53" s="4"/>
      <c r="D53" s="4"/>
      <c r="E53" s="4"/>
      <c r="F53" s="4"/>
      <c r="G53" s="4"/>
      <c r="H53" s="4"/>
      <c r="I53" s="4"/>
      <c r="J53" s="4"/>
      <c r="K53" s="4"/>
      <c r="L53" s="4"/>
      <c r="M53" s="4"/>
      <c r="N53" s="4"/>
      <c r="O53" s="4"/>
      <c r="P53" s="4"/>
      <c r="Q53" s="4"/>
      <c r="R53" s="4"/>
      <c r="S53" s="4"/>
      <c r="T53" s="4"/>
      <c r="U53" s="4"/>
      <c r="V53" s="4"/>
    </row>
    <row r="54" spans="1:22">
      <c r="A54" s="4"/>
      <c r="B54" s="4"/>
      <c r="C54" s="4"/>
      <c r="D54" s="4"/>
      <c r="E54" s="4"/>
      <c r="F54" s="4"/>
      <c r="G54" s="4"/>
      <c r="H54" s="4"/>
      <c r="I54" s="4"/>
      <c r="J54" s="4"/>
      <c r="K54" s="4"/>
      <c r="L54" s="4"/>
      <c r="M54" s="4"/>
      <c r="N54" s="4"/>
      <c r="O54" s="4"/>
      <c r="P54" s="4"/>
      <c r="Q54" s="4"/>
      <c r="R54" s="4"/>
      <c r="S54" s="4"/>
      <c r="T54" s="4"/>
      <c r="U54" s="4"/>
      <c r="V54" s="4"/>
    </row>
    <row r="55" spans="1:22">
      <c r="A55" s="4"/>
      <c r="B55" s="4"/>
      <c r="C55" s="4"/>
      <c r="D55" s="4"/>
      <c r="E55" s="4"/>
      <c r="F55" s="4"/>
      <c r="G55" s="4"/>
      <c r="H55" s="4"/>
      <c r="I55" s="4"/>
      <c r="J55" s="4"/>
      <c r="K55" s="4"/>
      <c r="L55" s="4"/>
      <c r="M55" s="4"/>
      <c r="N55" s="4"/>
      <c r="O55" s="4"/>
      <c r="P55" s="4"/>
      <c r="Q55" s="4"/>
      <c r="R55" s="4"/>
      <c r="S55" s="4"/>
      <c r="T55" s="4"/>
      <c r="U55" s="4"/>
      <c r="V55" s="4"/>
    </row>
    <row r="56" spans="1:22">
      <c r="A56" s="4"/>
      <c r="B56" s="4"/>
      <c r="C56" s="4"/>
      <c r="D56" s="4"/>
      <c r="E56" s="4"/>
      <c r="F56" s="4"/>
      <c r="G56" s="4"/>
      <c r="H56" s="4"/>
      <c r="I56" s="4"/>
      <c r="J56" s="4"/>
      <c r="K56" s="4"/>
      <c r="L56" s="4"/>
      <c r="M56" s="4"/>
      <c r="N56" s="4"/>
      <c r="O56" s="4"/>
      <c r="P56" s="4"/>
      <c r="Q56" s="4"/>
      <c r="R56" s="4"/>
      <c r="S56" s="4"/>
      <c r="T56" s="4"/>
      <c r="U56" s="4"/>
      <c r="V56" s="4"/>
    </row>
    <row r="57" spans="1:22">
      <c r="A57" s="4"/>
      <c r="B57" s="4"/>
      <c r="C57" s="4"/>
      <c r="D57" s="4"/>
      <c r="E57" s="4"/>
      <c r="F57" s="4"/>
      <c r="G57" s="4"/>
      <c r="H57" s="4"/>
      <c r="I57" s="4"/>
      <c r="J57" s="4"/>
      <c r="K57" s="4"/>
      <c r="L57" s="4"/>
      <c r="M57" s="4"/>
      <c r="N57" s="4"/>
      <c r="O57" s="4"/>
      <c r="P57" s="4"/>
      <c r="Q57" s="4"/>
      <c r="R57" s="4"/>
      <c r="S57" s="4"/>
      <c r="T57" s="4"/>
      <c r="U57" s="4"/>
      <c r="V57" s="4"/>
    </row>
    <row r="58" spans="1:22">
      <c r="A58" s="4"/>
      <c r="B58" s="4"/>
      <c r="C58" s="4"/>
      <c r="D58" s="4"/>
      <c r="E58" s="4"/>
      <c r="F58" s="4"/>
      <c r="G58" s="4"/>
      <c r="H58" s="4"/>
      <c r="I58" s="4"/>
      <c r="J58" s="4"/>
      <c r="K58" s="4"/>
      <c r="L58" s="4"/>
      <c r="M58" s="4"/>
      <c r="N58" s="4"/>
      <c r="O58" s="4"/>
      <c r="P58" s="4"/>
      <c r="Q58" s="4"/>
      <c r="R58" s="4"/>
      <c r="S58" s="4"/>
      <c r="T58" s="4"/>
      <c r="U58" s="4"/>
      <c r="V58" s="4"/>
    </row>
    <row r="59" spans="1:22">
      <c r="A59" s="4"/>
      <c r="B59" s="4"/>
      <c r="C59" s="4"/>
      <c r="D59" s="4"/>
      <c r="E59" s="4"/>
      <c r="F59" s="4"/>
      <c r="G59" s="4"/>
      <c r="H59" s="4"/>
      <c r="I59" s="4"/>
      <c r="J59" s="4"/>
      <c r="K59" s="4"/>
      <c r="L59" s="4"/>
      <c r="M59" s="4"/>
      <c r="N59" s="4"/>
      <c r="O59" s="4"/>
      <c r="P59" s="4"/>
      <c r="Q59" s="4"/>
      <c r="R59" s="4"/>
      <c r="S59" s="4"/>
      <c r="T59" s="4"/>
      <c r="U59" s="4"/>
      <c r="V59" s="4"/>
    </row>
    <row r="60" spans="1:22">
      <c r="A60" s="4"/>
      <c r="B60" s="4"/>
      <c r="C60" s="4"/>
      <c r="D60" s="4"/>
      <c r="E60" s="4"/>
      <c r="F60" s="4"/>
      <c r="G60" s="4"/>
      <c r="H60" s="4"/>
      <c r="I60" s="4"/>
      <c r="J60" s="4"/>
      <c r="K60" s="4"/>
      <c r="L60" s="4"/>
      <c r="M60" s="4"/>
      <c r="N60" s="4"/>
      <c r="O60" s="4"/>
      <c r="P60" s="4"/>
      <c r="Q60" s="4"/>
      <c r="R60" s="4"/>
      <c r="S60" s="4"/>
      <c r="T60" s="4"/>
      <c r="U60" s="4"/>
      <c r="V60" s="4"/>
    </row>
    <row r="61" spans="1:22">
      <c r="A61" s="4"/>
      <c r="B61" s="4"/>
      <c r="C61" s="4"/>
      <c r="D61" s="4"/>
      <c r="E61" s="4"/>
      <c r="F61" s="4"/>
      <c r="G61" s="4"/>
      <c r="H61" s="4"/>
      <c r="I61" s="4"/>
      <c r="J61" s="4"/>
      <c r="K61" s="4"/>
      <c r="L61" s="4"/>
      <c r="M61" s="4"/>
      <c r="N61" s="4"/>
      <c r="O61" s="4"/>
      <c r="P61" s="4"/>
      <c r="Q61" s="4"/>
      <c r="R61" s="4"/>
      <c r="S61" s="4"/>
      <c r="T61" s="4"/>
      <c r="U61" s="4"/>
      <c r="V61" s="4"/>
    </row>
    <row r="62" spans="1:22">
      <c r="A62" s="4"/>
      <c r="B62" s="4"/>
      <c r="C62" s="4"/>
      <c r="D62" s="4"/>
      <c r="E62" s="4"/>
      <c r="F62" s="4"/>
      <c r="G62" s="4"/>
      <c r="H62" s="4"/>
      <c r="I62" s="4"/>
      <c r="J62" s="4"/>
      <c r="K62" s="4"/>
      <c r="L62" s="4"/>
      <c r="M62" s="4"/>
      <c r="N62" s="4"/>
      <c r="O62" s="4"/>
      <c r="P62" s="4"/>
      <c r="Q62" s="4"/>
      <c r="R62" s="4"/>
      <c r="S62" s="4"/>
      <c r="T62" s="4"/>
      <c r="U62" s="4"/>
      <c r="V62" s="4"/>
    </row>
    <row r="63" spans="1:22">
      <c r="A63" s="4"/>
      <c r="B63" s="4"/>
      <c r="C63" s="4"/>
      <c r="D63" s="4"/>
      <c r="E63" s="4"/>
      <c r="F63" s="4"/>
      <c r="G63" s="4"/>
      <c r="H63" s="4"/>
      <c r="I63" s="4"/>
      <c r="J63" s="4"/>
      <c r="K63" s="4"/>
      <c r="L63" s="4"/>
      <c r="M63" s="4"/>
      <c r="N63" s="4"/>
      <c r="O63" s="4"/>
      <c r="P63" s="4"/>
      <c r="Q63" s="4"/>
      <c r="R63" s="4"/>
      <c r="S63" s="4"/>
      <c r="T63" s="4"/>
      <c r="U63" s="4"/>
      <c r="V63" s="4"/>
    </row>
    <row r="64" spans="1:22">
      <c r="A64" s="4"/>
      <c r="B64" s="4"/>
      <c r="C64" s="4"/>
      <c r="D64" s="4"/>
      <c r="E64" s="4"/>
      <c r="F64" s="4"/>
      <c r="G64" s="4"/>
      <c r="H64" s="4"/>
      <c r="I64" s="4"/>
      <c r="J64" s="4"/>
      <c r="K64" s="4"/>
      <c r="L64" s="4"/>
      <c r="M64" s="4"/>
      <c r="N64" s="4"/>
      <c r="O64" s="4"/>
      <c r="P64" s="4"/>
      <c r="Q64" s="4"/>
      <c r="R64" s="4"/>
      <c r="S64" s="4"/>
      <c r="T64" s="4"/>
      <c r="U64" s="4"/>
      <c r="V64" s="4"/>
    </row>
    <row r="65" spans="1:22">
      <c r="A65" s="4"/>
      <c r="B65" s="4"/>
      <c r="C65" s="4"/>
      <c r="D65" s="4"/>
      <c r="E65" s="4"/>
      <c r="F65" s="4"/>
      <c r="G65" s="4"/>
      <c r="H65" s="4"/>
      <c r="I65" s="4"/>
      <c r="J65" s="4"/>
      <c r="K65" s="4"/>
      <c r="L65" s="4"/>
      <c r="M65" s="4"/>
      <c r="N65" s="4"/>
      <c r="O65" s="4"/>
      <c r="P65" s="4"/>
      <c r="Q65" s="4"/>
      <c r="R65" s="4"/>
      <c r="S65" s="4"/>
      <c r="T65" s="4"/>
      <c r="U65" s="4"/>
      <c r="V65" s="4"/>
    </row>
    <row r="66" spans="1:22">
      <c r="A66" s="4"/>
      <c r="B66" s="4"/>
      <c r="C66" s="4"/>
      <c r="D66" s="4"/>
      <c r="E66" s="4"/>
      <c r="F66" s="4"/>
      <c r="G66" s="4"/>
      <c r="H66" s="4"/>
      <c r="I66" s="4"/>
      <c r="J66" s="4"/>
      <c r="K66" s="4"/>
      <c r="L66" s="4"/>
      <c r="M66" s="4"/>
      <c r="N66" s="4"/>
      <c r="O66" s="4"/>
      <c r="P66" s="4"/>
      <c r="Q66" s="4"/>
      <c r="R66" s="4"/>
      <c r="S66" s="4"/>
      <c r="T66" s="4"/>
      <c r="U66" s="4"/>
      <c r="V66" s="4"/>
    </row>
    <row r="67" spans="1:22">
      <c r="A67" s="4"/>
      <c r="B67" s="4"/>
      <c r="C67" s="4"/>
      <c r="D67" s="4"/>
      <c r="E67" s="4"/>
      <c r="F67" s="4"/>
      <c r="G67" s="4"/>
      <c r="H67" s="4"/>
      <c r="I67" s="4"/>
      <c r="J67" s="4"/>
      <c r="K67" s="4"/>
      <c r="L67" s="4"/>
      <c r="M67" s="4"/>
      <c r="N67" s="4"/>
      <c r="O67" s="4"/>
      <c r="P67" s="4"/>
      <c r="Q67" s="4"/>
      <c r="R67" s="4"/>
      <c r="S67" s="4"/>
      <c r="T67" s="4"/>
      <c r="U67" s="4"/>
      <c r="V67" s="4"/>
    </row>
    <row r="68" spans="1:22">
      <c r="A68" s="4"/>
      <c r="B68" s="4"/>
      <c r="C68" s="4"/>
      <c r="D68" s="4"/>
      <c r="E68" s="4"/>
      <c r="F68" s="4"/>
      <c r="G68" s="4"/>
      <c r="H68" s="4"/>
      <c r="I68" s="4"/>
      <c r="J68" s="4"/>
      <c r="K68" s="4"/>
      <c r="L68" s="4"/>
      <c r="M68" s="4"/>
      <c r="N68" s="4"/>
      <c r="O68" s="4"/>
      <c r="P68" s="4"/>
      <c r="Q68" s="4"/>
      <c r="R68" s="4"/>
      <c r="S68" s="4"/>
      <c r="T68" s="4"/>
      <c r="U68" s="4"/>
      <c r="V68" s="4"/>
    </row>
    <row r="69" spans="1:22">
      <c r="A69" s="4"/>
      <c r="B69" s="4"/>
      <c r="C69" s="4"/>
      <c r="D69" s="4"/>
      <c r="E69" s="4"/>
      <c r="F69" s="4"/>
      <c r="G69" s="4"/>
      <c r="H69" s="4"/>
      <c r="I69" s="4"/>
      <c r="J69" s="4"/>
      <c r="K69" s="4"/>
      <c r="L69" s="4"/>
      <c r="M69" s="4"/>
      <c r="N69" s="4"/>
      <c r="O69" s="4"/>
      <c r="P69" s="4"/>
      <c r="Q69" s="4"/>
      <c r="R69" s="4"/>
      <c r="S69" s="4"/>
      <c r="T69" s="4"/>
      <c r="U69" s="4"/>
      <c r="V69" s="4"/>
    </row>
    <row r="70" spans="1:22">
      <c r="A70" s="4"/>
      <c r="B70" s="4"/>
      <c r="C70" s="4"/>
      <c r="D70" s="4"/>
      <c r="E70" s="4"/>
      <c r="F70" s="4"/>
      <c r="G70" s="4"/>
      <c r="H70" s="4"/>
      <c r="I70" s="4"/>
      <c r="J70" s="4"/>
      <c r="K70" s="4"/>
      <c r="L70" s="4"/>
      <c r="M70" s="4"/>
      <c r="N70" s="4"/>
      <c r="O70" s="4"/>
      <c r="P70" s="4"/>
      <c r="Q70" s="4"/>
      <c r="R70" s="4"/>
      <c r="S70" s="4"/>
      <c r="T70" s="4"/>
      <c r="U70" s="4"/>
      <c r="V70" s="4"/>
    </row>
    <row r="71" spans="1:22">
      <c r="A71" s="4"/>
      <c r="B71" s="4"/>
      <c r="C71" s="4"/>
      <c r="D71" s="4"/>
      <c r="E71" s="4"/>
      <c r="F71" s="4"/>
      <c r="G71" s="4"/>
      <c r="H71" s="4"/>
      <c r="I71" s="4"/>
      <c r="J71" s="4"/>
      <c r="K71" s="4"/>
      <c r="L71" s="4"/>
      <c r="M71" s="4"/>
      <c r="N71" s="4"/>
      <c r="O71" s="4"/>
      <c r="P71" s="4"/>
      <c r="Q71" s="4"/>
      <c r="R71" s="4"/>
      <c r="S71" s="4"/>
      <c r="T71" s="4"/>
      <c r="U71" s="4"/>
      <c r="V71" s="4"/>
    </row>
    <row r="72" spans="1:22">
      <c r="A72" s="4"/>
      <c r="B72" s="4"/>
      <c r="C72" s="4"/>
      <c r="D72" s="4"/>
      <c r="E72" s="4"/>
      <c r="F72" s="4"/>
      <c r="G72" s="4"/>
      <c r="H72" s="4"/>
      <c r="I72" s="4"/>
      <c r="J72" s="4"/>
      <c r="K72" s="4"/>
      <c r="L72" s="4"/>
      <c r="M72" s="4"/>
      <c r="N72" s="4"/>
      <c r="O72" s="4"/>
      <c r="P72" s="4"/>
      <c r="Q72" s="4"/>
      <c r="R72" s="4"/>
      <c r="S72" s="4"/>
      <c r="T72" s="4"/>
      <c r="U72" s="4"/>
      <c r="V72" s="4"/>
    </row>
    <row r="73" spans="1:22">
      <c r="A73" s="4"/>
      <c r="B73" s="4"/>
      <c r="C73" s="4"/>
      <c r="D73" s="4"/>
      <c r="E73" s="4"/>
      <c r="F73" s="4"/>
      <c r="G73" s="4"/>
      <c r="H73" s="4"/>
      <c r="I73" s="4"/>
      <c r="J73" s="4"/>
      <c r="K73" s="4"/>
      <c r="L73" s="4"/>
      <c r="M73" s="4"/>
      <c r="N73" s="4"/>
      <c r="O73" s="4"/>
      <c r="P73" s="4"/>
      <c r="Q73" s="4"/>
      <c r="R73" s="4"/>
      <c r="S73" s="4"/>
      <c r="T73" s="4"/>
      <c r="U73" s="4"/>
      <c r="V73" s="4"/>
    </row>
    <row r="74" spans="1:22">
      <c r="A74" s="4"/>
      <c r="B74" s="4"/>
      <c r="C74" s="4"/>
      <c r="D74" s="4"/>
      <c r="E74" s="4"/>
      <c r="F74" s="4"/>
      <c r="G74" s="4"/>
      <c r="H74" s="4"/>
      <c r="I74" s="4"/>
      <c r="J74" s="4"/>
      <c r="K74" s="4"/>
      <c r="L74" s="4"/>
      <c r="M74" s="4"/>
      <c r="N74" s="4"/>
      <c r="O74" s="4"/>
      <c r="P74" s="4"/>
      <c r="Q74" s="4"/>
      <c r="R74" s="4"/>
      <c r="S74" s="4"/>
      <c r="T74" s="4"/>
      <c r="U74" s="4"/>
      <c r="V74" s="4"/>
    </row>
    <row r="75" spans="1:22">
      <c r="A75" s="4"/>
      <c r="B75" s="4"/>
      <c r="C75" s="4"/>
      <c r="D75" s="4"/>
      <c r="E75" s="4"/>
      <c r="F75" s="4"/>
      <c r="G75" s="4"/>
      <c r="H75" s="4"/>
      <c r="I75" s="4"/>
      <c r="J75" s="4"/>
      <c r="K75" s="4"/>
      <c r="L75" s="4"/>
      <c r="M75" s="4"/>
      <c r="N75" s="4"/>
      <c r="O75" s="4"/>
      <c r="P75" s="4"/>
      <c r="Q75" s="4"/>
      <c r="R75" s="4"/>
      <c r="S75" s="4"/>
      <c r="T75" s="4"/>
      <c r="U75" s="4"/>
      <c r="V75" s="4"/>
    </row>
    <row r="76" spans="1:22">
      <c r="A76" s="4"/>
      <c r="B76" s="4"/>
      <c r="C76" s="4"/>
      <c r="D76" s="4"/>
      <c r="E76" s="4"/>
      <c r="F76" s="4"/>
      <c r="G76" s="4"/>
      <c r="H76" s="4"/>
      <c r="I76" s="4"/>
      <c r="J76" s="4"/>
      <c r="K76" s="4"/>
      <c r="L76" s="4"/>
      <c r="M76" s="4"/>
      <c r="N76" s="4"/>
      <c r="O76" s="4"/>
      <c r="P76" s="4"/>
      <c r="Q76" s="4"/>
      <c r="R76" s="4"/>
      <c r="S76" s="4"/>
      <c r="T76" s="4"/>
      <c r="U76" s="4"/>
      <c r="V76" s="4"/>
    </row>
    <row r="77" spans="1:22">
      <c r="A77" s="4"/>
      <c r="B77" s="4"/>
      <c r="C77" s="4"/>
      <c r="D77" s="4"/>
      <c r="E77" s="4"/>
      <c r="F77" s="4"/>
      <c r="G77" s="4"/>
      <c r="H77" s="4"/>
      <c r="I77" s="4"/>
      <c r="J77" s="4"/>
      <c r="K77" s="4"/>
      <c r="L77" s="4"/>
      <c r="M77" s="4"/>
      <c r="N77" s="4"/>
      <c r="O77" s="4"/>
      <c r="P77" s="4"/>
      <c r="Q77" s="4"/>
      <c r="R77" s="4"/>
      <c r="S77" s="4"/>
      <c r="T77" s="4"/>
      <c r="U77" s="4"/>
      <c r="V77" s="4"/>
    </row>
    <row r="78" spans="1:22">
      <c r="A78" s="4"/>
      <c r="B78" s="4"/>
      <c r="C78" s="4"/>
      <c r="D78" s="4"/>
      <c r="E78" s="4"/>
      <c r="F78" s="4"/>
      <c r="G78" s="4"/>
      <c r="H78" s="4"/>
      <c r="I78" s="4"/>
      <c r="J78" s="4"/>
      <c r="K78" s="4"/>
      <c r="L78" s="4"/>
      <c r="M78" s="4"/>
      <c r="N78" s="4"/>
      <c r="O78" s="4"/>
      <c r="P78" s="4"/>
      <c r="Q78" s="4"/>
      <c r="R78" s="4"/>
      <c r="S78" s="4"/>
      <c r="T78" s="4"/>
      <c r="U78" s="4"/>
      <c r="V78" s="4"/>
    </row>
    <row r="79" spans="1:22">
      <c r="A79" s="4"/>
      <c r="B79" s="4"/>
      <c r="C79" s="4"/>
      <c r="D79" s="4"/>
      <c r="E79" s="4"/>
      <c r="F79" s="4"/>
      <c r="G79" s="4"/>
      <c r="H79" s="4"/>
      <c r="I79" s="4"/>
      <c r="J79" s="4"/>
      <c r="K79" s="4"/>
      <c r="L79" s="4"/>
      <c r="M79" s="4"/>
      <c r="N79" s="4"/>
      <c r="O79" s="4"/>
      <c r="P79" s="4"/>
      <c r="Q79" s="4"/>
      <c r="R79" s="4"/>
      <c r="S79" s="4"/>
      <c r="T79" s="4"/>
      <c r="U79" s="4"/>
      <c r="V79" s="4"/>
    </row>
    <row r="80" spans="1:22">
      <c r="A80" s="4"/>
      <c r="B80" s="4"/>
      <c r="C80" s="4"/>
      <c r="D80" s="4"/>
      <c r="E80" s="4"/>
      <c r="F80" s="4"/>
      <c r="G80" s="4"/>
      <c r="H80" s="4"/>
      <c r="I80" s="4"/>
      <c r="J80" s="4"/>
      <c r="K80" s="4"/>
      <c r="L80" s="4"/>
      <c r="M80" s="4"/>
      <c r="N80" s="4"/>
      <c r="O80" s="4"/>
      <c r="P80" s="4"/>
      <c r="Q80" s="4"/>
      <c r="R80" s="4"/>
      <c r="S80" s="4"/>
      <c r="T80" s="4"/>
      <c r="U80" s="4"/>
      <c r="V80" s="4"/>
    </row>
    <row r="81" spans="1:22">
      <c r="A81" s="4"/>
      <c r="B81" s="4"/>
      <c r="C81" s="4"/>
      <c r="D81" s="4"/>
      <c r="E81" s="4"/>
      <c r="F81" s="4"/>
      <c r="G81" s="4"/>
      <c r="H81" s="4"/>
      <c r="I81" s="4"/>
      <c r="J81" s="4"/>
      <c r="K81" s="4"/>
      <c r="L81" s="4"/>
      <c r="M81" s="4"/>
      <c r="N81" s="4"/>
      <c r="O81" s="4"/>
      <c r="P81" s="4"/>
      <c r="Q81" s="4"/>
      <c r="R81" s="4"/>
      <c r="S81" s="4"/>
      <c r="T81" s="4"/>
      <c r="U81" s="4"/>
      <c r="V81" s="4"/>
    </row>
    <row r="82" spans="1:22">
      <c r="A82" s="4"/>
      <c r="B82" s="4"/>
      <c r="C82" s="4"/>
      <c r="D82" s="4"/>
      <c r="E82" s="4"/>
      <c r="F82" s="4"/>
      <c r="G82" s="4"/>
      <c r="H82" s="4"/>
      <c r="I82" s="4"/>
      <c r="J82" s="4"/>
      <c r="K82" s="4"/>
      <c r="L82" s="4"/>
      <c r="M82" s="4"/>
      <c r="N82" s="4"/>
      <c r="O82" s="4"/>
      <c r="P82" s="4"/>
      <c r="Q82" s="4"/>
      <c r="R82" s="4"/>
      <c r="S82" s="4"/>
      <c r="T82" s="4"/>
      <c r="U82" s="4"/>
      <c r="V82" s="4"/>
    </row>
    <row r="83" spans="1:22">
      <c r="A83" s="4"/>
      <c r="B83" s="4"/>
      <c r="C83" s="4"/>
      <c r="D83" s="4"/>
      <c r="E83" s="4"/>
      <c r="F83" s="4"/>
      <c r="G83" s="4"/>
      <c r="H83" s="4"/>
      <c r="I83" s="4"/>
      <c r="J83" s="4"/>
      <c r="K83" s="4"/>
      <c r="L83" s="4"/>
      <c r="M83" s="4"/>
      <c r="N83" s="4"/>
      <c r="O83" s="4"/>
      <c r="P83" s="4"/>
      <c r="Q83" s="4"/>
      <c r="R83" s="4"/>
      <c r="S83" s="4"/>
      <c r="T83" s="4"/>
      <c r="U83" s="4"/>
      <c r="V83" s="4"/>
    </row>
    <row r="84" spans="1:22">
      <c r="A84" s="4"/>
      <c r="B84" s="4"/>
      <c r="C84" s="4"/>
      <c r="D84" s="4"/>
      <c r="E84" s="4"/>
      <c r="F84" s="4"/>
      <c r="G84" s="4"/>
      <c r="H84" s="4"/>
      <c r="I84" s="4"/>
      <c r="J84" s="4"/>
      <c r="K84" s="4"/>
      <c r="L84" s="4"/>
      <c r="M84" s="4"/>
      <c r="N84" s="4"/>
      <c r="O84" s="4"/>
      <c r="P84" s="4"/>
      <c r="Q84" s="4"/>
      <c r="R84" s="4"/>
      <c r="S84" s="4"/>
      <c r="T84" s="4"/>
      <c r="U84" s="4"/>
      <c r="V84" s="4"/>
    </row>
    <row r="85" spans="1:22">
      <c r="A85" s="4"/>
      <c r="B85" s="4"/>
      <c r="C85" s="4"/>
      <c r="D85" s="4"/>
      <c r="E85" s="4"/>
      <c r="F85" s="4"/>
      <c r="G85" s="4"/>
      <c r="H85" s="4"/>
      <c r="I85" s="4"/>
      <c r="J85" s="4"/>
      <c r="K85" s="4"/>
      <c r="L85" s="4"/>
      <c r="M85" s="4"/>
      <c r="N85" s="4"/>
      <c r="O85" s="4"/>
      <c r="P85" s="4"/>
      <c r="Q85" s="4"/>
      <c r="R85" s="4"/>
      <c r="S85" s="4"/>
      <c r="T85" s="4"/>
      <c r="U85" s="4"/>
      <c r="V85" s="4"/>
    </row>
    <row r="86" spans="1:22">
      <c r="A86" s="4"/>
      <c r="B86" s="4"/>
      <c r="C86" s="4"/>
      <c r="D86" s="4"/>
      <c r="E86" s="4"/>
      <c r="F86" s="4"/>
      <c r="G86" s="4"/>
      <c r="H86" s="4"/>
      <c r="I86" s="4"/>
      <c r="J86" s="4"/>
      <c r="K86" s="4"/>
      <c r="L86" s="4"/>
      <c r="M86" s="4"/>
      <c r="N86" s="4"/>
      <c r="O86" s="4"/>
      <c r="P86" s="4"/>
      <c r="Q86" s="4"/>
      <c r="R86" s="4"/>
      <c r="S86" s="4"/>
      <c r="T86" s="4"/>
      <c r="U86" s="4"/>
      <c r="V86" s="4"/>
    </row>
    <row r="87" spans="1:22">
      <c r="A87" s="4"/>
      <c r="B87" s="4"/>
      <c r="C87" s="4"/>
      <c r="D87" s="4"/>
      <c r="E87" s="4"/>
      <c r="F87" s="4"/>
      <c r="G87" s="4"/>
      <c r="H87" s="4"/>
      <c r="I87" s="4"/>
      <c r="J87" s="4"/>
      <c r="K87" s="4"/>
      <c r="L87" s="4"/>
      <c r="M87" s="4"/>
      <c r="N87" s="4"/>
      <c r="O87" s="4"/>
      <c r="P87" s="4"/>
      <c r="Q87" s="4"/>
      <c r="R87" s="4"/>
      <c r="S87" s="4"/>
      <c r="T87" s="4"/>
      <c r="U87" s="4"/>
      <c r="V87" s="4"/>
    </row>
    <row r="88" spans="1:22">
      <c r="A88" s="4"/>
      <c r="B88" s="4"/>
      <c r="C88" s="4"/>
      <c r="D88" s="4"/>
      <c r="E88" s="4"/>
      <c r="F88" s="4"/>
      <c r="G88" s="4"/>
      <c r="H88" s="4"/>
      <c r="I88" s="4"/>
      <c r="J88" s="4"/>
      <c r="K88" s="4"/>
      <c r="L88" s="4"/>
      <c r="M88" s="4"/>
      <c r="N88" s="4"/>
      <c r="O88" s="4"/>
      <c r="P88" s="4"/>
      <c r="Q88" s="4"/>
      <c r="R88" s="4"/>
      <c r="S88" s="4"/>
      <c r="T88" s="4"/>
      <c r="U88" s="4"/>
      <c r="V88" s="4"/>
    </row>
    <row r="89" spans="1:22">
      <c r="A89" s="4"/>
      <c r="B89" s="4"/>
      <c r="C89" s="4"/>
      <c r="D89" s="4"/>
      <c r="E89" s="4"/>
      <c r="F89" s="4"/>
      <c r="G89" s="4"/>
      <c r="H89" s="4"/>
      <c r="I89" s="4"/>
      <c r="J89" s="4"/>
      <c r="K89" s="4"/>
      <c r="L89" s="4"/>
      <c r="M89" s="4"/>
      <c r="N89" s="4"/>
      <c r="O89" s="4"/>
      <c r="P89" s="4"/>
      <c r="Q89" s="4"/>
      <c r="R89" s="4"/>
      <c r="S89" s="4"/>
      <c r="T89" s="4"/>
      <c r="U89" s="4"/>
      <c r="V89" s="4"/>
    </row>
    <row r="90" spans="1:22">
      <c r="A90" s="4"/>
      <c r="B90" s="4"/>
      <c r="C90" s="4"/>
      <c r="D90" s="4"/>
      <c r="E90" s="4"/>
      <c r="F90" s="4"/>
      <c r="G90" s="4"/>
      <c r="H90" s="4"/>
      <c r="I90" s="4"/>
      <c r="J90" s="4"/>
      <c r="K90" s="4"/>
      <c r="L90" s="4"/>
      <c r="M90" s="4"/>
      <c r="N90" s="4"/>
      <c r="O90" s="4"/>
      <c r="P90" s="4"/>
      <c r="Q90" s="4"/>
      <c r="R90" s="4"/>
      <c r="S90" s="4"/>
      <c r="T90" s="4"/>
      <c r="U90" s="4"/>
      <c r="V90" s="4"/>
    </row>
    <row r="91" spans="1:22">
      <c r="A91" s="4"/>
      <c r="B91" s="4"/>
      <c r="C91" s="4"/>
      <c r="D91" s="4"/>
      <c r="E91" s="4"/>
      <c r="F91" s="4"/>
      <c r="G91" s="4"/>
      <c r="H91" s="4"/>
      <c r="I91" s="4"/>
      <c r="J91" s="4"/>
      <c r="K91" s="4"/>
      <c r="L91" s="4"/>
      <c r="M91" s="4"/>
      <c r="N91" s="4"/>
      <c r="O91" s="4"/>
      <c r="P91" s="4"/>
      <c r="Q91" s="4"/>
      <c r="R91" s="4"/>
      <c r="S91" s="4"/>
      <c r="T91" s="4"/>
      <c r="U91" s="4"/>
      <c r="V91" s="4"/>
    </row>
    <row r="92" spans="1:22">
      <c r="A92" s="4"/>
      <c r="B92" s="4"/>
      <c r="C92" s="4"/>
      <c r="D92" s="4"/>
      <c r="E92" s="4"/>
      <c r="F92" s="4"/>
      <c r="G92" s="4"/>
      <c r="H92" s="4"/>
      <c r="I92" s="4"/>
      <c r="J92" s="4"/>
      <c r="K92" s="4"/>
      <c r="L92" s="4"/>
      <c r="M92" s="4"/>
      <c r="N92" s="4"/>
      <c r="O92" s="4"/>
      <c r="P92" s="4"/>
      <c r="Q92" s="4"/>
      <c r="R92" s="4"/>
      <c r="S92" s="4"/>
      <c r="T92" s="4"/>
      <c r="U92" s="4"/>
      <c r="V92" s="4"/>
    </row>
    <row r="93" spans="1:22">
      <c r="A93" s="4"/>
      <c r="B93" s="4"/>
      <c r="C93" s="4"/>
      <c r="D93" s="4"/>
      <c r="E93" s="4"/>
      <c r="F93" s="4"/>
      <c r="G93" s="4"/>
      <c r="H93" s="4"/>
      <c r="I93" s="4"/>
      <c r="J93" s="4"/>
      <c r="K93" s="4"/>
      <c r="L93" s="4"/>
      <c r="M93" s="4"/>
      <c r="N93" s="4"/>
      <c r="O93" s="4"/>
      <c r="P93" s="4"/>
      <c r="Q93" s="4"/>
      <c r="R93" s="4"/>
      <c r="S93" s="4"/>
      <c r="T93" s="4"/>
      <c r="U93" s="4"/>
      <c r="V93" s="4"/>
    </row>
    <row r="94" spans="1:22">
      <c r="A94" s="4"/>
      <c r="B94" s="4"/>
      <c r="C94" s="4"/>
      <c r="D94" s="4"/>
      <c r="E94" s="4"/>
      <c r="F94" s="4"/>
      <c r="G94" s="4"/>
      <c r="H94" s="4"/>
      <c r="I94" s="4"/>
      <c r="J94" s="4"/>
      <c r="K94" s="4"/>
      <c r="L94" s="4"/>
      <c r="M94" s="4"/>
      <c r="N94" s="4"/>
      <c r="O94" s="4"/>
      <c r="P94" s="4"/>
      <c r="Q94" s="4"/>
      <c r="R94" s="4"/>
      <c r="S94" s="4"/>
      <c r="T94" s="4"/>
      <c r="U94" s="4"/>
      <c r="V94" s="4"/>
    </row>
    <row r="95" spans="1:22">
      <c r="A95" s="4"/>
      <c r="B95" s="4"/>
      <c r="C95" s="4"/>
      <c r="D95" s="4"/>
      <c r="E95" s="4"/>
      <c r="F95" s="4"/>
      <c r="G95" s="4"/>
      <c r="H95" s="4"/>
      <c r="I95" s="4"/>
      <c r="J95" s="4"/>
      <c r="K95" s="4"/>
      <c r="L95" s="4"/>
      <c r="M95" s="4"/>
      <c r="N95" s="4"/>
      <c r="O95" s="4"/>
      <c r="P95" s="4"/>
      <c r="Q95" s="4"/>
      <c r="R95" s="4"/>
      <c r="S95" s="4"/>
      <c r="T95" s="4"/>
      <c r="U95" s="4"/>
      <c r="V95" s="4"/>
    </row>
    <row r="96" spans="1:22">
      <c r="A96" s="4"/>
      <c r="B96" s="4"/>
      <c r="C96" s="4"/>
      <c r="D96" s="4"/>
      <c r="E96" s="4"/>
      <c r="F96" s="4"/>
      <c r="G96" s="4"/>
      <c r="H96" s="4"/>
      <c r="I96" s="4"/>
      <c r="J96" s="4"/>
      <c r="K96" s="4"/>
      <c r="L96" s="4"/>
      <c r="M96" s="4"/>
      <c r="N96" s="4"/>
      <c r="O96" s="4"/>
      <c r="P96" s="4"/>
      <c r="Q96" s="4"/>
      <c r="R96" s="4"/>
      <c r="S96" s="4"/>
      <c r="T96" s="4"/>
      <c r="U96" s="4"/>
      <c r="V96" s="4"/>
    </row>
    <row r="97" spans="1:22">
      <c r="A97" s="4"/>
      <c r="B97" s="4"/>
      <c r="C97" s="4"/>
      <c r="D97" s="4"/>
      <c r="E97" s="4"/>
      <c r="F97" s="4"/>
      <c r="G97" s="4"/>
      <c r="H97" s="4"/>
      <c r="I97" s="4"/>
      <c r="J97" s="4"/>
      <c r="K97" s="4"/>
      <c r="L97" s="4"/>
      <c r="M97" s="4"/>
      <c r="N97" s="4"/>
      <c r="O97" s="4"/>
      <c r="P97" s="4"/>
      <c r="Q97" s="4"/>
      <c r="R97" s="4"/>
      <c r="S97" s="4"/>
      <c r="T97" s="4"/>
      <c r="U97" s="4"/>
      <c r="V97" s="4"/>
    </row>
    <row r="98" spans="1:22">
      <c r="A98" s="4"/>
      <c r="B98" s="4"/>
      <c r="C98" s="4"/>
      <c r="D98" s="4"/>
      <c r="E98" s="4"/>
      <c r="F98" s="4"/>
      <c r="G98" s="4"/>
      <c r="H98" s="4"/>
      <c r="I98" s="4"/>
      <c r="J98" s="4"/>
      <c r="K98" s="4"/>
      <c r="L98" s="4"/>
      <c r="M98" s="4"/>
      <c r="N98" s="4"/>
      <c r="O98" s="4"/>
      <c r="P98" s="4"/>
      <c r="Q98" s="4"/>
      <c r="R98" s="4"/>
      <c r="S98" s="4"/>
      <c r="T98" s="4"/>
      <c r="U98" s="4"/>
      <c r="V98" s="4"/>
    </row>
    <row r="99" spans="1:22">
      <c r="A99" s="4"/>
      <c r="B99" s="4"/>
      <c r="C99" s="4"/>
      <c r="D99" s="4"/>
      <c r="E99" s="4"/>
      <c r="F99" s="4"/>
      <c r="G99" s="4"/>
      <c r="H99" s="4"/>
      <c r="I99" s="4"/>
      <c r="J99" s="4"/>
      <c r="K99" s="4"/>
      <c r="L99" s="4"/>
      <c r="M99" s="4"/>
      <c r="N99" s="4"/>
      <c r="O99" s="4"/>
      <c r="P99" s="4"/>
      <c r="Q99" s="4"/>
      <c r="R99" s="4"/>
      <c r="S99" s="4"/>
      <c r="T99" s="4"/>
      <c r="U99" s="4"/>
      <c r="V99" s="4"/>
    </row>
    <row r="100" spans="1:22">
      <c r="A100" s="4"/>
      <c r="B100" s="4"/>
      <c r="C100" s="4"/>
      <c r="D100" s="4"/>
      <c r="E100" s="4"/>
      <c r="F100" s="4"/>
      <c r="G100" s="4"/>
      <c r="H100" s="4"/>
      <c r="I100" s="4"/>
      <c r="J100" s="4"/>
      <c r="K100" s="4"/>
      <c r="L100" s="4"/>
      <c r="M100" s="4"/>
      <c r="N100" s="4"/>
      <c r="O100" s="4"/>
      <c r="P100" s="4"/>
      <c r="Q100" s="4"/>
      <c r="R100" s="4"/>
      <c r="S100" s="4"/>
      <c r="T100" s="4"/>
      <c r="U100" s="4"/>
      <c r="V100" s="4"/>
    </row>
    <row r="101" spans="1:22">
      <c r="A101" s="4"/>
      <c r="B101" s="4"/>
      <c r="C101" s="4"/>
      <c r="D101" s="4"/>
      <c r="E101" s="4"/>
      <c r="F101" s="4"/>
      <c r="G101" s="4"/>
      <c r="H101" s="4"/>
      <c r="I101" s="4"/>
      <c r="J101" s="4"/>
      <c r="K101" s="4"/>
      <c r="L101" s="4"/>
      <c r="M101" s="4"/>
      <c r="N101" s="4"/>
      <c r="O101" s="4"/>
      <c r="P101" s="4"/>
      <c r="Q101" s="4"/>
      <c r="R101" s="4"/>
      <c r="S101" s="4"/>
      <c r="T101" s="4"/>
      <c r="U101" s="4"/>
      <c r="V101" s="4"/>
    </row>
    <row r="102" spans="1:22">
      <c r="A102" s="4"/>
      <c r="B102" s="4"/>
      <c r="C102" s="4"/>
      <c r="D102" s="4"/>
      <c r="E102" s="4"/>
      <c r="F102" s="4"/>
      <c r="G102" s="4"/>
      <c r="H102" s="4"/>
      <c r="I102" s="4"/>
      <c r="J102" s="4"/>
      <c r="K102" s="4"/>
      <c r="L102" s="4"/>
      <c r="M102" s="4"/>
      <c r="N102" s="4"/>
      <c r="O102" s="4"/>
      <c r="P102" s="4"/>
      <c r="Q102" s="4"/>
      <c r="R102" s="4"/>
      <c r="S102" s="4"/>
      <c r="T102" s="4"/>
      <c r="U102" s="4"/>
      <c r="V102" s="4"/>
    </row>
    <row r="103" spans="1:22">
      <c r="A103" s="4"/>
      <c r="B103" s="4"/>
      <c r="C103" s="4"/>
      <c r="D103" s="4"/>
      <c r="E103" s="4"/>
      <c r="F103" s="4"/>
      <c r="G103" s="4"/>
      <c r="H103" s="4"/>
      <c r="I103" s="4"/>
      <c r="J103" s="4"/>
      <c r="K103" s="4"/>
      <c r="L103" s="4"/>
      <c r="M103" s="4"/>
      <c r="N103" s="4"/>
      <c r="O103" s="4"/>
      <c r="P103" s="4"/>
      <c r="Q103" s="4"/>
      <c r="R103" s="4"/>
      <c r="S103" s="4"/>
      <c r="T103" s="4"/>
      <c r="U103" s="4"/>
      <c r="V103" s="4"/>
    </row>
    <row r="104" spans="1:22">
      <c r="A104" s="4"/>
      <c r="B104" s="4"/>
      <c r="C104" s="4"/>
      <c r="D104" s="4"/>
      <c r="E104" s="4"/>
      <c r="F104" s="4"/>
      <c r="G104" s="4"/>
      <c r="H104" s="4"/>
      <c r="I104" s="4"/>
      <c r="J104" s="4"/>
      <c r="K104" s="4"/>
      <c r="L104" s="4"/>
      <c r="M104" s="4"/>
      <c r="N104" s="4"/>
      <c r="O104" s="4"/>
      <c r="P104" s="4"/>
      <c r="Q104" s="4"/>
      <c r="R104" s="4"/>
      <c r="S104" s="4"/>
      <c r="T104" s="4"/>
      <c r="U104" s="4"/>
      <c r="V104" s="4"/>
    </row>
    <row r="105" spans="1:22">
      <c r="A105" s="4"/>
      <c r="B105" s="4"/>
      <c r="C105" s="4"/>
      <c r="D105" s="4"/>
      <c r="E105" s="4"/>
      <c r="F105" s="4"/>
      <c r="G105" s="4"/>
      <c r="H105" s="4"/>
      <c r="I105" s="4"/>
      <c r="J105" s="4"/>
      <c r="K105" s="4"/>
      <c r="L105" s="4"/>
      <c r="M105" s="4"/>
      <c r="N105" s="4"/>
      <c r="O105" s="4"/>
      <c r="P105" s="4"/>
      <c r="Q105" s="4"/>
      <c r="R105" s="4"/>
      <c r="S105" s="4"/>
      <c r="T105" s="4"/>
      <c r="U105" s="4"/>
      <c r="V105" s="4"/>
    </row>
    <row r="106" spans="1:22">
      <c r="A106" s="4"/>
      <c r="B106" s="4"/>
      <c r="C106" s="4"/>
      <c r="D106" s="4"/>
      <c r="E106" s="4"/>
      <c r="F106" s="4"/>
      <c r="G106" s="4"/>
      <c r="H106" s="4"/>
      <c r="I106" s="4"/>
      <c r="J106" s="4"/>
      <c r="K106" s="4"/>
      <c r="L106" s="4"/>
      <c r="M106" s="4"/>
      <c r="N106" s="4"/>
      <c r="O106" s="4"/>
      <c r="P106" s="4"/>
      <c r="Q106" s="4"/>
      <c r="R106" s="4"/>
      <c r="S106" s="4"/>
      <c r="T106" s="4"/>
      <c r="U106" s="4"/>
      <c r="V106" s="4"/>
    </row>
    <row r="107" spans="1:22">
      <c r="A107" s="4"/>
      <c r="B107" s="4"/>
      <c r="C107" s="4"/>
      <c r="D107" s="4"/>
      <c r="E107" s="4"/>
      <c r="F107" s="4"/>
      <c r="G107" s="4"/>
      <c r="H107" s="4"/>
      <c r="I107" s="4"/>
      <c r="J107" s="4"/>
      <c r="K107" s="4"/>
      <c r="L107" s="4"/>
      <c r="M107" s="4"/>
      <c r="N107" s="4"/>
      <c r="O107" s="4"/>
      <c r="P107" s="4"/>
      <c r="Q107" s="4"/>
      <c r="R107" s="4"/>
      <c r="S107" s="4"/>
      <c r="T107" s="4"/>
      <c r="U107" s="4"/>
      <c r="V107" s="4"/>
    </row>
    <row r="108" spans="1:22">
      <c r="A108" s="4"/>
      <c r="B108" s="4"/>
      <c r="C108" s="4"/>
      <c r="D108" s="4"/>
      <c r="E108" s="4"/>
      <c r="F108" s="4"/>
      <c r="G108" s="4"/>
      <c r="H108" s="4"/>
      <c r="I108" s="4"/>
      <c r="J108" s="4"/>
      <c r="K108" s="4"/>
      <c r="L108" s="4"/>
      <c r="M108" s="4"/>
      <c r="N108" s="4"/>
      <c r="O108" s="4"/>
      <c r="P108" s="4"/>
      <c r="Q108" s="4"/>
      <c r="R108" s="4"/>
      <c r="S108" s="4"/>
      <c r="T108" s="4"/>
      <c r="U108" s="4"/>
      <c r="V108" s="4"/>
    </row>
    <row r="109" spans="1:22">
      <c r="A109" s="4"/>
      <c r="B109" s="4"/>
      <c r="C109" s="4"/>
      <c r="D109" s="4"/>
      <c r="E109" s="4"/>
      <c r="F109" s="4"/>
      <c r="G109" s="4"/>
      <c r="H109" s="4"/>
      <c r="I109" s="4"/>
      <c r="J109" s="4"/>
      <c r="K109" s="4"/>
      <c r="L109" s="4"/>
      <c r="M109" s="4"/>
      <c r="N109" s="4"/>
      <c r="O109" s="4"/>
      <c r="P109" s="4"/>
      <c r="Q109" s="4"/>
      <c r="R109" s="4"/>
      <c r="S109" s="4"/>
      <c r="T109" s="4"/>
      <c r="U109" s="4"/>
      <c r="V109" s="4"/>
    </row>
    <row r="110" spans="1:22">
      <c r="A110" s="4"/>
      <c r="B110" s="4"/>
      <c r="C110" s="4"/>
      <c r="D110" s="4"/>
      <c r="E110" s="4"/>
      <c r="F110" s="4"/>
      <c r="G110" s="4"/>
      <c r="H110" s="4"/>
      <c r="I110" s="4"/>
      <c r="J110" s="4"/>
      <c r="K110" s="4"/>
      <c r="L110" s="4"/>
      <c r="M110" s="4"/>
      <c r="N110" s="4"/>
      <c r="O110" s="4"/>
      <c r="P110" s="4"/>
      <c r="Q110" s="4"/>
      <c r="R110" s="4"/>
      <c r="S110" s="4"/>
      <c r="T110" s="4"/>
      <c r="U110" s="4"/>
      <c r="V110" s="4"/>
    </row>
    <row r="111" spans="1:22">
      <c r="A111" s="4"/>
      <c r="B111" s="4"/>
      <c r="C111" s="4"/>
      <c r="D111" s="4"/>
      <c r="E111" s="4"/>
      <c r="F111" s="4"/>
      <c r="G111" s="4"/>
      <c r="H111" s="4"/>
      <c r="I111" s="4"/>
      <c r="J111" s="4"/>
      <c r="K111" s="4"/>
      <c r="L111" s="4"/>
      <c r="M111" s="4"/>
      <c r="N111" s="4"/>
      <c r="O111" s="4"/>
      <c r="P111" s="4"/>
      <c r="Q111" s="4"/>
      <c r="R111" s="4"/>
      <c r="S111" s="4"/>
      <c r="T111" s="4"/>
      <c r="U111" s="4"/>
      <c r="V111" s="4"/>
    </row>
    <row r="112" spans="1:22">
      <c r="A112" s="4"/>
      <c r="B112" s="4"/>
      <c r="C112" s="4"/>
      <c r="D112" s="4"/>
      <c r="E112" s="4"/>
      <c r="F112" s="4"/>
      <c r="G112" s="4"/>
      <c r="H112" s="4"/>
      <c r="I112" s="4"/>
      <c r="J112" s="4"/>
      <c r="K112" s="4"/>
      <c r="L112" s="4"/>
      <c r="M112" s="4"/>
      <c r="N112" s="4"/>
      <c r="O112" s="4"/>
      <c r="P112" s="4"/>
      <c r="Q112" s="4"/>
      <c r="R112" s="4"/>
      <c r="S112" s="4"/>
      <c r="T112" s="4"/>
      <c r="U112" s="4"/>
      <c r="V112" s="4"/>
    </row>
    <row r="113" spans="1:22">
      <c r="A113" s="4"/>
      <c r="B113" s="4"/>
      <c r="C113" s="4"/>
      <c r="D113" s="4"/>
      <c r="E113" s="4"/>
      <c r="F113" s="4"/>
      <c r="G113" s="4"/>
      <c r="H113" s="4"/>
      <c r="I113" s="4"/>
      <c r="J113" s="4"/>
      <c r="K113" s="4"/>
      <c r="L113" s="4"/>
      <c r="M113" s="4"/>
      <c r="N113" s="4"/>
      <c r="O113" s="4"/>
      <c r="P113" s="4"/>
      <c r="Q113" s="4"/>
      <c r="R113" s="4"/>
      <c r="S113" s="4"/>
      <c r="T113" s="4"/>
      <c r="U113" s="4"/>
      <c r="V113" s="4"/>
    </row>
    <row r="114" spans="1:22">
      <c r="A114" s="4"/>
      <c r="B114" s="4"/>
      <c r="C114" s="4"/>
      <c r="D114" s="4"/>
      <c r="E114" s="4"/>
      <c r="F114" s="4"/>
      <c r="G114" s="4"/>
      <c r="H114" s="4"/>
      <c r="I114" s="4"/>
      <c r="J114" s="4"/>
      <c r="K114" s="4"/>
      <c r="L114" s="4"/>
      <c r="M114" s="4"/>
      <c r="N114" s="4"/>
      <c r="O114" s="4"/>
      <c r="P114" s="4"/>
      <c r="Q114" s="4"/>
      <c r="R114" s="4"/>
      <c r="S114" s="4"/>
      <c r="T114" s="4"/>
      <c r="U114" s="4"/>
      <c r="V114" s="4"/>
    </row>
    <row r="115" spans="1:22">
      <c r="A115" s="4"/>
      <c r="B115" s="4"/>
      <c r="C115" s="4"/>
      <c r="D115" s="4"/>
      <c r="E115" s="4"/>
      <c r="F115" s="4"/>
      <c r="G115" s="4"/>
      <c r="H115" s="4"/>
      <c r="I115" s="4"/>
      <c r="J115" s="4"/>
      <c r="K115" s="4"/>
      <c r="L115" s="4"/>
      <c r="M115" s="4"/>
      <c r="N115" s="4"/>
      <c r="O115" s="4"/>
      <c r="P115" s="4"/>
      <c r="Q115" s="4"/>
      <c r="R115" s="4"/>
      <c r="S115" s="4"/>
      <c r="T115" s="4"/>
      <c r="U115" s="4"/>
      <c r="V115" s="4"/>
    </row>
    <row r="116" spans="1:22">
      <c r="A116" s="4"/>
      <c r="B116" s="4"/>
      <c r="C116" s="4"/>
      <c r="D116" s="4"/>
      <c r="E116" s="4"/>
      <c r="F116" s="4"/>
      <c r="G116" s="4"/>
      <c r="H116" s="4"/>
      <c r="I116" s="4"/>
      <c r="J116" s="4"/>
      <c r="K116" s="4"/>
      <c r="L116" s="4"/>
      <c r="M116" s="4"/>
      <c r="N116" s="4"/>
      <c r="O116" s="4"/>
      <c r="P116" s="4"/>
      <c r="Q116" s="4"/>
      <c r="R116" s="4"/>
      <c r="S116" s="4"/>
      <c r="T116" s="4"/>
      <c r="U116" s="4"/>
      <c r="V116" s="4"/>
    </row>
    <row r="117" spans="1:22">
      <c r="A117" s="4"/>
      <c r="B117" s="4"/>
      <c r="C117" s="4"/>
      <c r="D117" s="4"/>
      <c r="E117" s="4"/>
      <c r="F117" s="4"/>
      <c r="G117" s="4"/>
      <c r="H117" s="4"/>
      <c r="I117" s="4"/>
      <c r="J117" s="4"/>
      <c r="K117" s="4"/>
      <c r="L117" s="4"/>
      <c r="M117" s="4"/>
      <c r="N117" s="4"/>
      <c r="O117" s="4"/>
      <c r="P117" s="4"/>
      <c r="Q117" s="4"/>
      <c r="R117" s="4"/>
      <c r="S117" s="4"/>
      <c r="T117" s="4"/>
      <c r="U117" s="4"/>
      <c r="V117" s="4"/>
    </row>
    <row r="118" spans="1:22">
      <c r="A118" s="4"/>
      <c r="B118" s="4"/>
      <c r="C118" s="4"/>
      <c r="D118" s="4"/>
      <c r="E118" s="4"/>
      <c r="F118" s="4"/>
      <c r="G118" s="4"/>
      <c r="H118" s="4"/>
      <c r="I118" s="4"/>
      <c r="J118" s="4"/>
      <c r="K118" s="4"/>
      <c r="L118" s="4"/>
      <c r="M118" s="4"/>
      <c r="N118" s="4"/>
      <c r="O118" s="4"/>
      <c r="P118" s="4"/>
      <c r="Q118" s="4"/>
      <c r="R118" s="4"/>
      <c r="S118" s="4"/>
      <c r="T118" s="4"/>
      <c r="U118" s="4"/>
      <c r="V118" s="4"/>
    </row>
    <row r="119" spans="1:22">
      <c r="A119" s="4"/>
      <c r="B119" s="4"/>
      <c r="C119" s="4"/>
      <c r="D119" s="4"/>
      <c r="E119" s="4"/>
      <c r="F119" s="4"/>
      <c r="G119" s="4"/>
      <c r="H119" s="4"/>
      <c r="I119" s="4"/>
      <c r="J119" s="4"/>
      <c r="K119" s="4"/>
      <c r="L119" s="4"/>
      <c r="M119" s="4"/>
      <c r="N119" s="4"/>
      <c r="O119" s="4"/>
      <c r="P119" s="4"/>
      <c r="Q119" s="4"/>
      <c r="R119" s="4"/>
      <c r="S119" s="4"/>
      <c r="T119" s="4"/>
      <c r="U119" s="4"/>
      <c r="V119" s="4"/>
    </row>
    <row r="120" spans="1:22">
      <c r="A120" s="4"/>
      <c r="B120" s="4"/>
      <c r="C120" s="4"/>
      <c r="D120" s="4"/>
      <c r="E120" s="4"/>
      <c r="F120" s="4"/>
      <c r="G120" s="4"/>
      <c r="H120" s="4"/>
      <c r="I120" s="4"/>
      <c r="J120" s="4"/>
      <c r="K120" s="4"/>
      <c r="L120" s="4"/>
      <c r="M120" s="4"/>
      <c r="N120" s="4"/>
      <c r="O120" s="4"/>
      <c r="P120" s="4"/>
      <c r="Q120" s="4"/>
      <c r="R120" s="4"/>
      <c r="S120" s="4"/>
      <c r="T120" s="4"/>
      <c r="U120" s="4"/>
      <c r="V120" s="4"/>
    </row>
    <row r="121" spans="1:22">
      <c r="A121" s="4"/>
      <c r="B121" s="4"/>
      <c r="C121" s="4"/>
      <c r="D121" s="4"/>
      <c r="E121" s="4"/>
      <c r="F121" s="4"/>
      <c r="G121" s="4"/>
      <c r="H121" s="4"/>
      <c r="I121" s="4"/>
      <c r="J121" s="4"/>
      <c r="K121" s="4"/>
      <c r="L121" s="4"/>
      <c r="M121" s="4"/>
      <c r="N121" s="4"/>
      <c r="O121" s="4"/>
      <c r="P121" s="4"/>
      <c r="Q121" s="4"/>
      <c r="R121" s="4"/>
      <c r="S121" s="4"/>
      <c r="T121" s="4"/>
      <c r="U121" s="4"/>
      <c r="V121" s="4"/>
    </row>
    <row r="122" spans="1:22">
      <c r="A122" s="4"/>
      <c r="B122" s="4"/>
      <c r="C122" s="4"/>
      <c r="D122" s="4"/>
      <c r="E122" s="4"/>
      <c r="F122" s="4"/>
      <c r="G122" s="4"/>
      <c r="H122" s="4"/>
      <c r="I122" s="4"/>
      <c r="J122" s="4"/>
      <c r="K122" s="4"/>
      <c r="L122" s="4"/>
      <c r="M122" s="4"/>
      <c r="N122" s="4"/>
      <c r="O122" s="4"/>
      <c r="P122" s="4"/>
      <c r="Q122" s="4"/>
      <c r="R122" s="4"/>
      <c r="S122" s="4"/>
      <c r="T122" s="4"/>
      <c r="U122" s="4"/>
      <c r="V122" s="4"/>
    </row>
    <row r="123" spans="1:22">
      <c r="A123" s="4"/>
      <c r="B123" s="4"/>
      <c r="C123" s="4"/>
      <c r="D123" s="4"/>
      <c r="E123" s="4"/>
      <c r="F123" s="4"/>
      <c r="G123" s="4"/>
      <c r="H123" s="4"/>
      <c r="I123" s="4"/>
      <c r="J123" s="4"/>
      <c r="K123" s="4"/>
      <c r="L123" s="4"/>
      <c r="M123" s="4"/>
      <c r="N123" s="4"/>
      <c r="O123" s="4"/>
      <c r="P123" s="4"/>
      <c r="Q123" s="4"/>
      <c r="R123" s="4"/>
      <c r="S123" s="4"/>
      <c r="T123" s="4"/>
      <c r="U123" s="4"/>
      <c r="V123" s="4"/>
    </row>
    <row r="124" spans="1:22">
      <c r="A124" s="4"/>
      <c r="B124" s="4"/>
      <c r="C124" s="4"/>
      <c r="D124" s="4"/>
      <c r="E124" s="4"/>
      <c r="F124" s="4"/>
      <c r="G124" s="4"/>
      <c r="H124" s="4"/>
      <c r="I124" s="4"/>
      <c r="J124" s="4"/>
      <c r="K124" s="4"/>
      <c r="L124" s="4"/>
      <c r="M124" s="4"/>
      <c r="N124" s="4"/>
      <c r="O124" s="4"/>
      <c r="P124" s="4"/>
      <c r="Q124" s="4"/>
      <c r="R124" s="4"/>
      <c r="S124" s="4"/>
      <c r="T124" s="4"/>
      <c r="U124" s="4"/>
      <c r="V124" s="4"/>
    </row>
    <row r="125" spans="1:22">
      <c r="A125" s="4"/>
      <c r="B125" s="4"/>
      <c r="C125" s="4"/>
      <c r="D125" s="4"/>
      <c r="E125" s="4"/>
      <c r="F125" s="4"/>
      <c r="G125" s="4"/>
      <c r="H125" s="4"/>
      <c r="I125" s="4"/>
      <c r="J125" s="4"/>
      <c r="K125" s="4"/>
      <c r="L125" s="4"/>
      <c r="M125" s="4"/>
      <c r="N125" s="4"/>
      <c r="O125" s="4"/>
      <c r="P125" s="4"/>
      <c r="Q125" s="4"/>
      <c r="R125" s="4"/>
      <c r="S125" s="4"/>
      <c r="T125" s="4"/>
      <c r="U125" s="4"/>
      <c r="V125" s="4"/>
    </row>
    <row r="126" spans="1:22">
      <c r="A126" s="4"/>
      <c r="B126" s="4"/>
      <c r="C126" s="4"/>
      <c r="D126" s="4"/>
      <c r="E126" s="4"/>
      <c r="F126" s="4"/>
      <c r="G126" s="4"/>
      <c r="H126" s="4"/>
      <c r="I126" s="4"/>
      <c r="J126" s="4"/>
      <c r="K126" s="4"/>
      <c r="L126" s="4"/>
      <c r="M126" s="4"/>
      <c r="N126" s="4"/>
      <c r="O126" s="4"/>
      <c r="P126" s="4"/>
      <c r="Q126" s="4"/>
      <c r="R126" s="4"/>
      <c r="S126" s="4"/>
      <c r="T126" s="4"/>
      <c r="U126" s="4"/>
      <c r="V126" s="4"/>
    </row>
    <row r="127" spans="1:22">
      <c r="A127" s="4"/>
      <c r="B127" s="4"/>
      <c r="C127" s="4"/>
      <c r="D127" s="4"/>
      <c r="E127" s="4"/>
      <c r="F127" s="4"/>
      <c r="G127" s="4"/>
      <c r="H127" s="4"/>
      <c r="I127" s="4"/>
      <c r="J127" s="4"/>
      <c r="K127" s="4"/>
      <c r="L127" s="4"/>
      <c r="M127" s="4"/>
      <c r="N127" s="4"/>
      <c r="O127" s="4"/>
      <c r="P127" s="4"/>
      <c r="Q127" s="4"/>
      <c r="R127" s="4"/>
      <c r="S127" s="4"/>
      <c r="T127" s="4"/>
      <c r="U127" s="4"/>
      <c r="V127" s="4"/>
    </row>
    <row r="128" spans="1:22">
      <c r="A128" s="4"/>
      <c r="B128" s="4"/>
      <c r="C128" s="4"/>
      <c r="D128" s="4"/>
      <c r="E128" s="4"/>
      <c r="F128" s="4"/>
      <c r="G128" s="4"/>
      <c r="H128" s="4"/>
      <c r="I128" s="4"/>
      <c r="J128" s="4"/>
      <c r="K128" s="4"/>
      <c r="L128" s="4"/>
      <c r="M128" s="4"/>
      <c r="N128" s="4"/>
      <c r="O128" s="4"/>
      <c r="P128" s="4"/>
      <c r="Q128" s="4"/>
      <c r="R128" s="4"/>
      <c r="S128" s="4"/>
      <c r="T128" s="4"/>
      <c r="U128" s="4"/>
      <c r="V128" s="4"/>
    </row>
    <row r="129" spans="1:22">
      <c r="A129" s="4"/>
      <c r="B129" s="4"/>
      <c r="C129" s="4"/>
      <c r="D129" s="4"/>
      <c r="E129" s="4"/>
      <c r="F129" s="4"/>
      <c r="G129" s="4"/>
      <c r="H129" s="4"/>
      <c r="I129" s="4"/>
      <c r="J129" s="4"/>
      <c r="K129" s="4"/>
      <c r="L129" s="4"/>
      <c r="M129" s="4"/>
      <c r="N129" s="4"/>
      <c r="O129" s="4"/>
      <c r="P129" s="4"/>
      <c r="Q129" s="4"/>
      <c r="R129" s="4"/>
      <c r="S129" s="4"/>
      <c r="T129" s="4"/>
      <c r="U129" s="4"/>
      <c r="V129" s="4"/>
    </row>
    <row r="130" spans="1:22">
      <c r="A130" s="4"/>
      <c r="B130" s="4"/>
      <c r="C130" s="4"/>
      <c r="D130" s="4"/>
      <c r="E130" s="4"/>
      <c r="F130" s="4"/>
      <c r="G130" s="4"/>
      <c r="H130" s="4"/>
      <c r="I130" s="4"/>
      <c r="J130" s="4"/>
      <c r="K130" s="4"/>
      <c r="L130" s="4"/>
      <c r="M130" s="4"/>
      <c r="N130" s="4"/>
      <c r="O130" s="4"/>
      <c r="P130" s="4"/>
      <c r="Q130" s="4"/>
      <c r="R130" s="4"/>
      <c r="S130" s="4"/>
      <c r="T130" s="4"/>
      <c r="U130" s="4"/>
      <c r="V130" s="4"/>
    </row>
    <row r="131" spans="1:22">
      <c r="A131" s="4"/>
      <c r="B131" s="4"/>
      <c r="C131" s="4"/>
      <c r="D131" s="4"/>
      <c r="E131" s="4"/>
      <c r="F131" s="4"/>
      <c r="G131" s="4"/>
      <c r="H131" s="4"/>
      <c r="I131" s="4"/>
      <c r="J131" s="4"/>
      <c r="K131" s="4"/>
      <c r="L131" s="4"/>
      <c r="M131" s="4"/>
      <c r="N131" s="4"/>
      <c r="O131" s="4"/>
      <c r="P131" s="4"/>
      <c r="Q131" s="4"/>
      <c r="R131" s="4"/>
      <c r="S131" s="4"/>
      <c r="T131" s="4"/>
      <c r="U131" s="4"/>
      <c r="V131" s="4"/>
    </row>
    <row r="132" spans="1:22">
      <c r="A132" s="4"/>
      <c r="B132" s="4"/>
      <c r="C132" s="4"/>
      <c r="D132" s="4"/>
      <c r="E132" s="4"/>
      <c r="F132" s="4"/>
      <c r="G132" s="4"/>
      <c r="H132" s="4"/>
      <c r="I132" s="4"/>
      <c r="J132" s="4"/>
      <c r="K132" s="4"/>
      <c r="L132" s="4"/>
      <c r="M132" s="4"/>
      <c r="N132" s="4"/>
      <c r="O132" s="4"/>
      <c r="P132" s="4"/>
      <c r="Q132" s="4"/>
      <c r="R132" s="4"/>
      <c r="S132" s="4"/>
      <c r="T132" s="4"/>
      <c r="U132" s="4"/>
      <c r="V132" s="4"/>
    </row>
    <row r="133" spans="1:22">
      <c r="A133" s="4"/>
      <c r="B133" s="4"/>
      <c r="C133" s="4"/>
      <c r="D133" s="4"/>
      <c r="E133" s="4"/>
      <c r="F133" s="4"/>
      <c r="G133" s="4"/>
      <c r="H133" s="4"/>
      <c r="I133" s="4"/>
      <c r="J133" s="4"/>
      <c r="K133" s="4"/>
      <c r="L133" s="4"/>
      <c r="M133" s="4"/>
      <c r="N133" s="4"/>
      <c r="O133" s="4"/>
      <c r="P133" s="4"/>
      <c r="Q133" s="4"/>
      <c r="R133" s="4"/>
      <c r="S133" s="4"/>
      <c r="T133" s="4"/>
      <c r="U133" s="4"/>
      <c r="V133" s="4"/>
    </row>
    <row r="134" spans="1:22">
      <c r="A134" s="4"/>
      <c r="B134" s="4"/>
      <c r="C134" s="4"/>
      <c r="D134" s="4"/>
      <c r="E134" s="4"/>
      <c r="F134" s="4"/>
      <c r="G134" s="4"/>
      <c r="H134" s="4"/>
      <c r="I134" s="4"/>
      <c r="J134" s="4"/>
      <c r="K134" s="4"/>
      <c r="L134" s="4"/>
      <c r="M134" s="4"/>
      <c r="N134" s="4"/>
      <c r="O134" s="4"/>
      <c r="P134" s="4"/>
      <c r="Q134" s="4"/>
      <c r="R134" s="4"/>
      <c r="S134" s="4"/>
      <c r="T134" s="4"/>
      <c r="U134" s="4"/>
      <c r="V134" s="4"/>
    </row>
    <row r="135" spans="1:22">
      <c r="A135" s="4"/>
      <c r="B135" s="4"/>
      <c r="C135" s="4"/>
      <c r="D135" s="4"/>
      <c r="E135" s="4"/>
      <c r="F135" s="4"/>
      <c r="G135" s="4"/>
      <c r="H135" s="4"/>
      <c r="I135" s="4"/>
      <c r="J135" s="4"/>
      <c r="K135" s="4"/>
      <c r="L135" s="4"/>
      <c r="M135" s="4"/>
      <c r="N135" s="4"/>
      <c r="O135" s="4"/>
      <c r="P135" s="4"/>
      <c r="Q135" s="4"/>
      <c r="R135" s="4"/>
      <c r="S135" s="4"/>
      <c r="T135" s="4"/>
      <c r="U135" s="4"/>
      <c r="V135" s="4"/>
    </row>
    <row r="136" spans="1:22">
      <c r="A136" s="4"/>
      <c r="B136" s="4"/>
      <c r="C136" s="4"/>
      <c r="D136" s="4"/>
      <c r="E136" s="4"/>
      <c r="F136" s="4"/>
      <c r="G136" s="4"/>
      <c r="H136" s="4"/>
      <c r="I136" s="4"/>
      <c r="J136" s="4"/>
      <c r="K136" s="4"/>
      <c r="L136" s="4"/>
      <c r="M136" s="4"/>
      <c r="N136" s="4"/>
      <c r="O136" s="4"/>
      <c r="P136" s="4"/>
      <c r="Q136" s="4"/>
      <c r="R136" s="4"/>
      <c r="S136" s="4"/>
      <c r="T136" s="4"/>
      <c r="U136" s="4"/>
      <c r="V136" s="4"/>
    </row>
    <row r="137" spans="1:22">
      <c r="A137" s="4"/>
      <c r="B137" s="4"/>
      <c r="C137" s="4"/>
      <c r="D137" s="4"/>
      <c r="E137" s="4"/>
      <c r="F137" s="4"/>
      <c r="G137" s="4"/>
      <c r="H137" s="4"/>
      <c r="I137" s="4"/>
      <c r="J137" s="4"/>
      <c r="K137" s="4"/>
      <c r="L137" s="4"/>
      <c r="M137" s="4"/>
      <c r="N137" s="4"/>
      <c r="O137" s="4"/>
      <c r="P137" s="4"/>
      <c r="Q137" s="4"/>
      <c r="R137" s="4"/>
      <c r="S137" s="4"/>
      <c r="T137" s="4"/>
      <c r="U137" s="4"/>
      <c r="V137" s="4"/>
    </row>
    <row r="138" spans="1:22">
      <c r="A138" s="4"/>
      <c r="B138" s="4"/>
      <c r="C138" s="4"/>
      <c r="D138" s="4"/>
      <c r="E138" s="4"/>
      <c r="F138" s="4"/>
      <c r="G138" s="4"/>
      <c r="H138" s="4"/>
      <c r="I138" s="4"/>
      <c r="J138" s="4"/>
      <c r="K138" s="4"/>
      <c r="L138" s="4"/>
      <c r="M138" s="4"/>
      <c r="N138" s="4"/>
      <c r="O138" s="4"/>
      <c r="P138" s="4"/>
      <c r="Q138" s="4"/>
      <c r="R138" s="4"/>
      <c r="S138" s="4"/>
      <c r="T138" s="4"/>
      <c r="U138" s="4"/>
      <c r="V138" s="4"/>
    </row>
    <row r="139" spans="1:22">
      <c r="A139" s="4"/>
      <c r="B139" s="4"/>
      <c r="C139" s="4"/>
      <c r="D139" s="4"/>
      <c r="E139" s="4"/>
      <c r="F139" s="4"/>
      <c r="G139" s="4"/>
      <c r="H139" s="4"/>
      <c r="I139" s="4"/>
      <c r="J139" s="4"/>
      <c r="K139" s="4"/>
      <c r="L139" s="4"/>
      <c r="M139" s="4"/>
      <c r="N139" s="4"/>
      <c r="O139" s="4"/>
      <c r="P139" s="4"/>
      <c r="Q139" s="4"/>
      <c r="R139" s="4"/>
      <c r="S139" s="4"/>
      <c r="T139" s="4"/>
      <c r="U139" s="4"/>
      <c r="V139" s="4"/>
    </row>
    <row r="140" spans="1:22">
      <c r="A140" s="4"/>
      <c r="B140" s="4"/>
      <c r="C140" s="4"/>
      <c r="D140" s="4"/>
      <c r="E140" s="4"/>
      <c r="F140" s="4"/>
      <c r="G140" s="4"/>
      <c r="H140" s="4"/>
      <c r="I140" s="4"/>
      <c r="J140" s="4"/>
      <c r="K140" s="4"/>
      <c r="L140" s="4"/>
      <c r="M140" s="4"/>
      <c r="N140" s="4"/>
      <c r="O140" s="4"/>
      <c r="P140" s="4"/>
      <c r="Q140" s="4"/>
      <c r="R140" s="4"/>
      <c r="S140" s="4"/>
      <c r="T140" s="4"/>
      <c r="U140" s="4"/>
      <c r="V140" s="4"/>
    </row>
    <row r="141" spans="1:22">
      <c r="A141" s="4"/>
      <c r="B141" s="4"/>
      <c r="C141" s="4"/>
      <c r="D141" s="4"/>
      <c r="E141" s="4"/>
      <c r="F141" s="4"/>
      <c r="G141" s="4"/>
      <c r="H141" s="4"/>
      <c r="I141" s="4"/>
      <c r="J141" s="4"/>
      <c r="K141" s="4"/>
      <c r="L141" s="4"/>
      <c r="M141" s="4"/>
      <c r="N141" s="4"/>
      <c r="O141" s="4"/>
      <c r="P141" s="4"/>
      <c r="Q141" s="4"/>
      <c r="R141" s="4"/>
      <c r="S141" s="4"/>
      <c r="T141" s="4"/>
      <c r="U141" s="4"/>
      <c r="V141" s="4"/>
    </row>
    <row r="142" spans="1:22">
      <c r="A142" s="4"/>
      <c r="B142" s="4"/>
      <c r="C142" s="4"/>
      <c r="D142" s="4"/>
      <c r="E142" s="4"/>
      <c r="F142" s="4"/>
      <c r="G142" s="4"/>
      <c r="H142" s="4"/>
      <c r="I142" s="4"/>
      <c r="J142" s="4"/>
      <c r="K142" s="4"/>
      <c r="L142" s="4"/>
      <c r="M142" s="4"/>
      <c r="N142" s="4"/>
      <c r="O142" s="4"/>
      <c r="P142" s="4"/>
      <c r="Q142" s="4"/>
      <c r="R142" s="4"/>
      <c r="S142" s="4"/>
      <c r="T142" s="4"/>
      <c r="U142" s="4"/>
      <c r="V142" s="4"/>
    </row>
    <row r="143" spans="1:22">
      <c r="A143" s="4"/>
      <c r="B143" s="4"/>
      <c r="C143" s="4"/>
      <c r="D143" s="4"/>
      <c r="E143" s="4"/>
      <c r="F143" s="4"/>
      <c r="G143" s="4"/>
      <c r="H143" s="4"/>
      <c r="I143" s="4"/>
      <c r="J143" s="4"/>
      <c r="K143" s="4"/>
      <c r="L143" s="4"/>
      <c r="M143" s="4"/>
      <c r="N143" s="4"/>
      <c r="O143" s="4"/>
      <c r="P143" s="4"/>
      <c r="Q143" s="4"/>
      <c r="R143" s="4"/>
      <c r="S143" s="4"/>
      <c r="T143" s="4"/>
      <c r="U143" s="4"/>
      <c r="V143" s="4"/>
    </row>
    <row r="144" spans="1:22">
      <c r="A144" s="4"/>
      <c r="B144" s="4"/>
      <c r="C144" s="4"/>
      <c r="D144" s="4"/>
      <c r="E144" s="4"/>
      <c r="F144" s="4"/>
      <c r="G144" s="4"/>
      <c r="H144" s="4"/>
      <c r="I144" s="4"/>
      <c r="J144" s="4"/>
      <c r="K144" s="4"/>
      <c r="L144" s="4"/>
      <c r="M144" s="4"/>
      <c r="N144" s="4"/>
      <c r="O144" s="4"/>
      <c r="P144" s="4"/>
      <c r="Q144" s="4"/>
      <c r="R144" s="4"/>
      <c r="S144" s="4"/>
      <c r="T144" s="4"/>
      <c r="U144" s="4"/>
      <c r="V144" s="4"/>
    </row>
    <row r="145" spans="1:22">
      <c r="A145" s="4"/>
      <c r="B145" s="4"/>
      <c r="C145" s="4"/>
      <c r="D145" s="4"/>
      <c r="E145" s="4"/>
      <c r="F145" s="4"/>
      <c r="G145" s="4"/>
      <c r="H145" s="4"/>
      <c r="I145" s="4"/>
      <c r="J145" s="4"/>
      <c r="K145" s="4"/>
      <c r="L145" s="4"/>
      <c r="M145" s="4"/>
      <c r="N145" s="4"/>
      <c r="O145" s="4"/>
      <c r="P145" s="4"/>
      <c r="Q145" s="4"/>
      <c r="R145" s="4"/>
      <c r="S145" s="4"/>
      <c r="T145" s="4"/>
      <c r="U145" s="4"/>
      <c r="V145" s="4"/>
    </row>
    <row r="146" spans="1:22">
      <c r="A146" s="4"/>
      <c r="B146" s="4"/>
      <c r="C146" s="4"/>
      <c r="D146" s="4"/>
      <c r="E146" s="4"/>
      <c r="F146" s="4"/>
      <c r="G146" s="4"/>
      <c r="H146" s="4"/>
      <c r="I146" s="4"/>
      <c r="J146" s="4"/>
      <c r="K146" s="4"/>
      <c r="L146" s="4"/>
      <c r="M146" s="4"/>
      <c r="N146" s="4"/>
      <c r="O146" s="4"/>
      <c r="P146" s="4"/>
      <c r="Q146" s="4"/>
      <c r="R146" s="4"/>
      <c r="S146" s="4"/>
      <c r="T146" s="4"/>
      <c r="U146" s="4"/>
      <c r="V146" s="4"/>
    </row>
    <row r="147" spans="1:22">
      <c r="A147" s="4"/>
      <c r="B147" s="4"/>
      <c r="C147" s="4"/>
      <c r="D147" s="4"/>
      <c r="E147" s="4"/>
      <c r="F147" s="4"/>
      <c r="G147" s="4"/>
      <c r="H147" s="4"/>
      <c r="I147" s="4"/>
      <c r="J147" s="4"/>
      <c r="K147" s="4"/>
      <c r="L147" s="4"/>
      <c r="M147" s="4"/>
      <c r="N147" s="4"/>
      <c r="O147" s="4"/>
      <c r="P147" s="4"/>
      <c r="Q147" s="4"/>
      <c r="R147" s="4"/>
      <c r="S147" s="4"/>
      <c r="T147" s="4"/>
      <c r="U147" s="4"/>
      <c r="V147" s="4"/>
    </row>
    <row r="148" spans="1:22">
      <c r="A148" s="4"/>
      <c r="B148" s="4"/>
      <c r="C148" s="4"/>
      <c r="D148" s="4"/>
      <c r="E148" s="4"/>
      <c r="F148" s="4"/>
      <c r="G148" s="4"/>
      <c r="H148" s="4"/>
      <c r="I148" s="4"/>
      <c r="J148" s="4"/>
      <c r="K148" s="4"/>
      <c r="L148" s="4"/>
      <c r="M148" s="4"/>
      <c r="N148" s="4"/>
      <c r="O148" s="4"/>
      <c r="P148" s="4"/>
      <c r="Q148" s="4"/>
      <c r="R148" s="4"/>
      <c r="S148" s="4"/>
      <c r="T148" s="4"/>
      <c r="U148" s="4"/>
      <c r="V148" s="4"/>
    </row>
    <row r="149" spans="1:22">
      <c r="A149" s="4"/>
      <c r="B149" s="4"/>
      <c r="C149" s="4"/>
      <c r="D149" s="4"/>
      <c r="E149" s="4"/>
      <c r="F149" s="4"/>
      <c r="G149" s="4"/>
      <c r="H149" s="4"/>
      <c r="I149" s="4"/>
      <c r="J149" s="4"/>
      <c r="K149" s="4"/>
      <c r="L149" s="4"/>
      <c r="M149" s="4"/>
      <c r="N149" s="4"/>
      <c r="O149" s="4"/>
      <c r="P149" s="4"/>
      <c r="Q149" s="4"/>
      <c r="R149" s="4"/>
      <c r="S149" s="4"/>
      <c r="T149" s="4"/>
      <c r="U149" s="4"/>
      <c r="V149" s="4"/>
    </row>
    <row r="150" spans="1:22">
      <c r="A150" s="4"/>
      <c r="B150" s="4"/>
      <c r="C150" s="4"/>
      <c r="D150" s="4"/>
      <c r="E150" s="4"/>
      <c r="F150" s="4"/>
      <c r="G150" s="4"/>
      <c r="H150" s="4"/>
      <c r="I150" s="4"/>
      <c r="J150" s="4"/>
      <c r="K150" s="4"/>
      <c r="L150" s="4"/>
      <c r="M150" s="4"/>
      <c r="N150" s="4"/>
      <c r="O150" s="4"/>
      <c r="P150" s="4"/>
      <c r="Q150" s="4"/>
      <c r="R150" s="4"/>
      <c r="S150" s="4"/>
      <c r="T150" s="4"/>
      <c r="U150" s="4"/>
      <c r="V150" s="4"/>
    </row>
    <row r="151" spans="1:22">
      <c r="A151" s="4"/>
      <c r="B151" s="4"/>
      <c r="C151" s="4"/>
      <c r="D151" s="4"/>
      <c r="E151" s="4"/>
      <c r="F151" s="4"/>
      <c r="G151" s="4"/>
      <c r="H151" s="4"/>
      <c r="I151" s="4"/>
      <c r="J151" s="4"/>
      <c r="K151" s="4"/>
      <c r="L151" s="4"/>
      <c r="M151" s="4"/>
      <c r="N151" s="4"/>
      <c r="O151" s="4"/>
      <c r="P151" s="4"/>
      <c r="Q151" s="4"/>
      <c r="R151" s="4"/>
      <c r="S151" s="4"/>
      <c r="T151" s="4"/>
      <c r="U151" s="4"/>
      <c r="V151" s="4"/>
    </row>
    <row r="152" spans="1:22">
      <c r="A152" s="4"/>
      <c r="B152" s="4"/>
      <c r="C152" s="4"/>
      <c r="D152" s="4"/>
      <c r="E152" s="4"/>
      <c r="F152" s="4"/>
      <c r="G152" s="4"/>
      <c r="H152" s="4"/>
      <c r="I152" s="4"/>
      <c r="J152" s="4"/>
      <c r="K152" s="4"/>
      <c r="L152" s="4"/>
      <c r="M152" s="4"/>
      <c r="N152" s="4"/>
      <c r="O152" s="4"/>
      <c r="P152" s="4"/>
      <c r="Q152" s="4"/>
      <c r="R152" s="4"/>
      <c r="S152" s="4"/>
      <c r="T152" s="4"/>
      <c r="U152" s="4"/>
      <c r="V152" s="4"/>
    </row>
    <row r="153" spans="1:22">
      <c r="A153" s="4"/>
      <c r="B153" s="4"/>
      <c r="C153" s="4"/>
      <c r="D153" s="4"/>
      <c r="E153" s="4"/>
      <c r="F153" s="4"/>
      <c r="G153" s="4"/>
      <c r="H153" s="4"/>
      <c r="I153" s="4"/>
      <c r="J153" s="4"/>
      <c r="K153" s="4"/>
      <c r="L153" s="4"/>
      <c r="M153" s="4"/>
      <c r="N153" s="4"/>
      <c r="O153" s="4"/>
      <c r="P153" s="4"/>
      <c r="Q153" s="4"/>
      <c r="R153" s="4"/>
      <c r="S153" s="4"/>
      <c r="T153" s="4"/>
      <c r="U153" s="4"/>
      <c r="V153" s="4"/>
    </row>
    <row r="154" spans="1:22">
      <c r="A154" s="4"/>
      <c r="B154" s="4"/>
      <c r="C154" s="4"/>
      <c r="D154" s="4"/>
      <c r="E154" s="4"/>
      <c r="F154" s="4"/>
      <c r="G154" s="4"/>
      <c r="H154" s="4"/>
      <c r="I154" s="4"/>
      <c r="J154" s="4"/>
      <c r="K154" s="4"/>
      <c r="L154" s="4"/>
      <c r="M154" s="4"/>
      <c r="N154" s="4"/>
      <c r="O154" s="4"/>
      <c r="P154" s="4"/>
      <c r="Q154" s="4"/>
      <c r="R154" s="4"/>
      <c r="S154" s="4"/>
      <c r="T154" s="4"/>
      <c r="U154" s="4"/>
      <c r="V154" s="4"/>
    </row>
    <row r="155" spans="1:22">
      <c r="A155" s="4"/>
      <c r="B155" s="4"/>
      <c r="C155" s="4"/>
      <c r="D155" s="4"/>
      <c r="E155" s="4"/>
      <c r="F155" s="4"/>
      <c r="G155" s="4"/>
      <c r="H155" s="4"/>
      <c r="I155" s="4"/>
      <c r="J155" s="4"/>
      <c r="K155" s="4"/>
      <c r="L155" s="4"/>
      <c r="M155" s="4"/>
      <c r="N155" s="4"/>
      <c r="O155" s="4"/>
      <c r="P155" s="4"/>
      <c r="Q155" s="4"/>
      <c r="R155" s="4"/>
      <c r="S155" s="4"/>
      <c r="T155" s="4"/>
      <c r="U155" s="4"/>
      <c r="V155" s="4"/>
    </row>
    <row r="156" spans="1:22">
      <c r="A156" s="4"/>
      <c r="B156" s="4"/>
      <c r="C156" s="4"/>
      <c r="D156" s="4"/>
      <c r="E156" s="4"/>
      <c r="F156" s="4"/>
      <c r="G156" s="4"/>
      <c r="H156" s="4"/>
      <c r="I156" s="4"/>
      <c r="J156" s="4"/>
      <c r="K156" s="4"/>
      <c r="L156" s="4"/>
      <c r="M156" s="4"/>
      <c r="N156" s="4"/>
      <c r="O156" s="4"/>
      <c r="P156" s="4"/>
      <c r="Q156" s="4"/>
      <c r="R156" s="4"/>
      <c r="S156" s="4"/>
      <c r="T156" s="4"/>
      <c r="U156" s="4"/>
      <c r="V156" s="4"/>
    </row>
    <row r="157" spans="1:22">
      <c r="A157" s="4"/>
      <c r="B157" s="4"/>
      <c r="C157" s="4"/>
      <c r="D157" s="4"/>
      <c r="E157" s="4"/>
      <c r="F157" s="4"/>
      <c r="G157" s="4"/>
      <c r="H157" s="4"/>
      <c r="I157" s="4"/>
      <c r="J157" s="4"/>
      <c r="K157" s="4"/>
      <c r="L157" s="4"/>
      <c r="M157" s="4"/>
      <c r="N157" s="4"/>
      <c r="O157" s="4"/>
      <c r="P157" s="4"/>
      <c r="Q157" s="4"/>
      <c r="R157" s="4"/>
      <c r="S157" s="4"/>
      <c r="T157" s="4"/>
      <c r="U157" s="4"/>
      <c r="V157" s="4"/>
    </row>
    <row r="158" spans="1:22">
      <c r="A158" s="4"/>
      <c r="B158" s="4"/>
      <c r="C158" s="4"/>
      <c r="D158" s="4"/>
      <c r="E158" s="4"/>
      <c r="F158" s="4"/>
      <c r="G158" s="4"/>
      <c r="H158" s="4"/>
      <c r="I158" s="4"/>
      <c r="J158" s="4"/>
      <c r="K158" s="4"/>
      <c r="L158" s="4"/>
      <c r="M158" s="4"/>
      <c r="N158" s="4"/>
      <c r="O158" s="4"/>
      <c r="P158" s="4"/>
      <c r="Q158" s="4"/>
      <c r="R158" s="4"/>
      <c r="S158" s="4"/>
      <c r="T158" s="4"/>
      <c r="U158" s="4"/>
      <c r="V158" s="4"/>
    </row>
    <row r="159" spans="1:22">
      <c r="A159" s="4"/>
      <c r="B159" s="4"/>
      <c r="C159" s="4"/>
      <c r="D159" s="4"/>
      <c r="E159" s="4"/>
      <c r="F159" s="4"/>
      <c r="G159" s="4"/>
      <c r="H159" s="4"/>
      <c r="I159" s="4"/>
      <c r="J159" s="4"/>
      <c r="K159" s="4"/>
      <c r="L159" s="4"/>
      <c r="M159" s="4"/>
      <c r="N159" s="4"/>
      <c r="O159" s="4"/>
      <c r="P159" s="4"/>
      <c r="Q159" s="4"/>
      <c r="R159" s="4"/>
      <c r="S159" s="4"/>
      <c r="T159" s="4"/>
      <c r="U159" s="4"/>
      <c r="V159" s="4"/>
    </row>
    <row r="160" spans="1:22">
      <c r="A160" s="4"/>
      <c r="B160" s="4"/>
      <c r="C160" s="4"/>
      <c r="D160" s="4"/>
      <c r="E160" s="4"/>
      <c r="F160" s="4"/>
      <c r="G160" s="4"/>
      <c r="H160" s="4"/>
      <c r="I160" s="4"/>
      <c r="J160" s="4"/>
      <c r="K160" s="4"/>
      <c r="L160" s="4"/>
      <c r="M160" s="4"/>
      <c r="N160" s="4"/>
      <c r="O160" s="4"/>
      <c r="P160" s="4"/>
      <c r="Q160" s="4"/>
      <c r="R160" s="4"/>
      <c r="S160" s="4"/>
      <c r="T160" s="4"/>
      <c r="U160" s="4"/>
      <c r="V160" s="4"/>
    </row>
    <row r="161" spans="1:22">
      <c r="A161" s="4"/>
      <c r="B161" s="4"/>
      <c r="C161" s="4"/>
      <c r="D161" s="4"/>
      <c r="E161" s="4"/>
      <c r="F161" s="4"/>
      <c r="G161" s="4"/>
      <c r="H161" s="4"/>
      <c r="I161" s="4"/>
      <c r="J161" s="4"/>
      <c r="K161" s="4"/>
      <c r="L161" s="4"/>
      <c r="M161" s="4"/>
      <c r="N161" s="4"/>
      <c r="O161" s="4"/>
      <c r="P161" s="4"/>
      <c r="Q161" s="4"/>
      <c r="R161" s="4"/>
      <c r="S161" s="4"/>
      <c r="T161" s="4"/>
      <c r="U161" s="4"/>
      <c r="V161" s="4"/>
    </row>
    <row r="162" spans="1:22">
      <c r="A162" s="4"/>
      <c r="B162" s="4"/>
      <c r="C162" s="4"/>
      <c r="D162" s="4"/>
      <c r="E162" s="4"/>
      <c r="F162" s="4"/>
      <c r="G162" s="4"/>
      <c r="H162" s="4"/>
      <c r="I162" s="4"/>
      <c r="J162" s="4"/>
      <c r="K162" s="4"/>
      <c r="L162" s="4"/>
      <c r="M162" s="4"/>
      <c r="N162" s="4"/>
      <c r="O162" s="4"/>
      <c r="P162" s="4"/>
      <c r="Q162" s="4"/>
      <c r="R162" s="4"/>
      <c r="S162" s="4"/>
      <c r="T162" s="4"/>
      <c r="U162" s="4"/>
      <c r="V162" s="4"/>
    </row>
    <row r="163" spans="1:22">
      <c r="A163" s="4"/>
      <c r="B163" s="4"/>
      <c r="C163" s="4"/>
      <c r="D163" s="4"/>
      <c r="E163" s="4"/>
      <c r="F163" s="4"/>
      <c r="G163" s="4"/>
      <c r="H163" s="4"/>
      <c r="I163" s="4"/>
      <c r="J163" s="4"/>
      <c r="K163" s="4"/>
      <c r="L163" s="4"/>
      <c r="M163" s="4"/>
      <c r="N163" s="4"/>
      <c r="O163" s="4"/>
      <c r="P163" s="4"/>
      <c r="Q163" s="4"/>
      <c r="R163" s="4"/>
      <c r="S163" s="4"/>
      <c r="T163" s="4"/>
      <c r="U163" s="4"/>
      <c r="V163" s="4"/>
    </row>
    <row r="164" spans="1:22">
      <c r="A164" s="4"/>
      <c r="B164" s="4"/>
      <c r="C164" s="4"/>
      <c r="D164" s="4"/>
      <c r="E164" s="4"/>
      <c r="F164" s="4"/>
      <c r="G164" s="4"/>
      <c r="H164" s="4"/>
      <c r="I164" s="4"/>
      <c r="J164" s="4"/>
      <c r="K164" s="4"/>
      <c r="L164" s="4"/>
      <c r="M164" s="4"/>
      <c r="N164" s="4"/>
      <c r="O164" s="4"/>
      <c r="P164" s="4"/>
      <c r="Q164" s="4"/>
      <c r="R164" s="4"/>
      <c r="S164" s="4"/>
      <c r="T164" s="4"/>
      <c r="U164" s="4"/>
      <c r="V164" s="4"/>
    </row>
    <row r="165" spans="1:22">
      <c r="A165" s="4"/>
      <c r="B165" s="4"/>
      <c r="C165" s="4"/>
      <c r="D165" s="4"/>
      <c r="E165" s="4"/>
      <c r="F165" s="4"/>
      <c r="G165" s="4"/>
      <c r="H165" s="4"/>
      <c r="I165" s="4"/>
      <c r="J165" s="4"/>
      <c r="K165" s="4"/>
      <c r="L165" s="4"/>
      <c r="M165" s="4"/>
      <c r="N165" s="4"/>
      <c r="O165" s="4"/>
      <c r="P165" s="4"/>
      <c r="Q165" s="4"/>
      <c r="R165" s="4"/>
      <c r="S165" s="4"/>
      <c r="T165" s="4"/>
      <c r="U165" s="4"/>
      <c r="V165" s="4"/>
    </row>
    <row r="166" spans="1:22">
      <c r="A166" s="4"/>
      <c r="B166" s="4"/>
      <c r="C166" s="4"/>
      <c r="D166" s="4"/>
      <c r="E166" s="4"/>
      <c r="F166" s="4"/>
      <c r="G166" s="4"/>
      <c r="H166" s="4"/>
      <c r="I166" s="4"/>
      <c r="J166" s="4"/>
      <c r="K166" s="4"/>
      <c r="L166" s="4"/>
      <c r="M166" s="4"/>
      <c r="N166" s="4"/>
      <c r="O166" s="4"/>
      <c r="P166" s="4"/>
      <c r="Q166" s="4"/>
      <c r="R166" s="4"/>
      <c r="S166" s="4"/>
      <c r="T166" s="4"/>
      <c r="U166" s="4"/>
      <c r="V166" s="4"/>
    </row>
    <row r="167" spans="1:22">
      <c r="A167" s="4"/>
      <c r="B167" s="4"/>
      <c r="C167" s="4"/>
      <c r="D167" s="4"/>
      <c r="E167" s="4"/>
      <c r="F167" s="4"/>
      <c r="G167" s="4"/>
      <c r="H167" s="4"/>
      <c r="I167" s="4"/>
      <c r="J167" s="4"/>
      <c r="K167" s="4"/>
      <c r="L167" s="4"/>
      <c r="M167" s="4"/>
      <c r="N167" s="4"/>
      <c r="O167" s="4"/>
      <c r="P167" s="4"/>
      <c r="Q167" s="4"/>
      <c r="R167" s="4"/>
      <c r="S167" s="4"/>
      <c r="T167" s="4"/>
      <c r="U167" s="4"/>
      <c r="V167" s="4"/>
    </row>
    <row r="168" spans="1:22">
      <c r="A168" s="4"/>
      <c r="B168" s="4"/>
      <c r="C168" s="4"/>
      <c r="D168" s="4"/>
      <c r="E168" s="4"/>
      <c r="F168" s="4"/>
      <c r="G168" s="4"/>
      <c r="H168" s="4"/>
      <c r="I168" s="4"/>
      <c r="J168" s="4"/>
      <c r="K168" s="4"/>
      <c r="L168" s="4"/>
      <c r="M168" s="4"/>
      <c r="N168" s="4"/>
      <c r="O168" s="4"/>
      <c r="P168" s="4"/>
      <c r="Q168" s="4"/>
      <c r="R168" s="4"/>
      <c r="S168" s="4"/>
      <c r="T168" s="4"/>
      <c r="U168" s="4"/>
      <c r="V168" s="4"/>
    </row>
    <row r="169" spans="1:22">
      <c r="A169" s="4"/>
      <c r="B169" s="4"/>
      <c r="C169" s="4"/>
      <c r="D169" s="4"/>
      <c r="E169" s="4"/>
      <c r="F169" s="4"/>
      <c r="G169" s="4"/>
      <c r="H169" s="4"/>
      <c r="I169" s="4"/>
      <c r="J169" s="4"/>
      <c r="K169" s="4"/>
      <c r="L169" s="4"/>
      <c r="M169" s="4"/>
      <c r="N169" s="4"/>
      <c r="O169" s="4"/>
      <c r="P169" s="4"/>
      <c r="Q169" s="4"/>
      <c r="R169" s="4"/>
      <c r="S169" s="4"/>
      <c r="T169" s="4"/>
      <c r="U169" s="4"/>
      <c r="V169" s="4"/>
    </row>
    <row r="170" spans="1:22">
      <c r="A170" s="4"/>
      <c r="B170" s="4"/>
      <c r="C170" s="4"/>
      <c r="D170" s="4"/>
      <c r="E170" s="4"/>
      <c r="F170" s="4"/>
      <c r="G170" s="4"/>
      <c r="H170" s="4"/>
      <c r="I170" s="4"/>
      <c r="J170" s="4"/>
      <c r="K170" s="4"/>
      <c r="L170" s="4"/>
      <c r="M170" s="4"/>
      <c r="N170" s="4"/>
      <c r="O170" s="4"/>
      <c r="P170" s="4"/>
      <c r="Q170" s="4"/>
      <c r="R170" s="4"/>
      <c r="S170" s="4"/>
      <c r="T170" s="4"/>
      <c r="U170" s="4"/>
      <c r="V170" s="4"/>
    </row>
    <row r="171" spans="1:22">
      <c r="A171" s="4"/>
      <c r="B171" s="4"/>
      <c r="C171" s="4"/>
      <c r="D171" s="4"/>
      <c r="E171" s="4"/>
      <c r="F171" s="4"/>
      <c r="G171" s="4"/>
      <c r="H171" s="4"/>
      <c r="I171" s="4"/>
      <c r="J171" s="4"/>
      <c r="K171" s="4"/>
      <c r="L171" s="4"/>
      <c r="M171" s="4"/>
      <c r="N171" s="4"/>
      <c r="O171" s="4"/>
      <c r="P171" s="4"/>
      <c r="Q171" s="4"/>
      <c r="R171" s="4"/>
      <c r="S171" s="4"/>
      <c r="T171" s="4"/>
      <c r="U171" s="4"/>
      <c r="V171" s="4"/>
    </row>
    <row r="172" spans="1:22">
      <c r="A172" s="4"/>
      <c r="B172" s="4"/>
      <c r="C172" s="4"/>
      <c r="D172" s="4"/>
      <c r="E172" s="4"/>
      <c r="F172" s="4"/>
      <c r="G172" s="4"/>
      <c r="H172" s="4"/>
      <c r="I172" s="4"/>
      <c r="J172" s="4"/>
      <c r="K172" s="4"/>
      <c r="L172" s="4"/>
      <c r="M172" s="4"/>
      <c r="N172" s="4"/>
      <c r="O172" s="4"/>
      <c r="P172" s="4"/>
      <c r="Q172" s="4"/>
      <c r="R172" s="4"/>
      <c r="S172" s="4"/>
      <c r="T172" s="4"/>
      <c r="U172" s="4"/>
      <c r="V172" s="4"/>
    </row>
    <row r="173" spans="1:22">
      <c r="A173" s="4"/>
      <c r="B173" s="4"/>
      <c r="C173" s="4"/>
      <c r="D173" s="4"/>
      <c r="E173" s="4"/>
      <c r="F173" s="4"/>
      <c r="G173" s="4"/>
      <c r="H173" s="4"/>
      <c r="I173" s="4"/>
      <c r="J173" s="4"/>
      <c r="K173" s="4"/>
      <c r="L173" s="4"/>
      <c r="M173" s="4"/>
      <c r="N173" s="4"/>
      <c r="O173" s="4"/>
      <c r="P173" s="4"/>
      <c r="Q173" s="4"/>
      <c r="R173" s="4"/>
      <c r="S173" s="4"/>
      <c r="T173" s="4"/>
      <c r="U173" s="4"/>
      <c r="V173" s="4"/>
    </row>
    <row r="174" spans="1:22">
      <c r="A174" s="4"/>
      <c r="B174" s="4"/>
      <c r="C174" s="4"/>
      <c r="D174" s="4"/>
      <c r="E174" s="4"/>
      <c r="F174" s="4"/>
      <c r="G174" s="4"/>
      <c r="H174" s="4"/>
      <c r="I174" s="4"/>
      <c r="J174" s="4"/>
      <c r="K174" s="4"/>
      <c r="L174" s="4"/>
      <c r="M174" s="4"/>
      <c r="N174" s="4"/>
      <c r="O174" s="4"/>
      <c r="P174" s="4"/>
      <c r="Q174" s="4"/>
      <c r="R174" s="4"/>
      <c r="S174" s="4"/>
      <c r="T174" s="4"/>
      <c r="U174" s="4"/>
      <c r="V174" s="4"/>
    </row>
    <row r="175" spans="1:22">
      <c r="A175" s="4"/>
      <c r="B175" s="4"/>
      <c r="C175" s="4"/>
      <c r="D175" s="4"/>
      <c r="E175" s="4"/>
      <c r="F175" s="4"/>
      <c r="G175" s="4"/>
      <c r="H175" s="4"/>
      <c r="I175" s="4"/>
      <c r="J175" s="4"/>
      <c r="K175" s="4"/>
      <c r="L175" s="4"/>
      <c r="M175" s="4"/>
      <c r="N175" s="4"/>
      <c r="O175" s="4"/>
      <c r="P175" s="4"/>
      <c r="Q175" s="4"/>
      <c r="R175" s="4"/>
      <c r="S175" s="4"/>
      <c r="T175" s="4"/>
      <c r="U175" s="4"/>
      <c r="V175" s="4"/>
    </row>
    <row r="176" spans="1:22">
      <c r="A176" s="4"/>
      <c r="B176" s="4"/>
      <c r="C176" s="4"/>
      <c r="D176" s="4"/>
      <c r="E176" s="4"/>
      <c r="F176" s="4"/>
      <c r="G176" s="4"/>
      <c r="H176" s="4"/>
      <c r="I176" s="4"/>
      <c r="J176" s="4"/>
      <c r="K176" s="4"/>
      <c r="L176" s="4"/>
      <c r="M176" s="4"/>
      <c r="N176" s="4"/>
      <c r="O176" s="4"/>
      <c r="P176" s="4"/>
      <c r="Q176" s="4"/>
      <c r="R176" s="4"/>
      <c r="S176" s="4"/>
      <c r="T176" s="4"/>
      <c r="U176" s="4"/>
      <c r="V176" s="4"/>
    </row>
    <row r="177" spans="1:22">
      <c r="A177" s="4"/>
      <c r="B177" s="4"/>
      <c r="C177" s="4"/>
      <c r="D177" s="4"/>
      <c r="E177" s="4"/>
      <c r="F177" s="4"/>
      <c r="G177" s="4"/>
      <c r="H177" s="4"/>
      <c r="I177" s="4"/>
      <c r="J177" s="4"/>
      <c r="K177" s="4"/>
      <c r="L177" s="4"/>
      <c r="M177" s="4"/>
      <c r="N177" s="4"/>
      <c r="O177" s="4"/>
      <c r="P177" s="4"/>
      <c r="Q177" s="4"/>
      <c r="R177" s="4"/>
      <c r="S177" s="4"/>
      <c r="T177" s="4"/>
      <c r="U177" s="4"/>
      <c r="V177" s="4"/>
    </row>
    <row r="178" spans="1:22">
      <c r="A178" s="4"/>
      <c r="B178" s="4"/>
      <c r="C178" s="4"/>
      <c r="D178" s="4"/>
      <c r="E178" s="4"/>
      <c r="F178" s="4"/>
      <c r="G178" s="4"/>
      <c r="H178" s="4"/>
      <c r="I178" s="4"/>
      <c r="J178" s="4"/>
      <c r="K178" s="4"/>
      <c r="L178" s="4"/>
      <c r="M178" s="4"/>
      <c r="N178" s="4"/>
      <c r="O178" s="4"/>
      <c r="P178" s="4"/>
      <c r="Q178" s="4"/>
      <c r="R178" s="4"/>
      <c r="S178" s="4"/>
      <c r="T178" s="4"/>
      <c r="U178" s="4"/>
      <c r="V178" s="4"/>
    </row>
    <row r="179" spans="1:22">
      <c r="A179" s="4"/>
      <c r="B179" s="4"/>
      <c r="C179" s="4"/>
      <c r="D179" s="4"/>
      <c r="E179" s="4"/>
      <c r="F179" s="4"/>
      <c r="G179" s="4"/>
      <c r="H179" s="4"/>
      <c r="I179" s="4"/>
      <c r="J179" s="4"/>
      <c r="K179" s="4"/>
      <c r="L179" s="4"/>
      <c r="M179" s="4"/>
      <c r="N179" s="4"/>
      <c r="O179" s="4"/>
      <c r="P179" s="4"/>
      <c r="Q179" s="4"/>
      <c r="R179" s="4"/>
      <c r="S179" s="4"/>
      <c r="T179" s="4"/>
      <c r="U179" s="4"/>
      <c r="V179" s="4"/>
    </row>
    <row r="180" spans="1:22">
      <c r="A180" s="4"/>
      <c r="B180" s="4"/>
      <c r="C180" s="4"/>
      <c r="D180" s="4"/>
      <c r="E180" s="4"/>
      <c r="F180" s="4"/>
      <c r="G180" s="4"/>
      <c r="H180" s="4"/>
      <c r="I180" s="4"/>
      <c r="J180" s="4"/>
      <c r="K180" s="4"/>
      <c r="L180" s="4"/>
      <c r="M180" s="4"/>
      <c r="N180" s="4"/>
      <c r="O180" s="4"/>
      <c r="P180" s="4"/>
      <c r="Q180" s="4"/>
      <c r="R180" s="4"/>
      <c r="S180" s="4"/>
      <c r="T180" s="4"/>
      <c r="U180" s="4"/>
      <c r="V180" s="4"/>
    </row>
    <row r="181" spans="1:22">
      <c r="A181" s="4"/>
      <c r="B181" s="4"/>
      <c r="C181" s="4"/>
      <c r="D181" s="4"/>
      <c r="E181" s="4"/>
      <c r="F181" s="4"/>
      <c r="G181" s="4"/>
      <c r="H181" s="4"/>
      <c r="I181" s="4"/>
      <c r="J181" s="4"/>
      <c r="K181" s="4"/>
      <c r="L181" s="4"/>
      <c r="M181" s="4"/>
      <c r="N181" s="4"/>
      <c r="O181" s="4"/>
      <c r="P181" s="4"/>
      <c r="Q181" s="4"/>
      <c r="R181" s="4"/>
      <c r="S181" s="4"/>
      <c r="T181" s="4"/>
      <c r="U181" s="4"/>
      <c r="V181" s="4"/>
    </row>
    <row r="182" spans="1:22">
      <c r="A182" s="4"/>
      <c r="B182" s="4"/>
      <c r="C182" s="4"/>
      <c r="D182" s="4"/>
      <c r="E182" s="4"/>
      <c r="F182" s="4"/>
      <c r="G182" s="4"/>
      <c r="H182" s="4"/>
      <c r="I182" s="4"/>
      <c r="J182" s="4"/>
      <c r="K182" s="4"/>
      <c r="L182" s="4"/>
      <c r="M182" s="4"/>
      <c r="N182" s="4"/>
      <c r="O182" s="4"/>
      <c r="P182" s="4"/>
      <c r="Q182" s="4"/>
      <c r="R182" s="4"/>
      <c r="S182" s="4"/>
      <c r="T182" s="4"/>
      <c r="U182" s="4"/>
      <c r="V182" s="4"/>
    </row>
    <row r="183" spans="1:22">
      <c r="A183" s="4"/>
      <c r="B183" s="4"/>
      <c r="C183" s="4"/>
      <c r="D183" s="4"/>
      <c r="E183" s="4"/>
      <c r="F183" s="4"/>
      <c r="G183" s="4"/>
      <c r="H183" s="4"/>
      <c r="I183" s="4"/>
      <c r="J183" s="4"/>
      <c r="K183" s="4"/>
      <c r="L183" s="4"/>
      <c r="M183" s="4"/>
      <c r="N183" s="4"/>
      <c r="O183" s="4"/>
      <c r="P183" s="4"/>
      <c r="Q183" s="4"/>
      <c r="R183" s="4"/>
      <c r="S183" s="4"/>
      <c r="T183" s="4"/>
      <c r="U183" s="4"/>
      <c r="V183" s="4"/>
    </row>
    <row r="184" spans="1:22">
      <c r="A184" s="4"/>
      <c r="B184" s="4"/>
      <c r="C184" s="4"/>
      <c r="D184" s="4"/>
      <c r="E184" s="4"/>
      <c r="F184" s="4"/>
      <c r="G184" s="4"/>
      <c r="H184" s="4"/>
      <c r="I184" s="4"/>
      <c r="J184" s="4"/>
      <c r="K184" s="4"/>
      <c r="L184" s="4"/>
      <c r="M184" s="4"/>
      <c r="N184" s="4"/>
      <c r="O184" s="4"/>
      <c r="P184" s="4"/>
      <c r="Q184" s="4"/>
      <c r="R184" s="4"/>
      <c r="S184" s="4"/>
      <c r="T184" s="4"/>
      <c r="U184" s="4"/>
      <c r="V184" s="4"/>
    </row>
    <row r="185" spans="1:22">
      <c r="A185" s="4"/>
      <c r="B185" s="4"/>
      <c r="C185" s="4"/>
      <c r="D185" s="4"/>
      <c r="E185" s="4"/>
      <c r="F185" s="4"/>
      <c r="G185" s="4"/>
      <c r="H185" s="4"/>
      <c r="I185" s="4"/>
      <c r="J185" s="4"/>
      <c r="K185" s="4"/>
      <c r="L185" s="4"/>
      <c r="M185" s="4"/>
      <c r="N185" s="4"/>
      <c r="O185" s="4"/>
      <c r="P185" s="4"/>
      <c r="Q185" s="4"/>
      <c r="R185" s="4"/>
      <c r="S185" s="4"/>
      <c r="T185" s="4"/>
      <c r="U185" s="4"/>
      <c r="V185" s="4"/>
    </row>
    <row r="186" spans="1:22">
      <c r="A186" s="4"/>
      <c r="B186" s="4"/>
      <c r="C186" s="4"/>
      <c r="D186" s="4"/>
      <c r="E186" s="4"/>
      <c r="F186" s="4"/>
      <c r="G186" s="4"/>
      <c r="H186" s="4"/>
      <c r="I186" s="4"/>
      <c r="J186" s="4"/>
      <c r="K186" s="4"/>
      <c r="L186" s="4"/>
      <c r="M186" s="4"/>
      <c r="N186" s="4"/>
      <c r="O186" s="4"/>
      <c r="P186" s="4"/>
      <c r="Q186" s="4"/>
      <c r="R186" s="4"/>
      <c r="S186" s="4"/>
      <c r="T186" s="4"/>
      <c r="U186" s="4"/>
      <c r="V186" s="4"/>
    </row>
    <row r="187" spans="1:22">
      <c r="A187" s="4"/>
      <c r="B187" s="4"/>
      <c r="C187" s="4"/>
      <c r="D187" s="4"/>
      <c r="E187" s="4"/>
      <c r="F187" s="4"/>
      <c r="G187" s="4"/>
      <c r="H187" s="4"/>
      <c r="I187" s="4"/>
      <c r="J187" s="4"/>
      <c r="K187" s="4"/>
      <c r="L187" s="4"/>
      <c r="M187" s="4"/>
      <c r="N187" s="4"/>
      <c r="O187" s="4"/>
      <c r="P187" s="4"/>
      <c r="Q187" s="4"/>
      <c r="R187" s="4"/>
      <c r="S187" s="4"/>
      <c r="T187" s="4"/>
      <c r="U187" s="4"/>
      <c r="V187" s="4"/>
    </row>
    <row r="188" spans="1:22">
      <c r="A188" s="4"/>
      <c r="B188" s="4"/>
      <c r="C188" s="4"/>
      <c r="D188" s="4"/>
      <c r="E188" s="4"/>
      <c r="F188" s="4"/>
      <c r="G188" s="4"/>
      <c r="H188" s="4"/>
      <c r="I188" s="4"/>
      <c r="J188" s="4"/>
      <c r="K188" s="4"/>
      <c r="L188" s="4"/>
      <c r="M188" s="4"/>
      <c r="N188" s="4"/>
      <c r="O188" s="4"/>
      <c r="P188" s="4"/>
      <c r="Q188" s="4"/>
      <c r="R188" s="4"/>
      <c r="S188" s="4"/>
      <c r="T188" s="4"/>
      <c r="U188" s="4"/>
      <c r="V188" s="4"/>
    </row>
    <row r="189" spans="1:22">
      <c r="A189" s="4"/>
      <c r="B189" s="4"/>
      <c r="C189" s="4"/>
      <c r="D189" s="4"/>
      <c r="E189" s="4"/>
      <c r="F189" s="4"/>
      <c r="G189" s="4"/>
      <c r="H189" s="4"/>
      <c r="I189" s="4"/>
      <c r="J189" s="4"/>
      <c r="K189" s="4"/>
      <c r="L189" s="4"/>
      <c r="M189" s="4"/>
      <c r="N189" s="4"/>
      <c r="O189" s="4"/>
      <c r="P189" s="4"/>
      <c r="Q189" s="4"/>
      <c r="R189" s="4"/>
      <c r="S189" s="4"/>
      <c r="T189" s="4"/>
      <c r="U189" s="4"/>
      <c r="V189" s="4"/>
    </row>
    <row r="190" spans="1:22">
      <c r="A190" s="4"/>
      <c r="B190" s="4"/>
      <c r="C190" s="4"/>
      <c r="D190" s="4"/>
      <c r="E190" s="4"/>
      <c r="F190" s="4"/>
      <c r="G190" s="4"/>
      <c r="H190" s="4"/>
      <c r="I190" s="4"/>
      <c r="J190" s="4"/>
      <c r="K190" s="4"/>
      <c r="L190" s="4"/>
      <c r="M190" s="4"/>
      <c r="N190" s="4"/>
      <c r="O190" s="4"/>
      <c r="P190" s="4"/>
      <c r="Q190" s="4"/>
      <c r="R190" s="4"/>
      <c r="S190" s="4"/>
      <c r="T190" s="4"/>
      <c r="U190" s="4"/>
      <c r="V190" s="4"/>
    </row>
    <row r="191" spans="1:22">
      <c r="A191" s="4"/>
      <c r="B191" s="4"/>
      <c r="C191" s="4"/>
      <c r="D191" s="4"/>
      <c r="E191" s="4"/>
      <c r="F191" s="4"/>
      <c r="G191" s="4"/>
      <c r="H191" s="4"/>
      <c r="I191" s="4"/>
      <c r="J191" s="4"/>
      <c r="K191" s="4"/>
      <c r="L191" s="4"/>
      <c r="M191" s="4"/>
      <c r="N191" s="4"/>
      <c r="O191" s="4"/>
      <c r="P191" s="4"/>
      <c r="Q191" s="4"/>
      <c r="R191" s="4"/>
      <c r="S191" s="4"/>
      <c r="T191" s="4"/>
      <c r="U191" s="4"/>
      <c r="V191" s="4"/>
    </row>
    <row r="192" spans="1:22">
      <c r="A192" s="4"/>
      <c r="B192" s="4"/>
      <c r="C192" s="4"/>
      <c r="D192" s="4"/>
      <c r="E192" s="4"/>
      <c r="F192" s="4"/>
      <c r="G192" s="4"/>
      <c r="H192" s="4"/>
      <c r="I192" s="4"/>
      <c r="J192" s="4"/>
      <c r="K192" s="4"/>
      <c r="L192" s="4"/>
      <c r="M192" s="4"/>
      <c r="N192" s="4"/>
      <c r="O192" s="4"/>
      <c r="P192" s="4"/>
      <c r="Q192" s="4"/>
      <c r="R192" s="4"/>
      <c r="S192" s="4"/>
      <c r="T192" s="4"/>
      <c r="U192" s="4"/>
      <c r="V192" s="4"/>
    </row>
    <row r="193" spans="1:22">
      <c r="A193" s="4"/>
      <c r="B193" s="4"/>
      <c r="C193" s="4"/>
      <c r="D193" s="4"/>
      <c r="E193" s="4"/>
      <c r="F193" s="4"/>
      <c r="G193" s="4"/>
      <c r="H193" s="4"/>
      <c r="I193" s="4"/>
      <c r="J193" s="4"/>
      <c r="K193" s="4"/>
      <c r="L193" s="4"/>
      <c r="M193" s="4"/>
      <c r="N193" s="4"/>
      <c r="O193" s="4"/>
      <c r="P193" s="4"/>
      <c r="Q193" s="4"/>
      <c r="R193" s="4"/>
      <c r="S193" s="4"/>
      <c r="T193" s="4"/>
      <c r="U193" s="4"/>
      <c r="V193" s="4"/>
    </row>
    <row r="194" spans="1:22">
      <c r="A194" s="4"/>
      <c r="B194" s="4"/>
      <c r="C194" s="4"/>
      <c r="D194" s="4"/>
      <c r="E194" s="4"/>
      <c r="F194" s="4"/>
      <c r="G194" s="4"/>
      <c r="H194" s="4"/>
      <c r="I194" s="4"/>
      <c r="J194" s="4"/>
      <c r="K194" s="4"/>
      <c r="L194" s="4"/>
      <c r="M194" s="4"/>
      <c r="N194" s="4"/>
      <c r="O194" s="4"/>
      <c r="P194" s="4"/>
      <c r="Q194" s="4"/>
      <c r="R194" s="4"/>
      <c r="S194" s="4"/>
      <c r="T194" s="4"/>
      <c r="U194" s="4"/>
      <c r="V194" s="4"/>
    </row>
    <row r="195" spans="1:22">
      <c r="A195" s="4"/>
      <c r="B195" s="4"/>
      <c r="C195" s="4"/>
      <c r="D195" s="4"/>
      <c r="E195" s="4"/>
      <c r="F195" s="4"/>
      <c r="G195" s="4"/>
      <c r="H195" s="4"/>
      <c r="I195" s="4"/>
      <c r="J195" s="4"/>
      <c r="K195" s="4"/>
      <c r="L195" s="4"/>
      <c r="M195" s="4"/>
      <c r="N195" s="4"/>
      <c r="O195" s="4"/>
      <c r="P195" s="4"/>
      <c r="Q195" s="4"/>
      <c r="R195" s="4"/>
      <c r="S195" s="4"/>
      <c r="T195" s="4"/>
      <c r="U195" s="4"/>
      <c r="V195" s="4"/>
    </row>
    <row r="196" spans="1:22">
      <c r="A196" s="4"/>
      <c r="B196" s="4"/>
      <c r="C196" s="4"/>
      <c r="D196" s="4"/>
      <c r="E196" s="4"/>
      <c r="F196" s="4"/>
      <c r="G196" s="4"/>
      <c r="H196" s="4"/>
      <c r="I196" s="4"/>
      <c r="J196" s="4"/>
      <c r="K196" s="4"/>
      <c r="L196" s="4"/>
      <c r="M196" s="4"/>
      <c r="N196" s="4"/>
      <c r="O196" s="4"/>
      <c r="P196" s="4"/>
      <c r="Q196" s="4"/>
      <c r="R196" s="4"/>
      <c r="S196" s="4"/>
      <c r="T196" s="4"/>
      <c r="U196" s="4"/>
      <c r="V196" s="4"/>
    </row>
    <row r="197" spans="1:22">
      <c r="A197" s="4"/>
      <c r="B197" s="4"/>
      <c r="C197" s="4"/>
      <c r="D197" s="4"/>
      <c r="E197" s="4"/>
      <c r="F197" s="4"/>
      <c r="G197" s="4"/>
      <c r="H197" s="4"/>
      <c r="I197" s="4"/>
      <c r="J197" s="4"/>
      <c r="K197" s="4"/>
      <c r="L197" s="4"/>
      <c r="M197" s="4"/>
      <c r="N197" s="4"/>
      <c r="O197" s="4"/>
      <c r="P197" s="4"/>
      <c r="Q197" s="4"/>
      <c r="R197" s="4"/>
      <c r="S197" s="4"/>
      <c r="T197" s="4"/>
      <c r="U197" s="4"/>
      <c r="V197" s="4"/>
    </row>
    <row r="198" spans="1:22">
      <c r="A198" s="4"/>
      <c r="B198" s="4"/>
      <c r="C198" s="4"/>
      <c r="D198" s="4"/>
      <c r="E198" s="4"/>
      <c r="F198" s="4"/>
      <c r="G198" s="4"/>
      <c r="H198" s="4"/>
      <c r="I198" s="4"/>
      <c r="J198" s="4"/>
      <c r="K198" s="4"/>
      <c r="L198" s="4"/>
      <c r="M198" s="4"/>
      <c r="N198" s="4"/>
      <c r="O198" s="4"/>
      <c r="P198" s="4"/>
      <c r="Q198" s="4"/>
      <c r="R198" s="4"/>
      <c r="S198" s="4"/>
      <c r="T198" s="4"/>
      <c r="U198" s="4"/>
      <c r="V198" s="4"/>
    </row>
    <row r="199" spans="1:22">
      <c r="A199" s="4"/>
      <c r="B199" s="4"/>
      <c r="C199" s="4"/>
      <c r="D199" s="4"/>
      <c r="E199" s="4"/>
      <c r="F199" s="4"/>
      <c r="G199" s="4"/>
      <c r="H199" s="4"/>
      <c r="I199" s="4"/>
      <c r="J199" s="4"/>
      <c r="K199" s="4"/>
      <c r="L199" s="4"/>
      <c r="M199" s="4"/>
      <c r="N199" s="4"/>
      <c r="O199" s="4"/>
      <c r="P199" s="4"/>
      <c r="Q199" s="4"/>
      <c r="R199" s="4"/>
      <c r="S199" s="4"/>
      <c r="T199" s="4"/>
      <c r="U199" s="4"/>
      <c r="V199" s="4"/>
    </row>
    <row r="200" spans="1:22">
      <c r="A200" s="4"/>
      <c r="B200" s="4"/>
      <c r="C200" s="4"/>
      <c r="D200" s="4"/>
      <c r="E200" s="4"/>
      <c r="F200" s="4"/>
      <c r="G200" s="4"/>
      <c r="H200" s="4"/>
      <c r="I200" s="4"/>
      <c r="J200" s="4"/>
      <c r="K200" s="4"/>
      <c r="L200" s="4"/>
      <c r="M200" s="4"/>
      <c r="N200" s="4"/>
      <c r="O200" s="4"/>
      <c r="P200" s="4"/>
      <c r="Q200" s="4"/>
      <c r="R200" s="4"/>
      <c r="S200" s="4"/>
      <c r="T200" s="4"/>
      <c r="U200" s="4"/>
      <c r="V200" s="4"/>
    </row>
    <row r="201" spans="1:22">
      <c r="A201" s="4"/>
      <c r="B201" s="4"/>
      <c r="C201" s="4"/>
      <c r="D201" s="4"/>
      <c r="E201" s="4"/>
      <c r="F201" s="4"/>
      <c r="G201" s="4"/>
      <c r="H201" s="4"/>
      <c r="I201" s="4"/>
      <c r="J201" s="4"/>
      <c r="K201" s="4"/>
      <c r="L201" s="4"/>
      <c r="M201" s="4"/>
      <c r="N201" s="4"/>
      <c r="O201" s="4"/>
      <c r="P201" s="4"/>
      <c r="Q201" s="4"/>
      <c r="R201" s="4"/>
      <c r="S201" s="4"/>
      <c r="T201" s="4"/>
      <c r="U201" s="4"/>
      <c r="V201" s="4"/>
    </row>
    <row r="202" spans="1:22">
      <c r="A202" s="4"/>
      <c r="B202" s="4"/>
      <c r="C202" s="4"/>
      <c r="D202" s="4"/>
      <c r="E202" s="4"/>
      <c r="F202" s="4"/>
      <c r="G202" s="4"/>
      <c r="H202" s="4"/>
      <c r="I202" s="4"/>
      <c r="J202" s="4"/>
      <c r="K202" s="4"/>
      <c r="L202" s="4"/>
      <c r="M202" s="4"/>
      <c r="N202" s="4"/>
      <c r="O202" s="4"/>
      <c r="P202" s="4"/>
      <c r="Q202" s="4"/>
      <c r="R202" s="4"/>
      <c r="S202" s="4"/>
      <c r="T202" s="4"/>
      <c r="U202" s="4"/>
      <c r="V202" s="4"/>
    </row>
    <row r="203" spans="1:22">
      <c r="A203" s="4"/>
      <c r="B203" s="4"/>
      <c r="C203" s="4"/>
      <c r="D203" s="4"/>
      <c r="E203" s="4"/>
      <c r="F203" s="4"/>
      <c r="G203" s="4"/>
      <c r="H203" s="4"/>
      <c r="I203" s="4"/>
      <c r="J203" s="4"/>
      <c r="K203" s="4"/>
      <c r="L203" s="4"/>
      <c r="M203" s="4"/>
      <c r="N203" s="4"/>
      <c r="O203" s="4"/>
      <c r="P203" s="4"/>
      <c r="Q203" s="4"/>
      <c r="R203" s="4"/>
      <c r="S203" s="4"/>
      <c r="T203" s="4"/>
      <c r="U203" s="4"/>
      <c r="V203" s="4"/>
    </row>
    <row r="204" spans="1:22">
      <c r="A204" s="4"/>
      <c r="B204" s="4"/>
      <c r="C204" s="4"/>
      <c r="D204" s="4"/>
      <c r="E204" s="4"/>
      <c r="F204" s="4"/>
      <c r="G204" s="4"/>
      <c r="H204" s="4"/>
      <c r="I204" s="4"/>
      <c r="J204" s="4"/>
      <c r="K204" s="4"/>
      <c r="L204" s="4"/>
      <c r="M204" s="4"/>
      <c r="N204" s="4"/>
      <c r="O204" s="4"/>
      <c r="P204" s="4"/>
      <c r="Q204" s="4"/>
      <c r="R204" s="4"/>
      <c r="S204" s="4"/>
      <c r="T204" s="4"/>
      <c r="U204" s="4"/>
      <c r="V204" s="4"/>
    </row>
    <row r="205" spans="1:22">
      <c r="A205" s="4"/>
      <c r="B205" s="4"/>
      <c r="C205" s="4"/>
      <c r="D205" s="4"/>
      <c r="E205" s="4"/>
      <c r="F205" s="4"/>
      <c r="G205" s="4"/>
      <c r="H205" s="4"/>
      <c r="I205" s="4"/>
      <c r="J205" s="4"/>
      <c r="K205" s="4"/>
      <c r="L205" s="4"/>
      <c r="M205" s="4"/>
      <c r="N205" s="4"/>
      <c r="O205" s="4"/>
      <c r="P205" s="4"/>
      <c r="Q205" s="4"/>
      <c r="R205" s="4"/>
      <c r="S205" s="4"/>
      <c r="T205" s="4"/>
      <c r="U205" s="4"/>
      <c r="V205" s="4"/>
    </row>
    <row r="206" spans="1:22">
      <c r="A206" s="4"/>
      <c r="B206" s="4"/>
      <c r="C206" s="4"/>
      <c r="D206" s="4"/>
      <c r="E206" s="4"/>
      <c r="F206" s="4"/>
      <c r="G206" s="4"/>
      <c r="H206" s="4"/>
      <c r="I206" s="4"/>
      <c r="J206" s="4"/>
      <c r="K206" s="4"/>
      <c r="L206" s="4"/>
      <c r="M206" s="4"/>
      <c r="N206" s="4"/>
      <c r="O206" s="4"/>
      <c r="P206" s="4"/>
      <c r="Q206" s="4"/>
      <c r="R206" s="4"/>
      <c r="S206" s="4"/>
      <c r="T206" s="4"/>
      <c r="U206" s="4"/>
      <c r="V206" s="4"/>
    </row>
    <row r="207" spans="1:22">
      <c r="A207" s="4"/>
      <c r="B207" s="4"/>
      <c r="C207" s="4"/>
      <c r="D207" s="4"/>
      <c r="E207" s="4"/>
      <c r="F207" s="4"/>
      <c r="G207" s="4"/>
      <c r="H207" s="4"/>
      <c r="I207" s="4"/>
      <c r="J207" s="4"/>
      <c r="K207" s="4"/>
      <c r="L207" s="4"/>
      <c r="M207" s="4"/>
      <c r="N207" s="4"/>
      <c r="O207" s="4"/>
      <c r="P207" s="4"/>
      <c r="Q207" s="4"/>
      <c r="R207" s="4"/>
      <c r="S207" s="4"/>
      <c r="T207" s="4"/>
      <c r="U207" s="4"/>
      <c r="V207" s="4"/>
    </row>
    <row r="208" spans="1:22">
      <c r="A208" s="4"/>
      <c r="B208" s="4"/>
      <c r="C208" s="4"/>
      <c r="D208" s="4"/>
      <c r="E208" s="4"/>
      <c r="F208" s="4"/>
      <c r="G208" s="4"/>
      <c r="H208" s="4"/>
      <c r="I208" s="4"/>
      <c r="J208" s="4"/>
      <c r="K208" s="4"/>
      <c r="L208" s="4"/>
      <c r="M208" s="4"/>
      <c r="N208" s="4"/>
      <c r="O208" s="4"/>
      <c r="P208" s="4"/>
      <c r="Q208" s="4"/>
      <c r="R208" s="4"/>
      <c r="S208" s="4"/>
      <c r="T208" s="4"/>
      <c r="U208" s="4"/>
      <c r="V208" s="4"/>
    </row>
    <row r="209" spans="1:22">
      <c r="A209" s="4"/>
      <c r="B209" s="4"/>
      <c r="C209" s="4"/>
      <c r="D209" s="4"/>
      <c r="E209" s="4"/>
      <c r="F209" s="4"/>
      <c r="G209" s="4"/>
      <c r="H209" s="4"/>
      <c r="I209" s="4"/>
      <c r="J209" s="4"/>
      <c r="K209" s="4"/>
      <c r="L209" s="4"/>
      <c r="M209" s="4"/>
      <c r="N209" s="4"/>
      <c r="O209" s="4"/>
      <c r="P209" s="4"/>
      <c r="Q209" s="4"/>
      <c r="R209" s="4"/>
      <c r="S209" s="4"/>
      <c r="T209" s="4"/>
      <c r="U209" s="4"/>
      <c r="V209" s="4"/>
    </row>
    <row r="210" spans="1:22">
      <c r="A210" s="4"/>
      <c r="B210" s="4"/>
      <c r="C210" s="4"/>
      <c r="D210" s="4"/>
      <c r="E210" s="4"/>
      <c r="F210" s="4"/>
      <c r="G210" s="4"/>
      <c r="H210" s="4"/>
      <c r="I210" s="4"/>
      <c r="J210" s="4"/>
      <c r="K210" s="4"/>
      <c r="L210" s="4"/>
      <c r="M210" s="4"/>
      <c r="N210" s="4"/>
      <c r="O210" s="4"/>
      <c r="P210" s="4"/>
      <c r="Q210" s="4"/>
      <c r="R210" s="4"/>
      <c r="S210" s="4"/>
      <c r="T210" s="4"/>
      <c r="U210" s="4"/>
      <c r="V210" s="4"/>
    </row>
    <row r="211" spans="1:22">
      <c r="A211" s="4"/>
      <c r="B211" s="4"/>
      <c r="C211" s="4"/>
      <c r="D211" s="4"/>
      <c r="E211" s="4"/>
      <c r="F211" s="4"/>
      <c r="G211" s="4"/>
      <c r="H211" s="4"/>
      <c r="I211" s="4"/>
      <c r="J211" s="4"/>
      <c r="K211" s="4"/>
      <c r="L211" s="4"/>
      <c r="M211" s="4"/>
      <c r="N211" s="4"/>
      <c r="O211" s="4"/>
      <c r="P211" s="4"/>
      <c r="Q211" s="4"/>
      <c r="R211" s="4"/>
      <c r="S211" s="4"/>
      <c r="T211" s="4"/>
      <c r="U211" s="4"/>
      <c r="V211" s="4"/>
    </row>
    <row r="212" spans="1:22">
      <c r="A212" s="4"/>
      <c r="B212" s="4"/>
      <c r="C212" s="4"/>
      <c r="D212" s="4"/>
      <c r="E212" s="4"/>
      <c r="F212" s="4"/>
      <c r="G212" s="4"/>
      <c r="H212" s="4"/>
      <c r="I212" s="4"/>
      <c r="J212" s="4"/>
      <c r="K212" s="4"/>
      <c r="L212" s="4"/>
      <c r="M212" s="4"/>
      <c r="N212" s="4"/>
      <c r="O212" s="4"/>
      <c r="P212" s="4"/>
      <c r="Q212" s="4"/>
      <c r="R212" s="4"/>
      <c r="S212" s="4"/>
      <c r="T212" s="4"/>
      <c r="U212" s="4"/>
      <c r="V212" s="4"/>
    </row>
    <row r="213" spans="1:22">
      <c r="A213" s="4"/>
      <c r="B213" s="4"/>
      <c r="C213" s="4"/>
      <c r="D213" s="4"/>
      <c r="E213" s="4"/>
      <c r="F213" s="4"/>
      <c r="G213" s="4"/>
      <c r="H213" s="4"/>
      <c r="I213" s="4"/>
      <c r="J213" s="4"/>
      <c r="K213" s="4"/>
      <c r="L213" s="4"/>
      <c r="M213" s="4"/>
      <c r="N213" s="4"/>
      <c r="O213" s="4"/>
      <c r="P213" s="4"/>
      <c r="Q213" s="4"/>
      <c r="R213" s="4"/>
      <c r="S213" s="4"/>
      <c r="T213" s="4"/>
      <c r="U213" s="4"/>
      <c r="V213" s="4"/>
    </row>
    <row r="214" spans="1:22">
      <c r="A214" s="4"/>
      <c r="B214" s="4"/>
      <c r="C214" s="4"/>
      <c r="D214" s="4"/>
      <c r="E214" s="4"/>
      <c r="F214" s="4"/>
      <c r="G214" s="4"/>
      <c r="H214" s="4"/>
      <c r="I214" s="4"/>
      <c r="J214" s="4"/>
      <c r="K214" s="4"/>
      <c r="L214" s="4"/>
      <c r="M214" s="4"/>
      <c r="N214" s="4"/>
      <c r="O214" s="4"/>
      <c r="P214" s="4"/>
      <c r="Q214" s="4"/>
      <c r="R214" s="4"/>
      <c r="S214" s="4"/>
      <c r="T214" s="4"/>
      <c r="U214" s="4"/>
      <c r="V214" s="4"/>
    </row>
    <row r="215" spans="1:22">
      <c r="A215" s="4"/>
      <c r="B215" s="4"/>
      <c r="C215" s="4"/>
      <c r="D215" s="4"/>
      <c r="E215" s="4"/>
      <c r="F215" s="4"/>
      <c r="G215" s="4"/>
      <c r="H215" s="4"/>
      <c r="I215" s="4"/>
      <c r="J215" s="4"/>
      <c r="K215" s="4"/>
      <c r="L215" s="4"/>
      <c r="M215" s="4"/>
      <c r="N215" s="4"/>
      <c r="O215" s="4"/>
      <c r="P215" s="4"/>
      <c r="Q215" s="4"/>
      <c r="R215" s="4"/>
      <c r="S215" s="4"/>
      <c r="T215" s="4"/>
      <c r="U215" s="4"/>
      <c r="V215" s="4"/>
    </row>
    <row r="216" spans="1:22">
      <c r="A216" s="4"/>
      <c r="B216" s="4"/>
      <c r="C216" s="4"/>
      <c r="D216" s="4"/>
      <c r="E216" s="4"/>
      <c r="F216" s="4"/>
      <c r="G216" s="4"/>
      <c r="H216" s="4"/>
      <c r="I216" s="4"/>
      <c r="J216" s="4"/>
      <c r="K216" s="4"/>
      <c r="L216" s="4"/>
      <c r="M216" s="4"/>
      <c r="N216" s="4"/>
      <c r="O216" s="4"/>
      <c r="P216" s="4"/>
      <c r="Q216" s="4"/>
      <c r="R216" s="4"/>
      <c r="S216" s="4"/>
      <c r="T216" s="4"/>
      <c r="U216" s="4"/>
      <c r="V216" s="4"/>
    </row>
    <row r="217" spans="1:22">
      <c r="A217" s="4"/>
      <c r="B217" s="4"/>
      <c r="C217" s="4"/>
      <c r="D217" s="4"/>
      <c r="E217" s="4"/>
      <c r="F217" s="4"/>
      <c r="G217" s="4"/>
      <c r="H217" s="4"/>
      <c r="I217" s="4"/>
      <c r="J217" s="4"/>
      <c r="K217" s="4"/>
      <c r="L217" s="4"/>
      <c r="M217" s="4"/>
      <c r="N217" s="4"/>
      <c r="O217" s="4"/>
      <c r="P217" s="4"/>
      <c r="Q217" s="4"/>
      <c r="R217" s="4"/>
      <c r="S217" s="4"/>
      <c r="T217" s="4"/>
      <c r="U217" s="4"/>
      <c r="V217" s="4"/>
    </row>
    <row r="218" spans="1:22">
      <c r="A218" s="4"/>
      <c r="B218" s="4"/>
      <c r="C218" s="4"/>
      <c r="D218" s="4"/>
      <c r="E218" s="4"/>
      <c r="F218" s="4"/>
      <c r="G218" s="4"/>
      <c r="H218" s="4"/>
      <c r="I218" s="4"/>
      <c r="J218" s="4"/>
      <c r="K218" s="4"/>
      <c r="L218" s="4"/>
      <c r="M218" s="4"/>
      <c r="N218" s="4"/>
      <c r="O218" s="4"/>
      <c r="P218" s="4"/>
      <c r="Q218" s="4"/>
      <c r="R218" s="4"/>
      <c r="S218" s="4"/>
      <c r="T218" s="4"/>
      <c r="U218" s="4"/>
      <c r="V218" s="4"/>
    </row>
    <row r="219" spans="1:22">
      <c r="A219" s="4"/>
      <c r="B219" s="4"/>
      <c r="C219" s="4"/>
      <c r="D219" s="4"/>
      <c r="E219" s="4"/>
      <c r="F219" s="4"/>
      <c r="G219" s="4"/>
      <c r="H219" s="4"/>
      <c r="I219" s="4"/>
      <c r="J219" s="4"/>
      <c r="K219" s="4"/>
      <c r="L219" s="4"/>
      <c r="M219" s="4"/>
      <c r="N219" s="4"/>
      <c r="O219" s="4"/>
      <c r="P219" s="4"/>
      <c r="Q219" s="4"/>
      <c r="R219" s="4"/>
      <c r="S219" s="4"/>
      <c r="T219" s="4"/>
      <c r="U219" s="4"/>
      <c r="V219" s="4"/>
    </row>
    <row r="220" spans="1:22">
      <c r="A220" s="4"/>
      <c r="B220" s="4"/>
      <c r="C220" s="4"/>
      <c r="D220" s="4"/>
      <c r="E220" s="4"/>
      <c r="F220" s="4"/>
      <c r="G220" s="4"/>
      <c r="H220" s="4"/>
      <c r="I220" s="4"/>
      <c r="J220" s="4"/>
      <c r="K220" s="4"/>
      <c r="L220" s="4"/>
      <c r="M220" s="4"/>
      <c r="N220" s="4"/>
      <c r="O220" s="4"/>
      <c r="P220" s="4"/>
      <c r="Q220" s="4"/>
      <c r="R220" s="4"/>
      <c r="S220" s="4"/>
      <c r="T220" s="4"/>
      <c r="U220" s="4"/>
      <c r="V220" s="4"/>
    </row>
    <row r="221" spans="1:22">
      <c r="A221" s="4"/>
      <c r="B221" s="4"/>
      <c r="C221" s="4"/>
      <c r="D221" s="4"/>
      <c r="E221" s="4"/>
      <c r="F221" s="4"/>
      <c r="G221" s="4"/>
      <c r="H221" s="4"/>
      <c r="I221" s="4"/>
      <c r="J221" s="4"/>
      <c r="K221" s="4"/>
      <c r="L221" s="4"/>
      <c r="M221" s="4"/>
      <c r="N221" s="4"/>
      <c r="O221" s="4"/>
      <c r="P221" s="4"/>
      <c r="Q221" s="4"/>
      <c r="R221" s="4"/>
      <c r="S221" s="4"/>
      <c r="T221" s="4"/>
      <c r="U221" s="4"/>
      <c r="V221" s="4"/>
    </row>
    <row r="222" spans="1:22">
      <c r="A222" s="4"/>
      <c r="B222" s="4"/>
      <c r="C222" s="4"/>
      <c r="D222" s="4"/>
      <c r="E222" s="4"/>
      <c r="F222" s="4"/>
      <c r="G222" s="4"/>
      <c r="H222" s="4"/>
      <c r="I222" s="4"/>
      <c r="J222" s="4"/>
      <c r="K222" s="4"/>
      <c r="L222" s="4"/>
      <c r="M222" s="4"/>
      <c r="N222" s="4"/>
      <c r="O222" s="4"/>
      <c r="P222" s="4"/>
      <c r="Q222" s="4"/>
      <c r="R222" s="4"/>
      <c r="S222" s="4"/>
      <c r="T222" s="4"/>
      <c r="U222" s="4"/>
      <c r="V222" s="4"/>
    </row>
    <row r="223" spans="1:22">
      <c r="A223" s="4"/>
      <c r="B223" s="4"/>
      <c r="C223" s="4"/>
      <c r="D223" s="4"/>
      <c r="E223" s="4"/>
      <c r="F223" s="4"/>
      <c r="G223" s="4"/>
      <c r="H223" s="4"/>
      <c r="I223" s="4"/>
      <c r="J223" s="4"/>
      <c r="K223" s="4"/>
      <c r="L223" s="4"/>
      <c r="M223" s="4"/>
      <c r="N223" s="4"/>
      <c r="O223" s="4"/>
      <c r="P223" s="4"/>
      <c r="Q223" s="4"/>
      <c r="R223" s="4"/>
      <c r="S223" s="4"/>
      <c r="T223" s="4"/>
      <c r="U223" s="4"/>
      <c r="V223" s="4"/>
    </row>
    <row r="224" spans="1:22">
      <c r="A224" s="4"/>
      <c r="B224" s="4"/>
      <c r="C224" s="4"/>
      <c r="D224" s="4"/>
      <c r="E224" s="4"/>
      <c r="F224" s="4"/>
      <c r="G224" s="4"/>
      <c r="H224" s="4"/>
      <c r="I224" s="4"/>
      <c r="J224" s="4"/>
      <c r="K224" s="4"/>
      <c r="L224" s="4"/>
      <c r="M224" s="4"/>
      <c r="N224" s="4"/>
      <c r="O224" s="4"/>
      <c r="P224" s="4"/>
      <c r="Q224" s="4"/>
      <c r="R224" s="4"/>
      <c r="S224" s="4"/>
      <c r="T224" s="4"/>
      <c r="U224" s="4"/>
      <c r="V224" s="4"/>
    </row>
    <row r="225" spans="1:22">
      <c r="A225" s="4"/>
      <c r="B225" s="4"/>
      <c r="C225" s="4"/>
      <c r="D225" s="4"/>
      <c r="E225" s="4"/>
      <c r="F225" s="4"/>
      <c r="G225" s="4"/>
      <c r="H225" s="4"/>
      <c r="I225" s="4"/>
      <c r="J225" s="4"/>
      <c r="K225" s="4"/>
      <c r="L225" s="4"/>
      <c r="M225" s="4"/>
      <c r="N225" s="4"/>
      <c r="O225" s="4"/>
      <c r="P225" s="4"/>
      <c r="Q225" s="4"/>
      <c r="R225" s="4"/>
      <c r="S225" s="4"/>
      <c r="T225" s="4"/>
      <c r="U225" s="4"/>
      <c r="V225" s="4"/>
    </row>
    <row r="226" spans="1:22">
      <c r="A226" s="4"/>
      <c r="B226" s="4"/>
      <c r="C226" s="4"/>
      <c r="D226" s="4"/>
      <c r="E226" s="4"/>
      <c r="F226" s="4"/>
      <c r="G226" s="4"/>
      <c r="H226" s="4"/>
      <c r="I226" s="4"/>
      <c r="J226" s="4"/>
      <c r="K226" s="4"/>
      <c r="L226" s="4"/>
      <c r="M226" s="4"/>
      <c r="N226" s="4"/>
      <c r="O226" s="4"/>
      <c r="P226" s="4"/>
      <c r="Q226" s="4"/>
      <c r="R226" s="4"/>
      <c r="S226" s="4"/>
      <c r="T226" s="4"/>
      <c r="U226" s="4"/>
      <c r="V226" s="4"/>
    </row>
    <row r="227" spans="1:22">
      <c r="A227" s="4"/>
      <c r="B227" s="4"/>
      <c r="C227" s="4"/>
      <c r="D227" s="4"/>
      <c r="E227" s="4"/>
      <c r="F227" s="4"/>
      <c r="G227" s="4"/>
      <c r="H227" s="4"/>
      <c r="I227" s="4"/>
      <c r="J227" s="4"/>
      <c r="K227" s="4"/>
      <c r="L227" s="4"/>
      <c r="M227" s="4"/>
      <c r="N227" s="4"/>
      <c r="O227" s="4"/>
      <c r="P227" s="4"/>
      <c r="Q227" s="4"/>
      <c r="R227" s="4"/>
      <c r="S227" s="4"/>
      <c r="T227" s="4"/>
      <c r="U227" s="4"/>
      <c r="V227" s="4"/>
    </row>
    <row r="228" spans="1:22">
      <c r="A228" s="4"/>
      <c r="B228" s="4"/>
      <c r="C228" s="4"/>
      <c r="D228" s="4"/>
      <c r="E228" s="4"/>
      <c r="F228" s="4"/>
      <c r="G228" s="4"/>
      <c r="H228" s="4"/>
      <c r="I228" s="4"/>
      <c r="J228" s="4"/>
      <c r="K228" s="4"/>
      <c r="L228" s="4"/>
      <c r="M228" s="4"/>
      <c r="N228" s="4"/>
      <c r="O228" s="4"/>
      <c r="P228" s="4"/>
      <c r="Q228" s="4"/>
      <c r="R228" s="4"/>
      <c r="S228" s="4"/>
      <c r="T228" s="4"/>
      <c r="U228" s="4"/>
      <c r="V228" s="4"/>
    </row>
    <row r="229" spans="1:22">
      <c r="A229" s="4"/>
      <c r="B229" s="4"/>
      <c r="C229" s="4"/>
      <c r="D229" s="4"/>
      <c r="E229" s="4"/>
      <c r="F229" s="4"/>
      <c r="G229" s="4"/>
      <c r="H229" s="4"/>
      <c r="I229" s="4"/>
      <c r="J229" s="4"/>
      <c r="K229" s="4"/>
      <c r="L229" s="4"/>
      <c r="M229" s="4"/>
      <c r="N229" s="4"/>
      <c r="O229" s="4"/>
      <c r="P229" s="4"/>
      <c r="Q229" s="4"/>
      <c r="R229" s="4"/>
      <c r="S229" s="4"/>
      <c r="T229" s="4"/>
      <c r="U229" s="4"/>
      <c r="V229" s="4"/>
    </row>
    <row r="230" spans="1:22">
      <c r="A230" s="4"/>
      <c r="B230" s="4"/>
      <c r="C230" s="4"/>
      <c r="D230" s="4"/>
      <c r="E230" s="4"/>
      <c r="F230" s="4"/>
      <c r="G230" s="4"/>
      <c r="H230" s="4"/>
      <c r="I230" s="4"/>
      <c r="J230" s="4"/>
      <c r="K230" s="4"/>
      <c r="L230" s="4"/>
      <c r="M230" s="4"/>
      <c r="N230" s="4"/>
      <c r="O230" s="4"/>
      <c r="P230" s="4"/>
      <c r="Q230" s="4"/>
      <c r="R230" s="4"/>
      <c r="S230" s="4"/>
      <c r="T230" s="4"/>
      <c r="U230" s="4"/>
      <c r="V230" s="4"/>
    </row>
    <row r="231" spans="1:22">
      <c r="A231" s="4"/>
      <c r="B231" s="4"/>
      <c r="C231" s="4"/>
      <c r="D231" s="4"/>
      <c r="E231" s="4"/>
      <c r="F231" s="4"/>
      <c r="G231" s="4"/>
      <c r="H231" s="4"/>
      <c r="I231" s="4"/>
      <c r="J231" s="4"/>
      <c r="K231" s="4"/>
      <c r="L231" s="4"/>
      <c r="M231" s="4"/>
      <c r="N231" s="4"/>
      <c r="O231" s="4"/>
      <c r="P231" s="4"/>
      <c r="Q231" s="4"/>
      <c r="R231" s="4"/>
      <c r="S231" s="4"/>
      <c r="T231" s="4"/>
      <c r="U231" s="4"/>
      <c r="V231" s="4"/>
    </row>
    <row r="232" spans="1:22">
      <c r="A232" s="4"/>
      <c r="B232" s="4"/>
      <c r="C232" s="4"/>
      <c r="D232" s="4"/>
      <c r="E232" s="4"/>
      <c r="F232" s="4"/>
      <c r="G232" s="4"/>
      <c r="H232" s="4"/>
      <c r="I232" s="4"/>
      <c r="J232" s="4"/>
      <c r="K232" s="4"/>
      <c r="L232" s="4"/>
      <c r="M232" s="4"/>
      <c r="N232" s="4"/>
      <c r="O232" s="4"/>
      <c r="P232" s="4"/>
      <c r="Q232" s="4"/>
      <c r="R232" s="4"/>
      <c r="S232" s="4"/>
      <c r="T232" s="4"/>
      <c r="U232" s="4"/>
      <c r="V232" s="4"/>
    </row>
    <row r="233" spans="1:22">
      <c r="A233" s="4"/>
      <c r="B233" s="4"/>
      <c r="C233" s="4"/>
      <c r="D233" s="4"/>
      <c r="E233" s="4"/>
      <c r="F233" s="4"/>
      <c r="G233" s="4"/>
      <c r="H233" s="4"/>
      <c r="I233" s="4"/>
      <c r="J233" s="4"/>
      <c r="K233" s="4"/>
      <c r="L233" s="4"/>
      <c r="M233" s="4"/>
      <c r="N233" s="4"/>
      <c r="O233" s="4"/>
      <c r="P233" s="4"/>
      <c r="Q233" s="4"/>
      <c r="R233" s="4"/>
      <c r="S233" s="4"/>
      <c r="T233" s="4"/>
      <c r="U233" s="4"/>
      <c r="V233" s="4"/>
    </row>
  </sheetData>
  <mergeCells count="1">
    <mergeCell ref="B22:F22"/>
  </mergeCells>
  <printOptions horizontalCentered="1"/>
  <pageMargins left="0.75" right="0.75" top="1" bottom="1" header="0.5" footer="0.5"/>
  <pageSetup orientation="portrait" horizontalDpi="4294967292" verticalDpi="4294967292" r:id="rId1"/>
  <headerFooter alignWithMargins="0">
    <oddFooter>&amp;LRichard Bickings
&amp;D&amp;CPage &amp;P&amp;R&amp;F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1">
    <pageSetUpPr fitToPage="1"/>
  </sheetPr>
  <dimension ref="A1:K55"/>
  <sheetViews>
    <sheetView showGridLines="0" zoomScale="90" zoomScaleNormal="90" workbookViewId="0">
      <selection activeCell="F28" sqref="F28"/>
    </sheetView>
  </sheetViews>
  <sheetFormatPr defaultRowHeight="12.75"/>
  <cols>
    <col min="1" max="1" width="40.140625" style="180" customWidth="1"/>
    <col min="2" max="2" width="1.42578125" style="180" customWidth="1"/>
    <col min="3" max="4" width="17.7109375" style="180" customWidth="1"/>
    <col min="5" max="5" width="12.140625" style="180" customWidth="1"/>
    <col min="6" max="6" width="13.7109375" style="180" customWidth="1"/>
    <col min="7" max="7" width="9.140625" style="180"/>
    <col min="8" max="8" width="21.28515625" style="180" bestFit="1" customWidth="1"/>
    <col min="9" max="16384" width="9.140625" style="180"/>
  </cols>
  <sheetData>
    <row r="1" spans="1:11" s="509" customFormat="1" ht="15.75">
      <c r="A1" s="507" t="str">
        <f>Scope!$A$1</f>
        <v>Rochester Public Utilities LM6000 PC Power Project</v>
      </c>
      <c r="B1" s="508"/>
      <c r="C1" s="508"/>
      <c r="D1" s="508"/>
      <c r="E1" s="508"/>
      <c r="F1" s="508"/>
      <c r="G1" s="508" t="s">
        <v>1026</v>
      </c>
      <c r="H1" s="508"/>
    </row>
    <row r="2" spans="1:11" s="509" customFormat="1" ht="15.75">
      <c r="A2" s="720" t="s">
        <v>634</v>
      </c>
      <c r="B2" s="720"/>
      <c r="C2" s="720"/>
      <c r="D2" s="720"/>
      <c r="E2" s="720"/>
      <c r="F2" s="720"/>
      <c r="G2" s="510"/>
      <c r="H2" s="510"/>
      <c r="I2" s="508"/>
      <c r="J2" s="508"/>
      <c r="K2" s="508"/>
    </row>
    <row r="4" spans="1:11">
      <c r="I4" s="495"/>
    </row>
    <row r="5" spans="1:11">
      <c r="A5" s="511" t="s">
        <v>331</v>
      </c>
      <c r="B5" s="512"/>
      <c r="C5" s="513" t="s">
        <v>332</v>
      </c>
      <c r="D5" s="514" t="s">
        <v>333</v>
      </c>
      <c r="E5" s="512"/>
      <c r="F5" s="512"/>
      <c r="G5" s="515"/>
    </row>
    <row r="6" spans="1:11">
      <c r="A6" s="516"/>
      <c r="B6" s="517"/>
      <c r="C6" s="517"/>
      <c r="D6" s="518"/>
      <c r="E6" s="517"/>
      <c r="F6" s="517"/>
      <c r="G6" s="519"/>
    </row>
    <row r="7" spans="1:11">
      <c r="A7" s="511" t="s">
        <v>878</v>
      </c>
      <c r="B7" s="512"/>
      <c r="C7" s="512"/>
      <c r="D7" s="512"/>
      <c r="E7" s="512"/>
      <c r="F7" s="512"/>
      <c r="G7" s="515"/>
    </row>
    <row r="8" spans="1:11">
      <c r="A8" s="520" t="s">
        <v>334</v>
      </c>
      <c r="C8" s="521">
        <v>1</v>
      </c>
      <c r="D8" s="522" t="s">
        <v>335</v>
      </c>
      <c r="E8" s="180" t="s">
        <v>880</v>
      </c>
      <c r="F8" s="180" t="s">
        <v>336</v>
      </c>
      <c r="G8" s="523"/>
    </row>
    <row r="9" spans="1:11">
      <c r="A9" s="520" t="s">
        <v>337</v>
      </c>
      <c r="C9" s="521">
        <v>5</v>
      </c>
      <c r="D9" s="522" t="s">
        <v>335</v>
      </c>
      <c r="E9" s="180" t="s">
        <v>880</v>
      </c>
      <c r="F9" s="180" t="s">
        <v>336</v>
      </c>
      <c r="G9" s="523"/>
    </row>
    <row r="10" spans="1:11">
      <c r="A10" s="520" t="s">
        <v>338</v>
      </c>
      <c r="C10" s="521">
        <v>1</v>
      </c>
      <c r="D10" s="522" t="s">
        <v>335</v>
      </c>
      <c r="E10" s="180" t="s">
        <v>880</v>
      </c>
      <c r="F10" s="180" t="s">
        <v>336</v>
      </c>
      <c r="G10" s="523"/>
    </row>
    <row r="11" spans="1:11">
      <c r="A11" s="516"/>
      <c r="B11" s="517"/>
      <c r="C11" s="524"/>
      <c r="D11" s="517"/>
      <c r="E11" s="517"/>
      <c r="F11" s="517"/>
      <c r="G11" s="519"/>
    </row>
    <row r="12" spans="1:11">
      <c r="A12" s="511" t="s">
        <v>339</v>
      </c>
      <c r="B12" s="512"/>
      <c r="C12" s="525"/>
      <c r="D12" s="512"/>
      <c r="E12" s="512"/>
      <c r="F12" s="512"/>
      <c r="G12" s="515"/>
    </row>
    <row r="13" spans="1:11">
      <c r="A13" s="520" t="s">
        <v>340</v>
      </c>
      <c r="C13" s="521">
        <v>0.5</v>
      </c>
      <c r="D13" s="522" t="s">
        <v>335</v>
      </c>
      <c r="E13" s="180" t="s">
        <v>880</v>
      </c>
      <c r="F13" s="180" t="s">
        <v>341</v>
      </c>
      <c r="G13" s="523"/>
    </row>
    <row r="14" spans="1:11">
      <c r="A14" s="520" t="s">
        <v>342</v>
      </c>
      <c r="C14" s="521">
        <v>0.5</v>
      </c>
      <c r="D14" s="522" t="s">
        <v>335</v>
      </c>
      <c r="E14" s="180" t="s">
        <v>880</v>
      </c>
      <c r="F14" s="180" t="s">
        <v>341</v>
      </c>
      <c r="G14" s="523"/>
    </row>
    <row r="15" spans="1:11">
      <c r="A15" s="520" t="s">
        <v>343</v>
      </c>
      <c r="C15" s="521">
        <v>2</v>
      </c>
      <c r="D15" s="522" t="s">
        <v>335</v>
      </c>
      <c r="E15" s="180" t="s">
        <v>880</v>
      </c>
      <c r="F15" s="180" t="s">
        <v>341</v>
      </c>
      <c r="G15" s="523"/>
    </row>
    <row r="16" spans="1:11">
      <c r="A16" s="520" t="s">
        <v>344</v>
      </c>
      <c r="C16" s="521">
        <v>10</v>
      </c>
      <c r="D16" s="522" t="s">
        <v>335</v>
      </c>
      <c r="E16" s="180" t="s">
        <v>880</v>
      </c>
      <c r="F16" s="180" t="s">
        <v>345</v>
      </c>
      <c r="G16" s="523"/>
    </row>
    <row r="17" spans="1:11">
      <c r="A17" s="520" t="s">
        <v>346</v>
      </c>
      <c r="C17" s="521">
        <v>0</v>
      </c>
      <c r="D17" s="522" t="s">
        <v>335</v>
      </c>
      <c r="E17" s="180" t="s">
        <v>880</v>
      </c>
      <c r="F17" s="180" t="s">
        <v>341</v>
      </c>
      <c r="G17" s="523"/>
    </row>
    <row r="18" spans="1:11">
      <c r="A18" s="520" t="s">
        <v>347</v>
      </c>
      <c r="C18" s="521">
        <v>0</v>
      </c>
      <c r="D18" s="522" t="s">
        <v>335</v>
      </c>
      <c r="E18" s="180" t="s">
        <v>880</v>
      </c>
      <c r="F18" s="180" t="s">
        <v>341</v>
      </c>
      <c r="G18" s="523"/>
    </row>
    <row r="19" spans="1:11">
      <c r="A19" s="520" t="s">
        <v>406</v>
      </c>
      <c r="C19" s="521">
        <v>0</v>
      </c>
      <c r="D19" s="522" t="s">
        <v>335</v>
      </c>
      <c r="E19" s="180" t="s">
        <v>880</v>
      </c>
      <c r="F19" s="180" t="s">
        <v>341</v>
      </c>
      <c r="G19" s="523"/>
    </row>
    <row r="20" spans="1:11">
      <c r="A20" s="520" t="s">
        <v>407</v>
      </c>
      <c r="C20" s="521">
        <v>0</v>
      </c>
      <c r="D20" s="522" t="s">
        <v>335</v>
      </c>
      <c r="E20" s="180" t="s">
        <v>880</v>
      </c>
      <c r="F20" s="180" t="s">
        <v>345</v>
      </c>
      <c r="G20" s="523"/>
    </row>
    <row r="21" spans="1:11">
      <c r="A21" s="516"/>
      <c r="B21" s="517"/>
      <c r="C21" s="524"/>
      <c r="D21" s="526"/>
      <c r="E21" s="517"/>
      <c r="F21" s="517"/>
      <c r="G21" s="519"/>
    </row>
    <row r="22" spans="1:11">
      <c r="A22" s="511" t="s">
        <v>408</v>
      </c>
      <c r="B22" s="512"/>
      <c r="C22" s="525"/>
      <c r="D22" s="512"/>
      <c r="E22" s="512"/>
      <c r="F22" s="512"/>
      <c r="G22" s="515"/>
    </row>
    <row r="23" spans="1:11">
      <c r="A23" s="520" t="s">
        <v>409</v>
      </c>
      <c r="C23" s="527">
        <v>0</v>
      </c>
      <c r="D23" s="180" t="s">
        <v>410</v>
      </c>
      <c r="E23" s="180" t="s">
        <v>880</v>
      </c>
      <c r="F23" s="180" t="s">
        <v>411</v>
      </c>
      <c r="G23" s="523"/>
    </row>
    <row r="24" spans="1:11">
      <c r="A24" s="520" t="s">
        <v>412</v>
      </c>
      <c r="C24" s="527">
        <v>0</v>
      </c>
      <c r="D24" s="180" t="s">
        <v>410</v>
      </c>
      <c r="E24" s="180" t="s">
        <v>880</v>
      </c>
      <c r="F24" s="180" t="s">
        <v>411</v>
      </c>
      <c r="G24" s="523"/>
      <c r="I24" s="528"/>
      <c r="J24" s="528"/>
    </row>
    <row r="25" spans="1:11">
      <c r="A25" s="520"/>
      <c r="C25" s="521"/>
      <c r="G25" s="523"/>
    </row>
    <row r="26" spans="1:11" ht="6" customHeight="1">
      <c r="A26" s="529"/>
      <c r="B26" s="512"/>
      <c r="C26" s="525"/>
      <c r="D26" s="512"/>
      <c r="E26" s="512"/>
      <c r="F26" s="530"/>
      <c r="G26" s="515"/>
    </row>
    <row r="27" spans="1:11">
      <c r="A27" s="531" t="s">
        <v>413</v>
      </c>
      <c r="B27" s="517"/>
      <c r="C27" s="532">
        <f>SUM(C8:C24)</f>
        <v>20</v>
      </c>
      <c r="D27" s="533" t="s">
        <v>332</v>
      </c>
      <c r="E27" s="517"/>
      <c r="F27" s="534"/>
      <c r="G27" s="519"/>
    </row>
    <row r="28" spans="1:11">
      <c r="A28" s="529"/>
      <c r="B28" s="512"/>
      <c r="C28" s="512"/>
      <c r="D28" s="512"/>
      <c r="E28" s="512"/>
      <c r="F28" s="512"/>
      <c r="G28" s="535"/>
      <c r="I28" s="528"/>
      <c r="J28" s="528"/>
    </row>
    <row r="29" spans="1:11">
      <c r="A29" s="536"/>
      <c r="G29" s="537"/>
      <c r="I29" s="528"/>
      <c r="J29" s="528"/>
    </row>
    <row r="30" spans="1:11">
      <c r="A30" s="538"/>
      <c r="G30" s="523"/>
      <c r="H30" s="539"/>
      <c r="J30" s="528"/>
      <c r="K30" s="528"/>
    </row>
    <row r="31" spans="1:11">
      <c r="A31" s="538"/>
      <c r="G31" s="523"/>
      <c r="H31" s="539"/>
      <c r="J31" s="528"/>
      <c r="K31" s="528"/>
    </row>
    <row r="32" spans="1:11" s="545" customFormat="1" ht="15.75">
      <c r="A32" s="540" t="s">
        <v>414</v>
      </c>
      <c r="B32" s="541"/>
      <c r="C32" s="541"/>
      <c r="D32" s="541"/>
      <c r="E32" s="541"/>
      <c r="F32" s="542">
        <v>135500</v>
      </c>
      <c r="G32" s="543"/>
      <c r="H32" s="544"/>
    </row>
    <row r="33" spans="1:8">
      <c r="A33" s="529"/>
      <c r="B33" s="512"/>
      <c r="C33" s="512"/>
      <c r="D33" s="512"/>
      <c r="E33" s="512"/>
      <c r="F33" s="512"/>
      <c r="G33" s="515"/>
      <c r="H33" s="546"/>
    </row>
    <row r="34" spans="1:8">
      <c r="A34" s="520" t="s">
        <v>415</v>
      </c>
      <c r="C34" s="180" t="s">
        <v>416</v>
      </c>
      <c r="F34" s="547">
        <f>50*20*7</f>
        <v>7000</v>
      </c>
      <c r="G34" s="523"/>
      <c r="H34" s="546"/>
    </row>
    <row r="35" spans="1:8">
      <c r="A35" s="520" t="s">
        <v>451</v>
      </c>
      <c r="C35" s="180" t="s">
        <v>417</v>
      </c>
      <c r="F35" s="547">
        <f>125*12*7</f>
        <v>10500</v>
      </c>
      <c r="G35" s="523"/>
      <c r="H35" s="546"/>
    </row>
    <row r="36" spans="1:8">
      <c r="A36" s="520"/>
      <c r="C36" s="180" t="s">
        <v>418</v>
      </c>
      <c r="F36" s="547">
        <f>450*7</f>
        <v>3150</v>
      </c>
      <c r="G36" s="523"/>
      <c r="H36" s="546"/>
    </row>
    <row r="37" spans="1:8">
      <c r="A37" s="520" t="s">
        <v>419</v>
      </c>
      <c r="F37" s="547">
        <v>0</v>
      </c>
      <c r="G37" s="523"/>
      <c r="H37" s="546"/>
    </row>
    <row r="38" spans="1:8">
      <c r="A38" s="520" t="s">
        <v>1505</v>
      </c>
      <c r="C38" s="180" t="s">
        <v>420</v>
      </c>
      <c r="F38" s="547">
        <f>(75*50)+(75*40)</f>
        <v>6750</v>
      </c>
      <c r="G38" s="523"/>
      <c r="H38" s="546"/>
    </row>
    <row r="39" spans="1:8">
      <c r="A39" s="520" t="s">
        <v>421</v>
      </c>
      <c r="C39" s="180" t="s">
        <v>422</v>
      </c>
      <c r="F39" s="547">
        <f>500*5</f>
        <v>2500</v>
      </c>
      <c r="G39" s="523"/>
      <c r="H39" s="546"/>
    </row>
    <row r="40" spans="1:8">
      <c r="A40" s="520" t="s">
        <v>423</v>
      </c>
      <c r="F40" s="547"/>
      <c r="G40" s="523"/>
      <c r="H40" s="546"/>
    </row>
    <row r="41" spans="1:8">
      <c r="A41" s="520" t="s">
        <v>424</v>
      </c>
      <c r="C41" s="180" t="s">
        <v>425</v>
      </c>
      <c r="F41" s="547">
        <v>30000</v>
      </c>
      <c r="G41" s="523"/>
      <c r="H41" s="546"/>
    </row>
    <row r="42" spans="1:8">
      <c r="A42" s="520" t="s">
        <v>426</v>
      </c>
      <c r="C42" s="180" t="s">
        <v>427</v>
      </c>
      <c r="F42" s="547">
        <v>61150</v>
      </c>
      <c r="G42" s="523"/>
      <c r="H42" s="546"/>
    </row>
    <row r="43" spans="1:8">
      <c r="A43" s="520" t="s">
        <v>428</v>
      </c>
      <c r="C43" s="180" t="s">
        <v>429</v>
      </c>
      <c r="F43" s="547">
        <v>0</v>
      </c>
      <c r="G43" s="523"/>
      <c r="H43" s="546"/>
    </row>
    <row r="44" spans="1:8">
      <c r="A44" s="520" t="s">
        <v>430</v>
      </c>
      <c r="C44" s="548" t="s">
        <v>431</v>
      </c>
      <c r="D44" s="548"/>
      <c r="F44" s="549">
        <v>0</v>
      </c>
      <c r="G44" s="523"/>
      <c r="H44" s="546"/>
    </row>
    <row r="45" spans="1:8">
      <c r="A45" s="520" t="s">
        <v>432</v>
      </c>
      <c r="C45" s="550" t="s">
        <v>433</v>
      </c>
      <c r="F45" s="549">
        <v>0</v>
      </c>
      <c r="G45" s="523"/>
      <c r="H45" s="546"/>
    </row>
    <row r="46" spans="1:8">
      <c r="A46" s="520" t="s">
        <v>434</v>
      </c>
      <c r="C46" s="180" t="s">
        <v>435</v>
      </c>
      <c r="F46" s="549">
        <v>0</v>
      </c>
      <c r="G46" s="523"/>
      <c r="H46" s="546"/>
    </row>
    <row r="47" spans="1:8">
      <c r="A47" s="520" t="s">
        <v>436</v>
      </c>
      <c r="C47" s="180" t="s">
        <v>437</v>
      </c>
      <c r="F47" s="549">
        <f>1500+(40*75)</f>
        <v>4500</v>
      </c>
      <c r="G47" s="523"/>
      <c r="H47" s="546"/>
    </row>
    <row r="48" spans="1:8">
      <c r="A48" s="520" t="s">
        <v>438</v>
      </c>
      <c r="C48" s="180" t="s">
        <v>439</v>
      </c>
      <c r="D48" s="551"/>
      <c r="F48" s="549">
        <v>0</v>
      </c>
      <c r="G48" s="523"/>
      <c r="H48" s="546"/>
    </row>
    <row r="49" spans="1:8">
      <c r="A49" s="520" t="s">
        <v>440</v>
      </c>
      <c r="C49" s="180" t="s">
        <v>443</v>
      </c>
      <c r="D49" s="551"/>
      <c r="F49" s="549">
        <f>SUM(F34:F48)*0.05</f>
        <v>6277.5</v>
      </c>
      <c r="G49" s="523"/>
      <c r="H49" s="546"/>
    </row>
    <row r="50" spans="1:8">
      <c r="A50" s="520"/>
      <c r="G50" s="523"/>
      <c r="H50" s="546"/>
    </row>
    <row r="51" spans="1:8" s="545" customFormat="1" ht="15.75">
      <c r="A51" s="540" t="s">
        <v>970</v>
      </c>
      <c r="B51" s="541"/>
      <c r="C51" s="541"/>
      <c r="D51" s="541"/>
      <c r="E51" s="541"/>
      <c r="F51" s="552">
        <f>SUM(F34:F50)</f>
        <v>131827.5</v>
      </c>
      <c r="G51" s="543"/>
      <c r="H51" s="544"/>
    </row>
    <row r="52" spans="1:8">
      <c r="B52" s="180" t="s">
        <v>1026</v>
      </c>
      <c r="H52" s="546"/>
    </row>
    <row r="55" spans="1:8">
      <c r="A55" s="180" t="s">
        <v>780</v>
      </c>
    </row>
  </sheetData>
  <mergeCells count="1">
    <mergeCell ref="A2:F2"/>
  </mergeCells>
  <printOptions horizontalCentered="1"/>
  <pageMargins left="0.5" right="0.5" top="0.75" bottom="1" header="0.5" footer="0.5"/>
  <pageSetup scale="87" firstPageNumber="34" orientation="portrait" blackAndWhite="1" horizontalDpi="4294967292" verticalDpi="4294967292" r:id="rId1"/>
  <headerFooter alignWithMargins="0">
    <oddFooter>&amp;LOEC Training Plan
Gleason, TN&amp;CCost Detail&amp;RRegan
&amp;D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76"/>
  <sheetViews>
    <sheetView topLeftCell="A23" zoomScale="75" zoomScaleNormal="25" zoomScaleSheetLayoutView="100" workbookViewId="0">
      <selection activeCell="B73" sqref="B73"/>
    </sheetView>
  </sheetViews>
  <sheetFormatPr defaultRowHeight="12.75"/>
  <cols>
    <col min="8" max="9" width="11" customWidth="1"/>
    <col min="10" max="10" width="7.28515625" customWidth="1"/>
    <col min="11" max="11" width="10.28515625" customWidth="1"/>
  </cols>
  <sheetData>
    <row r="1" spans="1:12" s="92" customFormat="1" ht="15.75">
      <c r="A1" s="181" t="str">
        <f>Scope!A1</f>
        <v>Rochester Public Utilities LM6000 PC Power Project</v>
      </c>
      <c r="B1" s="89"/>
      <c r="C1" s="89"/>
      <c r="D1" s="89"/>
      <c r="E1" s="89"/>
      <c r="F1" s="89"/>
      <c r="G1" s="89"/>
      <c r="H1" s="89"/>
      <c r="I1" s="89"/>
      <c r="J1" s="89"/>
      <c r="K1" s="89"/>
      <c r="L1" s="89"/>
    </row>
    <row r="2" spans="1:12" s="92" customFormat="1" ht="15.75">
      <c r="A2" s="135" t="s">
        <v>634</v>
      </c>
      <c r="B2" s="89"/>
      <c r="C2" s="89"/>
      <c r="D2" s="89"/>
      <c r="E2" s="89"/>
      <c r="F2" s="89"/>
      <c r="G2" s="89"/>
      <c r="H2" s="89"/>
      <c r="I2" s="89"/>
      <c r="J2" s="89"/>
      <c r="K2" s="89"/>
    </row>
    <row r="4" spans="1:12">
      <c r="I4" s="90"/>
    </row>
    <row r="5" spans="1:12" ht="13.5" thickBot="1">
      <c r="I5" s="440" t="s">
        <v>778</v>
      </c>
    </row>
    <row r="6" spans="1:12">
      <c r="I6" s="441"/>
    </row>
    <row r="7" spans="1:12">
      <c r="A7" s="90" t="s">
        <v>878</v>
      </c>
    </row>
    <row r="8" spans="1:12">
      <c r="B8" t="s">
        <v>879</v>
      </c>
      <c r="I8" s="442">
        <f>1/5</f>
        <v>0.2</v>
      </c>
      <c r="K8" t="s">
        <v>880</v>
      </c>
      <c r="L8" t="s">
        <v>881</v>
      </c>
    </row>
    <row r="9" spans="1:12">
      <c r="B9" t="s">
        <v>882</v>
      </c>
      <c r="I9" s="442">
        <f>1/5</f>
        <v>0.2</v>
      </c>
      <c r="K9" t="s">
        <v>880</v>
      </c>
      <c r="L9" t="s">
        <v>881</v>
      </c>
    </row>
    <row r="10" spans="1:12">
      <c r="B10" t="s">
        <v>883</v>
      </c>
      <c r="I10" s="442">
        <f>20/5</f>
        <v>4</v>
      </c>
      <c r="K10" t="s">
        <v>880</v>
      </c>
      <c r="L10" t="s">
        <v>881</v>
      </c>
    </row>
    <row r="11" spans="1:12">
      <c r="I11" s="442"/>
    </row>
    <row r="12" spans="1:12">
      <c r="I12" s="442"/>
    </row>
    <row r="13" spans="1:12">
      <c r="A13" s="90" t="s">
        <v>1496</v>
      </c>
      <c r="I13" s="442"/>
    </row>
    <row r="14" spans="1:12">
      <c r="A14" s="90"/>
      <c r="B14" t="s">
        <v>884</v>
      </c>
      <c r="I14" s="442">
        <f>1/5</f>
        <v>0.2</v>
      </c>
      <c r="K14" t="s">
        <v>880</v>
      </c>
      <c r="L14" t="s">
        <v>881</v>
      </c>
    </row>
    <row r="15" spans="1:12">
      <c r="A15" s="90"/>
      <c r="B15" t="s">
        <v>885</v>
      </c>
      <c r="I15" s="442">
        <f>1/5</f>
        <v>0.2</v>
      </c>
      <c r="K15" t="s">
        <v>880</v>
      </c>
      <c r="L15" t="s">
        <v>881</v>
      </c>
    </row>
    <row r="16" spans="1:12" hidden="1">
      <c r="A16" s="90"/>
      <c r="B16" t="s">
        <v>886</v>
      </c>
      <c r="I16" s="442">
        <v>0</v>
      </c>
      <c r="K16" t="s">
        <v>880</v>
      </c>
      <c r="L16" t="s">
        <v>1392</v>
      </c>
    </row>
    <row r="17" spans="1:12" hidden="1">
      <c r="A17" s="90"/>
      <c r="B17" t="s">
        <v>887</v>
      </c>
      <c r="I17" s="442">
        <v>0</v>
      </c>
      <c r="K17" t="s">
        <v>880</v>
      </c>
      <c r="L17" t="s">
        <v>1392</v>
      </c>
    </row>
    <row r="18" spans="1:12">
      <c r="A18" s="90"/>
      <c r="I18" s="442"/>
    </row>
    <row r="19" spans="1:12">
      <c r="A19" s="90" t="s">
        <v>888</v>
      </c>
      <c r="I19" s="442"/>
    </row>
    <row r="20" spans="1:12">
      <c r="A20" s="90"/>
      <c r="B20" t="s">
        <v>889</v>
      </c>
      <c r="I20" s="442">
        <f>5/5</f>
        <v>1</v>
      </c>
      <c r="K20" t="s">
        <v>880</v>
      </c>
      <c r="L20" t="s">
        <v>881</v>
      </c>
    </row>
    <row r="21" spans="1:12" hidden="1">
      <c r="B21" t="s">
        <v>928</v>
      </c>
      <c r="I21" s="442">
        <v>0</v>
      </c>
      <c r="K21" t="s">
        <v>880</v>
      </c>
      <c r="L21" t="s">
        <v>1392</v>
      </c>
    </row>
    <row r="22" spans="1:12" hidden="1">
      <c r="B22" t="s">
        <v>929</v>
      </c>
      <c r="I22" s="442">
        <v>0</v>
      </c>
      <c r="K22" t="s">
        <v>880</v>
      </c>
      <c r="L22" t="s">
        <v>1392</v>
      </c>
    </row>
    <row r="23" spans="1:12">
      <c r="I23" s="442"/>
    </row>
    <row r="24" spans="1:12">
      <c r="I24" s="443"/>
    </row>
    <row r="25" spans="1:12">
      <c r="A25" s="90" t="s">
        <v>930</v>
      </c>
      <c r="I25" s="443"/>
    </row>
    <row r="26" spans="1:12" hidden="1">
      <c r="B26" t="s">
        <v>931</v>
      </c>
      <c r="K26" t="s">
        <v>880</v>
      </c>
      <c r="L26" t="s">
        <v>1392</v>
      </c>
    </row>
    <row r="27" spans="1:12" hidden="1">
      <c r="B27" t="s">
        <v>932</v>
      </c>
      <c r="I27" s="442" t="s">
        <v>1026</v>
      </c>
      <c r="K27" t="s">
        <v>880</v>
      </c>
      <c r="L27" t="s">
        <v>1392</v>
      </c>
    </row>
    <row r="28" spans="1:12">
      <c r="B28" t="s">
        <v>933</v>
      </c>
      <c r="I28" s="444" t="s">
        <v>1026</v>
      </c>
      <c r="K28" t="s">
        <v>880</v>
      </c>
      <c r="L28" t="s">
        <v>881</v>
      </c>
    </row>
    <row r="29" spans="1:12">
      <c r="I29" s="442">
        <f>1/5</f>
        <v>0.2</v>
      </c>
    </row>
    <row r="30" spans="1:12">
      <c r="I30" s="442"/>
    </row>
    <row r="31" spans="1:12">
      <c r="I31" s="442"/>
    </row>
    <row r="32" spans="1:12">
      <c r="A32" s="90" t="s">
        <v>934</v>
      </c>
      <c r="I32" s="442"/>
    </row>
    <row r="33" spans="1:12">
      <c r="B33" t="s">
        <v>935</v>
      </c>
      <c r="I33" s="442"/>
      <c r="K33" t="s">
        <v>880</v>
      </c>
      <c r="L33" t="s">
        <v>881</v>
      </c>
    </row>
    <row r="34" spans="1:12" hidden="1">
      <c r="B34" t="s">
        <v>936</v>
      </c>
      <c r="I34" s="442" t="s">
        <v>1026</v>
      </c>
      <c r="K34" t="s">
        <v>880</v>
      </c>
      <c r="L34" t="s">
        <v>1392</v>
      </c>
    </row>
    <row r="35" spans="1:12">
      <c r="B35" t="s">
        <v>984</v>
      </c>
      <c r="I35" s="443" t="s">
        <v>1026</v>
      </c>
      <c r="K35" t="s">
        <v>880</v>
      </c>
      <c r="L35" t="s">
        <v>881</v>
      </c>
    </row>
    <row r="36" spans="1:12">
      <c r="I36" s="442">
        <f>3/5</f>
        <v>0.6</v>
      </c>
    </row>
    <row r="37" spans="1:12">
      <c r="I37" s="442"/>
    </row>
    <row r="38" spans="1:12">
      <c r="A38" s="90" t="s">
        <v>937</v>
      </c>
      <c r="I38" s="442"/>
    </row>
    <row r="39" spans="1:12" hidden="1">
      <c r="B39" t="s">
        <v>938</v>
      </c>
      <c r="I39" s="442">
        <v>0</v>
      </c>
      <c r="K39" t="s">
        <v>880</v>
      </c>
      <c r="L39" t="s">
        <v>1392</v>
      </c>
    </row>
    <row r="40" spans="1:12" hidden="1">
      <c r="B40" t="s">
        <v>939</v>
      </c>
      <c r="I40" s="444">
        <v>0</v>
      </c>
      <c r="K40" t="s">
        <v>880</v>
      </c>
      <c r="L40" t="s">
        <v>1392</v>
      </c>
    </row>
    <row r="41" spans="1:12">
      <c r="B41" t="s">
        <v>940</v>
      </c>
      <c r="I41" s="444">
        <f>5/5</f>
        <v>1</v>
      </c>
      <c r="K41" t="s">
        <v>880</v>
      </c>
      <c r="L41" t="s">
        <v>881</v>
      </c>
    </row>
    <row r="42" spans="1:12">
      <c r="I42" s="442"/>
    </row>
    <row r="43" spans="1:12">
      <c r="I43" s="442"/>
    </row>
    <row r="44" spans="1:12">
      <c r="A44" s="90" t="s">
        <v>941</v>
      </c>
      <c r="I44" s="442"/>
    </row>
    <row r="45" spans="1:12">
      <c r="B45" t="s">
        <v>942</v>
      </c>
      <c r="I45" s="442">
        <f>1/5</f>
        <v>0.2</v>
      </c>
      <c r="K45" t="s">
        <v>880</v>
      </c>
      <c r="L45" t="s">
        <v>881</v>
      </c>
    </row>
    <row r="46" spans="1:12" hidden="1">
      <c r="B46" t="s">
        <v>943</v>
      </c>
      <c r="I46" s="442">
        <v>0</v>
      </c>
      <c r="K46" t="s">
        <v>880</v>
      </c>
      <c r="L46" t="s">
        <v>1392</v>
      </c>
    </row>
    <row r="47" spans="1:12">
      <c r="B47" t="s">
        <v>944</v>
      </c>
      <c r="I47" s="442">
        <f>1/5</f>
        <v>0.2</v>
      </c>
      <c r="K47" t="s">
        <v>880</v>
      </c>
      <c r="L47" t="s">
        <v>881</v>
      </c>
    </row>
    <row r="48" spans="1:12">
      <c r="B48" t="s">
        <v>945</v>
      </c>
      <c r="I48" s="444">
        <f>1/5</f>
        <v>0.2</v>
      </c>
      <c r="K48" t="s">
        <v>880</v>
      </c>
      <c r="L48" t="s">
        <v>881</v>
      </c>
    </row>
    <row r="49" spans="1:12">
      <c r="B49" t="s">
        <v>946</v>
      </c>
      <c r="I49">
        <f>1/5</f>
        <v>0.2</v>
      </c>
      <c r="K49" t="s">
        <v>880</v>
      </c>
      <c r="L49" t="s">
        <v>881</v>
      </c>
    </row>
    <row r="52" spans="1:12" ht="13.5" thickBot="1">
      <c r="I52" s="445"/>
      <c r="J52" s="446"/>
      <c r="K52" s="205"/>
    </row>
    <row r="53" spans="1:12">
      <c r="A53" s="90" t="s">
        <v>947</v>
      </c>
      <c r="I53" s="442">
        <f>SUM(I8:I49)</f>
        <v>8.3999999999999986</v>
      </c>
      <c r="J53" s="446"/>
      <c r="K53" s="446"/>
    </row>
    <row r="54" spans="1:12">
      <c r="I54" s="442"/>
      <c r="J54" s="442"/>
      <c r="K54" s="205"/>
    </row>
    <row r="55" spans="1:12">
      <c r="I55" s="442"/>
      <c r="J55" s="442"/>
      <c r="K55" s="205"/>
    </row>
    <row r="56" spans="1:12">
      <c r="A56" t="s">
        <v>948</v>
      </c>
      <c r="I56" s="447">
        <v>12800</v>
      </c>
      <c r="J56" s="442"/>
      <c r="K56" s="205"/>
    </row>
    <row r="57" spans="1:12">
      <c r="A57" t="s">
        <v>949</v>
      </c>
      <c r="I57" s="447">
        <v>48000</v>
      </c>
      <c r="J57" s="442"/>
      <c r="K57" s="448"/>
    </row>
    <row r="58" spans="1:12">
      <c r="A58" t="s">
        <v>950</v>
      </c>
      <c r="I58" s="447">
        <v>148000</v>
      </c>
      <c r="J58" s="442"/>
      <c r="K58" s="448"/>
    </row>
    <row r="59" spans="1:12">
      <c r="A59" t="s">
        <v>951</v>
      </c>
      <c r="I59" s="447">
        <v>26180</v>
      </c>
      <c r="J59" s="442"/>
      <c r="K59" s="448"/>
    </row>
    <row r="60" spans="1:12">
      <c r="A60" t="s">
        <v>967</v>
      </c>
      <c r="I60" s="447">
        <v>96800</v>
      </c>
      <c r="J60" s="442"/>
      <c r="K60" s="205"/>
    </row>
    <row r="61" spans="1:12">
      <c r="A61" t="s">
        <v>968</v>
      </c>
      <c r="I61" s="449">
        <v>60000</v>
      </c>
      <c r="J61" s="442"/>
      <c r="K61" s="205"/>
    </row>
    <row r="62" spans="1:12">
      <c r="A62" t="s">
        <v>969</v>
      </c>
      <c r="I62" s="447">
        <v>48251</v>
      </c>
      <c r="J62" s="442"/>
      <c r="K62" s="450"/>
    </row>
    <row r="63" spans="1:12">
      <c r="I63" s="442"/>
      <c r="J63" s="442"/>
      <c r="K63" s="451"/>
    </row>
    <row r="64" spans="1:12">
      <c r="A64" s="90" t="s">
        <v>970</v>
      </c>
      <c r="I64" s="447">
        <f>SUM(I56:I63)</f>
        <v>440031</v>
      </c>
      <c r="J64" s="446"/>
      <c r="K64" s="205">
        <f>SUM(K56:K62)+K53</f>
        <v>0</v>
      </c>
    </row>
    <row r="66" spans="1:10">
      <c r="A66" s="90" t="s">
        <v>971</v>
      </c>
      <c r="B66" s="90"/>
      <c r="C66" s="90"/>
      <c r="D66" s="90"/>
      <c r="H66" s="136" t="s">
        <v>972</v>
      </c>
      <c r="I66" s="136" t="s">
        <v>973</v>
      </c>
      <c r="J66" s="136" t="s">
        <v>974</v>
      </c>
    </row>
    <row r="67" spans="1:10">
      <c r="G67" s="441" t="s">
        <v>975</v>
      </c>
      <c r="H67" s="441" t="s">
        <v>702</v>
      </c>
      <c r="I67" s="441" t="s">
        <v>702</v>
      </c>
      <c r="J67" s="441" t="s">
        <v>772</v>
      </c>
    </row>
    <row r="68" spans="1:10">
      <c r="A68" t="s">
        <v>976</v>
      </c>
      <c r="B68" t="s">
        <v>977</v>
      </c>
      <c r="G68">
        <v>1</v>
      </c>
      <c r="H68" t="s">
        <v>1026</v>
      </c>
      <c r="I68" s="442" t="s">
        <v>1026</v>
      </c>
      <c r="J68">
        <v>7</v>
      </c>
    </row>
    <row r="69" spans="1:10" hidden="1">
      <c r="A69" t="s">
        <v>978</v>
      </c>
      <c r="B69" t="s">
        <v>979</v>
      </c>
      <c r="G69">
        <v>4</v>
      </c>
      <c r="H69" s="442">
        <f>SUM(I53)</f>
        <v>8.3999999999999986</v>
      </c>
      <c r="I69" s="442" t="s">
        <v>1026</v>
      </c>
      <c r="J69">
        <v>6</v>
      </c>
    </row>
    <row r="70" spans="1:10" hidden="1">
      <c r="A70" t="s">
        <v>980</v>
      </c>
      <c r="B70" t="s">
        <v>981</v>
      </c>
      <c r="G70">
        <v>0</v>
      </c>
      <c r="H70" t="s">
        <v>1026</v>
      </c>
      <c r="I70" s="442" t="s">
        <v>1026</v>
      </c>
      <c r="J70" t="s">
        <v>1026</v>
      </c>
    </row>
    <row r="71" spans="1:10">
      <c r="A71" t="s">
        <v>978</v>
      </c>
      <c r="B71" t="s">
        <v>323</v>
      </c>
      <c r="G71">
        <v>5</v>
      </c>
      <c r="H71" s="442">
        <f>SUM(I53)</f>
        <v>8.3999999999999986</v>
      </c>
      <c r="I71" s="442" t="s">
        <v>1026</v>
      </c>
      <c r="J71">
        <v>4</v>
      </c>
    </row>
    <row r="72" spans="1:10" hidden="1">
      <c r="A72" t="s">
        <v>982</v>
      </c>
      <c r="B72" t="s">
        <v>983</v>
      </c>
      <c r="G72">
        <v>0</v>
      </c>
      <c r="H72" t="s">
        <v>1026</v>
      </c>
      <c r="I72" s="442" t="s">
        <v>1026</v>
      </c>
      <c r="J72">
        <v>4</v>
      </c>
    </row>
    <row r="73" spans="1:10">
      <c r="B73" t="s">
        <v>1026</v>
      </c>
    </row>
    <row r="76" spans="1:10">
      <c r="A76" t="s">
        <v>780</v>
      </c>
    </row>
  </sheetData>
  <printOptions horizontalCentered="1"/>
  <pageMargins left="0.75" right="0.75" top="1" bottom="1" header="0.5" footer="0.5"/>
  <pageSetup scale="74" firstPageNumber="34" orientation="portrait" horizontalDpi="4294967292" verticalDpi="4294967292" r:id="rId1"/>
  <headerFooter alignWithMargins="0">
    <oddFooter>&amp;L&amp;12Richard Bickings
&amp;D&amp;CPage &amp;P&amp;R&amp;12&amp;F
&amp;A</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55"/>
  <sheetViews>
    <sheetView zoomScale="75" workbookViewId="0">
      <selection activeCell="B58" sqref="B58"/>
    </sheetView>
  </sheetViews>
  <sheetFormatPr defaultRowHeight="12.75"/>
  <cols>
    <col min="1" max="1" width="42.28515625" customWidth="1"/>
    <col min="2" max="2" width="10.5703125" customWidth="1"/>
    <col min="3" max="3" width="10" customWidth="1"/>
    <col min="4" max="4" width="9.7109375" customWidth="1"/>
    <col min="5" max="5" width="8.28515625" customWidth="1"/>
    <col min="6" max="6" width="10.85546875" customWidth="1"/>
    <col min="8" max="10" width="9.7109375" customWidth="1"/>
    <col min="11" max="11" width="10.85546875" customWidth="1"/>
    <col min="12" max="12" width="12.140625" customWidth="1"/>
    <col min="14" max="14" width="16.7109375" bestFit="1" customWidth="1"/>
    <col min="15" max="15" width="18.7109375" customWidth="1"/>
    <col min="16" max="16" width="12.28515625" bestFit="1" customWidth="1"/>
    <col min="17" max="17" width="14.85546875" bestFit="1" customWidth="1"/>
    <col min="19" max="19" width="12.28515625" bestFit="1" customWidth="1"/>
  </cols>
  <sheetData>
    <row r="1" spans="1:13" ht="15.75">
      <c r="A1" s="1" t="str">
        <f>Scope!A1</f>
        <v>Rochester Public Utilities LM6000 PC Power Project</v>
      </c>
      <c r="B1" s="1"/>
      <c r="C1" s="1"/>
      <c r="D1" s="1"/>
      <c r="E1" s="1"/>
      <c r="F1" s="1"/>
      <c r="G1" s="1"/>
      <c r="H1" s="1"/>
      <c r="I1" s="1"/>
      <c r="J1" s="1"/>
      <c r="K1" s="1"/>
      <c r="L1" s="1"/>
    </row>
    <row r="2" spans="1:13" ht="15.75">
      <c r="A2" s="295" t="s">
        <v>507</v>
      </c>
      <c r="B2" s="295"/>
      <c r="C2" s="295"/>
      <c r="D2" s="295"/>
      <c r="E2" s="295"/>
      <c r="F2" s="295"/>
      <c r="G2" s="295"/>
      <c r="H2" s="295"/>
      <c r="I2" s="295"/>
      <c r="J2" s="295"/>
      <c r="K2" s="295"/>
      <c r="L2" s="295"/>
    </row>
    <row r="3" spans="1:13">
      <c r="A3" s="226"/>
      <c r="B3" s="89"/>
      <c r="C3" s="89"/>
      <c r="D3" s="89"/>
      <c r="E3" s="89"/>
      <c r="F3" s="89"/>
    </row>
    <row r="4" spans="1:13" ht="27.75" customHeight="1">
      <c r="A4" s="226"/>
      <c r="B4" s="89"/>
      <c r="C4" s="89"/>
      <c r="D4" s="89"/>
      <c r="E4" s="89"/>
      <c r="F4" s="89"/>
    </row>
    <row r="5" spans="1:13" hidden="1">
      <c r="A5" s="3"/>
      <c r="B5" s="674"/>
      <c r="C5" s="3"/>
      <c r="D5" s="3"/>
      <c r="E5" s="674"/>
      <c r="F5" s="3"/>
      <c r="G5" s="3"/>
      <c r="H5" s="3"/>
      <c r="I5" s="3"/>
      <c r="J5" s="3"/>
      <c r="K5" s="3"/>
      <c r="L5" s="3"/>
      <c r="M5" s="4"/>
    </row>
    <row r="6" spans="1:13" hidden="1">
      <c r="A6" s="3"/>
      <c r="B6" s="674"/>
      <c r="C6" s="3"/>
      <c r="D6" s="3"/>
      <c r="E6" s="674"/>
      <c r="F6" s="3"/>
      <c r="G6" s="3"/>
      <c r="H6" s="3"/>
      <c r="I6" s="3"/>
      <c r="J6" s="3"/>
      <c r="K6" s="3"/>
      <c r="L6" s="3"/>
      <c r="M6" s="4"/>
    </row>
    <row r="7" spans="1:13" hidden="1">
      <c r="A7" s="3" t="s">
        <v>1183</v>
      </c>
      <c r="B7" s="674" t="s">
        <v>1184</v>
      </c>
      <c r="C7" s="3" t="s">
        <v>681</v>
      </c>
      <c r="D7" s="3"/>
      <c r="E7" s="674"/>
      <c r="F7" s="3"/>
      <c r="G7" s="3"/>
      <c r="H7" s="3"/>
      <c r="I7" s="3"/>
      <c r="J7" s="3"/>
      <c r="K7" s="3"/>
      <c r="L7" s="3"/>
      <c r="M7" s="4"/>
    </row>
    <row r="8" spans="1:13" hidden="1">
      <c r="A8" s="3"/>
      <c r="B8" s="674" t="s">
        <v>12</v>
      </c>
      <c r="C8" s="3" t="s">
        <v>1105</v>
      </c>
      <c r="D8" s="3"/>
      <c r="E8" s="674"/>
      <c r="F8" s="3"/>
      <c r="G8" s="3"/>
      <c r="H8" s="3"/>
      <c r="I8" s="3"/>
      <c r="J8" s="3"/>
      <c r="K8" s="3"/>
      <c r="L8" s="3"/>
      <c r="M8" s="4"/>
    </row>
    <row r="9" spans="1:13" ht="17.25" hidden="1" customHeight="1">
      <c r="A9" s="3" t="s">
        <v>1026</v>
      </c>
      <c r="B9" s="674" t="s">
        <v>1185</v>
      </c>
      <c r="C9" s="675">
        <v>2080</v>
      </c>
      <c r="D9" s="3"/>
      <c r="E9" s="674"/>
      <c r="F9" s="3"/>
      <c r="G9" s="3"/>
      <c r="H9" s="3"/>
      <c r="I9" s="3"/>
      <c r="J9" s="3"/>
      <c r="K9" s="3"/>
      <c r="L9" s="3"/>
      <c r="M9" s="4"/>
    </row>
    <row r="10" spans="1:13" ht="18" hidden="1" customHeight="1">
      <c r="A10" s="3"/>
      <c r="B10" s="674"/>
      <c r="C10" s="3"/>
      <c r="D10" s="3"/>
      <c r="E10" s="674"/>
      <c r="F10" s="3"/>
      <c r="G10" s="3"/>
      <c r="H10" s="3"/>
      <c r="I10" s="3"/>
      <c r="J10" s="3"/>
      <c r="K10" s="3"/>
      <c r="L10" s="3"/>
      <c r="M10" s="4"/>
    </row>
    <row r="11" spans="1:13" ht="20.25" hidden="1" customHeight="1">
      <c r="A11" s="3" t="s">
        <v>15</v>
      </c>
      <c r="B11" s="676">
        <f>K28*C$9</f>
        <v>134532.49455999999</v>
      </c>
      <c r="C11" s="3"/>
      <c r="D11" s="3"/>
      <c r="E11" s="674"/>
      <c r="F11" s="3"/>
      <c r="G11" s="3"/>
      <c r="H11" s="3"/>
      <c r="I11" s="3"/>
      <c r="J11" s="3"/>
      <c r="K11" s="3"/>
      <c r="L11" s="3"/>
      <c r="M11" s="4"/>
    </row>
    <row r="12" spans="1:13" ht="15.75" hidden="1" customHeight="1">
      <c r="A12" s="3" t="s">
        <v>1175</v>
      </c>
      <c r="B12" s="676">
        <f>K29*C$9</f>
        <v>124133.75919999996</v>
      </c>
      <c r="C12" s="3"/>
      <c r="D12" s="3"/>
      <c r="E12" s="674"/>
      <c r="F12" s="3"/>
      <c r="G12" s="3"/>
      <c r="H12" s="3"/>
      <c r="I12" s="3"/>
      <c r="J12" s="3"/>
      <c r="K12" s="3"/>
      <c r="L12" s="3"/>
      <c r="M12" s="4"/>
    </row>
    <row r="13" spans="1:13" ht="20.25" hidden="1" customHeight="1">
      <c r="A13" s="3" t="s">
        <v>1176</v>
      </c>
      <c r="B13" s="676">
        <f>K30*C$9</f>
        <v>82556.223199999993</v>
      </c>
      <c r="C13" s="3"/>
      <c r="D13" s="3"/>
      <c r="E13" s="3"/>
      <c r="F13" s="3"/>
      <c r="G13" s="3"/>
      <c r="H13" s="3"/>
      <c r="I13" s="3"/>
      <c r="J13" s="3"/>
      <c r="K13" s="3"/>
      <c r="L13" s="3"/>
      <c r="M13" s="4"/>
    </row>
    <row r="14" spans="1:13" ht="15" hidden="1" customHeight="1">
      <c r="A14" s="3" t="s">
        <v>1177</v>
      </c>
      <c r="B14" s="676">
        <f>K31*C$9</f>
        <v>43940.756960000006</v>
      </c>
      <c r="C14" s="3"/>
      <c r="D14" s="3"/>
      <c r="E14" s="3"/>
      <c r="F14" s="3"/>
      <c r="G14" s="3"/>
      <c r="H14" s="3"/>
      <c r="I14" s="3"/>
      <c r="J14" s="3"/>
      <c r="K14" s="3"/>
      <c r="L14" s="3"/>
      <c r="M14" s="4"/>
    </row>
    <row r="15" spans="1:13" ht="17.25" hidden="1" customHeight="1">
      <c r="A15" s="3" t="s">
        <v>1179</v>
      </c>
      <c r="B15" s="676">
        <f>K33*C$9</f>
        <v>103810.07919999999</v>
      </c>
      <c r="C15" s="3"/>
      <c r="D15" s="3"/>
      <c r="E15" s="3"/>
      <c r="F15" s="3"/>
      <c r="G15" s="3"/>
      <c r="H15" s="3"/>
      <c r="I15" s="3"/>
      <c r="J15" s="3"/>
      <c r="K15" s="3"/>
      <c r="L15" s="3"/>
      <c r="M15" s="4"/>
    </row>
    <row r="16" spans="1:13" ht="20.25" hidden="1" customHeight="1">
      <c r="A16" s="3" t="s">
        <v>1180</v>
      </c>
      <c r="B16" s="676">
        <f>K34*C$9</f>
        <v>90418.257120000009</v>
      </c>
      <c r="C16" s="3"/>
      <c r="D16" s="3"/>
      <c r="E16" s="3"/>
      <c r="F16" s="3"/>
      <c r="G16" s="3"/>
      <c r="H16" s="3"/>
      <c r="I16" s="3"/>
      <c r="J16" s="3"/>
      <c r="K16" s="3"/>
      <c r="L16" s="3"/>
      <c r="M16" s="4"/>
    </row>
    <row r="17" spans="1:19" ht="14.25" hidden="1" customHeight="1">
      <c r="A17" s="3" t="s">
        <v>324</v>
      </c>
      <c r="B17" s="676">
        <f>K35*C$9</f>
        <v>84116.223199999993</v>
      </c>
      <c r="C17" s="3"/>
      <c r="D17" s="3"/>
      <c r="E17" s="3"/>
      <c r="F17" s="3"/>
      <c r="G17" s="3"/>
      <c r="H17" s="3"/>
      <c r="I17" s="3"/>
      <c r="J17" s="3"/>
      <c r="K17" s="3"/>
      <c r="L17" s="3"/>
      <c r="M17" s="23"/>
    </row>
    <row r="18" spans="1:19" ht="15" customHeight="1">
      <c r="A18" s="381"/>
      <c r="B18" s="185"/>
      <c r="C18" s="185"/>
      <c r="D18" s="185"/>
      <c r="E18" s="3"/>
      <c r="F18" s="185"/>
      <c r="G18" s="185"/>
      <c r="H18" s="3"/>
      <c r="I18" s="3"/>
      <c r="J18" s="3"/>
      <c r="K18" s="3"/>
      <c r="L18" s="3"/>
      <c r="M18" s="4"/>
    </row>
    <row r="19" spans="1:19" ht="15.75">
      <c r="A19" s="381" t="s">
        <v>1141</v>
      </c>
      <c r="B19" s="185"/>
      <c r="C19" s="185"/>
      <c r="D19" s="185"/>
      <c r="E19" s="3"/>
      <c r="F19" s="185"/>
      <c r="G19" s="185"/>
      <c r="H19" s="3"/>
      <c r="I19" s="3"/>
      <c r="J19" s="3"/>
      <c r="K19" s="3"/>
      <c r="L19" s="3"/>
      <c r="M19" s="4"/>
    </row>
    <row r="20" spans="1:19" ht="16.5" thickBot="1">
      <c r="A20" s="381" t="s">
        <v>1142</v>
      </c>
      <c r="B20" s="185"/>
      <c r="C20" s="185"/>
      <c r="D20" s="185"/>
      <c r="E20" s="3"/>
      <c r="F20" s="185"/>
      <c r="G20" s="185"/>
      <c r="H20" s="185"/>
      <c r="I20" s="185"/>
      <c r="J20" s="185"/>
      <c r="K20" s="3"/>
      <c r="L20" s="3"/>
      <c r="M20" s="4"/>
    </row>
    <row r="21" spans="1:19">
      <c r="A21" s="382"/>
      <c r="B21" s="382"/>
      <c r="C21" s="382"/>
      <c r="D21" s="382"/>
      <c r="E21" s="383"/>
      <c r="F21" s="382"/>
      <c r="G21" s="186"/>
      <c r="H21" s="186"/>
      <c r="I21" s="186"/>
      <c r="J21" s="186"/>
      <c r="K21" s="3"/>
      <c r="L21" s="3"/>
      <c r="M21" s="4"/>
      <c r="N21" s="721" t="s">
        <v>511</v>
      </c>
      <c r="O21" s="722"/>
      <c r="P21" s="723"/>
      <c r="Q21" s="721" t="s">
        <v>512</v>
      </c>
      <c r="R21" s="722"/>
      <c r="S21" s="723"/>
    </row>
    <row r="22" spans="1:19">
      <c r="A22" s="384"/>
      <c r="B22" s="385"/>
      <c r="C22" s="386"/>
      <c r="D22" s="386"/>
      <c r="E22" s="386"/>
      <c r="F22" s="386"/>
      <c r="G22" s="387"/>
      <c r="H22" s="679"/>
      <c r="I22" s="387"/>
      <c r="J22" s="679"/>
      <c r="K22" s="387"/>
      <c r="L22" s="679"/>
      <c r="M22" s="4"/>
      <c r="N22" s="700" t="s">
        <v>513</v>
      </c>
      <c r="O22" s="193" t="s">
        <v>1105</v>
      </c>
      <c r="P22" s="701" t="s">
        <v>763</v>
      </c>
      <c r="Q22" s="700" t="s">
        <v>513</v>
      </c>
      <c r="R22" s="193" t="s">
        <v>1105</v>
      </c>
      <c r="S22" s="701" t="s">
        <v>763</v>
      </c>
    </row>
    <row r="23" spans="1:19">
      <c r="A23" s="389"/>
      <c r="B23" s="390" t="s">
        <v>1144</v>
      </c>
      <c r="C23" s="391" t="s">
        <v>1145</v>
      </c>
      <c r="D23" s="391" t="s">
        <v>1146</v>
      </c>
      <c r="E23" s="391"/>
      <c r="F23" s="390" t="s">
        <v>1147</v>
      </c>
      <c r="G23" s="392" t="s">
        <v>1148</v>
      </c>
      <c r="H23" s="680"/>
      <c r="I23" s="392"/>
      <c r="J23" s="680"/>
      <c r="K23" s="395"/>
      <c r="L23" s="680"/>
      <c r="M23" s="4"/>
      <c r="N23" s="693"/>
      <c r="O23" s="694"/>
      <c r="P23" s="695"/>
      <c r="Q23" s="693"/>
      <c r="R23" s="166"/>
      <c r="S23" s="633"/>
    </row>
    <row r="24" spans="1:19">
      <c r="A24" s="389" t="s">
        <v>1150</v>
      </c>
      <c r="B24" s="390" t="s">
        <v>1151</v>
      </c>
      <c r="C24" s="394" t="s">
        <v>1403</v>
      </c>
      <c r="D24" s="394" t="s">
        <v>1152</v>
      </c>
      <c r="E24" s="394" t="s">
        <v>1153</v>
      </c>
      <c r="F24" s="390" t="s">
        <v>1154</v>
      </c>
      <c r="G24" s="395" t="s">
        <v>1155</v>
      </c>
      <c r="H24" s="681" t="s">
        <v>1156</v>
      </c>
      <c r="I24" s="395" t="s">
        <v>508</v>
      </c>
      <c r="J24" s="681" t="s">
        <v>509</v>
      </c>
      <c r="K24" s="395" t="s">
        <v>1102</v>
      </c>
      <c r="L24" s="680" t="s">
        <v>1144</v>
      </c>
      <c r="M24" s="4"/>
      <c r="N24" s="693"/>
      <c r="O24" s="694"/>
      <c r="P24" s="695"/>
      <c r="Q24" s="693"/>
      <c r="R24" s="166"/>
      <c r="S24" s="633"/>
    </row>
    <row r="25" spans="1:19">
      <c r="A25" s="389" t="s">
        <v>1159</v>
      </c>
      <c r="B25" s="390" t="s">
        <v>1160</v>
      </c>
      <c r="C25" s="390" t="s">
        <v>1161</v>
      </c>
      <c r="D25" s="390" t="s">
        <v>1154</v>
      </c>
      <c r="E25" s="390" t="s">
        <v>1162</v>
      </c>
      <c r="F25" s="390" t="s">
        <v>1163</v>
      </c>
      <c r="G25" s="392" t="s">
        <v>1154</v>
      </c>
      <c r="H25" s="680"/>
      <c r="I25" s="392"/>
      <c r="J25" s="680"/>
      <c r="K25" s="395" t="s">
        <v>763</v>
      </c>
      <c r="L25" s="680" t="s">
        <v>681</v>
      </c>
      <c r="M25" s="4"/>
      <c r="N25" s="693"/>
      <c r="O25" s="694"/>
      <c r="P25" s="695"/>
      <c r="Q25" s="693"/>
      <c r="R25" s="166"/>
      <c r="S25" s="633"/>
    </row>
    <row r="26" spans="1:19">
      <c r="A26" s="389"/>
      <c r="B26" s="390"/>
      <c r="C26" s="424">
        <v>0.1434</v>
      </c>
      <c r="D26" s="424">
        <v>7.7799999999999994E-2</v>
      </c>
      <c r="E26" s="424">
        <v>0.15</v>
      </c>
      <c r="F26" s="426">
        <v>440.66</v>
      </c>
      <c r="G26" s="427">
        <v>0.01</v>
      </c>
      <c r="H26" s="691">
        <v>0.05</v>
      </c>
      <c r="I26" s="427">
        <v>0.05</v>
      </c>
      <c r="J26" s="691">
        <v>0.03</v>
      </c>
      <c r="K26" s="567"/>
      <c r="L26" s="682" t="s">
        <v>768</v>
      </c>
      <c r="M26" s="4"/>
      <c r="N26" s="693"/>
      <c r="O26" s="694"/>
      <c r="P26" s="695"/>
      <c r="Q26" s="693"/>
      <c r="R26" s="166"/>
      <c r="S26" s="633"/>
    </row>
    <row r="27" spans="1:19" ht="15.75">
      <c r="A27" s="683" t="s">
        <v>1513</v>
      </c>
      <c r="B27" s="403"/>
      <c r="C27" s="403"/>
      <c r="D27" s="404"/>
      <c r="E27" s="404"/>
      <c r="F27" s="403"/>
      <c r="G27" s="404"/>
      <c r="H27" s="684"/>
      <c r="I27" s="404"/>
      <c r="J27" s="684"/>
      <c r="K27" s="404"/>
      <c r="L27" s="684"/>
      <c r="M27" s="4"/>
      <c r="N27" s="693"/>
      <c r="O27" s="694"/>
      <c r="P27" s="695"/>
      <c r="Q27" s="693"/>
      <c r="R27" s="166"/>
      <c r="S27" s="633"/>
    </row>
    <row r="28" spans="1:19">
      <c r="A28" s="685" t="s">
        <v>977</v>
      </c>
      <c r="B28" s="429">
        <v>41</v>
      </c>
      <c r="C28" s="414">
        <f t="shared" ref="C28:E31" si="0">$B28*C$26</f>
        <v>5.8794000000000004</v>
      </c>
      <c r="D28" s="414">
        <f t="shared" si="0"/>
        <v>3.1898</v>
      </c>
      <c r="E28" s="414">
        <f t="shared" si="0"/>
        <v>6.1499999999999995</v>
      </c>
      <c r="F28" s="414">
        <f>$F$26*12/2080</f>
        <v>2.5422692307692309</v>
      </c>
      <c r="G28" s="414">
        <f>SUM(B28:F28)*G$26</f>
        <v>0.58761469230769225</v>
      </c>
      <c r="H28" s="414">
        <f>$B28*H$26</f>
        <v>2.0500000000000003</v>
      </c>
      <c r="I28" s="414">
        <f t="shared" ref="I28:J34" si="1">$B28*I$26</f>
        <v>2.0500000000000003</v>
      </c>
      <c r="J28" s="414">
        <f t="shared" si="1"/>
        <v>1.23</v>
      </c>
      <c r="K28" s="414">
        <f>SUM(B28:J28)</f>
        <v>64.679083923076917</v>
      </c>
      <c r="L28" s="686">
        <f>B28*2080</f>
        <v>85280</v>
      </c>
      <c r="M28" s="4"/>
      <c r="N28" s="693">
        <v>1</v>
      </c>
      <c r="O28" s="696">
        <f>7*160</f>
        <v>1120</v>
      </c>
      <c r="P28" s="697">
        <f>N28*O28*K28</f>
        <v>72440.573993846148</v>
      </c>
      <c r="Q28" s="693">
        <v>1</v>
      </c>
      <c r="R28" s="694">
        <v>2080</v>
      </c>
      <c r="S28" s="697">
        <f>Q28*R28*K28</f>
        <v>134532.49455999999</v>
      </c>
    </row>
    <row r="29" spans="1:19" hidden="1">
      <c r="A29" s="687" t="s">
        <v>502</v>
      </c>
      <c r="B29" s="688">
        <f>80000/2080</f>
        <v>38.46153846153846</v>
      </c>
      <c r="C29" s="414">
        <f t="shared" si="0"/>
        <v>5.5153846153846153</v>
      </c>
      <c r="D29" s="414">
        <f t="shared" si="0"/>
        <v>2.9923076923076919</v>
      </c>
      <c r="E29" s="414">
        <f t="shared" si="0"/>
        <v>5.7692307692307692</v>
      </c>
      <c r="F29" s="414">
        <f>$F$26*12/2080</f>
        <v>2.5422692307692309</v>
      </c>
      <c r="G29" s="414">
        <f>SUM(B29:F29)*G$26</f>
        <v>0.55280730769230757</v>
      </c>
      <c r="H29" s="414">
        <f>$B29*H$26</f>
        <v>1.9230769230769231</v>
      </c>
      <c r="I29" s="414">
        <f t="shared" si="1"/>
        <v>1.9230769230769231</v>
      </c>
      <c r="J29" s="414"/>
      <c r="K29" s="414">
        <f t="shared" ref="K29:K35" si="2">SUM(B29:J29)</f>
        <v>59.679691923076902</v>
      </c>
      <c r="L29" s="686">
        <f>B29*2080</f>
        <v>80000</v>
      </c>
      <c r="M29" s="4"/>
      <c r="N29" s="693"/>
      <c r="O29" s="696">
        <f>7*160</f>
        <v>1120</v>
      </c>
      <c r="P29" s="697">
        <f t="shared" ref="P29:P35" si="3">N29*O29*K29</f>
        <v>0</v>
      </c>
      <c r="Q29" s="693"/>
      <c r="R29" s="694"/>
      <c r="S29" s="697">
        <f t="shared" ref="S29:S35" si="4">Q29*R29*K29</f>
        <v>0</v>
      </c>
    </row>
    <row r="30" spans="1:19" hidden="1">
      <c r="A30" s="685" t="s">
        <v>503</v>
      </c>
      <c r="B30" s="429">
        <v>25</v>
      </c>
      <c r="C30" s="414">
        <f t="shared" si="0"/>
        <v>3.585</v>
      </c>
      <c r="D30" s="414">
        <f t="shared" si="0"/>
        <v>1.9449999999999998</v>
      </c>
      <c r="E30" s="414">
        <f t="shared" si="0"/>
        <v>3.75</v>
      </c>
      <c r="F30" s="414">
        <f>$F$26*12/2080</f>
        <v>2.5422692307692309</v>
      </c>
      <c r="G30" s="414">
        <f>SUM(B30:F30)*G$26</f>
        <v>0.36822269230769228</v>
      </c>
      <c r="H30" s="414">
        <f>$B30*H$26</f>
        <v>1.25</v>
      </c>
      <c r="I30" s="414">
        <f t="shared" si="1"/>
        <v>1.25</v>
      </c>
      <c r="J30" s="414"/>
      <c r="K30" s="414">
        <f t="shared" si="2"/>
        <v>39.69049192307692</v>
      </c>
      <c r="L30" s="686">
        <f>B30*2080</f>
        <v>52000</v>
      </c>
      <c r="M30" s="4"/>
      <c r="N30" s="693"/>
      <c r="O30" s="696">
        <f>7*160</f>
        <v>1120</v>
      </c>
      <c r="P30" s="697">
        <f t="shared" si="3"/>
        <v>0</v>
      </c>
      <c r="Q30" s="693"/>
      <c r="R30" s="694"/>
      <c r="S30" s="697">
        <f t="shared" si="4"/>
        <v>0</v>
      </c>
    </row>
    <row r="31" spans="1:19">
      <c r="A31" s="685" t="s">
        <v>510</v>
      </c>
      <c r="B31" s="429">
        <v>12.25</v>
      </c>
      <c r="C31" s="414">
        <f t="shared" si="0"/>
        <v>1.75665</v>
      </c>
      <c r="D31" s="414">
        <f t="shared" si="0"/>
        <v>0.95304999999999995</v>
      </c>
      <c r="E31" s="414">
        <f t="shared" si="0"/>
        <v>1.8374999999999999</v>
      </c>
      <c r="F31" s="414">
        <f>$F$26*12/2080</f>
        <v>2.5422692307692309</v>
      </c>
      <c r="G31" s="414">
        <f>SUM(B31:F31)*G$26</f>
        <v>0.19339469230769232</v>
      </c>
      <c r="H31" s="414">
        <f>$B31*H$26</f>
        <v>0.61250000000000004</v>
      </c>
      <c r="I31" s="414">
        <f t="shared" si="1"/>
        <v>0.61250000000000004</v>
      </c>
      <c r="J31" s="414">
        <f t="shared" si="1"/>
        <v>0.36749999999999999</v>
      </c>
      <c r="K31" s="414">
        <f t="shared" si="2"/>
        <v>21.125363923076925</v>
      </c>
      <c r="L31" s="686">
        <f>B31*2080</f>
        <v>25480</v>
      </c>
      <c r="M31" s="4"/>
      <c r="N31" s="693">
        <v>1</v>
      </c>
      <c r="O31" s="696">
        <f>7*160</f>
        <v>1120</v>
      </c>
      <c r="P31" s="697">
        <f t="shared" si="3"/>
        <v>23660.407593846157</v>
      </c>
      <c r="Q31" s="693">
        <v>1</v>
      </c>
      <c r="R31" s="694">
        <v>2080</v>
      </c>
      <c r="S31" s="697">
        <f t="shared" si="4"/>
        <v>43940.756960000006</v>
      </c>
    </row>
    <row r="32" spans="1:19" ht="15.75">
      <c r="A32" s="683" t="s">
        <v>1186</v>
      </c>
      <c r="B32" s="689"/>
      <c r="C32" s="185"/>
      <c r="D32" s="185"/>
      <c r="E32" s="185"/>
      <c r="F32" s="185"/>
      <c r="G32" s="185"/>
      <c r="H32" s="185"/>
      <c r="I32" s="414"/>
      <c r="J32" s="414"/>
      <c r="K32" s="414"/>
      <c r="L32" s="185"/>
      <c r="M32" s="4"/>
      <c r="N32" s="693"/>
      <c r="O32" s="696"/>
      <c r="P32" s="697"/>
      <c r="Q32" s="693"/>
      <c r="R32" s="694"/>
      <c r="S32" s="697"/>
    </row>
    <row r="33" spans="1:22" hidden="1">
      <c r="A33" s="685" t="s">
        <v>504</v>
      </c>
      <c r="B33" s="429">
        <f>65000/2080</f>
        <v>31.25</v>
      </c>
      <c r="C33" s="414">
        <f t="shared" ref="C33:E35" si="5">$B33*C$26</f>
        <v>4.4812500000000002</v>
      </c>
      <c r="D33" s="414">
        <f t="shared" si="5"/>
        <v>2.4312499999999999</v>
      </c>
      <c r="E33" s="414">
        <f t="shared" si="5"/>
        <v>4.6875</v>
      </c>
      <c r="F33" s="414">
        <f>$F$26*12/2080</f>
        <v>2.5422692307692309</v>
      </c>
      <c r="G33" s="414">
        <f>SUM(B33:F33)*G$26</f>
        <v>0.45392269230769233</v>
      </c>
      <c r="H33" s="414">
        <f>$B33*H$26</f>
        <v>1.5625</v>
      </c>
      <c r="I33" s="414">
        <f t="shared" si="1"/>
        <v>1.5625</v>
      </c>
      <c r="J33" s="414">
        <f t="shared" si="1"/>
        <v>0.9375</v>
      </c>
      <c r="K33" s="414">
        <f t="shared" si="2"/>
        <v>49.908691923076923</v>
      </c>
      <c r="L33" s="686">
        <f>B33*2080</f>
        <v>65000</v>
      </c>
      <c r="M33" s="4"/>
      <c r="N33" s="693"/>
      <c r="O33" s="696"/>
      <c r="P33" s="697">
        <f t="shared" si="3"/>
        <v>0</v>
      </c>
      <c r="Q33" s="693"/>
      <c r="R33" s="694"/>
      <c r="S33" s="697">
        <f t="shared" si="4"/>
        <v>0</v>
      </c>
    </row>
    <row r="34" spans="1:22">
      <c r="A34" s="685" t="s">
        <v>505</v>
      </c>
      <c r="B34" s="429">
        <v>27</v>
      </c>
      <c r="C34" s="414">
        <f t="shared" si="5"/>
        <v>3.8717999999999999</v>
      </c>
      <c r="D34" s="414">
        <f t="shared" si="5"/>
        <v>2.1006</v>
      </c>
      <c r="E34" s="414">
        <f t="shared" si="5"/>
        <v>4.05</v>
      </c>
      <c r="F34" s="414">
        <f>$F$26*12/2080</f>
        <v>2.5422692307692309</v>
      </c>
      <c r="G34" s="414">
        <f>SUM(B34:F34)*G$26</f>
        <v>0.39564669230769228</v>
      </c>
      <c r="H34" s="414">
        <f>$B34*H$26</f>
        <v>1.35</v>
      </c>
      <c r="I34" s="414">
        <f t="shared" si="1"/>
        <v>1.35</v>
      </c>
      <c r="J34" s="414">
        <f t="shared" si="1"/>
        <v>0.80999999999999994</v>
      </c>
      <c r="K34" s="414">
        <f t="shared" si="2"/>
        <v>43.470315923076924</v>
      </c>
      <c r="L34" s="686">
        <f>B34*2080</f>
        <v>56160</v>
      </c>
      <c r="M34" s="4"/>
      <c r="N34" s="693">
        <v>2</v>
      </c>
      <c r="O34" s="696">
        <f>3.5*160</f>
        <v>560</v>
      </c>
      <c r="P34" s="697">
        <f t="shared" si="3"/>
        <v>48686.753833846153</v>
      </c>
      <c r="Q34" s="693">
        <v>2</v>
      </c>
      <c r="R34" s="694">
        <v>2080</v>
      </c>
      <c r="S34" s="697">
        <f t="shared" si="4"/>
        <v>180836.51424000002</v>
      </c>
    </row>
    <row r="35" spans="1:22">
      <c r="A35" s="685" t="s">
        <v>506</v>
      </c>
      <c r="B35" s="429">
        <v>25</v>
      </c>
      <c r="C35" s="414">
        <f t="shared" si="5"/>
        <v>3.585</v>
      </c>
      <c r="D35" s="414">
        <f t="shared" si="5"/>
        <v>1.9449999999999998</v>
      </c>
      <c r="E35" s="414">
        <f t="shared" si="5"/>
        <v>3.75</v>
      </c>
      <c r="F35" s="414">
        <f>$F$26*12/2080</f>
        <v>2.5422692307692309</v>
      </c>
      <c r="G35" s="414">
        <f>SUM(B35:F35)*G$26</f>
        <v>0.36822269230769228</v>
      </c>
      <c r="H35" s="414">
        <f>$B35*H$26</f>
        <v>1.25</v>
      </c>
      <c r="I35" s="414">
        <f>$B35*I$26</f>
        <v>1.25</v>
      </c>
      <c r="J35" s="414">
        <f>$B35*J$26</f>
        <v>0.75</v>
      </c>
      <c r="K35" s="414">
        <f t="shared" si="2"/>
        <v>40.44049192307692</v>
      </c>
      <c r="L35" s="686">
        <f>B35*2080</f>
        <v>52000</v>
      </c>
      <c r="M35" s="4"/>
      <c r="N35" s="693">
        <v>3</v>
      </c>
      <c r="O35" s="696">
        <f>1*160</f>
        <v>160</v>
      </c>
      <c r="P35" s="697">
        <f t="shared" si="3"/>
        <v>19411.436123076921</v>
      </c>
      <c r="Q35" s="693">
        <v>3</v>
      </c>
      <c r="R35" s="694">
        <f>Scope!G31/16/5*40+40</f>
        <v>640</v>
      </c>
      <c r="S35" s="697">
        <f t="shared" si="4"/>
        <v>77645.744492307684</v>
      </c>
    </row>
    <row r="36" spans="1:22">
      <c r="A36" s="3"/>
      <c r="B36" s="3"/>
      <c r="C36" s="3"/>
      <c r="D36" s="3"/>
      <c r="E36" s="3"/>
      <c r="F36" s="3"/>
      <c r="G36" s="3"/>
      <c r="H36" s="3"/>
      <c r="I36" s="3"/>
      <c r="J36" s="3"/>
      <c r="K36" s="3"/>
      <c r="L36" s="3"/>
      <c r="M36" s="4"/>
      <c r="N36" s="693"/>
      <c r="O36" s="696"/>
      <c r="P36" s="695"/>
      <c r="Q36" s="693"/>
      <c r="R36" s="694"/>
      <c r="S36" s="697"/>
    </row>
    <row r="37" spans="1:22" ht="15.75">
      <c r="A37" s="381" t="s">
        <v>1170</v>
      </c>
      <c r="B37" s="185"/>
      <c r="C37" s="185"/>
      <c r="D37" s="185"/>
      <c r="E37" s="3"/>
      <c r="F37" s="185"/>
      <c r="G37" s="3"/>
      <c r="H37" s="185"/>
      <c r="I37" s="3"/>
      <c r="J37" s="185"/>
      <c r="K37" s="3"/>
      <c r="L37" s="3"/>
      <c r="M37" s="4"/>
      <c r="N37" s="634"/>
      <c r="O37" s="698"/>
      <c r="P37" s="633"/>
      <c r="Q37" s="634"/>
      <c r="R37" s="166"/>
      <c r="S37" s="699"/>
    </row>
    <row r="38" spans="1:22" ht="15.75">
      <c r="A38" s="381" t="s">
        <v>1142</v>
      </c>
      <c r="B38" s="185"/>
      <c r="C38" s="185"/>
      <c r="D38" s="185"/>
      <c r="E38" s="3"/>
      <c r="F38" s="185"/>
      <c r="G38" s="3"/>
      <c r="H38" s="185"/>
      <c r="I38" s="3"/>
      <c r="J38" s="185"/>
      <c r="K38" s="185"/>
      <c r="L38" s="3"/>
      <c r="M38" s="4"/>
      <c r="N38" s="634"/>
      <c r="O38" s="698"/>
      <c r="P38" s="633"/>
      <c r="Q38" s="634"/>
      <c r="R38" s="166"/>
      <c r="S38" s="699"/>
    </row>
    <row r="39" spans="1:22">
      <c r="A39" s="382"/>
      <c r="B39" s="382"/>
      <c r="C39" s="382"/>
      <c r="D39" s="382"/>
      <c r="E39" s="383"/>
      <c r="F39" s="382"/>
      <c r="G39" s="3"/>
      <c r="H39" s="186"/>
      <c r="I39" s="3"/>
      <c r="J39" s="186"/>
      <c r="K39" s="186"/>
      <c r="L39" s="3"/>
      <c r="M39" s="4"/>
      <c r="N39" s="634"/>
      <c r="O39" s="698"/>
      <c r="P39" s="633"/>
      <c r="Q39" s="634"/>
      <c r="R39" s="166"/>
      <c r="S39" s="699"/>
    </row>
    <row r="40" spans="1:22">
      <c r="A40" s="384"/>
      <c r="B40" s="385"/>
      <c r="C40" s="386"/>
      <c r="D40" s="386"/>
      <c r="E40" s="386"/>
      <c r="F40" s="386"/>
      <c r="G40" s="387"/>
      <c r="H40" s="679"/>
      <c r="I40" s="387"/>
      <c r="J40" s="679"/>
      <c r="K40" s="388"/>
      <c r="L40" s="3"/>
      <c r="M40" s="4"/>
      <c r="N40" s="634"/>
      <c r="O40" s="698"/>
      <c r="P40" s="633"/>
      <c r="Q40" s="634"/>
      <c r="R40" s="166"/>
      <c r="S40" s="699"/>
    </row>
    <row r="41" spans="1:22">
      <c r="A41" s="389"/>
      <c r="B41" s="390" t="s">
        <v>1144</v>
      </c>
      <c r="C41" s="391" t="s">
        <v>1145</v>
      </c>
      <c r="D41" s="391" t="s">
        <v>1146</v>
      </c>
      <c r="E41" s="391"/>
      <c r="F41" s="390" t="s">
        <v>1147</v>
      </c>
      <c r="G41" s="392" t="s">
        <v>1148</v>
      </c>
      <c r="H41" s="680"/>
      <c r="I41" s="392"/>
      <c r="J41" s="680"/>
      <c r="K41" s="393"/>
      <c r="L41" s="3"/>
      <c r="M41" s="4"/>
      <c r="N41" s="634"/>
      <c r="O41" s="698"/>
      <c r="P41" s="633"/>
      <c r="Q41" s="634"/>
      <c r="R41" s="166"/>
      <c r="S41" s="699"/>
    </row>
    <row r="42" spans="1:22">
      <c r="A42" s="389" t="s">
        <v>1150</v>
      </c>
      <c r="B42" s="390" t="s">
        <v>1151</v>
      </c>
      <c r="C42" s="394" t="s">
        <v>1403</v>
      </c>
      <c r="D42" s="394" t="s">
        <v>1152</v>
      </c>
      <c r="E42" s="394" t="s">
        <v>1153</v>
      </c>
      <c r="F42" s="390" t="s">
        <v>1154</v>
      </c>
      <c r="G42" s="395" t="s">
        <v>1155</v>
      </c>
      <c r="H42" s="681" t="s">
        <v>1156</v>
      </c>
      <c r="I42" s="395" t="s">
        <v>508</v>
      </c>
      <c r="J42" s="681" t="s">
        <v>509</v>
      </c>
      <c r="K42" s="393" t="s">
        <v>1102</v>
      </c>
      <c r="L42" s="3"/>
      <c r="M42" s="4"/>
      <c r="N42" s="634"/>
      <c r="O42" s="698"/>
      <c r="P42" s="633"/>
      <c r="Q42" s="634"/>
      <c r="R42" s="166"/>
      <c r="S42" s="699"/>
    </row>
    <row r="43" spans="1:22">
      <c r="A43" s="389" t="s">
        <v>1159</v>
      </c>
      <c r="B43" s="390" t="s">
        <v>1160</v>
      </c>
      <c r="C43" s="390" t="s">
        <v>1161</v>
      </c>
      <c r="D43" s="390" t="s">
        <v>1154</v>
      </c>
      <c r="E43" s="390" t="s">
        <v>1162</v>
      </c>
      <c r="F43" s="390" t="s">
        <v>1163</v>
      </c>
      <c r="G43" s="392" t="s">
        <v>1154</v>
      </c>
      <c r="H43" s="680"/>
      <c r="I43" s="392"/>
      <c r="J43" s="680"/>
      <c r="K43" s="393" t="s">
        <v>763</v>
      </c>
      <c r="L43" s="3"/>
      <c r="M43" s="4"/>
      <c r="N43" s="634"/>
      <c r="O43" s="698"/>
      <c r="P43" s="633"/>
      <c r="Q43" s="634"/>
      <c r="R43" s="166"/>
      <c r="S43" s="699"/>
    </row>
    <row r="44" spans="1:22">
      <c r="A44" s="389"/>
      <c r="B44" s="390"/>
      <c r="C44" s="397">
        <f>C26</f>
        <v>0.1434</v>
      </c>
      <c r="D44" s="397">
        <f>D26</f>
        <v>7.7799999999999994E-2</v>
      </c>
      <c r="E44" s="397">
        <f>E26</f>
        <v>0.15</v>
      </c>
      <c r="F44" s="690">
        <v>0</v>
      </c>
      <c r="G44" s="397">
        <f>G26</f>
        <v>0.01</v>
      </c>
      <c r="H44" s="397">
        <f>H26</f>
        <v>0.05</v>
      </c>
      <c r="I44" s="397">
        <v>0</v>
      </c>
      <c r="J44" s="397">
        <v>0</v>
      </c>
      <c r="K44" s="401"/>
      <c r="L44" s="3"/>
      <c r="M44" s="4"/>
      <c r="N44" s="634"/>
      <c r="O44" s="698"/>
      <c r="P44" s="633"/>
      <c r="Q44" s="634"/>
      <c r="R44" s="166"/>
      <c r="S44" s="699"/>
    </row>
    <row r="45" spans="1:22" ht="15.75">
      <c r="A45" s="683" t="s">
        <v>1513</v>
      </c>
      <c r="B45" s="403"/>
      <c r="C45" s="403"/>
      <c r="D45" s="404"/>
      <c r="E45" s="404"/>
      <c r="F45" s="403"/>
      <c r="G45" s="404"/>
      <c r="H45" s="684"/>
      <c r="I45" s="404"/>
      <c r="J45" s="684"/>
      <c r="K45" s="404"/>
      <c r="L45" s="3"/>
      <c r="M45" s="4"/>
      <c r="N45" s="693"/>
      <c r="O45" s="696"/>
      <c r="P45" s="695"/>
      <c r="Q45" s="693"/>
      <c r="R45" s="694"/>
      <c r="S45" s="697"/>
      <c r="T45" s="143"/>
      <c r="U45" s="143"/>
      <c r="V45" s="143"/>
    </row>
    <row r="46" spans="1:22">
      <c r="A46" s="685" t="str">
        <f>+A28</f>
        <v>Plant Manager</v>
      </c>
      <c r="B46" s="413">
        <f>B28*1.5</f>
        <v>61.5</v>
      </c>
      <c r="C46" s="414">
        <f t="shared" ref="C46:E49" si="6">$B46*C$44</f>
        <v>8.8191000000000006</v>
      </c>
      <c r="D46" s="414">
        <f t="shared" si="6"/>
        <v>4.7847</v>
      </c>
      <c r="E46" s="414">
        <f t="shared" si="6"/>
        <v>9.2249999999999996</v>
      </c>
      <c r="F46" s="414">
        <f>$F$44*12/2080</f>
        <v>0</v>
      </c>
      <c r="G46" s="414">
        <f>SUM(B46:F46)*G$44</f>
        <v>0.84328800000000004</v>
      </c>
      <c r="H46" s="414">
        <f>$B46*H$44</f>
        <v>3.0750000000000002</v>
      </c>
      <c r="I46" s="414"/>
      <c r="J46" s="414"/>
      <c r="K46" s="414">
        <f>SUM(B46:J46)</f>
        <v>88.247088000000005</v>
      </c>
      <c r="L46" s="3"/>
      <c r="M46" s="4"/>
      <c r="N46" s="693">
        <v>1</v>
      </c>
      <c r="O46" s="696">
        <v>0</v>
      </c>
      <c r="P46" s="697">
        <f t="shared" ref="P46:P53" si="7">N46*O46*K46</f>
        <v>0</v>
      </c>
      <c r="Q46" s="693">
        <v>1</v>
      </c>
      <c r="R46" s="694">
        <v>0</v>
      </c>
      <c r="S46" s="697">
        <f t="shared" ref="S46:S53" si="8">Q46*R46*K46</f>
        <v>0</v>
      </c>
      <c r="T46" s="143"/>
      <c r="U46" s="143"/>
      <c r="V46" s="143"/>
    </row>
    <row r="47" spans="1:22" hidden="1">
      <c r="A47" s="687" t="str">
        <f>+A29</f>
        <v>Maintenance Manager</v>
      </c>
      <c r="B47" s="413">
        <f>B29*1.5</f>
        <v>57.692307692307693</v>
      </c>
      <c r="C47" s="414">
        <f t="shared" si="6"/>
        <v>8.273076923076923</v>
      </c>
      <c r="D47" s="414">
        <f t="shared" si="6"/>
        <v>4.4884615384615385</v>
      </c>
      <c r="E47" s="414">
        <f t="shared" si="6"/>
        <v>8.6538461538461533</v>
      </c>
      <c r="F47" s="414">
        <f>$F$44*12/2080</f>
        <v>0</v>
      </c>
      <c r="G47" s="414">
        <f>SUM(B47:F47)*G$44</f>
        <v>0.79107692307692301</v>
      </c>
      <c r="H47" s="414">
        <f>$B47*H$44</f>
        <v>2.884615384615385</v>
      </c>
      <c r="I47" s="414"/>
      <c r="J47" s="414"/>
      <c r="K47" s="414">
        <f t="shared" ref="K47:K53" si="9">SUM(B47:J47)</f>
        <v>82.78338461538462</v>
      </c>
      <c r="L47" s="3"/>
      <c r="M47" s="4"/>
      <c r="N47" s="693"/>
      <c r="O47" s="696"/>
      <c r="P47" s="697">
        <f t="shared" si="7"/>
        <v>0</v>
      </c>
      <c r="Q47" s="693"/>
      <c r="R47" s="694"/>
      <c r="S47" s="697">
        <f t="shared" si="8"/>
        <v>0</v>
      </c>
      <c r="T47" s="143"/>
      <c r="U47" s="143"/>
      <c r="V47" s="143"/>
    </row>
    <row r="48" spans="1:22" hidden="1">
      <c r="A48" s="685" t="str">
        <f>+A30</f>
        <v>Purchasing / Warehouse</v>
      </c>
      <c r="B48" s="413">
        <f>B30*1.5</f>
        <v>37.5</v>
      </c>
      <c r="C48" s="414">
        <f t="shared" si="6"/>
        <v>5.3775000000000004</v>
      </c>
      <c r="D48" s="414">
        <f t="shared" si="6"/>
        <v>2.9175</v>
      </c>
      <c r="E48" s="414">
        <f t="shared" si="6"/>
        <v>5.625</v>
      </c>
      <c r="F48" s="414">
        <f>$F$44*12/2080</f>
        <v>0</v>
      </c>
      <c r="G48" s="414">
        <f>SUM(B48:F48)*G$44</f>
        <v>0.51419999999999999</v>
      </c>
      <c r="H48" s="414">
        <f>$B48*H$44</f>
        <v>1.875</v>
      </c>
      <c r="I48" s="414"/>
      <c r="J48" s="414"/>
      <c r="K48" s="414">
        <f t="shared" si="9"/>
        <v>53.809199999999997</v>
      </c>
      <c r="L48" s="3"/>
      <c r="M48" s="4"/>
      <c r="N48" s="693"/>
      <c r="O48" s="696"/>
      <c r="P48" s="697">
        <f t="shared" si="7"/>
        <v>0</v>
      </c>
      <c r="Q48" s="693"/>
      <c r="R48" s="694"/>
      <c r="S48" s="697">
        <f t="shared" si="8"/>
        <v>0</v>
      </c>
      <c r="T48" s="143"/>
      <c r="U48" s="143"/>
      <c r="V48" s="143"/>
    </row>
    <row r="49" spans="1:22">
      <c r="A49" s="685" t="str">
        <f>+A31</f>
        <v>Clerk</v>
      </c>
      <c r="B49" s="413">
        <f>B31*1.5</f>
        <v>18.375</v>
      </c>
      <c r="C49" s="414">
        <f t="shared" si="6"/>
        <v>2.6349749999999998</v>
      </c>
      <c r="D49" s="414">
        <f t="shared" si="6"/>
        <v>1.4295749999999998</v>
      </c>
      <c r="E49" s="414">
        <f t="shared" si="6"/>
        <v>2.7562500000000001</v>
      </c>
      <c r="F49" s="414">
        <f>$F$44*12/2080</f>
        <v>0</v>
      </c>
      <c r="G49" s="414">
        <f>SUM(B49:F49)*G$44</f>
        <v>0.25195800000000002</v>
      </c>
      <c r="H49" s="414">
        <f>$B49*H$44</f>
        <v>0.91875000000000007</v>
      </c>
      <c r="I49" s="414"/>
      <c r="J49" s="414"/>
      <c r="K49" s="414">
        <f t="shared" si="9"/>
        <v>26.366508</v>
      </c>
      <c r="L49" s="3"/>
      <c r="M49" s="4"/>
      <c r="N49" s="693">
        <v>1</v>
      </c>
      <c r="O49" s="696">
        <v>0</v>
      </c>
      <c r="P49" s="697">
        <f t="shared" si="7"/>
        <v>0</v>
      </c>
      <c r="Q49" s="693">
        <v>1</v>
      </c>
      <c r="R49" s="694">
        <v>0</v>
      </c>
      <c r="S49" s="697">
        <f t="shared" si="8"/>
        <v>0</v>
      </c>
      <c r="T49" s="143"/>
      <c r="U49" s="143"/>
      <c r="V49" s="143"/>
    </row>
    <row r="50" spans="1:22" ht="15.75">
      <c r="A50" s="683" t="s">
        <v>1186</v>
      </c>
      <c r="B50" s="413"/>
      <c r="C50" s="414"/>
      <c r="D50" s="414"/>
      <c r="E50" s="414"/>
      <c r="F50" s="414"/>
      <c r="G50" s="414"/>
      <c r="H50" s="414"/>
      <c r="I50" s="414"/>
      <c r="J50" s="414"/>
      <c r="K50" s="414"/>
      <c r="L50" s="3"/>
      <c r="M50" s="4"/>
      <c r="N50" s="693"/>
      <c r="O50" s="696"/>
      <c r="P50" s="697"/>
      <c r="Q50" s="693"/>
      <c r="R50" s="694"/>
      <c r="S50" s="697"/>
      <c r="T50" s="143"/>
      <c r="U50" s="143"/>
      <c r="V50" s="143"/>
    </row>
    <row r="51" spans="1:22" hidden="1">
      <c r="A51" s="685" t="str">
        <f>+A33</f>
        <v>Supervisor</v>
      </c>
      <c r="B51" s="413">
        <f>B33*1.5</f>
        <v>46.875</v>
      </c>
      <c r="C51" s="414">
        <f t="shared" ref="C51:E53" si="10">$B51*C$44</f>
        <v>6.7218749999999998</v>
      </c>
      <c r="D51" s="414">
        <f t="shared" si="10"/>
        <v>3.6468749999999996</v>
      </c>
      <c r="E51" s="414">
        <f t="shared" si="10"/>
        <v>7.03125</v>
      </c>
      <c r="F51" s="414">
        <f>$F$44*12/2080</f>
        <v>0</v>
      </c>
      <c r="G51" s="414">
        <f>SUM(B51:F51)*G$44</f>
        <v>0.64275000000000004</v>
      </c>
      <c r="H51" s="414">
        <f>$B51*H$44</f>
        <v>2.34375</v>
      </c>
      <c r="I51" s="414"/>
      <c r="J51" s="414"/>
      <c r="K51" s="414">
        <f t="shared" si="9"/>
        <v>67.261500000000012</v>
      </c>
      <c r="L51" s="3"/>
      <c r="M51" s="4"/>
      <c r="N51" s="693"/>
      <c r="O51" s="696"/>
      <c r="P51" s="697">
        <f t="shared" si="7"/>
        <v>0</v>
      </c>
      <c r="Q51" s="693"/>
      <c r="R51" s="694"/>
      <c r="S51" s="697">
        <f t="shared" si="8"/>
        <v>0</v>
      </c>
      <c r="T51" s="143"/>
      <c r="U51" s="143"/>
      <c r="V51" s="143"/>
    </row>
    <row r="52" spans="1:22">
      <c r="A52" s="685" t="str">
        <f>+A34</f>
        <v>Technician III</v>
      </c>
      <c r="B52" s="413">
        <f>B34*1.5</f>
        <v>40.5</v>
      </c>
      <c r="C52" s="414">
        <f t="shared" si="10"/>
        <v>5.8076999999999996</v>
      </c>
      <c r="D52" s="414">
        <f t="shared" si="10"/>
        <v>3.1508999999999996</v>
      </c>
      <c r="E52" s="414">
        <f t="shared" si="10"/>
        <v>6.0750000000000002</v>
      </c>
      <c r="F52" s="414">
        <f>$F$44*12/2080</f>
        <v>0</v>
      </c>
      <c r="G52" s="414">
        <f>SUM(B52:F52)*G$44</f>
        <v>0.55533600000000005</v>
      </c>
      <c r="H52" s="414">
        <f>$B52*H$44</f>
        <v>2.0249999999999999</v>
      </c>
      <c r="I52" s="414"/>
      <c r="J52" s="414"/>
      <c r="K52" s="414">
        <f t="shared" si="9"/>
        <v>58.113935999999995</v>
      </c>
      <c r="L52" s="3"/>
      <c r="M52" s="4"/>
      <c r="N52" s="693">
        <v>2</v>
      </c>
      <c r="O52" s="696">
        <f>0.2*O34</f>
        <v>112</v>
      </c>
      <c r="P52" s="697">
        <f t="shared" si="7"/>
        <v>13017.521664</v>
      </c>
      <c r="Q52" s="693">
        <v>2</v>
      </c>
      <c r="R52" s="694">
        <f>Scope!G31/16/5*20</f>
        <v>300</v>
      </c>
      <c r="S52" s="697">
        <f t="shared" si="8"/>
        <v>34868.361599999997</v>
      </c>
      <c r="T52" s="143"/>
      <c r="U52" s="143"/>
      <c r="V52" s="143"/>
    </row>
    <row r="53" spans="1:22">
      <c r="A53" s="685" t="str">
        <f>+A35</f>
        <v>Technician II</v>
      </c>
      <c r="B53" s="413">
        <f>B35*1.5</f>
        <v>37.5</v>
      </c>
      <c r="C53" s="414">
        <f t="shared" si="10"/>
        <v>5.3775000000000004</v>
      </c>
      <c r="D53" s="414">
        <f t="shared" si="10"/>
        <v>2.9175</v>
      </c>
      <c r="E53" s="414">
        <f t="shared" si="10"/>
        <v>5.625</v>
      </c>
      <c r="F53" s="414">
        <f>$F$44*12/2080</f>
        <v>0</v>
      </c>
      <c r="G53" s="414">
        <f>SUM(B53:F53)*G$44</f>
        <v>0.51419999999999999</v>
      </c>
      <c r="H53" s="414">
        <f>$B53*H$44</f>
        <v>1.875</v>
      </c>
      <c r="I53" s="414"/>
      <c r="J53" s="414"/>
      <c r="K53" s="414">
        <f t="shared" si="9"/>
        <v>53.809199999999997</v>
      </c>
      <c r="L53" s="3"/>
      <c r="M53" s="4"/>
      <c r="N53" s="693">
        <v>3</v>
      </c>
      <c r="O53" s="696">
        <f>0.2*O35</f>
        <v>32</v>
      </c>
      <c r="P53" s="697">
        <f t="shared" si="7"/>
        <v>5165.6831999999995</v>
      </c>
      <c r="Q53" s="693">
        <v>3</v>
      </c>
      <c r="R53" s="694">
        <f>Scope!G31/16/5*5</f>
        <v>75</v>
      </c>
      <c r="S53" s="697">
        <f t="shared" si="8"/>
        <v>12107.07</v>
      </c>
      <c r="T53" s="143"/>
      <c r="U53" s="143"/>
      <c r="V53" s="143"/>
    </row>
    <row r="54" spans="1:22" ht="13.5" thickBot="1">
      <c r="A54" s="3"/>
      <c r="B54" s="3"/>
      <c r="C54" s="3"/>
      <c r="D54" s="3"/>
      <c r="E54" s="3"/>
      <c r="F54" s="3"/>
      <c r="G54" s="3"/>
      <c r="H54" s="3"/>
      <c r="I54" s="3"/>
      <c r="J54" s="3"/>
      <c r="K54" s="3"/>
      <c r="L54" s="3"/>
      <c r="M54" s="4"/>
      <c r="N54" s="634"/>
      <c r="O54" s="166"/>
      <c r="P54" s="633"/>
      <c r="Q54" s="634"/>
      <c r="R54" s="166"/>
      <c r="S54" s="633"/>
    </row>
    <row r="55" spans="1:22" ht="13.5" thickBot="1">
      <c r="A55" s="4"/>
      <c r="B55" s="4"/>
      <c r="C55" s="4"/>
      <c r="D55" s="4"/>
      <c r="E55" s="4"/>
      <c r="F55" s="4"/>
      <c r="G55" s="4"/>
      <c r="H55" s="4"/>
      <c r="I55" s="4"/>
      <c r="J55" s="4"/>
      <c r="K55" s="4"/>
      <c r="L55" s="4"/>
      <c r="M55" s="4"/>
      <c r="N55" s="638"/>
      <c r="O55" s="455" t="s">
        <v>1166</v>
      </c>
      <c r="P55" s="692">
        <f>SUM(P28:P53)</f>
        <v>182382.37640861538</v>
      </c>
      <c r="Q55" s="638"/>
      <c r="R55" s="455"/>
      <c r="S55" s="692">
        <f>SUM(S28:S53)</f>
        <v>483930.94185230765</v>
      </c>
    </row>
  </sheetData>
  <mergeCells count="2">
    <mergeCell ref="N21:P21"/>
    <mergeCell ref="Q21:S21"/>
  </mergeCells>
  <pageMargins left="0.75" right="0.75" top="1" bottom="1" header="0.5" footer="0.5"/>
  <pageSetup scale="50" orientation="landscape" horizontalDpi="300" verticalDpi="300" r:id="rId1"/>
  <headerFooter alignWithMargins="0">
    <oddHeader>&amp;CCONFIDENTIAL INFORMATION</oddHeader>
    <oddFooter>&amp;LScot Chambers
&amp;D&amp;R&amp;F
&amp;A</oddFoot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0"/>
  <sheetViews>
    <sheetView zoomScale="75" workbookViewId="0">
      <selection sqref="A1:W1"/>
    </sheetView>
  </sheetViews>
  <sheetFormatPr defaultRowHeight="12.75"/>
  <cols>
    <col min="1" max="1" width="22.140625" customWidth="1"/>
    <col min="2" max="2" width="11.140625" customWidth="1"/>
    <col min="3" max="3" width="12.28515625" customWidth="1"/>
    <col min="4" max="4" width="14" customWidth="1"/>
    <col min="5" max="6" width="11.140625" customWidth="1"/>
    <col min="7" max="7" width="13.7109375" customWidth="1"/>
    <col min="8" max="8" width="15.28515625" customWidth="1"/>
    <col min="9" max="9" width="11.140625" customWidth="1"/>
    <col min="10" max="10" width="11.7109375" customWidth="1"/>
    <col min="11" max="11" width="10.140625" customWidth="1"/>
    <col min="12" max="12" width="11.140625" customWidth="1"/>
    <col min="13" max="13" width="13.7109375" customWidth="1"/>
    <col min="14" max="23" width="11.140625" customWidth="1"/>
    <col min="24" max="24" width="10.140625" customWidth="1"/>
  </cols>
  <sheetData>
    <row r="1" spans="1:23" ht="20.25">
      <c r="A1" s="724" t="str">
        <f>Scope!A1</f>
        <v>Rochester Public Utilities LM6000 PC Power Project</v>
      </c>
      <c r="B1" s="724"/>
      <c r="C1" s="724"/>
      <c r="D1" s="724"/>
      <c r="E1" s="724"/>
      <c r="F1" s="724"/>
      <c r="G1" s="724"/>
      <c r="H1" s="724"/>
      <c r="I1" s="724"/>
      <c r="J1" s="724"/>
      <c r="K1" s="724"/>
      <c r="L1" s="724"/>
      <c r="M1" s="724"/>
      <c r="N1" s="724"/>
      <c r="O1" s="724"/>
      <c r="P1" s="724"/>
      <c r="Q1" s="724"/>
      <c r="R1" s="724"/>
      <c r="S1" s="724"/>
      <c r="T1" s="724"/>
      <c r="U1" s="724"/>
      <c r="V1" s="724"/>
      <c r="W1" s="724"/>
    </row>
    <row r="2" spans="1:23" ht="20.25">
      <c r="A2" s="724" t="s">
        <v>349</v>
      </c>
      <c r="B2" s="724"/>
      <c r="C2" s="724"/>
      <c r="D2" s="724"/>
      <c r="E2" s="724"/>
      <c r="F2" s="724"/>
      <c r="G2" s="724"/>
      <c r="H2" s="724"/>
      <c r="I2" s="724"/>
      <c r="J2" s="724"/>
      <c r="K2" s="724"/>
      <c r="L2" s="724"/>
      <c r="M2" s="724"/>
      <c r="N2" s="724"/>
      <c r="O2" s="724"/>
      <c r="P2" s="724"/>
      <c r="Q2" s="724"/>
      <c r="R2" s="724"/>
      <c r="S2" s="724"/>
      <c r="T2" s="724"/>
      <c r="U2" s="724"/>
      <c r="V2" s="724"/>
      <c r="W2" s="724"/>
    </row>
    <row r="3" spans="1:23" ht="20.25">
      <c r="A3" s="617"/>
      <c r="B3" s="617"/>
      <c r="C3" s="617"/>
      <c r="D3" s="617"/>
      <c r="E3" s="617"/>
      <c r="F3" s="617"/>
      <c r="G3" s="617"/>
      <c r="H3" s="617"/>
      <c r="I3" s="617"/>
      <c r="J3" s="617"/>
      <c r="K3" s="617"/>
      <c r="L3" s="617"/>
      <c r="M3" s="617"/>
      <c r="N3" s="617"/>
      <c r="O3" s="617"/>
      <c r="P3" s="617"/>
      <c r="Q3" s="617"/>
      <c r="R3" s="617"/>
      <c r="S3" s="617"/>
      <c r="T3" s="617"/>
      <c r="U3" s="617"/>
      <c r="V3" s="617"/>
      <c r="W3" s="617"/>
    </row>
    <row r="4" spans="1:23" ht="18.75" thickBot="1">
      <c r="A4" s="726"/>
      <c r="B4" s="726"/>
      <c r="C4" s="726"/>
      <c r="D4" s="726"/>
      <c r="E4" s="726"/>
      <c r="F4" s="726"/>
      <c r="G4" s="726"/>
      <c r="H4" s="726"/>
      <c r="I4" s="726"/>
      <c r="J4" s="726"/>
      <c r="K4" s="726"/>
      <c r="L4" s="726"/>
      <c r="M4" s="726"/>
      <c r="N4" s="618"/>
      <c r="O4" s="618"/>
      <c r="P4" s="618"/>
      <c r="Q4" s="618"/>
      <c r="R4" s="618"/>
      <c r="S4" s="618"/>
      <c r="T4" s="618"/>
      <c r="U4" s="618"/>
      <c r="V4" s="618"/>
      <c r="W4" s="618"/>
    </row>
    <row r="5" spans="1:23" ht="18.75" thickBot="1">
      <c r="A5" s="625" t="s">
        <v>350</v>
      </c>
      <c r="B5" s="626"/>
      <c r="C5" s="626"/>
      <c r="D5" s="626"/>
      <c r="E5" s="626"/>
      <c r="F5" s="727" t="s">
        <v>351</v>
      </c>
      <c r="G5" s="727"/>
      <c r="H5" s="627">
        <f>Scope!F42</f>
        <v>20</v>
      </c>
      <c r="I5" s="628" t="s">
        <v>352</v>
      </c>
      <c r="J5" s="626"/>
      <c r="K5" s="629"/>
    </row>
    <row r="6" spans="1:23" ht="18">
      <c r="A6" s="630" t="s">
        <v>442</v>
      </c>
      <c r="B6" s="166"/>
      <c r="C6" s="166"/>
      <c r="D6" s="166"/>
      <c r="E6" s="166"/>
      <c r="F6" s="166"/>
      <c r="G6" s="166"/>
      <c r="H6" s="631">
        <f>V30</f>
        <v>0</v>
      </c>
      <c r="I6" s="632" t="s">
        <v>354</v>
      </c>
      <c r="J6" s="166"/>
      <c r="K6" s="633"/>
    </row>
    <row r="7" spans="1:23" ht="18.75" thickBot="1">
      <c r="A7" s="634"/>
      <c r="B7" s="166"/>
      <c r="C7" s="166"/>
      <c r="D7" s="166"/>
      <c r="E7" s="166"/>
      <c r="F7" s="166"/>
      <c r="G7" s="166"/>
      <c r="H7" s="631">
        <f>H6/$D$8</f>
        <v>0</v>
      </c>
      <c r="I7" s="632" t="s">
        <v>355</v>
      </c>
      <c r="J7" s="166"/>
      <c r="K7" s="633"/>
    </row>
    <row r="8" spans="1:23" ht="18.75" thickBot="1">
      <c r="A8" s="630" t="s">
        <v>356</v>
      </c>
      <c r="B8" s="635"/>
      <c r="C8" s="635"/>
      <c r="D8" s="627">
        <f>Scope!D16</f>
        <v>1</v>
      </c>
      <c r="E8" s="166"/>
      <c r="F8" s="166"/>
      <c r="G8" s="166"/>
      <c r="H8" s="636">
        <f>H7/H5</f>
        <v>0</v>
      </c>
      <c r="I8" s="632" t="s">
        <v>893</v>
      </c>
      <c r="J8" s="166"/>
      <c r="K8" s="633"/>
    </row>
    <row r="9" spans="1:23" ht="18.75" thickBot="1">
      <c r="A9" s="634"/>
      <c r="B9" s="166"/>
      <c r="C9" s="166"/>
      <c r="D9" s="166"/>
      <c r="E9" s="166"/>
      <c r="F9" s="166"/>
      <c r="G9" s="166"/>
      <c r="H9" s="637">
        <f>H8/C20</f>
        <v>0</v>
      </c>
      <c r="I9" s="632" t="s">
        <v>894</v>
      </c>
      <c r="J9" s="166"/>
      <c r="K9" s="633"/>
    </row>
    <row r="10" spans="1:23" ht="13.5" thickBot="1">
      <c r="A10" s="638"/>
      <c r="B10" s="455"/>
      <c r="C10" s="455"/>
      <c r="D10" s="455"/>
      <c r="E10" s="455"/>
      <c r="F10" s="455"/>
      <c r="G10" s="455"/>
      <c r="H10" s="455"/>
      <c r="I10" s="455"/>
      <c r="J10" s="455"/>
      <c r="K10" s="639"/>
    </row>
    <row r="11" spans="1:23" ht="15.75">
      <c r="A11" s="640"/>
      <c r="B11" s="641"/>
      <c r="C11" s="641"/>
      <c r="D11" s="642" t="s">
        <v>359</v>
      </c>
      <c r="E11" s="641"/>
      <c r="F11" s="641"/>
      <c r="G11" s="641"/>
      <c r="H11" s="641"/>
      <c r="I11" s="641"/>
      <c r="J11" s="641"/>
      <c r="K11" s="641"/>
      <c r="L11" s="626"/>
      <c r="M11" s="643"/>
      <c r="N11" s="643"/>
      <c r="O11" s="643"/>
      <c r="P11" s="643"/>
      <c r="Q11" s="643"/>
      <c r="R11" s="643"/>
      <c r="S11" s="643"/>
      <c r="T11" s="643"/>
      <c r="U11" s="643"/>
      <c r="V11" s="626"/>
      <c r="W11" s="629"/>
    </row>
    <row r="12" spans="1:23">
      <c r="A12" s="644" t="s">
        <v>360</v>
      </c>
      <c r="B12" s="645"/>
      <c r="C12" s="646"/>
      <c r="D12" s="647">
        <v>0</v>
      </c>
      <c r="E12" s="648" t="s">
        <v>361</v>
      </c>
      <c r="F12" s="641"/>
      <c r="G12" s="641"/>
      <c r="H12" s="649" t="s">
        <v>362</v>
      </c>
      <c r="I12" s="649"/>
      <c r="J12" s="641"/>
      <c r="K12" s="641"/>
      <c r="L12" s="166"/>
      <c r="M12" s="641"/>
      <c r="N12" s="641"/>
      <c r="O12" s="641"/>
      <c r="P12" s="641"/>
      <c r="Q12" s="641"/>
      <c r="R12" s="641"/>
      <c r="S12" s="641"/>
      <c r="T12" s="641"/>
      <c r="U12" s="641"/>
      <c r="V12" s="166"/>
      <c r="W12" s="633"/>
    </row>
    <row r="13" spans="1:23">
      <c r="A13" s="644" t="s">
        <v>363</v>
      </c>
      <c r="B13" s="645"/>
      <c r="C13" s="646"/>
      <c r="D13" s="647">
        <f>3.5*23900</f>
        <v>83650</v>
      </c>
      <c r="E13" s="650" t="s">
        <v>364</v>
      </c>
      <c r="F13" s="641"/>
      <c r="G13" s="641"/>
      <c r="H13" s="649" t="s">
        <v>365</v>
      </c>
      <c r="I13" s="166"/>
      <c r="J13" s="641"/>
      <c r="K13" s="641"/>
      <c r="L13" s="166"/>
      <c r="M13" s="641"/>
      <c r="N13" s="641"/>
      <c r="O13" s="641"/>
      <c r="P13" s="641"/>
      <c r="Q13" s="641"/>
      <c r="R13" s="641"/>
      <c r="S13" s="641"/>
      <c r="T13" s="641"/>
      <c r="U13" s="641"/>
      <c r="V13" s="166"/>
      <c r="W13" s="633"/>
    </row>
    <row r="14" spans="1:23">
      <c r="A14" s="644" t="s">
        <v>366</v>
      </c>
      <c r="B14" s="645"/>
      <c r="C14" s="646"/>
      <c r="D14" s="647">
        <v>0</v>
      </c>
      <c r="E14" s="650" t="s">
        <v>367</v>
      </c>
      <c r="F14" s="641"/>
      <c r="G14" s="641"/>
      <c r="H14" s="649" t="s">
        <v>368</v>
      </c>
      <c r="I14" s="649"/>
      <c r="J14" s="641"/>
      <c r="K14" s="641"/>
      <c r="L14" s="166"/>
      <c r="M14" s="641"/>
      <c r="N14" s="641"/>
      <c r="O14" s="641"/>
      <c r="P14" s="641"/>
      <c r="Q14" s="641"/>
      <c r="R14" s="641"/>
      <c r="S14" s="641"/>
      <c r="T14" s="641"/>
      <c r="U14" s="641"/>
      <c r="V14" s="166"/>
      <c r="W14" s="633"/>
    </row>
    <row r="15" spans="1:23">
      <c r="A15" s="644" t="s">
        <v>369</v>
      </c>
      <c r="B15" s="645"/>
      <c r="C15" s="646"/>
      <c r="D15" s="647">
        <v>1403000</v>
      </c>
      <c r="E15" s="650" t="s">
        <v>370</v>
      </c>
      <c r="F15" s="649" t="s">
        <v>371</v>
      </c>
      <c r="G15" s="641"/>
      <c r="H15" s="649" t="s">
        <v>372</v>
      </c>
      <c r="I15" s="166"/>
      <c r="J15" s="641"/>
      <c r="K15" s="641"/>
      <c r="L15" s="166"/>
      <c r="M15" s="641"/>
      <c r="N15" s="641"/>
      <c r="O15" s="641"/>
      <c r="P15" s="641"/>
      <c r="Q15" s="641"/>
      <c r="R15" s="641"/>
      <c r="S15" s="641"/>
      <c r="T15" s="641"/>
      <c r="U15" s="641"/>
      <c r="V15" s="166"/>
      <c r="W15" s="633"/>
    </row>
    <row r="16" spans="1:23">
      <c r="A16" s="644" t="s">
        <v>373</v>
      </c>
      <c r="B16" s="645"/>
      <c r="C16" s="646"/>
      <c r="D16" s="647">
        <v>3000000</v>
      </c>
      <c r="E16" s="650" t="s">
        <v>370</v>
      </c>
      <c r="F16" s="641"/>
      <c r="G16" s="641"/>
      <c r="H16" s="649" t="s">
        <v>374</v>
      </c>
      <c r="I16" s="166"/>
      <c r="J16" s="641"/>
      <c r="K16" s="641"/>
      <c r="L16" s="166"/>
      <c r="M16" s="641"/>
      <c r="N16" s="641"/>
      <c r="O16" s="641"/>
      <c r="P16" s="641"/>
      <c r="Q16" s="641"/>
      <c r="R16" s="641"/>
      <c r="S16" s="641"/>
      <c r="T16" s="641"/>
      <c r="U16" s="641"/>
      <c r="V16" s="166"/>
      <c r="W16" s="633"/>
    </row>
    <row r="17" spans="1:23">
      <c r="A17" s="644" t="s">
        <v>375</v>
      </c>
      <c r="B17" s="645"/>
      <c r="C17" s="646"/>
      <c r="D17" s="651">
        <v>25000</v>
      </c>
      <c r="E17" s="652"/>
      <c r="F17" s="641"/>
      <c r="G17" s="641"/>
      <c r="H17" s="649" t="s">
        <v>376</v>
      </c>
      <c r="I17" s="641"/>
      <c r="J17" s="641"/>
      <c r="K17" s="641"/>
      <c r="L17" s="166"/>
      <c r="M17" s="641"/>
      <c r="N17" s="641"/>
      <c r="O17" s="641"/>
      <c r="P17" s="641"/>
      <c r="Q17" s="641"/>
      <c r="R17" s="641"/>
      <c r="S17" s="641"/>
      <c r="T17" s="641"/>
      <c r="U17" s="641"/>
      <c r="V17" s="166"/>
      <c r="W17" s="633"/>
    </row>
    <row r="18" spans="1:23">
      <c r="A18" s="644" t="s">
        <v>377</v>
      </c>
      <c r="B18" s="645"/>
      <c r="C18" s="646"/>
      <c r="D18" s="651">
        <v>25000</v>
      </c>
      <c r="E18" s="652"/>
      <c r="F18" s="641"/>
      <c r="G18" s="641"/>
      <c r="H18" s="649" t="s">
        <v>376</v>
      </c>
      <c r="I18" s="641"/>
      <c r="J18" s="641"/>
      <c r="K18" s="166"/>
      <c r="L18" s="166"/>
      <c r="M18" s="166"/>
      <c r="N18" s="166"/>
      <c r="O18" s="166"/>
      <c r="P18" s="166"/>
      <c r="Q18" s="166"/>
      <c r="R18" s="166"/>
      <c r="S18" s="166"/>
      <c r="T18" s="166"/>
      <c r="U18" s="166"/>
      <c r="V18" s="166"/>
      <c r="W18" s="633"/>
    </row>
    <row r="19" spans="1:23">
      <c r="A19" s="634"/>
      <c r="B19" s="641"/>
      <c r="C19" s="641"/>
      <c r="D19" s="641"/>
      <c r="E19" s="641"/>
      <c r="F19" s="641"/>
      <c r="G19" s="641"/>
      <c r="H19" s="641"/>
      <c r="I19" s="641"/>
      <c r="J19" s="641"/>
      <c r="K19" s="166"/>
      <c r="L19" s="166"/>
      <c r="M19" s="166"/>
      <c r="N19" s="166"/>
      <c r="O19" s="166"/>
      <c r="P19" s="166"/>
      <c r="Q19" s="166"/>
      <c r="R19" s="166"/>
      <c r="S19" s="166"/>
      <c r="T19" s="166"/>
      <c r="U19" s="166"/>
      <c r="V19" s="166"/>
      <c r="W19" s="633"/>
    </row>
    <row r="20" spans="1:23">
      <c r="A20" s="653" t="s">
        <v>378</v>
      </c>
      <c r="B20" s="654"/>
      <c r="C20" s="670">
        <f>Scope!G31</f>
        <v>1200</v>
      </c>
      <c r="D20" s="656" t="s">
        <v>379</v>
      </c>
      <c r="E20" s="166"/>
      <c r="F20" s="166"/>
      <c r="G20" s="166"/>
      <c r="H20" s="166"/>
      <c r="I20" s="166"/>
      <c r="J20" s="166"/>
      <c r="K20" s="166"/>
      <c r="L20" s="166"/>
      <c r="M20" s="166"/>
      <c r="N20" s="166"/>
      <c r="O20" s="166"/>
      <c r="P20" s="166"/>
      <c r="Q20" s="166"/>
      <c r="R20" s="166"/>
      <c r="S20" s="166"/>
      <c r="T20" s="166"/>
      <c r="U20" s="166"/>
      <c r="V20" s="166"/>
      <c r="W20" s="633"/>
    </row>
    <row r="21" spans="1:23">
      <c r="A21" s="634" t="s">
        <v>380</v>
      </c>
      <c r="B21" s="233">
        <v>0</v>
      </c>
      <c r="C21" s="233">
        <v>1</v>
      </c>
      <c r="D21" s="233">
        <v>2</v>
      </c>
      <c r="E21" s="233">
        <v>3</v>
      </c>
      <c r="F21" s="233">
        <v>4</v>
      </c>
      <c r="G21" s="233">
        <v>5</v>
      </c>
      <c r="H21" s="233">
        <v>6</v>
      </c>
      <c r="I21" s="233">
        <v>7</v>
      </c>
      <c r="J21" s="233">
        <v>8</v>
      </c>
      <c r="K21" s="233">
        <v>9</v>
      </c>
      <c r="L21" s="233">
        <v>10</v>
      </c>
      <c r="M21" s="233">
        <v>11</v>
      </c>
      <c r="N21" s="233">
        <v>12</v>
      </c>
      <c r="O21" s="233">
        <v>13</v>
      </c>
      <c r="P21" s="233">
        <v>14</v>
      </c>
      <c r="Q21" s="233">
        <v>15</v>
      </c>
      <c r="R21" s="233">
        <v>16</v>
      </c>
      <c r="S21" s="233">
        <v>17</v>
      </c>
      <c r="T21" s="233">
        <v>18</v>
      </c>
      <c r="U21" s="233">
        <v>19</v>
      </c>
      <c r="V21" s="233">
        <v>20</v>
      </c>
      <c r="W21" s="633"/>
    </row>
    <row r="22" spans="1:23">
      <c r="A22" s="634" t="s">
        <v>381</v>
      </c>
      <c r="B22" s="657"/>
      <c r="C22" s="657">
        <f>$C20</f>
        <v>1200</v>
      </c>
      <c r="D22" s="657">
        <f>C22+$C20</f>
        <v>2400</v>
      </c>
      <c r="E22" s="657">
        <f>D22+$C20</f>
        <v>3600</v>
      </c>
      <c r="F22" s="657">
        <f>E22+$C20</f>
        <v>4800</v>
      </c>
      <c r="G22" s="657">
        <f>F22+$C20</f>
        <v>6000</v>
      </c>
      <c r="H22" s="657">
        <f>G22+$C20</f>
        <v>7200</v>
      </c>
      <c r="I22" s="657">
        <f t="shared" ref="I22:U22" si="0">H22+$C20</f>
        <v>8400</v>
      </c>
      <c r="J22" s="657">
        <f t="shared" si="0"/>
        <v>9600</v>
      </c>
      <c r="K22" s="657">
        <f t="shared" si="0"/>
        <v>10800</v>
      </c>
      <c r="L22" s="657">
        <f t="shared" si="0"/>
        <v>12000</v>
      </c>
      <c r="M22" s="657">
        <f t="shared" si="0"/>
        <v>13200</v>
      </c>
      <c r="N22" s="657">
        <f t="shared" si="0"/>
        <v>14400</v>
      </c>
      <c r="O22" s="657">
        <f t="shared" si="0"/>
        <v>15600</v>
      </c>
      <c r="P22" s="657">
        <f t="shared" si="0"/>
        <v>16800</v>
      </c>
      <c r="Q22" s="657">
        <f t="shared" si="0"/>
        <v>18000</v>
      </c>
      <c r="R22" s="657">
        <f t="shared" si="0"/>
        <v>19200</v>
      </c>
      <c r="S22" s="657">
        <f t="shared" si="0"/>
        <v>20400</v>
      </c>
      <c r="T22" s="657">
        <f t="shared" si="0"/>
        <v>21600</v>
      </c>
      <c r="U22" s="657">
        <f t="shared" si="0"/>
        <v>22800</v>
      </c>
      <c r="V22" s="657">
        <f>U22+$C20</f>
        <v>24000</v>
      </c>
      <c r="W22" s="633"/>
    </row>
    <row r="23" spans="1:23">
      <c r="A23" s="634" t="s">
        <v>382</v>
      </c>
      <c r="B23" s="233"/>
      <c r="C23" s="233"/>
      <c r="D23" s="233"/>
      <c r="E23" s="233"/>
      <c r="F23" s="233"/>
      <c r="G23" s="233"/>
      <c r="H23" s="233"/>
      <c r="I23" s="233"/>
      <c r="J23" s="233"/>
      <c r="K23" s="233"/>
      <c r="L23" s="233"/>
      <c r="M23" s="233"/>
      <c r="N23" s="233"/>
      <c r="O23" s="233"/>
      <c r="P23" s="233"/>
      <c r="Q23" s="233"/>
      <c r="R23" s="233"/>
      <c r="S23" s="233"/>
      <c r="T23" s="233"/>
      <c r="U23" s="233"/>
      <c r="V23" s="233"/>
      <c r="W23" s="633"/>
    </row>
    <row r="24" spans="1:23">
      <c r="A24" s="634" t="s">
        <v>383</v>
      </c>
      <c r="B24" s="658">
        <f t="shared" ref="B24:V24" si="1">IF(B23="H",$D$8*$D15,IF(B23="M",$D$8*$D16,0))</f>
        <v>0</v>
      </c>
      <c r="C24" s="658">
        <f t="shared" si="1"/>
        <v>0</v>
      </c>
      <c r="D24" s="658">
        <f t="shared" si="1"/>
        <v>0</v>
      </c>
      <c r="E24" s="658">
        <f t="shared" si="1"/>
        <v>0</v>
      </c>
      <c r="F24" s="658">
        <f t="shared" si="1"/>
        <v>0</v>
      </c>
      <c r="G24" s="658">
        <f t="shared" si="1"/>
        <v>0</v>
      </c>
      <c r="H24" s="658">
        <f t="shared" si="1"/>
        <v>0</v>
      </c>
      <c r="I24" s="658">
        <f t="shared" si="1"/>
        <v>0</v>
      </c>
      <c r="J24" s="658">
        <f t="shared" si="1"/>
        <v>0</v>
      </c>
      <c r="K24" s="658">
        <f t="shared" si="1"/>
        <v>0</v>
      </c>
      <c r="L24" s="658">
        <f t="shared" si="1"/>
        <v>0</v>
      </c>
      <c r="M24" s="658">
        <f t="shared" si="1"/>
        <v>0</v>
      </c>
      <c r="N24" s="658">
        <f t="shared" si="1"/>
        <v>0</v>
      </c>
      <c r="O24" s="658">
        <f t="shared" si="1"/>
        <v>0</v>
      </c>
      <c r="P24" s="658">
        <f t="shared" si="1"/>
        <v>0</v>
      </c>
      <c r="Q24" s="658">
        <f t="shared" si="1"/>
        <v>0</v>
      </c>
      <c r="R24" s="658">
        <f t="shared" si="1"/>
        <v>0</v>
      </c>
      <c r="S24" s="658">
        <f t="shared" si="1"/>
        <v>0</v>
      </c>
      <c r="T24" s="658">
        <f t="shared" si="1"/>
        <v>0</v>
      </c>
      <c r="U24" s="658">
        <f t="shared" si="1"/>
        <v>0</v>
      </c>
      <c r="V24" s="658">
        <f t="shared" si="1"/>
        <v>0</v>
      </c>
      <c r="W24" s="633"/>
    </row>
    <row r="25" spans="1:23">
      <c r="A25" s="634" t="s">
        <v>384</v>
      </c>
      <c r="B25" s="658"/>
      <c r="C25" s="658">
        <f t="shared" ref="C25:V25" si="2">$D$14*$D$8</f>
        <v>0</v>
      </c>
      <c r="D25" s="658">
        <f t="shared" si="2"/>
        <v>0</v>
      </c>
      <c r="E25" s="658">
        <f t="shared" si="2"/>
        <v>0</v>
      </c>
      <c r="F25" s="658">
        <f t="shared" si="2"/>
        <v>0</v>
      </c>
      <c r="G25" s="658">
        <f t="shared" si="2"/>
        <v>0</v>
      </c>
      <c r="H25" s="658">
        <f t="shared" si="2"/>
        <v>0</v>
      </c>
      <c r="I25" s="658">
        <f t="shared" si="2"/>
        <v>0</v>
      </c>
      <c r="J25" s="658">
        <f t="shared" si="2"/>
        <v>0</v>
      </c>
      <c r="K25" s="658">
        <f t="shared" si="2"/>
        <v>0</v>
      </c>
      <c r="L25" s="658">
        <f t="shared" si="2"/>
        <v>0</v>
      </c>
      <c r="M25" s="658">
        <f t="shared" si="2"/>
        <v>0</v>
      </c>
      <c r="N25" s="658">
        <f t="shared" si="2"/>
        <v>0</v>
      </c>
      <c r="O25" s="658">
        <f t="shared" si="2"/>
        <v>0</v>
      </c>
      <c r="P25" s="658">
        <f t="shared" si="2"/>
        <v>0</v>
      </c>
      <c r="Q25" s="658">
        <f t="shared" si="2"/>
        <v>0</v>
      </c>
      <c r="R25" s="658">
        <f t="shared" si="2"/>
        <v>0</v>
      </c>
      <c r="S25" s="658">
        <f t="shared" si="2"/>
        <v>0</v>
      </c>
      <c r="T25" s="658">
        <f t="shared" si="2"/>
        <v>0</v>
      </c>
      <c r="U25" s="658">
        <f t="shared" si="2"/>
        <v>0</v>
      </c>
      <c r="V25" s="658">
        <f t="shared" si="2"/>
        <v>0</v>
      </c>
      <c r="W25" s="633"/>
    </row>
    <row r="26" spans="1:23">
      <c r="A26" s="634" t="s">
        <v>385</v>
      </c>
      <c r="B26" s="658">
        <f>IF(B23="H",$D17*$D$8,IF(B23="M",$D18*$D$8,0))</f>
        <v>0</v>
      </c>
      <c r="C26" s="658">
        <f t="shared" ref="C26:V26" si="3">IF(C23="H",$D17*$D$8,IF(C23="M",$D18*$D$8,0))</f>
        <v>0</v>
      </c>
      <c r="D26" s="658">
        <f t="shared" si="3"/>
        <v>0</v>
      </c>
      <c r="E26" s="658">
        <f t="shared" si="3"/>
        <v>0</v>
      </c>
      <c r="F26" s="658">
        <f t="shared" si="3"/>
        <v>0</v>
      </c>
      <c r="G26" s="658">
        <f t="shared" si="3"/>
        <v>0</v>
      </c>
      <c r="H26" s="658">
        <f t="shared" si="3"/>
        <v>0</v>
      </c>
      <c r="I26" s="658">
        <f t="shared" si="3"/>
        <v>0</v>
      </c>
      <c r="J26" s="658">
        <f t="shared" si="3"/>
        <v>0</v>
      </c>
      <c r="K26" s="658">
        <f t="shared" si="3"/>
        <v>0</v>
      </c>
      <c r="L26" s="658">
        <f t="shared" si="3"/>
        <v>0</v>
      </c>
      <c r="M26" s="658">
        <f t="shared" si="3"/>
        <v>0</v>
      </c>
      <c r="N26" s="658">
        <f t="shared" si="3"/>
        <v>0</v>
      </c>
      <c r="O26" s="658">
        <f t="shared" si="3"/>
        <v>0</v>
      </c>
      <c r="P26" s="658">
        <f t="shared" si="3"/>
        <v>0</v>
      </c>
      <c r="Q26" s="658">
        <f t="shared" si="3"/>
        <v>0</v>
      </c>
      <c r="R26" s="658">
        <f t="shared" si="3"/>
        <v>0</v>
      </c>
      <c r="S26" s="658">
        <f t="shared" si="3"/>
        <v>0</v>
      </c>
      <c r="T26" s="658">
        <f t="shared" si="3"/>
        <v>0</v>
      </c>
      <c r="U26" s="658">
        <f t="shared" si="3"/>
        <v>0</v>
      </c>
      <c r="V26" s="658">
        <f t="shared" si="3"/>
        <v>0</v>
      </c>
      <c r="W26" s="633"/>
    </row>
    <row r="27" spans="1:23">
      <c r="A27" s="634" t="s">
        <v>386</v>
      </c>
      <c r="B27" s="233"/>
      <c r="C27" s="658">
        <f t="shared" ref="C27:V27" si="4">$D12*$D$8</f>
        <v>0</v>
      </c>
      <c r="D27" s="658">
        <f t="shared" si="4"/>
        <v>0</v>
      </c>
      <c r="E27" s="658">
        <f t="shared" si="4"/>
        <v>0</v>
      </c>
      <c r="F27" s="658">
        <f t="shared" si="4"/>
        <v>0</v>
      </c>
      <c r="G27" s="658">
        <f t="shared" si="4"/>
        <v>0</v>
      </c>
      <c r="H27" s="658">
        <f t="shared" si="4"/>
        <v>0</v>
      </c>
      <c r="I27" s="658">
        <f t="shared" si="4"/>
        <v>0</v>
      </c>
      <c r="J27" s="658">
        <f t="shared" si="4"/>
        <v>0</v>
      </c>
      <c r="K27" s="658">
        <f t="shared" si="4"/>
        <v>0</v>
      </c>
      <c r="L27" s="658">
        <f t="shared" si="4"/>
        <v>0</v>
      </c>
      <c r="M27" s="658">
        <f t="shared" si="4"/>
        <v>0</v>
      </c>
      <c r="N27" s="658">
        <f t="shared" si="4"/>
        <v>0</v>
      </c>
      <c r="O27" s="658">
        <f t="shared" si="4"/>
        <v>0</v>
      </c>
      <c r="P27" s="658">
        <f t="shared" si="4"/>
        <v>0</v>
      </c>
      <c r="Q27" s="658">
        <f t="shared" si="4"/>
        <v>0</v>
      </c>
      <c r="R27" s="658">
        <f t="shared" si="4"/>
        <v>0</v>
      </c>
      <c r="S27" s="658">
        <f t="shared" si="4"/>
        <v>0</v>
      </c>
      <c r="T27" s="658">
        <f t="shared" si="4"/>
        <v>0</v>
      </c>
      <c r="U27" s="658">
        <f t="shared" si="4"/>
        <v>0</v>
      </c>
      <c r="V27" s="658">
        <f t="shared" si="4"/>
        <v>0</v>
      </c>
      <c r="W27" s="633"/>
    </row>
    <row r="28" spans="1:23">
      <c r="A28" s="634" t="s">
        <v>387</v>
      </c>
      <c r="B28" s="658">
        <f>IF(B23="M",$D$8*($D13*12),0)</f>
        <v>0</v>
      </c>
      <c r="C28" s="658">
        <f t="shared" ref="C28:V28" si="5">IF(C23="M",$D$8*($D13*12),0)</f>
        <v>0</v>
      </c>
      <c r="D28" s="658">
        <f t="shared" si="5"/>
        <v>0</v>
      </c>
      <c r="E28" s="658">
        <f t="shared" si="5"/>
        <v>0</v>
      </c>
      <c r="F28" s="658">
        <f t="shared" si="5"/>
        <v>0</v>
      </c>
      <c r="G28" s="658">
        <f t="shared" si="5"/>
        <v>0</v>
      </c>
      <c r="H28" s="658">
        <f t="shared" si="5"/>
        <v>0</v>
      </c>
      <c r="I28" s="658">
        <f t="shared" si="5"/>
        <v>0</v>
      </c>
      <c r="J28" s="658">
        <f t="shared" si="5"/>
        <v>0</v>
      </c>
      <c r="K28" s="658">
        <f t="shared" si="5"/>
        <v>0</v>
      </c>
      <c r="L28" s="658">
        <f t="shared" si="5"/>
        <v>0</v>
      </c>
      <c r="M28" s="658">
        <f t="shared" si="5"/>
        <v>0</v>
      </c>
      <c r="N28" s="658">
        <f t="shared" si="5"/>
        <v>0</v>
      </c>
      <c r="O28" s="658">
        <f t="shared" si="5"/>
        <v>0</v>
      </c>
      <c r="P28" s="658">
        <f t="shared" si="5"/>
        <v>0</v>
      </c>
      <c r="Q28" s="658">
        <f t="shared" si="5"/>
        <v>0</v>
      </c>
      <c r="R28" s="658">
        <f t="shared" si="5"/>
        <v>0</v>
      </c>
      <c r="S28" s="658">
        <f t="shared" si="5"/>
        <v>0</v>
      </c>
      <c r="T28" s="658">
        <f t="shared" si="5"/>
        <v>0</v>
      </c>
      <c r="U28" s="658">
        <f t="shared" si="5"/>
        <v>0</v>
      </c>
      <c r="V28" s="658">
        <f t="shared" si="5"/>
        <v>0</v>
      </c>
      <c r="W28" s="633"/>
    </row>
    <row r="29" spans="1:23" ht="15.75">
      <c r="A29" s="659" t="s">
        <v>388</v>
      </c>
      <c r="B29" s="660">
        <f t="shared" ref="B29:V29" si="6">SUM(B24:B28)</f>
        <v>0</v>
      </c>
      <c r="C29" s="660">
        <f t="shared" si="6"/>
        <v>0</v>
      </c>
      <c r="D29" s="660">
        <f t="shared" si="6"/>
        <v>0</v>
      </c>
      <c r="E29" s="660">
        <f t="shared" si="6"/>
        <v>0</v>
      </c>
      <c r="F29" s="660">
        <f t="shared" si="6"/>
        <v>0</v>
      </c>
      <c r="G29" s="660">
        <f t="shared" si="6"/>
        <v>0</v>
      </c>
      <c r="H29" s="660">
        <f t="shared" si="6"/>
        <v>0</v>
      </c>
      <c r="I29" s="660">
        <f t="shared" si="6"/>
        <v>0</v>
      </c>
      <c r="J29" s="660">
        <f t="shared" si="6"/>
        <v>0</v>
      </c>
      <c r="K29" s="660">
        <f t="shared" si="6"/>
        <v>0</v>
      </c>
      <c r="L29" s="660">
        <f t="shared" si="6"/>
        <v>0</v>
      </c>
      <c r="M29" s="660">
        <f t="shared" si="6"/>
        <v>0</v>
      </c>
      <c r="N29" s="660">
        <f t="shared" si="6"/>
        <v>0</v>
      </c>
      <c r="O29" s="660">
        <f t="shared" si="6"/>
        <v>0</v>
      </c>
      <c r="P29" s="660">
        <f t="shared" si="6"/>
        <v>0</v>
      </c>
      <c r="Q29" s="660">
        <f t="shared" si="6"/>
        <v>0</v>
      </c>
      <c r="R29" s="660">
        <f t="shared" si="6"/>
        <v>0</v>
      </c>
      <c r="S29" s="660">
        <f t="shared" si="6"/>
        <v>0</v>
      </c>
      <c r="T29" s="660">
        <f t="shared" si="6"/>
        <v>0</v>
      </c>
      <c r="U29" s="660">
        <f t="shared" si="6"/>
        <v>0</v>
      </c>
      <c r="V29" s="660">
        <f t="shared" si="6"/>
        <v>0</v>
      </c>
      <c r="W29" s="633"/>
    </row>
    <row r="30" spans="1:23" ht="15.75">
      <c r="A30" s="661"/>
      <c r="B30" s="660"/>
      <c r="C30" s="660">
        <f t="shared" ref="C30:V30" si="7">B30+C29</f>
        <v>0</v>
      </c>
      <c r="D30" s="660">
        <f t="shared" si="7"/>
        <v>0</v>
      </c>
      <c r="E30" s="660">
        <f t="shared" si="7"/>
        <v>0</v>
      </c>
      <c r="F30" s="660">
        <f t="shared" si="7"/>
        <v>0</v>
      </c>
      <c r="G30" s="660">
        <f t="shared" si="7"/>
        <v>0</v>
      </c>
      <c r="H30" s="660">
        <f t="shared" si="7"/>
        <v>0</v>
      </c>
      <c r="I30" s="660">
        <f t="shared" si="7"/>
        <v>0</v>
      </c>
      <c r="J30" s="660">
        <f t="shared" si="7"/>
        <v>0</v>
      </c>
      <c r="K30" s="660">
        <f t="shared" si="7"/>
        <v>0</v>
      </c>
      <c r="L30" s="660">
        <f t="shared" si="7"/>
        <v>0</v>
      </c>
      <c r="M30" s="660">
        <f t="shared" si="7"/>
        <v>0</v>
      </c>
      <c r="N30" s="660">
        <f t="shared" si="7"/>
        <v>0</v>
      </c>
      <c r="O30" s="660">
        <f t="shared" si="7"/>
        <v>0</v>
      </c>
      <c r="P30" s="660">
        <f t="shared" si="7"/>
        <v>0</v>
      </c>
      <c r="Q30" s="660">
        <f t="shared" si="7"/>
        <v>0</v>
      </c>
      <c r="R30" s="660">
        <f t="shared" si="7"/>
        <v>0</v>
      </c>
      <c r="S30" s="660">
        <f t="shared" si="7"/>
        <v>0</v>
      </c>
      <c r="T30" s="660">
        <f t="shared" si="7"/>
        <v>0</v>
      </c>
      <c r="U30" s="660">
        <f t="shared" si="7"/>
        <v>0</v>
      </c>
      <c r="V30" s="660">
        <f t="shared" si="7"/>
        <v>0</v>
      </c>
      <c r="W30" s="633"/>
    </row>
    <row r="31" spans="1:23">
      <c r="A31" s="634" t="s">
        <v>1324</v>
      </c>
      <c r="B31" s="166"/>
      <c r="C31" s="166"/>
      <c r="D31" s="166"/>
      <c r="E31" s="166"/>
      <c r="F31" s="166"/>
      <c r="G31" s="166"/>
      <c r="H31" s="166"/>
      <c r="I31" s="166"/>
      <c r="J31" s="166"/>
      <c r="K31" s="166"/>
      <c r="L31" s="166"/>
      <c r="M31" s="166"/>
      <c r="N31" s="166"/>
      <c r="O31" s="166"/>
      <c r="P31" s="166"/>
      <c r="Q31" s="166"/>
      <c r="R31" s="166"/>
      <c r="S31" s="166"/>
      <c r="T31" s="166"/>
      <c r="U31" s="166"/>
      <c r="V31" s="166"/>
      <c r="W31" s="633"/>
    </row>
    <row r="32" spans="1:23">
      <c r="A32" s="634" t="s">
        <v>389</v>
      </c>
      <c r="B32" s="166"/>
      <c r="C32" s="166"/>
      <c r="D32" s="166"/>
      <c r="E32" s="166"/>
      <c r="F32" s="166"/>
      <c r="G32" s="166"/>
      <c r="H32" s="166"/>
      <c r="I32" s="166"/>
      <c r="J32" s="166"/>
      <c r="K32" s="166"/>
      <c r="L32" s="166"/>
      <c r="M32" s="166"/>
      <c r="N32" s="166"/>
      <c r="O32" s="166"/>
      <c r="P32" s="166"/>
      <c r="Q32" s="166"/>
      <c r="R32" s="166"/>
      <c r="S32" s="166"/>
      <c r="T32" s="166"/>
      <c r="U32" s="166"/>
      <c r="V32" s="166"/>
      <c r="W32" s="633"/>
    </row>
    <row r="33" spans="1:26">
      <c r="A33" s="634" t="s">
        <v>390</v>
      </c>
      <c r="B33" s="166"/>
      <c r="C33" s="166"/>
      <c r="D33" s="166"/>
      <c r="E33" s="166"/>
      <c r="F33" s="166"/>
      <c r="G33" s="166"/>
      <c r="H33" s="166"/>
      <c r="I33" s="166"/>
      <c r="J33" s="166"/>
      <c r="K33" s="166"/>
      <c r="L33" s="166"/>
      <c r="M33" s="166"/>
      <c r="N33" s="166"/>
      <c r="O33" s="166"/>
      <c r="P33" s="166"/>
      <c r="Q33" s="166"/>
      <c r="R33" s="166"/>
      <c r="S33" s="166"/>
      <c r="T33" s="166"/>
      <c r="U33" s="166"/>
      <c r="V33" s="166"/>
      <c r="W33" s="633"/>
    </row>
    <row r="34" spans="1:26" ht="13.5" thickBot="1">
      <c r="A34" s="638" t="s">
        <v>391</v>
      </c>
      <c r="B34" s="455"/>
      <c r="C34" s="455"/>
      <c r="D34" s="455"/>
      <c r="E34" s="455"/>
      <c r="F34" s="455"/>
      <c r="G34" s="455"/>
      <c r="H34" s="455"/>
      <c r="I34" s="455"/>
      <c r="J34" s="455"/>
      <c r="K34" s="455"/>
      <c r="L34" s="455"/>
      <c r="M34" s="455"/>
      <c r="N34" s="455"/>
      <c r="O34" s="455"/>
      <c r="P34" s="455"/>
      <c r="Q34" s="455"/>
      <c r="R34" s="455"/>
      <c r="S34" s="455"/>
      <c r="T34" s="455"/>
      <c r="U34" s="455"/>
      <c r="V34" s="455"/>
      <c r="W34" s="639"/>
    </row>
    <row r="35" spans="1:26">
      <c r="A35" s="166"/>
      <c r="B35" s="166"/>
      <c r="C35" s="166"/>
      <c r="D35" s="166"/>
      <c r="E35" s="166"/>
      <c r="F35" s="166"/>
      <c r="G35" s="166"/>
      <c r="H35" s="166"/>
      <c r="I35" s="166"/>
      <c r="J35" s="166"/>
      <c r="K35" s="166"/>
      <c r="L35" s="166"/>
      <c r="M35" s="166"/>
      <c r="N35" s="166"/>
      <c r="O35" s="166"/>
      <c r="P35" s="166"/>
      <c r="Q35" s="166"/>
      <c r="R35" s="166"/>
      <c r="S35" s="166"/>
      <c r="T35" s="166"/>
      <c r="U35" s="166"/>
      <c r="V35" s="166"/>
      <c r="W35" s="166"/>
      <c r="X35" s="166"/>
      <c r="Y35" s="166"/>
      <c r="Z35" s="166"/>
    </row>
    <row r="36" spans="1:26" ht="13.5" hidden="1" thickBot="1">
      <c r="A36" s="166"/>
      <c r="B36" s="166"/>
      <c r="C36" s="166"/>
      <c r="D36" s="166"/>
      <c r="E36" s="166"/>
      <c r="F36" s="166"/>
      <c r="G36" s="166"/>
      <c r="H36" s="166"/>
      <c r="I36" s="166"/>
      <c r="J36" s="166"/>
      <c r="K36" s="166"/>
      <c r="L36" s="166"/>
      <c r="M36" s="166"/>
      <c r="N36" s="166"/>
      <c r="O36" s="166"/>
      <c r="P36" s="166"/>
      <c r="Q36" s="166"/>
      <c r="R36" s="166"/>
      <c r="S36" s="166"/>
      <c r="T36" s="166"/>
      <c r="U36" s="166"/>
      <c r="V36" s="166"/>
      <c r="W36" s="166"/>
      <c r="X36" s="166"/>
      <c r="Y36" s="166"/>
      <c r="Z36" s="166"/>
    </row>
    <row r="37" spans="1:26" ht="18.75" hidden="1" thickBot="1">
      <c r="A37" s="728" t="s">
        <v>392</v>
      </c>
      <c r="B37" s="729"/>
      <c r="C37" s="729"/>
      <c r="D37" s="729"/>
      <c r="E37" s="729"/>
      <c r="F37" s="729"/>
      <c r="G37" s="729"/>
      <c r="H37" s="729"/>
      <c r="I37" s="729"/>
      <c r="J37" s="729"/>
      <c r="K37" s="730"/>
      <c r="L37" s="166"/>
      <c r="M37" s="166"/>
    </row>
    <row r="38" spans="1:26" ht="18.75" hidden="1" thickBot="1">
      <c r="A38" s="630" t="s">
        <v>350</v>
      </c>
      <c r="B38" s="166"/>
      <c r="C38" s="166"/>
      <c r="D38" s="166"/>
      <c r="E38" s="166"/>
      <c r="F38" s="725" t="s">
        <v>351</v>
      </c>
      <c r="G38" s="725"/>
      <c r="H38" s="662">
        <v>20</v>
      </c>
      <c r="I38" s="663" t="s">
        <v>352</v>
      </c>
      <c r="J38" s="166"/>
      <c r="K38" s="633"/>
    </row>
    <row r="39" spans="1:26" ht="18" hidden="1">
      <c r="A39" s="630" t="s">
        <v>353</v>
      </c>
      <c r="B39" s="166"/>
      <c r="C39" s="166"/>
      <c r="D39" s="166"/>
      <c r="E39" s="166"/>
      <c r="F39" s="166"/>
      <c r="G39" s="166"/>
      <c r="H39" s="631">
        <f>V63</f>
        <v>18013740</v>
      </c>
      <c r="I39" s="632" t="s">
        <v>354</v>
      </c>
      <c r="J39" s="166"/>
      <c r="K39" s="633"/>
    </row>
    <row r="40" spans="1:26" ht="18.75" hidden="1" thickBot="1">
      <c r="A40" s="634"/>
      <c r="B40" s="166"/>
      <c r="C40" s="166"/>
      <c r="D40" s="166"/>
      <c r="E40" s="166"/>
      <c r="F40" s="166"/>
      <c r="G40" s="166"/>
      <c r="H40" s="631">
        <f>H39/$D$8</f>
        <v>18013740</v>
      </c>
      <c r="I40" s="632" t="s">
        <v>355</v>
      </c>
      <c r="J40" s="166"/>
      <c r="K40" s="633"/>
    </row>
    <row r="41" spans="1:26" ht="18.75" hidden="1" thickBot="1">
      <c r="A41" s="630" t="s">
        <v>356</v>
      </c>
      <c r="B41" s="635"/>
      <c r="C41" s="635"/>
      <c r="D41" s="627">
        <v>1</v>
      </c>
      <c r="E41" s="166"/>
      <c r="F41" s="166"/>
      <c r="G41" s="166"/>
      <c r="H41" s="631">
        <f>H40/H38</f>
        <v>900687</v>
      </c>
      <c r="I41" s="632" t="s">
        <v>357</v>
      </c>
      <c r="J41" s="166"/>
      <c r="K41" s="633"/>
    </row>
    <row r="42" spans="1:26" ht="18.75" hidden="1" thickBot="1">
      <c r="A42" s="634"/>
      <c r="B42" s="166"/>
      <c r="C42" s="166"/>
      <c r="D42" s="166"/>
      <c r="E42" s="166"/>
      <c r="F42" s="166"/>
      <c r="G42" s="166"/>
      <c r="H42" s="637">
        <f>H41/C53</f>
        <v>112.585875</v>
      </c>
      <c r="I42" s="632" t="s">
        <v>358</v>
      </c>
      <c r="J42" s="166"/>
      <c r="K42" s="633"/>
    </row>
    <row r="43" spans="1:26" ht="13.5" hidden="1" thickBot="1">
      <c r="A43" s="634"/>
      <c r="B43" s="166"/>
      <c r="C43" s="166"/>
      <c r="D43" s="166"/>
      <c r="E43" s="166"/>
      <c r="F43" s="166"/>
      <c r="G43" s="166"/>
      <c r="H43" s="166"/>
      <c r="I43" s="166"/>
      <c r="J43" s="166"/>
      <c r="K43" s="633"/>
    </row>
    <row r="44" spans="1:26" ht="15.75" hidden="1">
      <c r="A44" s="664"/>
      <c r="B44" s="643"/>
      <c r="C44" s="643"/>
      <c r="D44" s="665" t="s">
        <v>359</v>
      </c>
      <c r="E44" s="643"/>
      <c r="F44" s="643"/>
      <c r="G44" s="643"/>
      <c r="H44" s="643"/>
      <c r="I44" s="643"/>
      <c r="J44" s="643"/>
      <c r="K44" s="643"/>
      <c r="L44" s="626"/>
      <c r="M44" s="643"/>
      <c r="N44" s="643"/>
      <c r="O44" s="643"/>
      <c r="P44" s="643"/>
      <c r="Q44" s="643"/>
      <c r="R44" s="643"/>
      <c r="S44" s="643"/>
      <c r="T44" s="643"/>
      <c r="U44" s="643"/>
      <c r="V44" s="626"/>
      <c r="W44" s="629"/>
    </row>
    <row r="45" spans="1:26" hidden="1">
      <c r="A45" s="644" t="s">
        <v>360</v>
      </c>
      <c r="B45" s="645"/>
      <c r="C45" s="646"/>
      <c r="D45" s="647">
        <v>170717</v>
      </c>
      <c r="E45" s="648" t="s">
        <v>361</v>
      </c>
      <c r="F45" s="641"/>
      <c r="G45" s="641"/>
      <c r="H45" s="649" t="s">
        <v>362</v>
      </c>
      <c r="I45" s="649"/>
      <c r="J45" s="641"/>
      <c r="K45" s="641"/>
      <c r="L45" s="166"/>
      <c r="M45" s="641"/>
      <c r="N45" s="641"/>
      <c r="O45" s="641"/>
      <c r="P45" s="641"/>
      <c r="Q45" s="641"/>
      <c r="R45" s="641"/>
      <c r="S45" s="641"/>
      <c r="T45" s="641"/>
      <c r="U45" s="641"/>
      <c r="V45" s="166"/>
      <c r="W45" s="633"/>
    </row>
    <row r="46" spans="1:26" hidden="1">
      <c r="A46" s="644" t="s">
        <v>363</v>
      </c>
      <c r="B46" s="645"/>
      <c r="C46" s="646"/>
      <c r="D46" s="647">
        <v>23900</v>
      </c>
      <c r="E46" s="650" t="s">
        <v>364</v>
      </c>
      <c r="F46" s="641"/>
      <c r="G46" s="641"/>
      <c r="H46" s="649" t="s">
        <v>365</v>
      </c>
      <c r="I46" s="166"/>
      <c r="J46" s="641"/>
      <c r="K46" s="641"/>
      <c r="L46" s="166"/>
      <c r="M46" s="641"/>
      <c r="N46" s="641"/>
      <c r="O46" s="641"/>
      <c r="P46" s="641"/>
      <c r="Q46" s="641"/>
      <c r="R46" s="641"/>
      <c r="S46" s="641"/>
      <c r="T46" s="641"/>
      <c r="U46" s="641"/>
      <c r="V46" s="166"/>
      <c r="W46" s="633"/>
    </row>
    <row r="47" spans="1:26" hidden="1">
      <c r="A47" s="644" t="s">
        <v>366</v>
      </c>
      <c r="B47" s="645"/>
      <c r="C47" s="646"/>
      <c r="D47" s="647">
        <v>19000</v>
      </c>
      <c r="E47" s="650" t="s">
        <v>367</v>
      </c>
      <c r="F47" s="641"/>
      <c r="G47" s="641"/>
      <c r="H47" s="649" t="s">
        <v>368</v>
      </c>
      <c r="I47" s="649"/>
      <c r="J47" s="641"/>
      <c r="K47" s="641"/>
      <c r="L47" s="166"/>
      <c r="M47" s="641"/>
      <c r="N47" s="641"/>
      <c r="O47" s="641"/>
      <c r="P47" s="641"/>
      <c r="Q47" s="641"/>
      <c r="R47" s="641"/>
      <c r="S47" s="641"/>
      <c r="T47" s="641"/>
      <c r="U47" s="641"/>
      <c r="V47" s="166"/>
      <c r="W47" s="633"/>
    </row>
    <row r="48" spans="1:26" hidden="1">
      <c r="A48" s="644" t="s">
        <v>369</v>
      </c>
      <c r="B48" s="645"/>
      <c r="C48" s="646"/>
      <c r="D48" s="647">
        <v>1403000</v>
      </c>
      <c r="E48" s="650" t="s">
        <v>370</v>
      </c>
      <c r="F48" s="649" t="s">
        <v>371</v>
      </c>
      <c r="G48" s="641"/>
      <c r="H48" s="649" t="s">
        <v>372</v>
      </c>
      <c r="I48" s="166"/>
      <c r="J48" s="641"/>
      <c r="K48" s="641"/>
      <c r="L48" s="166"/>
      <c r="M48" s="641"/>
      <c r="N48" s="641"/>
      <c r="O48" s="641"/>
      <c r="P48" s="641"/>
      <c r="Q48" s="641"/>
      <c r="R48" s="641"/>
      <c r="S48" s="641"/>
      <c r="T48" s="641"/>
      <c r="U48" s="641"/>
      <c r="V48" s="166"/>
      <c r="W48" s="633"/>
    </row>
    <row r="49" spans="1:23" hidden="1">
      <c r="A49" s="644" t="s">
        <v>373</v>
      </c>
      <c r="B49" s="645"/>
      <c r="C49" s="646"/>
      <c r="D49" s="647">
        <v>3000000</v>
      </c>
      <c r="E49" s="650" t="s">
        <v>370</v>
      </c>
      <c r="F49" s="641"/>
      <c r="G49" s="641"/>
      <c r="H49" s="649" t="s">
        <v>374</v>
      </c>
      <c r="I49" s="166"/>
      <c r="J49" s="641"/>
      <c r="K49" s="641"/>
      <c r="L49" s="166"/>
      <c r="M49" s="641"/>
      <c r="N49" s="641"/>
      <c r="O49" s="641"/>
      <c r="P49" s="641"/>
      <c r="Q49" s="641"/>
      <c r="R49" s="641"/>
      <c r="S49" s="641"/>
      <c r="T49" s="641"/>
      <c r="U49" s="641"/>
      <c r="V49" s="166"/>
      <c r="W49" s="633"/>
    </row>
    <row r="50" spans="1:23" hidden="1">
      <c r="A50" s="644" t="s">
        <v>375</v>
      </c>
      <c r="B50" s="645"/>
      <c r="C50" s="646"/>
      <c r="D50" s="651">
        <v>25000</v>
      </c>
      <c r="E50" s="652"/>
      <c r="F50" s="641"/>
      <c r="G50" s="641"/>
      <c r="H50" s="649" t="s">
        <v>376</v>
      </c>
      <c r="I50" s="641"/>
      <c r="J50" s="641"/>
      <c r="K50" s="641"/>
      <c r="L50" s="166"/>
      <c r="M50" s="641"/>
      <c r="N50" s="641"/>
      <c r="O50" s="641"/>
      <c r="P50" s="641"/>
      <c r="Q50" s="641"/>
      <c r="R50" s="641"/>
      <c r="S50" s="641"/>
      <c r="T50" s="641"/>
      <c r="U50" s="641"/>
      <c r="V50" s="166"/>
      <c r="W50" s="633"/>
    </row>
    <row r="51" spans="1:23" hidden="1">
      <c r="A51" s="644" t="s">
        <v>377</v>
      </c>
      <c r="B51" s="645"/>
      <c r="C51" s="646"/>
      <c r="D51" s="651">
        <v>25000</v>
      </c>
      <c r="E51" s="652"/>
      <c r="F51" s="641"/>
      <c r="G51" s="641"/>
      <c r="H51" s="649" t="s">
        <v>376</v>
      </c>
      <c r="I51" s="641"/>
      <c r="J51" s="641"/>
      <c r="K51" s="166"/>
      <c r="L51" s="166"/>
      <c r="M51" s="166"/>
      <c r="N51" s="166"/>
      <c r="O51" s="166"/>
      <c r="P51" s="166"/>
      <c r="Q51" s="166"/>
      <c r="R51" s="166"/>
      <c r="S51" s="166"/>
      <c r="T51" s="166"/>
      <c r="U51" s="166"/>
      <c r="V51" s="166"/>
      <c r="W51" s="633"/>
    </row>
    <row r="52" spans="1:23" hidden="1">
      <c r="A52" s="634"/>
      <c r="B52" s="641"/>
      <c r="C52" s="641"/>
      <c r="D52" s="641"/>
      <c r="E52" s="641"/>
      <c r="F52" s="641"/>
      <c r="G52" s="641"/>
      <c r="H52" s="641"/>
      <c r="I52" s="641"/>
      <c r="J52" s="641"/>
      <c r="K52" s="166"/>
      <c r="L52" s="166"/>
      <c r="M52" s="166"/>
      <c r="N52" s="166"/>
      <c r="O52" s="166"/>
      <c r="P52" s="166"/>
      <c r="Q52" s="166"/>
      <c r="R52" s="166"/>
      <c r="S52" s="166"/>
      <c r="T52" s="166"/>
      <c r="U52" s="166"/>
      <c r="V52" s="166"/>
      <c r="W52" s="633"/>
    </row>
    <row r="53" spans="1:23" hidden="1">
      <c r="A53" s="653" t="s">
        <v>378</v>
      </c>
      <c r="B53" s="654"/>
      <c r="C53" s="655">
        <v>8000</v>
      </c>
      <c r="D53" s="656" t="s">
        <v>379</v>
      </c>
      <c r="E53" s="166"/>
      <c r="F53" s="166"/>
      <c r="G53" s="166"/>
      <c r="H53" s="166"/>
      <c r="I53" s="166"/>
      <c r="J53" s="166"/>
      <c r="K53" s="166"/>
      <c r="L53" s="166"/>
      <c r="M53" s="166"/>
      <c r="N53" s="166"/>
      <c r="O53" s="166"/>
      <c r="P53" s="166"/>
      <c r="Q53" s="166"/>
      <c r="R53" s="166"/>
      <c r="S53" s="166"/>
      <c r="T53" s="166"/>
      <c r="U53" s="166"/>
      <c r="V53" s="166"/>
      <c r="W53" s="633"/>
    </row>
    <row r="54" spans="1:23" hidden="1">
      <c r="A54" s="634" t="s">
        <v>380</v>
      </c>
      <c r="B54" s="233">
        <v>0</v>
      </c>
      <c r="C54" s="233">
        <v>1</v>
      </c>
      <c r="D54" s="233">
        <v>2</v>
      </c>
      <c r="E54" s="233">
        <v>3</v>
      </c>
      <c r="F54" s="233">
        <v>4</v>
      </c>
      <c r="G54" s="233">
        <v>5</v>
      </c>
      <c r="H54" s="233">
        <v>6</v>
      </c>
      <c r="I54" s="233">
        <v>7</v>
      </c>
      <c r="J54" s="233">
        <v>8</v>
      </c>
      <c r="K54" s="233">
        <v>9</v>
      </c>
      <c r="L54" s="233">
        <v>10</v>
      </c>
      <c r="M54" s="233">
        <v>11</v>
      </c>
      <c r="N54" s="233">
        <v>12</v>
      </c>
      <c r="O54" s="233">
        <v>13</v>
      </c>
      <c r="P54" s="233">
        <v>14</v>
      </c>
      <c r="Q54" s="233">
        <v>15</v>
      </c>
      <c r="R54" s="233">
        <v>16</v>
      </c>
      <c r="S54" s="233">
        <v>17</v>
      </c>
      <c r="T54" s="233">
        <v>18</v>
      </c>
      <c r="U54" s="233">
        <v>19</v>
      </c>
      <c r="V54" s="233">
        <v>20</v>
      </c>
      <c r="W54" s="633"/>
    </row>
    <row r="55" spans="1:23" hidden="1">
      <c r="A55" s="634" t="s">
        <v>381</v>
      </c>
      <c r="B55" s="657"/>
      <c r="C55" s="657">
        <f>$C53</f>
        <v>8000</v>
      </c>
      <c r="D55" s="657">
        <f>C55+$C53</f>
        <v>16000</v>
      </c>
      <c r="E55" s="657">
        <f>D55+$C53</f>
        <v>24000</v>
      </c>
      <c r="F55" s="657">
        <f>E55+$C53</f>
        <v>32000</v>
      </c>
      <c r="G55" s="657">
        <f>F55+$C53</f>
        <v>40000</v>
      </c>
      <c r="H55" s="657">
        <f>G55+$C53</f>
        <v>48000</v>
      </c>
      <c r="I55" s="657">
        <f t="shared" ref="I55:U55" si="8">H55+$C53</f>
        <v>56000</v>
      </c>
      <c r="J55" s="657">
        <f t="shared" si="8"/>
        <v>64000</v>
      </c>
      <c r="K55" s="657">
        <f t="shared" si="8"/>
        <v>72000</v>
      </c>
      <c r="L55" s="657">
        <f t="shared" si="8"/>
        <v>80000</v>
      </c>
      <c r="M55" s="657">
        <f t="shared" si="8"/>
        <v>88000</v>
      </c>
      <c r="N55" s="657">
        <f t="shared" si="8"/>
        <v>96000</v>
      </c>
      <c r="O55" s="657">
        <f t="shared" si="8"/>
        <v>104000</v>
      </c>
      <c r="P55" s="657">
        <f t="shared" si="8"/>
        <v>112000</v>
      </c>
      <c r="Q55" s="657">
        <f t="shared" si="8"/>
        <v>120000</v>
      </c>
      <c r="R55" s="657">
        <f t="shared" si="8"/>
        <v>128000</v>
      </c>
      <c r="S55" s="657">
        <f t="shared" si="8"/>
        <v>136000</v>
      </c>
      <c r="T55" s="657">
        <f t="shared" si="8"/>
        <v>144000</v>
      </c>
      <c r="U55" s="657">
        <f t="shared" si="8"/>
        <v>152000</v>
      </c>
      <c r="V55" s="657">
        <f>U55+$C53</f>
        <v>160000</v>
      </c>
      <c r="W55" s="633"/>
    </row>
    <row r="56" spans="1:23" hidden="1">
      <c r="A56" s="634" t="s">
        <v>382</v>
      </c>
      <c r="B56" s="233"/>
      <c r="C56" s="233"/>
      <c r="D56" s="233"/>
      <c r="E56" s="233" t="s">
        <v>1022</v>
      </c>
      <c r="F56" s="233"/>
      <c r="G56" s="233"/>
      <c r="H56" s="233" t="s">
        <v>776</v>
      </c>
      <c r="I56" s="233"/>
      <c r="J56" s="233"/>
      <c r="K56" s="233"/>
      <c r="L56" s="233" t="s">
        <v>1022</v>
      </c>
      <c r="M56" s="233"/>
      <c r="N56" s="233" t="s">
        <v>776</v>
      </c>
      <c r="O56" s="233"/>
      <c r="P56" s="233"/>
      <c r="Q56" s="233" t="s">
        <v>1022</v>
      </c>
      <c r="R56" s="233"/>
      <c r="S56" s="233"/>
      <c r="T56" s="233" t="s">
        <v>776</v>
      </c>
      <c r="U56" s="233"/>
      <c r="V56" s="233"/>
      <c r="W56" s="633"/>
    </row>
    <row r="57" spans="1:23" hidden="1">
      <c r="A57" s="634" t="s">
        <v>383</v>
      </c>
      <c r="B57" s="658">
        <f t="shared" ref="B57:V57" si="9">IF(B56="H",$D$8*$D48,IF(B56="M",$D$8*$D49,0))</f>
        <v>0</v>
      </c>
      <c r="C57" s="658">
        <f t="shared" si="9"/>
        <v>0</v>
      </c>
      <c r="D57" s="658">
        <f t="shared" si="9"/>
        <v>0</v>
      </c>
      <c r="E57" s="658">
        <f t="shared" si="9"/>
        <v>1403000</v>
      </c>
      <c r="F57" s="658">
        <f t="shared" si="9"/>
        <v>0</v>
      </c>
      <c r="G57" s="658">
        <f t="shared" si="9"/>
        <v>0</v>
      </c>
      <c r="H57" s="658">
        <f t="shared" si="9"/>
        <v>3000000</v>
      </c>
      <c r="I57" s="658">
        <f t="shared" si="9"/>
        <v>0</v>
      </c>
      <c r="J57" s="658">
        <f t="shared" si="9"/>
        <v>0</v>
      </c>
      <c r="K57" s="658">
        <f t="shared" si="9"/>
        <v>0</v>
      </c>
      <c r="L57" s="658">
        <f t="shared" si="9"/>
        <v>1403000</v>
      </c>
      <c r="M57" s="658">
        <f t="shared" si="9"/>
        <v>0</v>
      </c>
      <c r="N57" s="658">
        <f t="shared" si="9"/>
        <v>3000000</v>
      </c>
      <c r="O57" s="658">
        <f t="shared" si="9"/>
        <v>0</v>
      </c>
      <c r="P57" s="658">
        <f t="shared" si="9"/>
        <v>0</v>
      </c>
      <c r="Q57" s="658">
        <f t="shared" si="9"/>
        <v>1403000</v>
      </c>
      <c r="R57" s="658">
        <f t="shared" si="9"/>
        <v>0</v>
      </c>
      <c r="S57" s="658">
        <f t="shared" si="9"/>
        <v>0</v>
      </c>
      <c r="T57" s="658">
        <f t="shared" si="9"/>
        <v>3000000</v>
      </c>
      <c r="U57" s="658">
        <f t="shared" si="9"/>
        <v>0</v>
      </c>
      <c r="V57" s="658">
        <f t="shared" si="9"/>
        <v>0</v>
      </c>
      <c r="W57" s="633"/>
    </row>
    <row r="58" spans="1:23" hidden="1">
      <c r="A58" s="634" t="s">
        <v>384</v>
      </c>
      <c r="B58" s="658"/>
      <c r="C58" s="658">
        <f>$D47*$D$8</f>
        <v>19000</v>
      </c>
      <c r="D58" s="658">
        <f t="shared" ref="D58:V58" si="10">$D47*$D$8</f>
        <v>19000</v>
      </c>
      <c r="E58" s="658">
        <f t="shared" si="10"/>
        <v>19000</v>
      </c>
      <c r="F58" s="658">
        <f t="shared" si="10"/>
        <v>19000</v>
      </c>
      <c r="G58" s="658">
        <f t="shared" si="10"/>
        <v>19000</v>
      </c>
      <c r="H58" s="658">
        <f t="shared" si="10"/>
        <v>19000</v>
      </c>
      <c r="I58" s="658">
        <f t="shared" si="10"/>
        <v>19000</v>
      </c>
      <c r="J58" s="658">
        <f t="shared" si="10"/>
        <v>19000</v>
      </c>
      <c r="K58" s="658">
        <f t="shared" si="10"/>
        <v>19000</v>
      </c>
      <c r="L58" s="658">
        <f t="shared" si="10"/>
        <v>19000</v>
      </c>
      <c r="M58" s="658">
        <f t="shared" si="10"/>
        <v>19000</v>
      </c>
      <c r="N58" s="658">
        <f t="shared" si="10"/>
        <v>19000</v>
      </c>
      <c r="O58" s="658">
        <f t="shared" si="10"/>
        <v>19000</v>
      </c>
      <c r="P58" s="658">
        <f t="shared" si="10"/>
        <v>19000</v>
      </c>
      <c r="Q58" s="658">
        <f t="shared" si="10"/>
        <v>19000</v>
      </c>
      <c r="R58" s="658">
        <f t="shared" si="10"/>
        <v>19000</v>
      </c>
      <c r="S58" s="658">
        <f t="shared" si="10"/>
        <v>19000</v>
      </c>
      <c r="T58" s="658">
        <f t="shared" si="10"/>
        <v>19000</v>
      </c>
      <c r="U58" s="658">
        <f t="shared" si="10"/>
        <v>19000</v>
      </c>
      <c r="V58" s="658">
        <f t="shared" si="10"/>
        <v>19000</v>
      </c>
      <c r="W58" s="633"/>
    </row>
    <row r="59" spans="1:23" hidden="1">
      <c r="A59" s="634" t="s">
        <v>385</v>
      </c>
      <c r="B59" s="658">
        <f>IF(B56="H",$D50*$D$8,IF(B56="M",$D51*$D$8,0))</f>
        <v>0</v>
      </c>
      <c r="C59" s="658">
        <f t="shared" ref="C59:V59" si="11">IF(C56="H",$D50*$D$8,IF(C56="M",$D51*$D$8,0))</f>
        <v>0</v>
      </c>
      <c r="D59" s="658">
        <f t="shared" si="11"/>
        <v>0</v>
      </c>
      <c r="E59" s="658">
        <f t="shared" si="11"/>
        <v>25000</v>
      </c>
      <c r="F59" s="658">
        <f t="shared" si="11"/>
        <v>0</v>
      </c>
      <c r="G59" s="658">
        <f t="shared" si="11"/>
        <v>0</v>
      </c>
      <c r="H59" s="658">
        <f t="shared" si="11"/>
        <v>25000</v>
      </c>
      <c r="I59" s="658">
        <f t="shared" si="11"/>
        <v>0</v>
      </c>
      <c r="J59" s="658">
        <f t="shared" si="11"/>
        <v>0</v>
      </c>
      <c r="K59" s="658">
        <f t="shared" si="11"/>
        <v>0</v>
      </c>
      <c r="L59" s="658">
        <f t="shared" si="11"/>
        <v>25000</v>
      </c>
      <c r="M59" s="658">
        <f t="shared" si="11"/>
        <v>0</v>
      </c>
      <c r="N59" s="658">
        <f t="shared" si="11"/>
        <v>25000</v>
      </c>
      <c r="O59" s="658">
        <f t="shared" si="11"/>
        <v>0</v>
      </c>
      <c r="P59" s="658">
        <f t="shared" si="11"/>
        <v>0</v>
      </c>
      <c r="Q59" s="658">
        <f t="shared" si="11"/>
        <v>25000</v>
      </c>
      <c r="R59" s="658">
        <f t="shared" si="11"/>
        <v>0</v>
      </c>
      <c r="S59" s="658">
        <f t="shared" si="11"/>
        <v>0</v>
      </c>
      <c r="T59" s="658">
        <f t="shared" si="11"/>
        <v>25000</v>
      </c>
      <c r="U59" s="658">
        <f t="shared" si="11"/>
        <v>0</v>
      </c>
      <c r="V59" s="658">
        <f t="shared" si="11"/>
        <v>0</v>
      </c>
      <c r="W59" s="633"/>
    </row>
    <row r="60" spans="1:23" hidden="1">
      <c r="A60" s="634" t="s">
        <v>386</v>
      </c>
      <c r="B60" s="233"/>
      <c r="C60" s="658">
        <f t="shared" ref="C60:V60" si="12">$D45*$D$8</f>
        <v>170717</v>
      </c>
      <c r="D60" s="658">
        <f t="shared" si="12"/>
        <v>170717</v>
      </c>
      <c r="E60" s="658">
        <f t="shared" si="12"/>
        <v>170717</v>
      </c>
      <c r="F60" s="658">
        <f t="shared" si="12"/>
        <v>170717</v>
      </c>
      <c r="G60" s="658">
        <f t="shared" si="12"/>
        <v>170717</v>
      </c>
      <c r="H60" s="658">
        <f t="shared" si="12"/>
        <v>170717</v>
      </c>
      <c r="I60" s="658">
        <f t="shared" si="12"/>
        <v>170717</v>
      </c>
      <c r="J60" s="658">
        <f t="shared" si="12"/>
        <v>170717</v>
      </c>
      <c r="K60" s="658">
        <f t="shared" si="12"/>
        <v>170717</v>
      </c>
      <c r="L60" s="658">
        <f t="shared" si="12"/>
        <v>170717</v>
      </c>
      <c r="M60" s="658">
        <f t="shared" si="12"/>
        <v>170717</v>
      </c>
      <c r="N60" s="658">
        <f t="shared" si="12"/>
        <v>170717</v>
      </c>
      <c r="O60" s="658">
        <f t="shared" si="12"/>
        <v>170717</v>
      </c>
      <c r="P60" s="658">
        <f t="shared" si="12"/>
        <v>170717</v>
      </c>
      <c r="Q60" s="658">
        <f t="shared" si="12"/>
        <v>170717</v>
      </c>
      <c r="R60" s="658">
        <f t="shared" si="12"/>
        <v>170717</v>
      </c>
      <c r="S60" s="658">
        <f t="shared" si="12"/>
        <v>170717</v>
      </c>
      <c r="T60" s="658">
        <f t="shared" si="12"/>
        <v>170717</v>
      </c>
      <c r="U60" s="658">
        <f t="shared" si="12"/>
        <v>170717</v>
      </c>
      <c r="V60" s="658">
        <f t="shared" si="12"/>
        <v>170717</v>
      </c>
      <c r="W60" s="633"/>
    </row>
    <row r="61" spans="1:23" hidden="1">
      <c r="A61" s="634" t="s">
        <v>387</v>
      </c>
      <c r="B61" s="658">
        <f>IF(B56="M",$D$8*($D46*12),0)</f>
        <v>0</v>
      </c>
      <c r="C61" s="658">
        <f t="shared" ref="C61:V61" si="13">IF(C56="M",$D$8*($D46*12),0)</f>
        <v>0</v>
      </c>
      <c r="D61" s="658">
        <f t="shared" si="13"/>
        <v>0</v>
      </c>
      <c r="E61" s="658">
        <f t="shared" si="13"/>
        <v>0</v>
      </c>
      <c r="F61" s="658">
        <f t="shared" si="13"/>
        <v>0</v>
      </c>
      <c r="G61" s="658">
        <f t="shared" si="13"/>
        <v>0</v>
      </c>
      <c r="H61" s="658">
        <f t="shared" si="13"/>
        <v>286800</v>
      </c>
      <c r="I61" s="658">
        <f t="shared" si="13"/>
        <v>0</v>
      </c>
      <c r="J61" s="658">
        <f t="shared" si="13"/>
        <v>0</v>
      </c>
      <c r="K61" s="658">
        <f t="shared" si="13"/>
        <v>0</v>
      </c>
      <c r="L61" s="658">
        <f t="shared" si="13"/>
        <v>0</v>
      </c>
      <c r="M61" s="658">
        <f t="shared" si="13"/>
        <v>0</v>
      </c>
      <c r="N61" s="658">
        <f t="shared" si="13"/>
        <v>286800</v>
      </c>
      <c r="O61" s="658">
        <f t="shared" si="13"/>
        <v>0</v>
      </c>
      <c r="P61" s="658">
        <f t="shared" si="13"/>
        <v>0</v>
      </c>
      <c r="Q61" s="658">
        <f t="shared" si="13"/>
        <v>0</v>
      </c>
      <c r="R61" s="658">
        <f t="shared" si="13"/>
        <v>0</v>
      </c>
      <c r="S61" s="658">
        <f t="shared" si="13"/>
        <v>0</v>
      </c>
      <c r="T61" s="658">
        <f t="shared" si="13"/>
        <v>286800</v>
      </c>
      <c r="U61" s="658">
        <f t="shared" si="13"/>
        <v>0</v>
      </c>
      <c r="V61" s="658">
        <f t="shared" si="13"/>
        <v>0</v>
      </c>
      <c r="W61" s="633"/>
    </row>
    <row r="62" spans="1:23" ht="15.75" hidden="1">
      <c r="A62" s="634"/>
      <c r="B62" s="660">
        <f t="shared" ref="B62:V62" si="14">SUM(B57:B61)</f>
        <v>0</v>
      </c>
      <c r="C62" s="660">
        <f t="shared" si="14"/>
        <v>189717</v>
      </c>
      <c r="D62" s="660">
        <f t="shared" si="14"/>
        <v>189717</v>
      </c>
      <c r="E62" s="660">
        <f t="shared" si="14"/>
        <v>1617717</v>
      </c>
      <c r="F62" s="660">
        <f t="shared" si="14"/>
        <v>189717</v>
      </c>
      <c r="G62" s="660">
        <f t="shared" si="14"/>
        <v>189717</v>
      </c>
      <c r="H62" s="660">
        <f t="shared" si="14"/>
        <v>3501517</v>
      </c>
      <c r="I62" s="660">
        <f t="shared" si="14"/>
        <v>189717</v>
      </c>
      <c r="J62" s="660">
        <f t="shared" si="14"/>
        <v>189717</v>
      </c>
      <c r="K62" s="660">
        <f t="shared" si="14"/>
        <v>189717</v>
      </c>
      <c r="L62" s="660">
        <f t="shared" si="14"/>
        <v>1617717</v>
      </c>
      <c r="M62" s="660">
        <f t="shared" si="14"/>
        <v>189717</v>
      </c>
      <c r="N62" s="660">
        <f t="shared" si="14"/>
        <v>3501517</v>
      </c>
      <c r="O62" s="660">
        <f t="shared" si="14"/>
        <v>189717</v>
      </c>
      <c r="P62" s="660">
        <f t="shared" si="14"/>
        <v>189717</v>
      </c>
      <c r="Q62" s="660">
        <f t="shared" si="14"/>
        <v>1617717</v>
      </c>
      <c r="R62" s="660">
        <f t="shared" si="14"/>
        <v>189717</v>
      </c>
      <c r="S62" s="660">
        <f t="shared" si="14"/>
        <v>189717</v>
      </c>
      <c r="T62" s="660">
        <f t="shared" si="14"/>
        <v>3501517</v>
      </c>
      <c r="U62" s="660">
        <f t="shared" si="14"/>
        <v>189717</v>
      </c>
      <c r="V62" s="660">
        <f t="shared" si="14"/>
        <v>189717</v>
      </c>
      <c r="W62" s="633"/>
    </row>
    <row r="63" spans="1:23" ht="15.75" hidden="1">
      <c r="A63" s="634"/>
      <c r="B63" s="660"/>
      <c r="C63" s="660">
        <f t="shared" ref="C63:V63" si="15">B63+C62</f>
        <v>189717</v>
      </c>
      <c r="D63" s="660">
        <f t="shared" si="15"/>
        <v>379434</v>
      </c>
      <c r="E63" s="660">
        <f t="shared" si="15"/>
        <v>1997151</v>
      </c>
      <c r="F63" s="660">
        <f t="shared" si="15"/>
        <v>2186868</v>
      </c>
      <c r="G63" s="660">
        <f t="shared" si="15"/>
        <v>2376585</v>
      </c>
      <c r="H63" s="660">
        <f t="shared" si="15"/>
        <v>5878102</v>
      </c>
      <c r="I63" s="660">
        <f t="shared" si="15"/>
        <v>6067819</v>
      </c>
      <c r="J63" s="660">
        <f t="shared" si="15"/>
        <v>6257536</v>
      </c>
      <c r="K63" s="660">
        <f t="shared" si="15"/>
        <v>6447253</v>
      </c>
      <c r="L63" s="660">
        <f t="shared" si="15"/>
        <v>8064970</v>
      </c>
      <c r="M63" s="660">
        <f t="shared" si="15"/>
        <v>8254687</v>
      </c>
      <c r="N63" s="660">
        <f t="shared" si="15"/>
        <v>11756204</v>
      </c>
      <c r="O63" s="660">
        <f t="shared" si="15"/>
        <v>11945921</v>
      </c>
      <c r="P63" s="660">
        <f t="shared" si="15"/>
        <v>12135638</v>
      </c>
      <c r="Q63" s="660">
        <f t="shared" si="15"/>
        <v>13753355</v>
      </c>
      <c r="R63" s="660">
        <f t="shared" si="15"/>
        <v>13943072</v>
      </c>
      <c r="S63" s="660">
        <f t="shared" si="15"/>
        <v>14132789</v>
      </c>
      <c r="T63" s="660">
        <f t="shared" si="15"/>
        <v>17634306</v>
      </c>
      <c r="U63" s="660">
        <f t="shared" si="15"/>
        <v>17824023</v>
      </c>
      <c r="V63" s="660">
        <f t="shared" si="15"/>
        <v>18013740</v>
      </c>
      <c r="W63" s="633"/>
    </row>
    <row r="64" spans="1:23" hidden="1">
      <c r="A64" s="634" t="s">
        <v>1324</v>
      </c>
      <c r="B64" s="166"/>
      <c r="C64" s="166"/>
      <c r="D64" s="166"/>
      <c r="E64" s="166"/>
      <c r="F64" s="166"/>
      <c r="G64" s="166"/>
      <c r="H64" s="166"/>
      <c r="I64" s="166"/>
      <c r="J64" s="166"/>
      <c r="K64" s="166"/>
      <c r="L64" s="166"/>
      <c r="M64" s="166"/>
      <c r="N64" s="166"/>
      <c r="O64" s="166"/>
      <c r="P64" s="166"/>
      <c r="Q64" s="166"/>
      <c r="R64" s="166"/>
      <c r="S64" s="166"/>
      <c r="T64" s="166"/>
      <c r="U64" s="166"/>
      <c r="V64" s="166"/>
      <c r="W64" s="633"/>
    </row>
    <row r="65" spans="1:23" hidden="1">
      <c r="A65" s="634" t="s">
        <v>389</v>
      </c>
      <c r="B65" s="166"/>
      <c r="C65" s="166"/>
      <c r="D65" s="166"/>
      <c r="E65" s="166"/>
      <c r="F65" s="166"/>
      <c r="G65" s="166"/>
      <c r="H65" s="166"/>
      <c r="I65" s="166"/>
      <c r="J65" s="166"/>
      <c r="K65" s="166"/>
      <c r="L65" s="166"/>
      <c r="M65" s="166"/>
      <c r="N65" s="166"/>
      <c r="O65" s="166"/>
      <c r="P65" s="166"/>
      <c r="Q65" s="166"/>
      <c r="R65" s="166"/>
      <c r="S65" s="166"/>
      <c r="T65" s="166"/>
      <c r="U65" s="166"/>
      <c r="V65" s="166"/>
      <c r="W65" s="633"/>
    </row>
    <row r="66" spans="1:23" hidden="1">
      <c r="A66" s="634" t="s">
        <v>390</v>
      </c>
      <c r="B66" s="166"/>
      <c r="C66" s="166"/>
      <c r="D66" s="166"/>
      <c r="E66" s="166"/>
      <c r="F66" s="166"/>
      <c r="G66" s="166"/>
      <c r="H66" s="166"/>
      <c r="I66" s="166"/>
      <c r="J66" s="166"/>
      <c r="K66" s="166"/>
      <c r="L66" s="166"/>
      <c r="M66" s="166"/>
      <c r="N66" s="166"/>
      <c r="O66" s="166"/>
      <c r="P66" s="166"/>
      <c r="Q66" s="166"/>
      <c r="R66" s="166"/>
      <c r="S66" s="166"/>
      <c r="T66" s="166"/>
      <c r="U66" s="166"/>
      <c r="V66" s="166"/>
      <c r="W66" s="633"/>
    </row>
    <row r="67" spans="1:23" ht="13.5" hidden="1" thickBot="1">
      <c r="A67" s="638" t="s">
        <v>391</v>
      </c>
      <c r="B67" s="455"/>
      <c r="C67" s="455"/>
      <c r="D67" s="455"/>
      <c r="E67" s="455"/>
      <c r="F67" s="455"/>
      <c r="G67" s="455"/>
      <c r="H67" s="455"/>
      <c r="I67" s="455"/>
      <c r="J67" s="455"/>
      <c r="K67" s="455"/>
      <c r="L67" s="455"/>
      <c r="M67" s="455"/>
      <c r="N67" s="455"/>
      <c r="O67" s="455"/>
      <c r="P67" s="455"/>
      <c r="Q67" s="455"/>
      <c r="R67" s="455"/>
      <c r="S67" s="455"/>
      <c r="T67" s="455"/>
      <c r="U67" s="455"/>
      <c r="V67" s="455"/>
      <c r="W67" s="639"/>
    </row>
    <row r="68" spans="1:23" hidden="1"/>
    <row r="69" spans="1:23" hidden="1"/>
    <row r="70" spans="1:23" hidden="1"/>
  </sheetData>
  <mergeCells count="6">
    <mergeCell ref="A1:W1"/>
    <mergeCell ref="F38:G38"/>
    <mergeCell ref="A2:W2"/>
    <mergeCell ref="A4:M4"/>
    <mergeCell ref="F5:G5"/>
    <mergeCell ref="A37:K37"/>
  </mergeCells>
  <pageMargins left="0.75" right="0.75" top="1" bottom="1" header="0.5" footer="0.5"/>
  <pageSetup scale="44" orientation="landscape" horizontalDpi="300" verticalDpi="300" r:id="rId1"/>
  <headerFooter alignWithMargins="0">
    <oddFooter>&amp;LScot Chambers
&amp;D&amp;R&amp;F
&amp;A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22"/>
  <sheetViews>
    <sheetView zoomScale="75" zoomScaleNormal="75" zoomScaleSheetLayoutView="100" workbookViewId="0"/>
  </sheetViews>
  <sheetFormatPr defaultRowHeight="12.75"/>
  <cols>
    <col min="1" max="1" width="45.85546875" customWidth="1"/>
    <col min="2" max="2" width="9" customWidth="1"/>
    <col min="3" max="4" width="9.5703125" customWidth="1"/>
    <col min="5" max="5" width="10" customWidth="1"/>
    <col min="6" max="6" width="30.7109375" customWidth="1"/>
    <col min="7" max="7" width="9.42578125" customWidth="1"/>
  </cols>
  <sheetData>
    <row r="1" spans="1:8" ht="15.75">
      <c r="A1" s="181" t="str">
        <f>Scope!A1</f>
        <v>Rochester Public Utilities LM6000 PC Power Project</v>
      </c>
      <c r="B1" s="181"/>
      <c r="C1" s="181"/>
      <c r="D1" s="181"/>
      <c r="E1" s="181"/>
      <c r="F1" s="181"/>
      <c r="G1" s="89"/>
      <c r="H1" s="89"/>
    </row>
    <row r="2" spans="1:8" ht="15.75">
      <c r="A2" s="135" t="s">
        <v>781</v>
      </c>
      <c r="B2" s="135"/>
      <c r="C2" s="135"/>
      <c r="D2" s="135"/>
      <c r="E2" s="135"/>
      <c r="F2" s="135"/>
      <c r="G2" s="89"/>
      <c r="H2" s="89"/>
    </row>
    <row r="4" spans="1:8">
      <c r="C4" s="192" t="s">
        <v>782</v>
      </c>
    </row>
    <row r="5" spans="1:8">
      <c r="C5" s="193" t="s">
        <v>783</v>
      </c>
      <c r="D5" s="194" t="s">
        <v>784</v>
      </c>
      <c r="E5" s="193" t="s">
        <v>785</v>
      </c>
      <c r="F5" s="195" t="s">
        <v>786</v>
      </c>
      <c r="G5" s="166"/>
      <c r="H5" s="166"/>
    </row>
    <row r="6" spans="1:8">
      <c r="A6" s="90" t="s">
        <v>787</v>
      </c>
      <c r="B6" s="90"/>
      <c r="C6" s="231"/>
      <c r="D6" s="232"/>
      <c r="E6" s="231"/>
      <c r="F6" s="204"/>
    </row>
    <row r="7" spans="1:8">
      <c r="A7" s="90"/>
      <c r="B7" s="90"/>
      <c r="C7" s="231"/>
      <c r="D7" s="232"/>
      <c r="E7" s="231"/>
      <c r="F7" s="204"/>
    </row>
    <row r="8" spans="1:8">
      <c r="A8" t="s">
        <v>788</v>
      </c>
      <c r="C8" s="233"/>
      <c r="D8" s="234"/>
      <c r="E8" s="233"/>
      <c r="F8" s="204"/>
    </row>
    <row r="9" spans="1:8">
      <c r="A9" t="s">
        <v>789</v>
      </c>
      <c r="C9" s="233"/>
      <c r="D9" s="234"/>
      <c r="E9" s="233" t="s">
        <v>790</v>
      </c>
      <c r="F9" s="204"/>
    </row>
    <row r="10" spans="1:8">
      <c r="A10" t="s">
        <v>791</v>
      </c>
      <c r="C10" s="233"/>
      <c r="D10" s="233" t="s">
        <v>790</v>
      </c>
      <c r="E10" s="233"/>
      <c r="F10" s="204"/>
    </row>
    <row r="11" spans="1:8">
      <c r="A11" t="s">
        <v>792</v>
      </c>
      <c r="C11" s="233" t="s">
        <v>790</v>
      </c>
      <c r="D11" s="233"/>
      <c r="E11" s="233"/>
      <c r="F11" s="204"/>
    </row>
    <row r="12" spans="1:8">
      <c r="A12" t="s">
        <v>793</v>
      </c>
      <c r="C12" s="233"/>
      <c r="D12" s="233"/>
      <c r="E12" s="233"/>
      <c r="F12" s="204"/>
    </row>
    <row r="13" spans="1:8">
      <c r="A13" t="s">
        <v>789</v>
      </c>
      <c r="C13" s="233"/>
      <c r="D13" s="233"/>
      <c r="E13" s="233" t="s">
        <v>790</v>
      </c>
      <c r="F13" s="204"/>
    </row>
    <row r="14" spans="1:8">
      <c r="A14" t="s">
        <v>791</v>
      </c>
      <c r="C14" s="233"/>
      <c r="D14" s="233" t="s">
        <v>790</v>
      </c>
      <c r="E14" s="233"/>
      <c r="F14" s="204"/>
    </row>
    <row r="15" spans="1:8">
      <c r="A15" t="s">
        <v>792</v>
      </c>
      <c r="C15" s="233" t="s">
        <v>790</v>
      </c>
      <c r="D15" s="233"/>
      <c r="E15" s="233"/>
      <c r="F15" s="204"/>
    </row>
    <row r="16" spans="1:8">
      <c r="A16" t="s">
        <v>698</v>
      </c>
      <c r="C16" s="233"/>
      <c r="D16" s="233"/>
      <c r="E16" s="233"/>
      <c r="F16" s="204"/>
    </row>
    <row r="17" spans="1:6">
      <c r="A17" t="s">
        <v>794</v>
      </c>
      <c r="C17" s="233" t="s">
        <v>790</v>
      </c>
      <c r="D17" s="233"/>
      <c r="E17" s="233"/>
      <c r="F17" s="204"/>
    </row>
    <row r="18" spans="1:6">
      <c r="A18" t="s">
        <v>795</v>
      </c>
      <c r="C18" s="233" t="s">
        <v>790</v>
      </c>
      <c r="D18" s="233"/>
      <c r="E18" s="233"/>
      <c r="F18" s="204"/>
    </row>
    <row r="19" spans="1:6">
      <c r="A19" t="s">
        <v>796</v>
      </c>
      <c r="C19" s="233" t="s">
        <v>790</v>
      </c>
      <c r="D19" s="233"/>
      <c r="E19" s="233"/>
      <c r="F19" s="204"/>
    </row>
    <row r="20" spans="1:6">
      <c r="A20" t="s">
        <v>797</v>
      </c>
      <c r="C20" s="233"/>
      <c r="D20" s="233" t="s">
        <v>790</v>
      </c>
      <c r="E20" s="233"/>
      <c r="F20" s="204"/>
    </row>
    <row r="21" spans="1:6">
      <c r="A21" t="s">
        <v>798</v>
      </c>
      <c r="C21" s="233"/>
      <c r="D21" s="233" t="s">
        <v>790</v>
      </c>
      <c r="E21" s="233"/>
      <c r="F21" s="204"/>
    </row>
    <row r="22" spans="1:6">
      <c r="A22" t="s">
        <v>799</v>
      </c>
      <c r="C22" s="233"/>
      <c r="D22" s="233" t="s">
        <v>790</v>
      </c>
      <c r="E22" s="233"/>
      <c r="F22" s="204" t="s">
        <v>800</v>
      </c>
    </row>
    <row r="23" spans="1:6">
      <c r="A23" t="s">
        <v>801</v>
      </c>
      <c r="C23" s="233" t="s">
        <v>790</v>
      </c>
      <c r="D23" s="233"/>
      <c r="E23" s="233"/>
      <c r="F23" s="204" t="s">
        <v>802</v>
      </c>
    </row>
    <row r="24" spans="1:6">
      <c r="A24" t="s">
        <v>699</v>
      </c>
      <c r="C24" s="233"/>
      <c r="D24" s="233"/>
      <c r="E24" s="233"/>
      <c r="F24" s="204"/>
    </row>
    <row r="25" spans="1:6">
      <c r="A25" t="s">
        <v>791</v>
      </c>
      <c r="C25" s="233"/>
      <c r="D25" s="233" t="s">
        <v>790</v>
      </c>
      <c r="E25" s="233"/>
      <c r="F25" s="204"/>
    </row>
    <row r="26" spans="1:6">
      <c r="A26" t="s">
        <v>792</v>
      </c>
      <c r="C26" s="233" t="s">
        <v>790</v>
      </c>
      <c r="D26" s="233"/>
      <c r="E26" s="233"/>
      <c r="F26" s="204"/>
    </row>
    <row r="27" spans="1:6">
      <c r="A27" t="s">
        <v>803</v>
      </c>
      <c r="C27" s="233"/>
      <c r="D27" s="233"/>
      <c r="E27" s="233"/>
      <c r="F27" s="204"/>
    </row>
    <row r="28" spans="1:6">
      <c r="A28" t="s">
        <v>791</v>
      </c>
      <c r="C28" s="233"/>
      <c r="D28" s="233" t="s">
        <v>790</v>
      </c>
      <c r="E28" s="233"/>
      <c r="F28" s="204"/>
    </row>
    <row r="29" spans="1:6">
      <c r="A29" t="s">
        <v>804</v>
      </c>
      <c r="C29" s="233" t="s">
        <v>790</v>
      </c>
      <c r="D29" s="233"/>
      <c r="E29" s="233"/>
      <c r="F29" s="204"/>
    </row>
    <row r="30" spans="1:6">
      <c r="A30" t="s">
        <v>805</v>
      </c>
      <c r="C30" s="233"/>
      <c r="D30" s="233"/>
      <c r="E30" s="233"/>
      <c r="F30" s="204"/>
    </row>
    <row r="31" spans="1:6">
      <c r="A31" t="s">
        <v>806</v>
      </c>
      <c r="C31" s="233"/>
      <c r="D31" s="233" t="s">
        <v>790</v>
      </c>
      <c r="E31" s="233"/>
      <c r="F31" s="204"/>
    </row>
    <row r="32" spans="1:6">
      <c r="A32" t="s">
        <v>807</v>
      </c>
      <c r="C32" s="233" t="s">
        <v>790</v>
      </c>
      <c r="D32" s="233"/>
      <c r="E32" s="233"/>
      <c r="F32" s="204"/>
    </row>
    <row r="33" spans="1:6">
      <c r="A33" t="s">
        <v>808</v>
      </c>
      <c r="C33" s="233"/>
      <c r="D33" s="233"/>
      <c r="E33" s="233"/>
      <c r="F33" s="204"/>
    </row>
    <row r="34" spans="1:6">
      <c r="A34" t="s">
        <v>809</v>
      </c>
      <c r="C34" s="233" t="s">
        <v>790</v>
      </c>
      <c r="D34" s="233"/>
      <c r="E34" s="233"/>
      <c r="F34" s="204" t="s">
        <v>810</v>
      </c>
    </row>
    <row r="35" spans="1:6">
      <c r="A35" s="137" t="s">
        <v>811</v>
      </c>
      <c r="C35" s="233" t="s">
        <v>790</v>
      </c>
      <c r="D35" s="233"/>
      <c r="E35" s="233"/>
      <c r="F35" s="204" t="s">
        <v>810</v>
      </c>
    </row>
    <row r="36" spans="1:6">
      <c r="A36" t="s">
        <v>812</v>
      </c>
      <c r="C36" s="233" t="s">
        <v>790</v>
      </c>
      <c r="D36" s="233"/>
      <c r="E36" s="233"/>
      <c r="F36" s="204" t="s">
        <v>810</v>
      </c>
    </row>
    <row r="37" spans="1:6">
      <c r="A37" s="137" t="s">
        <v>813</v>
      </c>
      <c r="C37" s="233" t="s">
        <v>790</v>
      </c>
      <c r="D37" s="204"/>
      <c r="E37" s="233"/>
      <c r="F37" s="204" t="s">
        <v>810</v>
      </c>
    </row>
    <row r="38" spans="1:6">
      <c r="A38" t="s">
        <v>814</v>
      </c>
      <c r="C38" s="233"/>
      <c r="D38" s="233"/>
      <c r="E38" s="233"/>
      <c r="F38" s="204"/>
    </row>
    <row r="39" spans="1:6">
      <c r="A39" t="s">
        <v>815</v>
      </c>
      <c r="C39" s="233" t="s">
        <v>790</v>
      </c>
      <c r="D39" s="233"/>
      <c r="E39" s="233"/>
      <c r="F39" s="204" t="s">
        <v>816</v>
      </c>
    </row>
    <row r="40" spans="1:6">
      <c r="A40" t="s">
        <v>817</v>
      </c>
      <c r="C40" s="233"/>
      <c r="D40" s="233" t="s">
        <v>790</v>
      </c>
      <c r="E40" s="233"/>
      <c r="F40" s="204" t="s">
        <v>818</v>
      </c>
    </row>
    <row r="41" spans="1:6">
      <c r="A41" t="s">
        <v>819</v>
      </c>
      <c r="C41" s="233"/>
      <c r="D41" s="233"/>
      <c r="E41" s="233" t="s">
        <v>790</v>
      </c>
      <c r="F41" s="204" t="s">
        <v>818</v>
      </c>
    </row>
    <row r="42" spans="1:6">
      <c r="A42" t="s">
        <v>820</v>
      </c>
      <c r="C42" s="233"/>
      <c r="D42" s="233"/>
      <c r="E42" s="233"/>
      <c r="F42" s="204"/>
    </row>
    <row r="43" spans="1:6">
      <c r="A43" t="s">
        <v>821</v>
      </c>
      <c r="C43" s="233" t="s">
        <v>790</v>
      </c>
      <c r="D43" s="233"/>
      <c r="E43" s="233"/>
      <c r="F43" s="204"/>
    </row>
    <row r="44" spans="1:6">
      <c r="A44" t="s">
        <v>822</v>
      </c>
      <c r="C44" s="233" t="s">
        <v>790</v>
      </c>
      <c r="D44" s="233"/>
      <c r="E44" s="233"/>
      <c r="F44" s="204"/>
    </row>
    <row r="45" spans="1:6">
      <c r="A45" s="137" t="s">
        <v>823</v>
      </c>
      <c r="C45" s="233" t="s">
        <v>790</v>
      </c>
      <c r="D45" s="233"/>
      <c r="E45" s="233"/>
      <c r="F45" s="235" t="s">
        <v>824</v>
      </c>
    </row>
    <row r="46" spans="1:6">
      <c r="A46" t="s">
        <v>825</v>
      </c>
      <c r="C46" s="233" t="s">
        <v>790</v>
      </c>
      <c r="D46" s="233"/>
      <c r="E46" s="233"/>
      <c r="F46" s="235"/>
    </row>
    <row r="47" spans="1:6">
      <c r="A47" t="s">
        <v>826</v>
      </c>
      <c r="C47" s="233" t="s">
        <v>790</v>
      </c>
      <c r="D47" s="233"/>
      <c r="E47" s="233"/>
      <c r="F47" s="204"/>
    </row>
    <row r="48" spans="1:6">
      <c r="A48" t="s">
        <v>827</v>
      </c>
      <c r="C48" s="233"/>
      <c r="D48" s="233" t="s">
        <v>790</v>
      </c>
      <c r="E48" s="233"/>
      <c r="F48" s="204"/>
    </row>
    <row r="49" spans="1:6">
      <c r="A49" t="s">
        <v>828</v>
      </c>
      <c r="C49" s="233"/>
      <c r="D49" s="233" t="s">
        <v>790</v>
      </c>
      <c r="E49" s="233"/>
      <c r="F49" s="204"/>
    </row>
    <row r="50" spans="1:6">
      <c r="A50" s="137" t="s">
        <v>829</v>
      </c>
      <c r="C50" s="233" t="s">
        <v>790</v>
      </c>
      <c r="D50" s="233"/>
      <c r="E50" s="233"/>
      <c r="F50" s="235" t="s">
        <v>830</v>
      </c>
    </row>
    <row r="51" spans="1:6">
      <c r="A51" s="137" t="s">
        <v>831</v>
      </c>
      <c r="C51" s="233" t="s">
        <v>790</v>
      </c>
      <c r="D51" s="233"/>
      <c r="E51" s="204"/>
      <c r="F51" s="204" t="s">
        <v>832</v>
      </c>
    </row>
    <row r="52" spans="1:6">
      <c r="A52" s="137" t="s">
        <v>833</v>
      </c>
      <c r="C52" s="233"/>
      <c r="D52" s="233" t="s">
        <v>790</v>
      </c>
      <c r="E52" s="233"/>
      <c r="F52" s="204"/>
    </row>
    <row r="53" spans="1:6">
      <c r="A53" s="137" t="s">
        <v>834</v>
      </c>
      <c r="C53" s="204"/>
      <c r="D53" s="233"/>
      <c r="E53" s="233" t="s">
        <v>790</v>
      </c>
      <c r="F53" s="204"/>
    </row>
    <row r="54" spans="1:6">
      <c r="A54" s="137" t="s">
        <v>835</v>
      </c>
      <c r="C54" s="233" t="s">
        <v>790</v>
      </c>
      <c r="D54" s="233"/>
      <c r="E54" s="204"/>
      <c r="F54" s="204"/>
    </row>
    <row r="55" spans="1:6">
      <c r="A55" t="s">
        <v>836</v>
      </c>
      <c r="C55" s="233" t="s">
        <v>790</v>
      </c>
      <c r="D55" s="233"/>
      <c r="E55" s="233"/>
      <c r="F55" s="204"/>
    </row>
    <row r="56" spans="1:6">
      <c r="A56" t="s">
        <v>837</v>
      </c>
      <c r="C56" s="233" t="s">
        <v>790</v>
      </c>
      <c r="D56" s="233"/>
      <c r="E56" s="233"/>
      <c r="F56" s="204" t="s">
        <v>838</v>
      </c>
    </row>
    <row r="57" spans="1:6">
      <c r="A57" t="s">
        <v>839</v>
      </c>
      <c r="C57" s="233" t="s">
        <v>790</v>
      </c>
      <c r="D57" s="233"/>
      <c r="E57" s="233"/>
      <c r="F57" s="204"/>
    </row>
    <row r="58" spans="1:6">
      <c r="A58" t="s">
        <v>840</v>
      </c>
      <c r="C58" s="233" t="s">
        <v>790</v>
      </c>
      <c r="D58" s="233"/>
      <c r="E58" s="233"/>
      <c r="F58" s="204"/>
    </row>
    <row r="59" spans="1:6">
      <c r="C59" s="143"/>
      <c r="D59" s="143"/>
      <c r="E59" s="143"/>
    </row>
    <row r="60" spans="1:6">
      <c r="A60" t="s">
        <v>841</v>
      </c>
      <c r="C60" s="143"/>
      <c r="D60" s="143"/>
      <c r="E60" s="143"/>
    </row>
    <row r="61" spans="1:6">
      <c r="A61" t="s">
        <v>842</v>
      </c>
      <c r="C61" s="143"/>
      <c r="D61" s="143"/>
      <c r="E61" s="143"/>
    </row>
    <row r="62" spans="1:6">
      <c r="C62" s="192" t="s">
        <v>782</v>
      </c>
      <c r="D62" s="178"/>
      <c r="E62" s="178"/>
      <c r="F62" s="178"/>
    </row>
    <row r="63" spans="1:6">
      <c r="C63" s="227" t="s">
        <v>783</v>
      </c>
      <c r="D63" s="236" t="s">
        <v>784</v>
      </c>
      <c r="E63" s="227" t="s">
        <v>785</v>
      </c>
      <c r="F63" s="192" t="s">
        <v>786</v>
      </c>
    </row>
    <row r="64" spans="1:6">
      <c r="A64" t="s">
        <v>843</v>
      </c>
      <c r="C64" s="233" t="s">
        <v>790</v>
      </c>
      <c r="D64" s="233"/>
      <c r="E64" s="233"/>
      <c r="F64" s="204" t="s">
        <v>844</v>
      </c>
    </row>
    <row r="65" spans="1:6">
      <c r="A65" t="s">
        <v>845</v>
      </c>
      <c r="C65" s="233"/>
      <c r="D65" s="233"/>
      <c r="E65" s="233"/>
      <c r="F65" s="204"/>
    </row>
    <row r="66" spans="1:6">
      <c r="A66" t="s">
        <v>846</v>
      </c>
      <c r="C66" s="233"/>
      <c r="D66" s="233" t="s">
        <v>790</v>
      </c>
      <c r="E66" s="233"/>
      <c r="F66" s="204"/>
    </row>
    <row r="67" spans="1:6">
      <c r="A67" t="s">
        <v>847</v>
      </c>
      <c r="C67" s="233"/>
      <c r="D67" s="233" t="s">
        <v>790</v>
      </c>
      <c r="E67" s="233"/>
      <c r="F67" s="204"/>
    </row>
    <row r="68" spans="1:6">
      <c r="A68" t="s">
        <v>848</v>
      </c>
      <c r="C68" s="233"/>
      <c r="D68" s="233" t="s">
        <v>790</v>
      </c>
      <c r="E68" s="233"/>
      <c r="F68" s="204"/>
    </row>
    <row r="69" spans="1:6">
      <c r="A69" s="137" t="s">
        <v>849</v>
      </c>
      <c r="C69" s="233" t="s">
        <v>790</v>
      </c>
      <c r="D69" s="233"/>
      <c r="E69" s="233"/>
      <c r="F69" s="204"/>
    </row>
    <row r="70" spans="1:6">
      <c r="C70" s="233"/>
      <c r="D70" s="233"/>
      <c r="E70" s="233"/>
      <c r="F70" s="204"/>
    </row>
    <row r="71" spans="1:6">
      <c r="A71" s="90" t="s">
        <v>850</v>
      </c>
      <c r="B71" s="90"/>
      <c r="C71" s="233"/>
      <c r="D71" s="233"/>
      <c r="E71" s="233"/>
      <c r="F71" s="204"/>
    </row>
    <row r="72" spans="1:6">
      <c r="A72" s="90"/>
      <c r="B72" s="90"/>
      <c r="C72" s="233"/>
      <c r="D72" s="233"/>
      <c r="E72" s="233"/>
      <c r="F72" s="204"/>
    </row>
    <row r="73" spans="1:6">
      <c r="A73" t="s">
        <v>708</v>
      </c>
      <c r="C73" s="233"/>
      <c r="D73" s="233"/>
      <c r="E73" s="233"/>
      <c r="F73" s="204"/>
    </row>
    <row r="74" spans="1:6">
      <c r="A74" t="s">
        <v>851</v>
      </c>
      <c r="C74" s="233" t="s">
        <v>790</v>
      </c>
      <c r="D74" s="233"/>
      <c r="E74" s="233"/>
      <c r="F74" s="204"/>
    </row>
    <row r="75" spans="1:6">
      <c r="A75" t="s">
        <v>852</v>
      </c>
      <c r="C75" s="233" t="s">
        <v>790</v>
      </c>
      <c r="D75" s="233"/>
      <c r="E75" s="233"/>
      <c r="F75" s="204"/>
    </row>
    <row r="76" spans="1:6">
      <c r="A76" t="s">
        <v>853</v>
      </c>
      <c r="C76" s="233" t="s">
        <v>790</v>
      </c>
      <c r="D76" s="233"/>
      <c r="E76" s="233"/>
      <c r="F76" s="204"/>
    </row>
    <row r="77" spans="1:6">
      <c r="A77" t="s">
        <v>854</v>
      </c>
      <c r="C77" s="233"/>
      <c r="D77" s="233"/>
      <c r="E77" s="233" t="s">
        <v>790</v>
      </c>
      <c r="F77" s="204"/>
    </row>
    <row r="78" spans="1:6">
      <c r="A78" t="s">
        <v>855</v>
      </c>
      <c r="C78" s="233"/>
      <c r="D78" s="233" t="s">
        <v>790</v>
      </c>
      <c r="E78" s="233"/>
      <c r="F78" s="204"/>
    </row>
    <row r="79" spans="1:6">
      <c r="A79" t="s">
        <v>856</v>
      </c>
      <c r="C79" s="233"/>
      <c r="D79" s="233" t="s">
        <v>790</v>
      </c>
      <c r="E79" s="233"/>
      <c r="F79" s="204"/>
    </row>
    <row r="80" spans="1:6">
      <c r="A80" t="s">
        <v>857</v>
      </c>
      <c r="C80" s="233"/>
      <c r="D80" s="233" t="s">
        <v>790</v>
      </c>
      <c r="E80" s="233"/>
      <c r="F80" s="204"/>
    </row>
    <row r="81" spans="1:6">
      <c r="A81" t="s">
        <v>858</v>
      </c>
      <c r="C81" s="233"/>
      <c r="D81" s="233" t="s">
        <v>790</v>
      </c>
      <c r="E81" s="233"/>
      <c r="F81" s="204" t="s">
        <v>859</v>
      </c>
    </row>
    <row r="82" spans="1:6">
      <c r="A82" t="s">
        <v>860</v>
      </c>
      <c r="C82" s="233"/>
      <c r="D82" s="233"/>
      <c r="E82" s="233"/>
      <c r="F82" s="204"/>
    </row>
    <row r="83" spans="1:6">
      <c r="A83" t="s">
        <v>861</v>
      </c>
      <c r="C83" s="233" t="s">
        <v>790</v>
      </c>
      <c r="D83" s="233"/>
      <c r="E83" s="233"/>
      <c r="F83" s="204"/>
    </row>
    <row r="84" spans="1:6">
      <c r="A84" t="s">
        <v>862</v>
      </c>
      <c r="C84" s="233" t="s">
        <v>790</v>
      </c>
      <c r="D84" s="233"/>
      <c r="E84" s="233"/>
      <c r="F84" s="204"/>
    </row>
    <row r="85" spans="1:6">
      <c r="A85" t="s">
        <v>863</v>
      </c>
      <c r="C85" s="233" t="s">
        <v>790</v>
      </c>
      <c r="D85" s="204"/>
      <c r="E85" s="233"/>
      <c r="F85" s="204"/>
    </row>
    <row r="86" spans="1:6">
      <c r="A86" t="s">
        <v>864</v>
      </c>
      <c r="C86" s="233" t="s">
        <v>790</v>
      </c>
      <c r="D86" s="233"/>
      <c r="E86" s="233"/>
      <c r="F86" s="204"/>
    </row>
    <row r="87" spans="1:6">
      <c r="A87" t="s">
        <v>865</v>
      </c>
      <c r="C87" s="233" t="s">
        <v>790</v>
      </c>
      <c r="D87" s="233"/>
      <c r="E87" s="233"/>
      <c r="F87" s="204" t="s">
        <v>866</v>
      </c>
    </row>
    <row r="88" spans="1:6">
      <c r="A88" t="s">
        <v>867</v>
      </c>
      <c r="C88" s="233"/>
      <c r="D88" s="233" t="s">
        <v>790</v>
      </c>
      <c r="E88" s="233"/>
      <c r="F88" s="204"/>
    </row>
    <row r="89" spans="1:6">
      <c r="A89" t="s">
        <v>868</v>
      </c>
      <c r="C89" s="233"/>
      <c r="D89" s="233" t="s">
        <v>790</v>
      </c>
      <c r="E89" s="233"/>
      <c r="F89" s="204"/>
    </row>
    <row r="90" spans="1:6">
      <c r="A90" t="s">
        <v>869</v>
      </c>
      <c r="C90" s="233"/>
      <c r="D90" s="233"/>
      <c r="E90" s="233"/>
      <c r="F90" s="204"/>
    </row>
    <row r="91" spans="1:6">
      <c r="A91" t="s">
        <v>870</v>
      </c>
      <c r="C91" s="233" t="s">
        <v>790</v>
      </c>
      <c r="D91" s="233"/>
      <c r="E91" s="233"/>
      <c r="F91" s="204"/>
    </row>
    <row r="92" spans="1:6">
      <c r="A92" t="s">
        <v>871</v>
      </c>
      <c r="C92" s="233"/>
      <c r="D92" s="233" t="s">
        <v>790</v>
      </c>
      <c r="E92" s="233"/>
      <c r="F92" s="204"/>
    </row>
    <row r="93" spans="1:6">
      <c r="A93" t="s">
        <v>872</v>
      </c>
      <c r="C93" s="233"/>
      <c r="D93" s="233"/>
      <c r="E93" s="233"/>
      <c r="F93" s="204"/>
    </row>
    <row r="94" spans="1:6">
      <c r="A94" t="s">
        <v>873</v>
      </c>
      <c r="C94" s="233" t="s">
        <v>790</v>
      </c>
      <c r="D94" s="233"/>
      <c r="E94" s="233"/>
      <c r="F94" s="204"/>
    </row>
    <row r="95" spans="1:6">
      <c r="A95" t="s">
        <v>874</v>
      </c>
      <c r="C95" s="233"/>
      <c r="D95" s="233" t="s">
        <v>790</v>
      </c>
      <c r="E95" s="233"/>
      <c r="F95" s="204"/>
    </row>
    <row r="96" spans="1:6">
      <c r="A96" t="s">
        <v>875</v>
      </c>
      <c r="C96" s="233"/>
      <c r="D96" s="233"/>
      <c r="E96" s="233"/>
      <c r="F96" s="204"/>
    </row>
    <row r="97" spans="1:6">
      <c r="A97" t="s">
        <v>876</v>
      </c>
      <c r="C97" s="233" t="s">
        <v>790</v>
      </c>
      <c r="D97" s="233"/>
      <c r="E97" s="233"/>
      <c r="F97" s="204"/>
    </row>
    <row r="98" spans="1:6">
      <c r="A98" t="s">
        <v>1189</v>
      </c>
      <c r="C98" s="233" t="s">
        <v>790</v>
      </c>
      <c r="D98" s="233"/>
      <c r="E98" s="233"/>
      <c r="F98" s="204"/>
    </row>
    <row r="99" spans="1:6">
      <c r="A99" t="s">
        <v>1190</v>
      </c>
      <c r="C99" s="233"/>
      <c r="D99" s="233" t="s">
        <v>790</v>
      </c>
      <c r="E99" s="233"/>
      <c r="F99" s="204"/>
    </row>
    <row r="100" spans="1:6">
      <c r="A100" t="s">
        <v>1191</v>
      </c>
      <c r="C100" s="233"/>
      <c r="D100" s="233"/>
      <c r="E100" s="233"/>
      <c r="F100" s="204"/>
    </row>
    <row r="101" spans="1:6">
      <c r="A101" t="s">
        <v>1192</v>
      </c>
      <c r="C101" s="233"/>
      <c r="D101" s="233" t="s">
        <v>790</v>
      </c>
      <c r="E101" s="233"/>
      <c r="F101" s="204"/>
    </row>
    <row r="102" spans="1:6">
      <c r="A102" t="s">
        <v>1193</v>
      </c>
      <c r="C102" s="233"/>
      <c r="D102" s="233" t="s">
        <v>790</v>
      </c>
      <c r="E102" s="233"/>
      <c r="F102" s="204"/>
    </row>
    <row r="103" spans="1:6">
      <c r="A103" t="s">
        <v>1194</v>
      </c>
      <c r="C103" s="233"/>
      <c r="D103" s="233" t="s">
        <v>790</v>
      </c>
      <c r="E103" s="233"/>
      <c r="F103" s="204"/>
    </row>
    <row r="104" spans="1:6">
      <c r="A104" t="s">
        <v>1195</v>
      </c>
      <c r="C104" s="233"/>
      <c r="D104" s="233" t="s">
        <v>790</v>
      </c>
      <c r="E104" s="233"/>
      <c r="F104" s="204"/>
    </row>
    <row r="105" spans="1:6">
      <c r="A105" t="s">
        <v>1196</v>
      </c>
      <c r="C105" s="233" t="s">
        <v>790</v>
      </c>
      <c r="D105" s="233"/>
      <c r="E105" s="233"/>
      <c r="F105" s="204"/>
    </row>
    <row r="106" spans="1:6">
      <c r="A106" t="s">
        <v>1197</v>
      </c>
      <c r="C106" s="233"/>
      <c r="D106" s="233"/>
      <c r="E106" s="233"/>
      <c r="F106" s="204"/>
    </row>
    <row r="107" spans="1:6">
      <c r="A107" t="s">
        <v>1198</v>
      </c>
      <c r="C107" s="233" t="s">
        <v>790</v>
      </c>
      <c r="D107" s="233"/>
      <c r="E107" s="233"/>
      <c r="F107" s="204"/>
    </row>
    <row r="108" spans="1:6">
      <c r="A108" t="s">
        <v>1199</v>
      </c>
      <c r="C108" s="233"/>
      <c r="D108" s="233" t="s">
        <v>790</v>
      </c>
      <c r="E108" s="233"/>
      <c r="F108" s="204" t="s">
        <v>1200</v>
      </c>
    </row>
    <row r="109" spans="1:6">
      <c r="A109" t="s">
        <v>1201</v>
      </c>
      <c r="C109" s="233"/>
      <c r="D109" s="233"/>
      <c r="E109" s="233"/>
      <c r="F109" s="204"/>
    </row>
    <row r="110" spans="1:6">
      <c r="A110" t="s">
        <v>1202</v>
      </c>
      <c r="C110" s="233" t="s">
        <v>790</v>
      </c>
      <c r="D110" s="233"/>
      <c r="E110" s="233"/>
      <c r="F110" s="204"/>
    </row>
    <row r="111" spans="1:6">
      <c r="A111" t="s">
        <v>1203</v>
      </c>
      <c r="C111" s="233" t="s">
        <v>790</v>
      </c>
      <c r="D111" s="233"/>
      <c r="E111" s="233"/>
      <c r="F111" s="204"/>
    </row>
    <row r="112" spans="1:6">
      <c r="A112" t="s">
        <v>1204</v>
      </c>
      <c r="C112" s="233"/>
      <c r="D112" s="233" t="s">
        <v>790</v>
      </c>
      <c r="E112" s="233"/>
      <c r="F112" s="204"/>
    </row>
    <row r="113" spans="1:6">
      <c r="A113" t="s">
        <v>1205</v>
      </c>
      <c r="C113" s="233"/>
      <c r="D113" s="233" t="s">
        <v>790</v>
      </c>
      <c r="E113" s="233"/>
      <c r="F113" s="204"/>
    </row>
    <row r="114" spans="1:6">
      <c r="A114" t="s">
        <v>1206</v>
      </c>
      <c r="C114" s="233"/>
      <c r="D114" s="233"/>
      <c r="E114" s="233"/>
      <c r="F114" s="204"/>
    </row>
    <row r="115" spans="1:6">
      <c r="A115" t="s">
        <v>1203</v>
      </c>
      <c r="C115" s="233" t="s">
        <v>790</v>
      </c>
      <c r="D115" s="233"/>
      <c r="E115" s="233"/>
      <c r="F115" s="204"/>
    </row>
    <row r="116" spans="1:6">
      <c r="A116" t="s">
        <v>1204</v>
      </c>
      <c r="C116" s="233"/>
      <c r="D116" s="233" t="s">
        <v>790</v>
      </c>
      <c r="E116" s="233"/>
      <c r="F116" s="204"/>
    </row>
    <row r="117" spans="1:6">
      <c r="A117" t="s">
        <v>1207</v>
      </c>
      <c r="C117" s="204"/>
      <c r="D117" s="233" t="s">
        <v>790</v>
      </c>
      <c r="E117" s="233"/>
      <c r="F117" s="204" t="s">
        <v>1208</v>
      </c>
    </row>
    <row r="118" spans="1:6">
      <c r="A118" t="s">
        <v>1209</v>
      </c>
      <c r="C118" s="204"/>
      <c r="D118" s="233" t="s">
        <v>790</v>
      </c>
      <c r="E118" s="233"/>
      <c r="F118" s="204" t="s">
        <v>1208</v>
      </c>
    </row>
    <row r="119" spans="1:6">
      <c r="A119" t="s">
        <v>1210</v>
      </c>
      <c r="C119" s="233"/>
      <c r="D119" s="233" t="s">
        <v>790</v>
      </c>
      <c r="E119" s="233"/>
      <c r="F119" s="204"/>
    </row>
    <row r="120" spans="1:6">
      <c r="A120" t="s">
        <v>1211</v>
      </c>
      <c r="C120" s="233" t="s">
        <v>790</v>
      </c>
      <c r="D120" s="233"/>
      <c r="E120" s="233"/>
      <c r="F120" s="204"/>
    </row>
    <row r="121" spans="1:6">
      <c r="A121" s="91" t="s">
        <v>1301</v>
      </c>
    </row>
    <row r="122" spans="1:6">
      <c r="A122" t="s">
        <v>1302</v>
      </c>
    </row>
  </sheetData>
  <printOptions horizontalCentered="1"/>
  <pageMargins left="0.75" right="0.75" top="1" bottom="1" header="0.5" footer="0.5"/>
  <pageSetup scale="79" fitToHeight="2" orientation="portrait" horizontalDpi="4294967292" verticalDpi="4294967292" r:id="rId1"/>
  <headerFooter alignWithMargins="0">
    <oddFooter>&amp;LScot Chambers
&amp;D&amp;R&amp;F
&amp;A</oddFooter>
  </headerFooter>
  <rowBreaks count="1" manualBreakCount="1">
    <brk id="61" max="5"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BQ41"/>
  <sheetViews>
    <sheetView zoomScale="75" zoomScaleNormal="25" zoomScaleSheetLayoutView="100" workbookViewId="0">
      <selection activeCell="AA75" sqref="AA75"/>
    </sheetView>
  </sheetViews>
  <sheetFormatPr defaultRowHeight="12.75"/>
  <cols>
    <col min="1" max="1" width="48.7109375" customWidth="1"/>
    <col min="2" max="2" width="11.140625" customWidth="1"/>
    <col min="3" max="5" width="12.7109375" customWidth="1"/>
  </cols>
  <sheetData>
    <row r="1" spans="1:69" ht="15">
      <c r="A1" s="250" t="str">
        <f>Scope!A1</f>
        <v>Rochester Public Utilities LM6000 PC Power Project</v>
      </c>
      <c r="B1" s="250"/>
      <c r="C1" s="250"/>
      <c r="D1" s="250"/>
      <c r="E1" s="98"/>
      <c r="F1" s="98"/>
      <c r="G1" s="98"/>
      <c r="H1" s="98"/>
      <c r="I1" s="98"/>
      <c r="J1" s="98"/>
      <c r="K1" s="98"/>
      <c r="L1" s="98"/>
    </row>
    <row r="2" spans="1:69" ht="15">
      <c r="A2" s="236" t="s">
        <v>1305</v>
      </c>
      <c r="B2" s="236"/>
      <c r="C2" s="236"/>
      <c r="D2" s="236"/>
      <c r="E2" s="98"/>
      <c r="F2" s="98"/>
      <c r="G2" s="98"/>
      <c r="H2" s="98"/>
      <c r="I2" s="98"/>
      <c r="J2" s="98"/>
      <c r="K2" s="98"/>
      <c r="L2" s="98"/>
    </row>
    <row r="3" spans="1:69" ht="15">
      <c r="A3" s="236" t="s">
        <v>1306</v>
      </c>
      <c r="B3" s="236"/>
      <c r="C3" s="236"/>
      <c r="D3" s="236"/>
      <c r="E3" s="98"/>
      <c r="F3" s="98"/>
      <c r="G3" s="98"/>
      <c r="H3" s="98"/>
      <c r="I3" s="98"/>
      <c r="J3" s="98"/>
      <c r="K3" s="98"/>
      <c r="L3" s="98"/>
    </row>
    <row r="4" spans="1:69" ht="15.75" thickBot="1">
      <c r="A4" s="227"/>
      <c r="B4" s="227"/>
      <c r="C4" s="227"/>
      <c r="D4" s="227"/>
      <c r="E4" s="98"/>
      <c r="F4" s="98"/>
      <c r="G4" s="98"/>
      <c r="H4" s="98"/>
      <c r="I4" s="98"/>
      <c r="J4" s="98"/>
      <c r="K4" s="98"/>
      <c r="L4" s="98"/>
    </row>
    <row r="5" spans="1:69" ht="15">
      <c r="A5" s="273"/>
      <c r="B5" s="278"/>
      <c r="C5" s="285"/>
      <c r="D5" s="279"/>
      <c r="E5" s="98"/>
      <c r="F5" s="98"/>
      <c r="G5" s="98"/>
      <c r="H5" s="98"/>
      <c r="I5" s="98"/>
      <c r="J5" s="98"/>
      <c r="K5" s="98"/>
      <c r="L5" s="98"/>
    </row>
    <row r="6" spans="1:69" ht="16.5" thickBot="1">
      <c r="A6" s="192" t="s">
        <v>1307</v>
      </c>
      <c r="B6" s="292" t="s">
        <v>1308</v>
      </c>
      <c r="C6" s="293" t="s">
        <v>1309</v>
      </c>
      <c r="D6" s="294" t="s">
        <v>763</v>
      </c>
      <c r="E6" s="265"/>
      <c r="F6" s="265"/>
      <c r="G6" s="265"/>
      <c r="H6" s="265"/>
      <c r="I6" s="265"/>
      <c r="J6" s="265"/>
      <c r="K6" s="265"/>
      <c r="L6" s="265"/>
      <c r="M6" s="266"/>
      <c r="N6" s="266"/>
      <c r="O6" s="266"/>
      <c r="P6" s="266"/>
      <c r="Q6" s="266"/>
      <c r="R6" s="266"/>
      <c r="S6" s="266"/>
      <c r="T6" s="266"/>
      <c r="U6" s="266"/>
      <c r="V6" s="266"/>
      <c r="W6" s="266"/>
      <c r="X6" s="266"/>
      <c r="Y6" s="266"/>
      <c r="Z6" s="266"/>
      <c r="AA6" s="266"/>
      <c r="AB6" s="266"/>
      <c r="AC6" s="266"/>
      <c r="AD6" s="266"/>
      <c r="AE6" s="267"/>
      <c r="AF6" s="267"/>
      <c r="AG6" s="267"/>
      <c r="AH6" s="267"/>
      <c r="AI6" s="267"/>
      <c r="AJ6" s="267"/>
      <c r="AK6" s="267"/>
      <c r="AL6" s="267"/>
      <c r="AM6" s="267"/>
      <c r="AN6" s="267"/>
      <c r="AO6" s="267"/>
      <c r="AP6" s="267"/>
      <c r="AQ6" s="267"/>
      <c r="AR6" s="267"/>
      <c r="AS6" s="267"/>
      <c r="AT6" s="267"/>
      <c r="AU6" s="267"/>
      <c r="AV6" s="267"/>
      <c r="AW6" s="267"/>
      <c r="AX6" s="267"/>
      <c r="AY6" s="267"/>
      <c r="AZ6" s="267"/>
      <c r="BA6" s="267"/>
      <c r="BB6" s="267"/>
      <c r="BC6" s="267"/>
      <c r="BD6" s="267"/>
      <c r="BE6" s="267"/>
      <c r="BF6" s="267"/>
      <c r="BG6" s="267"/>
      <c r="BH6" s="267"/>
      <c r="BI6" s="267"/>
      <c r="BJ6" s="267"/>
      <c r="BK6" s="267"/>
      <c r="BL6" s="267"/>
      <c r="BM6" s="267"/>
      <c r="BN6" s="267"/>
      <c r="BO6" s="267"/>
      <c r="BP6" s="267"/>
      <c r="BQ6" s="267"/>
    </row>
    <row r="7" spans="1:69" ht="15">
      <c r="A7" s="192"/>
      <c r="B7" s="280"/>
      <c r="C7" s="286"/>
      <c r="D7" s="281"/>
      <c r="E7" s="98"/>
      <c r="F7" s="98"/>
      <c r="G7" s="98"/>
      <c r="H7" s="98"/>
      <c r="I7" s="98"/>
      <c r="J7" s="98"/>
      <c r="K7" s="98"/>
      <c r="L7" s="98"/>
    </row>
    <row r="8" spans="1:69" ht="15">
      <c r="A8" s="178" t="s">
        <v>1310</v>
      </c>
      <c r="B8" s="282">
        <f>3500</f>
        <v>3500</v>
      </c>
      <c r="C8" s="287">
        <v>31</v>
      </c>
      <c r="D8" s="283">
        <f t="shared" ref="D8:D13" si="0">+B8*C8</f>
        <v>108500</v>
      </c>
      <c r="E8" s="268"/>
      <c r="F8" s="268"/>
      <c r="G8" s="268"/>
      <c r="H8" s="268"/>
      <c r="I8" s="268"/>
      <c r="J8" s="268"/>
      <c r="K8" s="268"/>
      <c r="L8" s="268"/>
      <c r="M8" s="269"/>
      <c r="N8" s="269"/>
      <c r="O8" s="269"/>
      <c r="P8" s="269"/>
      <c r="Q8" s="269"/>
      <c r="R8" s="269"/>
      <c r="S8" s="269"/>
      <c r="T8" s="269"/>
      <c r="U8" s="269"/>
      <c r="V8" s="269"/>
      <c r="W8" s="269"/>
      <c r="X8" s="269"/>
      <c r="Y8" s="269"/>
      <c r="Z8" s="269"/>
      <c r="AA8" s="269"/>
      <c r="AB8" s="269"/>
      <c r="AC8" s="269"/>
      <c r="AD8" s="269"/>
      <c r="AE8" s="269"/>
      <c r="AF8" s="269"/>
      <c r="AG8" s="269"/>
    </row>
    <row r="9" spans="1:69" ht="15">
      <c r="A9" s="178" t="s">
        <v>1311</v>
      </c>
      <c r="B9" s="282">
        <f>+B8*0.5</f>
        <v>1750</v>
      </c>
      <c r="C9" s="287">
        <v>31</v>
      </c>
      <c r="D9" s="283">
        <f t="shared" si="0"/>
        <v>54250</v>
      </c>
      <c r="E9" s="268"/>
      <c r="F9" s="268"/>
      <c r="G9" s="268"/>
      <c r="H9" s="268"/>
      <c r="I9" s="268"/>
      <c r="J9" s="268"/>
      <c r="K9" s="268"/>
      <c r="L9" s="268"/>
      <c r="M9" s="269"/>
      <c r="N9" s="269"/>
      <c r="O9" s="269"/>
      <c r="P9" s="269"/>
      <c r="Q9" s="269"/>
      <c r="R9" s="269"/>
      <c r="S9" s="269"/>
      <c r="T9" s="269"/>
      <c r="U9" s="269"/>
      <c r="V9" s="269"/>
      <c r="W9" s="269"/>
      <c r="X9" s="269"/>
      <c r="Y9" s="269"/>
      <c r="Z9" s="269"/>
      <c r="AA9" s="269"/>
      <c r="AB9" s="269"/>
      <c r="AC9" s="269"/>
      <c r="AD9" s="269"/>
      <c r="AE9" s="269"/>
      <c r="AF9" s="269"/>
      <c r="AG9" s="269"/>
    </row>
    <row r="10" spans="1:69" ht="15">
      <c r="A10" s="178" t="s">
        <v>1312</v>
      </c>
      <c r="B10" s="282">
        <v>350</v>
      </c>
      <c r="C10" s="287">
        <v>31</v>
      </c>
      <c r="D10" s="283">
        <f t="shared" si="0"/>
        <v>10850</v>
      </c>
      <c r="E10" s="268"/>
      <c r="F10" s="268"/>
      <c r="G10" s="268"/>
      <c r="H10" s="268"/>
      <c r="I10" s="268"/>
      <c r="J10" s="268"/>
      <c r="K10" s="268"/>
      <c r="L10" s="268"/>
      <c r="M10" s="269"/>
      <c r="N10" s="269"/>
      <c r="O10" s="269"/>
      <c r="P10" s="269"/>
      <c r="Q10" s="269"/>
      <c r="R10" s="269"/>
      <c r="S10" s="269"/>
      <c r="T10" s="269"/>
      <c r="U10" s="269"/>
      <c r="V10" s="269"/>
      <c r="W10" s="269"/>
      <c r="X10" s="269"/>
      <c r="Y10" s="269"/>
      <c r="Z10" s="269"/>
      <c r="AA10" s="269"/>
      <c r="AB10" s="269"/>
      <c r="AC10" s="269"/>
      <c r="AD10" s="269"/>
      <c r="AE10" s="269"/>
      <c r="AF10" s="269"/>
      <c r="AG10" s="269"/>
    </row>
    <row r="11" spans="1:69" ht="15">
      <c r="A11" s="178" t="s">
        <v>1313</v>
      </c>
      <c r="B11" s="282">
        <v>850</v>
      </c>
      <c r="C11" s="287">
        <v>31</v>
      </c>
      <c r="D11" s="283">
        <f t="shared" si="0"/>
        <v>26350</v>
      </c>
      <c r="E11" s="268"/>
      <c r="F11" s="268"/>
      <c r="G11" s="268"/>
      <c r="H11" s="268"/>
      <c r="I11" s="268"/>
      <c r="J11" s="268"/>
      <c r="K11" s="268"/>
      <c r="L11" s="268"/>
      <c r="M11" s="269"/>
      <c r="N11" s="269"/>
      <c r="O11" s="269"/>
      <c r="P11" s="269"/>
      <c r="Q11" s="269"/>
      <c r="R11" s="269"/>
      <c r="S11" s="269"/>
      <c r="T11" s="269"/>
      <c r="U11" s="269"/>
      <c r="V11" s="269"/>
      <c r="W11" s="269"/>
      <c r="X11" s="269"/>
      <c r="Y11" s="269"/>
      <c r="Z11" s="269"/>
      <c r="AA11" s="269"/>
      <c r="AB11" s="269"/>
      <c r="AC11" s="269"/>
      <c r="AD11" s="269"/>
      <c r="AE11" s="269"/>
      <c r="AF11" s="269"/>
      <c r="AG11" s="269"/>
    </row>
    <row r="12" spans="1:69" ht="15">
      <c r="A12" s="178" t="s">
        <v>1314</v>
      </c>
      <c r="B12" s="282">
        <v>2000</v>
      </c>
      <c r="C12" s="287">
        <v>31</v>
      </c>
      <c r="D12" s="283">
        <f t="shared" si="0"/>
        <v>62000</v>
      </c>
      <c r="E12" s="268"/>
      <c r="F12" s="268"/>
      <c r="G12" s="268"/>
      <c r="H12" s="268"/>
      <c r="I12" s="268"/>
      <c r="J12" s="268"/>
      <c r="K12" s="268"/>
      <c r="L12" s="268"/>
      <c r="M12" s="269"/>
      <c r="N12" s="269"/>
      <c r="O12" s="269"/>
      <c r="P12" s="269"/>
      <c r="Q12" s="269"/>
      <c r="R12" s="269"/>
      <c r="S12" s="269"/>
      <c r="T12" s="269"/>
      <c r="U12" s="269"/>
      <c r="V12" s="269"/>
      <c r="W12" s="269"/>
      <c r="X12" s="269"/>
      <c r="Y12" s="269"/>
      <c r="Z12" s="269"/>
      <c r="AA12" s="269"/>
      <c r="AB12" s="269"/>
      <c r="AC12" s="269"/>
      <c r="AD12" s="269"/>
      <c r="AE12" s="269"/>
      <c r="AF12" s="269"/>
      <c r="AG12" s="269"/>
    </row>
    <row r="13" spans="1:69" ht="15">
      <c r="A13" s="178" t="s">
        <v>1315</v>
      </c>
      <c r="B13" s="282">
        <v>300</v>
      </c>
      <c r="C13" s="287">
        <v>31</v>
      </c>
      <c r="D13" s="283">
        <f t="shared" si="0"/>
        <v>9300</v>
      </c>
      <c r="E13" s="268"/>
      <c r="F13" s="268"/>
      <c r="G13" s="268"/>
      <c r="H13" s="268"/>
      <c r="I13" s="268"/>
      <c r="J13" s="268"/>
      <c r="K13" s="268"/>
      <c r="L13" s="268"/>
      <c r="M13" s="269"/>
      <c r="N13" s="269"/>
      <c r="O13" s="269"/>
      <c r="P13" s="269"/>
      <c r="Q13" s="269"/>
      <c r="R13" s="269"/>
      <c r="S13" s="269"/>
      <c r="T13" s="269"/>
      <c r="U13" s="269"/>
      <c r="V13" s="269"/>
      <c r="W13" s="269"/>
      <c r="X13" s="269"/>
      <c r="Y13" s="269"/>
      <c r="Z13" s="269"/>
      <c r="AA13" s="269"/>
      <c r="AB13" s="269"/>
      <c r="AC13" s="269"/>
      <c r="AD13" s="269"/>
      <c r="AE13" s="269"/>
      <c r="AF13" s="269"/>
      <c r="AG13" s="269"/>
    </row>
    <row r="14" spans="1:69" ht="15">
      <c r="A14" s="178" t="s">
        <v>1316</v>
      </c>
      <c r="B14" s="282">
        <v>0</v>
      </c>
      <c r="C14" s="287">
        <v>0</v>
      </c>
      <c r="D14" s="283">
        <v>9000</v>
      </c>
      <c r="E14" s="268"/>
      <c r="F14" s="268"/>
      <c r="G14" s="268"/>
      <c r="H14" s="268"/>
      <c r="I14" s="268"/>
      <c r="J14" s="268"/>
      <c r="K14" s="268"/>
      <c r="L14" s="268"/>
      <c r="M14" s="269"/>
      <c r="N14" s="269"/>
      <c r="O14" s="269"/>
      <c r="P14" s="269"/>
      <c r="Q14" s="269"/>
      <c r="R14" s="269"/>
      <c r="S14" s="269"/>
      <c r="T14" s="269"/>
      <c r="U14" s="269"/>
      <c r="V14" s="269"/>
      <c r="W14" s="269"/>
      <c r="X14" s="269"/>
      <c r="Y14" s="269"/>
      <c r="Z14" s="269"/>
      <c r="AA14" s="269"/>
      <c r="AB14" s="269"/>
      <c r="AC14" s="269"/>
      <c r="AD14" s="269"/>
      <c r="AE14" s="269"/>
      <c r="AF14" s="269"/>
      <c r="AG14" s="269"/>
    </row>
    <row r="15" spans="1:69" ht="15">
      <c r="A15" s="274" t="s">
        <v>1317</v>
      </c>
      <c r="B15" s="284">
        <v>300</v>
      </c>
      <c r="C15" s="288">
        <v>31</v>
      </c>
      <c r="D15" s="283">
        <f>+B15*C15</f>
        <v>9300</v>
      </c>
      <c r="E15" s="268"/>
      <c r="F15" s="268"/>
      <c r="G15" s="268"/>
      <c r="H15" s="268"/>
      <c r="I15" s="268"/>
      <c r="J15" s="268"/>
      <c r="K15" s="268"/>
      <c r="L15" s="268"/>
      <c r="M15" s="269"/>
      <c r="N15" s="269"/>
      <c r="O15" s="269"/>
      <c r="P15" s="269"/>
      <c r="Q15" s="269"/>
      <c r="R15" s="269"/>
      <c r="S15" s="269"/>
      <c r="T15" s="269"/>
      <c r="U15" s="269"/>
      <c r="V15" s="269"/>
      <c r="W15" s="269"/>
      <c r="X15" s="269"/>
      <c r="Y15" s="269"/>
      <c r="Z15" s="269"/>
      <c r="AA15" s="269"/>
      <c r="AB15" s="269"/>
      <c r="AC15" s="269"/>
      <c r="AD15" s="269"/>
      <c r="AE15" s="269"/>
      <c r="AF15" s="269"/>
      <c r="AG15" s="269"/>
    </row>
    <row r="16" spans="1:69" ht="15">
      <c r="A16" s="274" t="s">
        <v>1318</v>
      </c>
      <c r="B16" s="284">
        <v>2000</v>
      </c>
      <c r="C16" s="288">
        <v>31</v>
      </c>
      <c r="D16" s="283">
        <f>+B16*C16</f>
        <v>62000</v>
      </c>
      <c r="E16" s="268"/>
      <c r="F16" s="268"/>
      <c r="G16" s="268"/>
      <c r="H16" s="268"/>
      <c r="I16" s="268"/>
      <c r="J16" s="268"/>
      <c r="K16" s="268"/>
      <c r="L16" s="268"/>
      <c r="M16" s="269"/>
      <c r="N16" s="269"/>
      <c r="O16" s="269"/>
      <c r="P16" s="269"/>
      <c r="Q16" s="269"/>
      <c r="R16" s="269"/>
      <c r="S16" s="269"/>
      <c r="T16" s="269"/>
      <c r="U16" s="269"/>
      <c r="V16" s="269"/>
      <c r="W16" s="269"/>
      <c r="X16" s="269"/>
      <c r="Y16" s="269"/>
      <c r="Z16" s="269"/>
      <c r="AA16" s="269"/>
      <c r="AB16" s="269"/>
      <c r="AC16" s="269"/>
      <c r="AD16" s="269"/>
      <c r="AE16" s="269"/>
      <c r="AF16" s="269"/>
      <c r="AG16" s="269"/>
    </row>
    <row r="17" spans="1:33" ht="15">
      <c r="A17" s="178" t="s">
        <v>1319</v>
      </c>
      <c r="B17" s="282">
        <v>12000</v>
      </c>
      <c r="C17" s="287">
        <v>15</v>
      </c>
      <c r="D17" s="283">
        <f>+B17*C17</f>
        <v>180000</v>
      </c>
      <c r="E17" s="268"/>
      <c r="F17" s="268"/>
      <c r="G17" s="268"/>
      <c r="H17" s="268"/>
      <c r="I17" s="268"/>
      <c r="J17" s="268"/>
      <c r="K17" s="268"/>
      <c r="L17" s="268"/>
      <c r="M17" s="269"/>
      <c r="N17" s="269"/>
      <c r="O17" s="269"/>
      <c r="P17" s="269"/>
      <c r="Q17" s="269"/>
      <c r="R17" s="269"/>
      <c r="S17" s="269"/>
      <c r="T17" s="269"/>
      <c r="U17" s="269"/>
      <c r="V17" s="269"/>
      <c r="W17" s="269"/>
      <c r="X17" s="269"/>
      <c r="Y17" s="269"/>
      <c r="Z17" s="269"/>
      <c r="AA17" s="269"/>
      <c r="AB17" s="269"/>
      <c r="AC17" s="269"/>
      <c r="AD17" s="269"/>
      <c r="AE17" s="269"/>
      <c r="AF17" s="269"/>
      <c r="AG17" s="269"/>
    </row>
    <row r="18" spans="1:33" ht="15">
      <c r="A18" s="178" t="s">
        <v>1320</v>
      </c>
      <c r="B18" s="282"/>
      <c r="C18" s="287"/>
      <c r="D18" s="283">
        <v>50000</v>
      </c>
      <c r="E18" s="268"/>
      <c r="F18" s="268"/>
      <c r="G18" s="268"/>
      <c r="H18" s="268"/>
      <c r="I18" s="268"/>
      <c r="J18" s="268"/>
      <c r="K18" s="268"/>
      <c r="L18" s="268"/>
      <c r="M18" s="269"/>
      <c r="N18" s="269"/>
      <c r="O18" s="269"/>
      <c r="P18" s="269"/>
      <c r="Q18" s="269"/>
      <c r="R18" s="269"/>
      <c r="S18" s="269"/>
      <c r="T18" s="269"/>
      <c r="U18" s="269"/>
      <c r="V18" s="269"/>
      <c r="W18" s="269"/>
      <c r="X18" s="269"/>
      <c r="Y18" s="269"/>
      <c r="Z18" s="269"/>
      <c r="AA18" s="269"/>
      <c r="AB18" s="269"/>
      <c r="AC18" s="269"/>
      <c r="AD18" s="269"/>
      <c r="AE18" s="269"/>
      <c r="AF18" s="269"/>
      <c r="AG18" s="269"/>
    </row>
    <row r="19" spans="1:33" ht="15">
      <c r="A19" s="178"/>
      <c r="B19" s="282"/>
      <c r="C19" s="287"/>
      <c r="D19" s="283"/>
      <c r="E19" s="268"/>
      <c r="F19" s="268"/>
      <c r="G19" s="268"/>
      <c r="H19" s="268"/>
      <c r="I19" s="268"/>
      <c r="J19" s="268"/>
      <c r="K19" s="268"/>
      <c r="L19" s="268"/>
      <c r="M19" s="269"/>
      <c r="N19" s="269"/>
      <c r="O19" s="269"/>
      <c r="P19" s="269"/>
      <c r="Q19" s="269"/>
      <c r="R19" s="269"/>
      <c r="S19" s="269"/>
      <c r="T19" s="269"/>
      <c r="U19" s="269"/>
      <c r="V19" s="269"/>
      <c r="W19" s="269"/>
      <c r="X19" s="269"/>
      <c r="Y19" s="269"/>
      <c r="Z19" s="269"/>
      <c r="AA19" s="269"/>
      <c r="AB19" s="269"/>
      <c r="AC19" s="269"/>
      <c r="AD19" s="269"/>
      <c r="AE19" s="269"/>
      <c r="AF19" s="269"/>
      <c r="AG19" s="269"/>
    </row>
    <row r="20" spans="1:33" ht="15">
      <c r="A20" s="178" t="s">
        <v>1321</v>
      </c>
      <c r="B20" s="282"/>
      <c r="C20" s="287"/>
      <c r="D20" s="283">
        <f>SUM(D8:D18)</f>
        <v>581550</v>
      </c>
      <c r="E20" s="268"/>
      <c r="F20" s="268"/>
      <c r="G20" s="268"/>
      <c r="H20" s="268"/>
      <c r="I20" s="268"/>
      <c r="J20" s="268"/>
      <c r="K20" s="268"/>
      <c r="L20" s="268"/>
      <c r="M20" s="269"/>
      <c r="N20" s="269"/>
      <c r="O20" s="269"/>
      <c r="P20" s="269"/>
      <c r="Q20" s="269"/>
      <c r="R20" s="269"/>
      <c r="S20" s="269"/>
      <c r="T20" s="269"/>
      <c r="U20" s="269"/>
      <c r="V20" s="269"/>
      <c r="W20" s="269"/>
      <c r="X20" s="269"/>
      <c r="Y20" s="269"/>
      <c r="Z20" s="269"/>
      <c r="AA20" s="269"/>
      <c r="AB20" s="269"/>
      <c r="AC20" s="269"/>
      <c r="AD20" s="269"/>
      <c r="AE20" s="269"/>
      <c r="AF20" s="269"/>
      <c r="AG20" s="269"/>
    </row>
    <row r="21" spans="1:33" ht="15">
      <c r="A21" s="178"/>
      <c r="B21" s="282"/>
      <c r="C21" s="287"/>
      <c r="D21" s="283"/>
      <c r="E21" s="268"/>
      <c r="F21" s="268"/>
      <c r="G21" s="268"/>
      <c r="H21" s="268"/>
      <c r="I21" s="268"/>
      <c r="J21" s="268"/>
      <c r="K21" s="268"/>
      <c r="L21" s="268"/>
      <c r="M21" s="269"/>
      <c r="N21" s="269"/>
      <c r="O21" s="269"/>
      <c r="P21" s="269"/>
      <c r="Q21" s="269"/>
      <c r="R21" s="269"/>
      <c r="S21" s="269"/>
      <c r="T21" s="269"/>
      <c r="U21" s="269"/>
      <c r="V21" s="269"/>
      <c r="W21" s="269"/>
      <c r="X21" s="269"/>
      <c r="Y21" s="269"/>
      <c r="Z21" s="269"/>
      <c r="AA21" s="269"/>
      <c r="AB21" s="269"/>
      <c r="AC21" s="269"/>
      <c r="AD21" s="269"/>
      <c r="AE21" s="269"/>
      <c r="AF21" s="269"/>
      <c r="AG21" s="269"/>
    </row>
    <row r="22" spans="1:33" ht="15">
      <c r="A22" s="178" t="s">
        <v>1322</v>
      </c>
      <c r="B22" s="282"/>
      <c r="C22" s="287"/>
      <c r="D22" s="283">
        <f>0.1*D20</f>
        <v>58155</v>
      </c>
      <c r="E22" s="268"/>
      <c r="F22" s="268"/>
      <c r="G22" s="268"/>
      <c r="H22" s="268"/>
      <c r="I22" s="268"/>
      <c r="J22" s="268"/>
      <c r="K22" s="268"/>
      <c r="L22" s="268"/>
      <c r="M22" s="269"/>
      <c r="N22" s="269"/>
      <c r="O22" s="269"/>
      <c r="P22" s="269"/>
      <c r="Q22" s="269"/>
      <c r="R22" s="269"/>
      <c r="S22" s="269"/>
      <c r="T22" s="269"/>
      <c r="U22" s="269"/>
      <c r="V22" s="269"/>
      <c r="W22" s="269"/>
      <c r="X22" s="269"/>
      <c r="Y22" s="269"/>
      <c r="Z22" s="269"/>
      <c r="AA22" s="269"/>
      <c r="AB22" s="269"/>
      <c r="AC22" s="269"/>
      <c r="AD22" s="269"/>
      <c r="AE22" s="269"/>
      <c r="AF22" s="269"/>
      <c r="AG22" s="269"/>
    </row>
    <row r="23" spans="1:33" ht="15.75" thickBot="1">
      <c r="A23" s="178"/>
      <c r="B23" s="282"/>
      <c r="C23" s="287"/>
      <c r="D23" s="283"/>
      <c r="E23" s="268"/>
      <c r="F23" s="268"/>
      <c r="G23" s="268"/>
      <c r="H23" s="268"/>
      <c r="I23" s="268"/>
      <c r="J23" s="268"/>
      <c r="K23" s="268"/>
      <c r="L23" s="268"/>
      <c r="M23" s="269"/>
      <c r="N23" s="269"/>
      <c r="O23" s="269"/>
      <c r="P23" s="269"/>
      <c r="Q23" s="269"/>
      <c r="R23" s="269"/>
      <c r="S23" s="269"/>
      <c r="T23" s="269"/>
      <c r="U23" s="269"/>
      <c r="V23" s="269"/>
      <c r="W23" s="269"/>
      <c r="X23" s="269"/>
      <c r="Y23" s="269"/>
      <c r="Z23" s="269"/>
      <c r="AA23" s="269"/>
      <c r="AB23" s="269"/>
      <c r="AC23" s="269"/>
      <c r="AD23" s="269"/>
      <c r="AE23" s="269"/>
      <c r="AF23" s="269"/>
      <c r="AG23" s="269"/>
    </row>
    <row r="24" spans="1:33" ht="15.75" thickBot="1">
      <c r="A24" s="192" t="s">
        <v>1323</v>
      </c>
      <c r="B24" s="289"/>
      <c r="C24" s="290"/>
      <c r="D24" s="291">
        <f>D22+D20</f>
        <v>639705</v>
      </c>
      <c r="E24" s="268"/>
      <c r="F24" s="268"/>
      <c r="G24" s="268"/>
      <c r="H24" s="268"/>
      <c r="I24" s="268"/>
      <c r="J24" s="268"/>
      <c r="K24" s="268"/>
      <c r="L24" s="268"/>
      <c r="M24" s="269"/>
      <c r="N24" s="269"/>
      <c r="O24" s="269"/>
      <c r="P24" s="269"/>
      <c r="Q24" s="269"/>
      <c r="R24" s="269"/>
      <c r="S24" s="269"/>
      <c r="T24" s="269"/>
      <c r="U24" s="269"/>
      <c r="V24" s="269"/>
      <c r="W24" s="269"/>
      <c r="X24" s="269"/>
      <c r="Y24" s="269"/>
      <c r="Z24" s="269"/>
      <c r="AA24" s="269"/>
      <c r="AB24" s="269"/>
      <c r="AC24" s="269"/>
      <c r="AD24" s="269"/>
      <c r="AE24" s="269"/>
      <c r="AF24" s="269"/>
      <c r="AG24" s="269"/>
    </row>
    <row r="25" spans="1:33" ht="15">
      <c r="A25" s="192"/>
      <c r="B25" s="275"/>
      <c r="C25" s="275"/>
      <c r="D25" s="276"/>
      <c r="E25" s="268"/>
      <c r="F25" s="268"/>
      <c r="G25" s="268"/>
      <c r="H25" s="268"/>
      <c r="I25" s="268"/>
      <c r="J25" s="268"/>
      <c r="K25" s="268"/>
      <c r="L25" s="268"/>
      <c r="M25" s="269"/>
      <c r="N25" s="269"/>
      <c r="O25" s="269"/>
      <c r="P25" s="269"/>
      <c r="Q25" s="269"/>
      <c r="R25" s="269"/>
      <c r="S25" s="269"/>
      <c r="T25" s="269"/>
      <c r="U25" s="269"/>
      <c r="V25" s="269"/>
      <c r="W25" s="269"/>
      <c r="X25" s="269"/>
      <c r="Y25" s="269"/>
      <c r="Z25" s="269"/>
      <c r="AA25" s="269"/>
      <c r="AB25" s="269"/>
      <c r="AC25" s="269"/>
      <c r="AD25" s="269"/>
      <c r="AE25" s="269"/>
      <c r="AF25" s="269"/>
      <c r="AG25" s="269"/>
    </row>
    <row r="26" spans="1:33" ht="15">
      <c r="A26" s="192"/>
      <c r="B26" s="275"/>
      <c r="C26" s="275"/>
      <c r="D26" s="276"/>
      <c r="E26" s="268"/>
      <c r="F26" s="268"/>
      <c r="G26" s="268"/>
      <c r="H26" s="268"/>
      <c r="I26" s="268"/>
      <c r="J26" s="268"/>
      <c r="K26" s="268"/>
      <c r="L26" s="268"/>
      <c r="M26" s="269"/>
      <c r="N26" s="269"/>
      <c r="O26" s="269"/>
      <c r="P26" s="269"/>
      <c r="Q26" s="269"/>
      <c r="R26" s="269"/>
      <c r="S26" s="269"/>
      <c r="T26" s="269"/>
      <c r="U26" s="269"/>
      <c r="V26" s="269"/>
      <c r="W26" s="269"/>
      <c r="X26" s="269"/>
      <c r="Y26" s="269"/>
      <c r="Z26" s="269"/>
      <c r="AA26" s="269"/>
      <c r="AB26" s="269"/>
      <c r="AC26" s="269"/>
      <c r="AD26" s="269"/>
      <c r="AE26" s="269"/>
      <c r="AF26" s="269"/>
      <c r="AG26" s="269"/>
    </row>
    <row r="27" spans="1:33" ht="15">
      <c r="A27" s="192"/>
      <c r="B27" s="192"/>
      <c r="C27" s="192"/>
      <c r="D27" s="192"/>
      <c r="E27" s="268"/>
      <c r="F27" s="268"/>
      <c r="G27" s="268"/>
      <c r="H27" s="268"/>
      <c r="I27" s="268"/>
      <c r="J27" s="268"/>
      <c r="K27" s="268"/>
      <c r="L27" s="268"/>
      <c r="M27" s="269"/>
      <c r="N27" s="269"/>
      <c r="O27" s="269"/>
      <c r="P27" s="269"/>
      <c r="Q27" s="269"/>
      <c r="R27" s="269"/>
      <c r="S27" s="269"/>
      <c r="T27" s="269"/>
      <c r="U27" s="269"/>
      <c r="V27" s="269"/>
      <c r="W27" s="269"/>
      <c r="X27" s="269"/>
      <c r="Y27" s="269"/>
      <c r="Z27" s="269"/>
      <c r="AA27" s="269"/>
      <c r="AB27" s="269"/>
      <c r="AC27" s="269"/>
      <c r="AD27" s="269"/>
      <c r="AE27" s="269"/>
      <c r="AF27" s="269"/>
      <c r="AG27" s="269"/>
    </row>
    <row r="28" spans="1:33" ht="15">
      <c r="A28" s="192" t="s">
        <v>1324</v>
      </c>
      <c r="B28" s="192"/>
      <c r="C28" s="192"/>
      <c r="D28" s="192"/>
      <c r="E28" s="268"/>
      <c r="F28" s="268"/>
      <c r="G28" s="268"/>
      <c r="H28" s="268"/>
      <c r="I28" s="268"/>
      <c r="J28" s="268"/>
      <c r="K28" s="268"/>
      <c r="L28" s="268"/>
      <c r="M28" s="269"/>
      <c r="N28" s="269"/>
      <c r="O28" s="269"/>
      <c r="P28" s="269"/>
      <c r="Q28" s="269"/>
      <c r="R28" s="269"/>
      <c r="S28" s="269"/>
      <c r="T28" s="269"/>
      <c r="U28" s="269"/>
      <c r="V28" s="269"/>
      <c r="W28" s="269"/>
      <c r="X28" s="269"/>
      <c r="Y28" s="269"/>
      <c r="Z28" s="269"/>
      <c r="AA28" s="269"/>
      <c r="AB28" s="269"/>
      <c r="AC28" s="269"/>
      <c r="AD28" s="269"/>
      <c r="AE28" s="269"/>
      <c r="AF28" s="269"/>
      <c r="AG28" s="269"/>
    </row>
    <row r="29" spans="1:33" ht="15">
      <c r="A29" s="192"/>
      <c r="B29" s="192"/>
      <c r="C29" s="192"/>
      <c r="D29" s="192"/>
      <c r="E29" s="268"/>
      <c r="F29" s="268"/>
      <c r="G29" s="268"/>
      <c r="H29" s="268"/>
      <c r="I29" s="268"/>
      <c r="J29" s="268"/>
      <c r="K29" s="268"/>
      <c r="L29" s="268"/>
      <c r="M29" s="269"/>
      <c r="N29" s="269"/>
      <c r="O29" s="269"/>
      <c r="P29" s="269"/>
      <c r="Q29" s="269"/>
      <c r="R29" s="269"/>
      <c r="S29" s="269"/>
      <c r="T29" s="269"/>
      <c r="U29" s="269"/>
      <c r="V29" s="269"/>
      <c r="W29" s="269"/>
      <c r="X29" s="269"/>
      <c r="Y29" s="269"/>
      <c r="Z29" s="269"/>
      <c r="AA29" s="269"/>
      <c r="AB29" s="269"/>
      <c r="AC29" s="269"/>
      <c r="AD29" s="269"/>
      <c r="AE29" s="269"/>
      <c r="AF29" s="269"/>
      <c r="AG29" s="269"/>
    </row>
    <row r="30" spans="1:33">
      <c r="A30" s="192" t="s">
        <v>1325</v>
      </c>
      <c r="B30" s="192"/>
      <c r="C30" s="192"/>
      <c r="D30" s="192"/>
      <c r="E30" s="269"/>
      <c r="F30" s="269"/>
      <c r="G30" s="269"/>
      <c r="H30" s="269"/>
      <c r="I30" s="269"/>
      <c r="J30" s="269"/>
      <c r="K30" s="269"/>
      <c r="L30" s="269"/>
      <c r="M30" s="269"/>
      <c r="N30" s="269"/>
      <c r="O30" s="269"/>
      <c r="P30" s="269"/>
      <c r="Q30" s="269"/>
      <c r="R30" s="269"/>
      <c r="S30" s="269"/>
      <c r="T30" s="269"/>
      <c r="U30" s="269"/>
      <c r="V30" s="269"/>
      <c r="W30" s="269"/>
      <c r="X30" s="269"/>
      <c r="Y30" s="269"/>
      <c r="Z30" s="269"/>
      <c r="AA30" s="269"/>
      <c r="AB30" s="269"/>
      <c r="AC30" s="269"/>
      <c r="AD30" s="269"/>
      <c r="AE30" s="269"/>
      <c r="AF30" s="269"/>
      <c r="AG30" s="269"/>
    </row>
    <row r="31" spans="1:33">
      <c r="A31" s="277" t="s">
        <v>1326</v>
      </c>
      <c r="B31" s="192"/>
      <c r="C31" s="192"/>
      <c r="D31" s="192"/>
      <c r="E31" s="269"/>
      <c r="F31" s="269"/>
      <c r="G31" s="269"/>
      <c r="H31" s="269"/>
      <c r="I31" s="269"/>
      <c r="J31" s="269"/>
      <c r="K31" s="269"/>
      <c r="L31" s="269"/>
      <c r="M31" s="269"/>
      <c r="N31" s="269"/>
      <c r="O31" s="269"/>
      <c r="P31" s="269"/>
      <c r="Q31" s="269"/>
      <c r="R31" s="269"/>
      <c r="S31" s="269"/>
      <c r="T31" s="269"/>
      <c r="U31" s="269"/>
      <c r="V31" s="269"/>
      <c r="W31" s="269"/>
      <c r="X31" s="269"/>
      <c r="Y31" s="269"/>
      <c r="Z31" s="269"/>
      <c r="AA31" s="269"/>
      <c r="AB31" s="269"/>
      <c r="AC31" s="269"/>
      <c r="AD31" s="269"/>
      <c r="AE31" s="269"/>
      <c r="AF31" s="269"/>
      <c r="AG31" s="269"/>
    </row>
    <row r="32" spans="1:33">
      <c r="A32" s="192" t="s">
        <v>1327</v>
      </c>
      <c r="B32" s="192"/>
      <c r="C32" s="192"/>
      <c r="D32" s="192"/>
      <c r="E32" s="269"/>
      <c r="F32" s="269"/>
      <c r="G32" s="269"/>
      <c r="H32" s="269"/>
      <c r="I32" s="269"/>
      <c r="J32" s="269"/>
      <c r="K32" s="269"/>
      <c r="L32" s="269"/>
      <c r="M32" s="269"/>
      <c r="N32" s="269"/>
      <c r="O32" s="269"/>
      <c r="P32" s="269"/>
      <c r="Q32" s="269"/>
      <c r="R32" s="269"/>
      <c r="S32" s="269"/>
      <c r="T32" s="269"/>
      <c r="U32" s="269"/>
      <c r="V32" s="269"/>
      <c r="W32" s="269"/>
      <c r="X32" s="269"/>
      <c r="Y32" s="269"/>
      <c r="Z32" s="269"/>
      <c r="AA32" s="269"/>
      <c r="AB32" s="269"/>
      <c r="AC32" s="269"/>
      <c r="AD32" s="269"/>
      <c r="AE32" s="269"/>
      <c r="AF32" s="269"/>
      <c r="AG32" s="269"/>
    </row>
    <row r="33" spans="1:33">
      <c r="A33" s="277" t="s">
        <v>1328</v>
      </c>
      <c r="B33" s="192"/>
      <c r="C33" s="192"/>
      <c r="D33" s="192"/>
      <c r="E33" s="269"/>
      <c r="F33" s="269"/>
      <c r="G33" s="269"/>
      <c r="H33" s="269"/>
      <c r="I33" s="269"/>
      <c r="J33" s="269"/>
      <c r="K33" s="269"/>
      <c r="L33" s="269"/>
      <c r="M33" s="269"/>
      <c r="N33" s="269"/>
      <c r="O33" s="269"/>
      <c r="P33" s="269"/>
      <c r="Q33" s="269"/>
      <c r="R33" s="269"/>
      <c r="S33" s="269"/>
      <c r="T33" s="269"/>
      <c r="U33" s="269"/>
      <c r="V33" s="269"/>
      <c r="W33" s="269"/>
      <c r="X33" s="269"/>
      <c r="Y33" s="269"/>
      <c r="Z33" s="269"/>
      <c r="AA33" s="269"/>
      <c r="AB33" s="269"/>
      <c r="AC33" s="269"/>
      <c r="AD33" s="269"/>
      <c r="AE33" s="269"/>
      <c r="AF33" s="269"/>
      <c r="AG33" s="269"/>
    </row>
    <row r="34" spans="1:33">
      <c r="A34" s="90"/>
      <c r="B34" s="90"/>
      <c r="C34" s="90"/>
      <c r="D34" s="90"/>
      <c r="E34" s="269"/>
      <c r="F34" s="269"/>
      <c r="G34" s="269"/>
      <c r="H34" s="269"/>
      <c r="I34" s="269"/>
      <c r="J34" s="269"/>
      <c r="K34" s="269"/>
      <c r="L34" s="269"/>
      <c r="M34" s="269"/>
      <c r="N34" s="269"/>
      <c r="O34" s="269"/>
      <c r="P34" s="269"/>
      <c r="Q34" s="269"/>
      <c r="R34" s="269"/>
      <c r="S34" s="269"/>
      <c r="T34" s="269"/>
      <c r="U34" s="269"/>
      <c r="V34" s="269"/>
      <c r="W34" s="269"/>
      <c r="X34" s="269"/>
      <c r="Y34" s="269"/>
      <c r="Z34" s="269"/>
      <c r="AA34" s="269"/>
      <c r="AB34" s="269"/>
      <c r="AC34" s="269"/>
      <c r="AD34" s="269"/>
      <c r="AE34" s="269"/>
      <c r="AF34" s="269"/>
      <c r="AG34" s="269"/>
    </row>
    <row r="35" spans="1:33">
      <c r="A35" s="90"/>
      <c r="B35" s="90"/>
      <c r="C35" s="90"/>
      <c r="D35" s="90"/>
      <c r="E35" s="269"/>
      <c r="F35" s="269"/>
      <c r="G35" s="269"/>
      <c r="H35" s="269"/>
      <c r="I35" s="269"/>
      <c r="J35" s="269"/>
      <c r="K35" s="269"/>
      <c r="L35" s="269"/>
      <c r="M35" s="269"/>
      <c r="N35" s="269"/>
      <c r="O35" s="269"/>
      <c r="P35" s="269"/>
      <c r="Q35" s="269"/>
      <c r="R35" s="269"/>
      <c r="S35" s="269"/>
      <c r="T35" s="269"/>
      <c r="U35" s="269"/>
      <c r="V35" s="269"/>
      <c r="W35" s="269"/>
      <c r="X35" s="269"/>
      <c r="Y35" s="269"/>
      <c r="Z35" s="269"/>
      <c r="AA35" s="269"/>
      <c r="AB35" s="269"/>
      <c r="AC35" s="269"/>
      <c r="AD35" s="269"/>
      <c r="AE35" s="269"/>
      <c r="AF35" s="269"/>
      <c r="AG35" s="269"/>
    </row>
    <row r="36" spans="1:33">
      <c r="A36" s="90"/>
      <c r="B36" s="90"/>
      <c r="C36" s="90"/>
      <c r="D36" s="90"/>
      <c r="E36" s="269"/>
      <c r="F36" s="269"/>
      <c r="G36" s="269"/>
      <c r="H36" s="269"/>
      <c r="I36" s="269"/>
      <c r="J36" s="269"/>
      <c r="K36" s="269"/>
      <c r="L36" s="269"/>
      <c r="M36" s="269"/>
      <c r="N36" s="269"/>
      <c r="O36" s="269"/>
      <c r="P36" s="269"/>
      <c r="Q36" s="269"/>
      <c r="R36" s="269"/>
      <c r="S36" s="269"/>
      <c r="T36" s="269"/>
      <c r="U36" s="269"/>
      <c r="V36" s="269"/>
      <c r="W36" s="269"/>
      <c r="X36" s="269"/>
      <c r="Y36" s="269"/>
      <c r="Z36" s="269"/>
      <c r="AA36" s="269"/>
      <c r="AB36" s="269"/>
      <c r="AC36" s="269"/>
      <c r="AD36" s="269"/>
      <c r="AE36" s="269"/>
      <c r="AF36" s="269"/>
      <c r="AG36" s="269"/>
    </row>
    <row r="37" spans="1:33">
      <c r="A37" s="90"/>
      <c r="B37" s="90"/>
      <c r="C37" s="90"/>
      <c r="D37" s="90"/>
    </row>
    <row r="38" spans="1:33">
      <c r="A38" s="90"/>
      <c r="B38" s="90"/>
      <c r="C38" s="90"/>
      <c r="D38" s="90"/>
    </row>
    <row r="39" spans="1:33">
      <c r="A39" s="90"/>
      <c r="B39" s="90"/>
      <c r="C39" s="90"/>
      <c r="D39" s="90"/>
    </row>
    <row r="40" spans="1:33">
      <c r="A40" s="90"/>
      <c r="B40" s="90"/>
      <c r="C40" s="90"/>
      <c r="D40" s="90"/>
    </row>
    <row r="41" spans="1:33">
      <c r="A41" s="90"/>
      <c r="B41" s="90"/>
      <c r="C41" s="90"/>
      <c r="D41" s="90"/>
    </row>
  </sheetData>
  <printOptions horizontalCentered="1"/>
  <pageMargins left="0.75" right="0.75" top="1" bottom="1" header="0.5" footer="0.5"/>
  <pageSetup orientation="portrait" horizontalDpi="4294967292" verticalDpi="4294967292" r:id="rId1"/>
  <headerFooter alignWithMargins="0">
    <oddFooter>&amp;LRichard Bickings
&amp;D&amp;CPage &amp;P&amp;R&amp;F
&amp;A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outlinePr applyStyles="1"/>
  </sheetPr>
  <dimension ref="A1:M913"/>
  <sheetViews>
    <sheetView topLeftCell="E1" zoomScale="75" zoomScaleNormal="75" zoomScaleSheetLayoutView="100" workbookViewId="0">
      <pane ySplit="2" topLeftCell="A128" activePane="bottomLeft" state="frozen"/>
      <selection activeCell="F28" sqref="F28"/>
      <selection pane="bottomLeft" activeCell="F28" sqref="F28"/>
    </sheetView>
  </sheetViews>
  <sheetFormatPr defaultRowHeight="12.75" outlineLevelRow="2"/>
  <cols>
    <col min="1" max="1" width="23.7109375" style="4" hidden="1" customWidth="1"/>
    <col min="2" max="2" width="24.42578125" style="4" hidden="1" customWidth="1"/>
    <col min="3" max="3" width="20.85546875" style="4" hidden="1" customWidth="1"/>
    <col min="4" max="4" width="22.85546875" style="4" hidden="1" customWidth="1"/>
    <col min="5" max="5" width="35.140625" style="4" customWidth="1"/>
    <col min="6" max="6" width="42.5703125" style="4" customWidth="1"/>
    <col min="7" max="7" width="15.140625" style="4" customWidth="1"/>
    <col min="8" max="8" width="15.7109375" style="4" customWidth="1"/>
    <col min="9" max="9" width="15.7109375" style="4" hidden="1" customWidth="1"/>
    <col min="10" max="10" width="13.85546875" style="4" hidden="1" customWidth="1"/>
    <col min="11" max="11" width="2.5703125" style="4" customWidth="1"/>
    <col min="12" max="12" width="9.42578125" style="18" customWidth="1"/>
    <col min="13" max="13" width="9.140625" style="18"/>
    <col min="14" max="16384" width="9.140625" style="4"/>
  </cols>
  <sheetData>
    <row r="1" spans="1:13" ht="18" customHeight="1" thickBot="1">
      <c r="L1" s="4"/>
      <c r="M1" s="4"/>
    </row>
    <row r="2" spans="1:13" ht="17.25" customHeight="1" thickBot="1">
      <c r="B2" s="16" t="s">
        <v>1329</v>
      </c>
      <c r="C2" s="16" t="s">
        <v>1330</v>
      </c>
      <c r="D2" s="16" t="s">
        <v>1331</v>
      </c>
      <c r="E2" s="74" t="s">
        <v>1332</v>
      </c>
      <c r="F2" s="75" t="s">
        <v>1333</v>
      </c>
      <c r="G2" s="76"/>
      <c r="H2" s="237" t="s">
        <v>1334</v>
      </c>
      <c r="I2" s="237" t="s">
        <v>1335</v>
      </c>
      <c r="J2" s="237" t="s">
        <v>1336</v>
      </c>
      <c r="L2" s="17" t="s">
        <v>1337</v>
      </c>
    </row>
    <row r="3" spans="1:13" ht="17.25" customHeight="1">
      <c r="B3" s="16"/>
      <c r="C3" s="16"/>
      <c r="D3" s="16"/>
      <c r="E3" s="308" t="str">
        <f>Scope!A1</f>
        <v>Rochester Public Utilities LM6000 PC Power Project</v>
      </c>
      <c r="F3" s="77"/>
      <c r="G3" s="77"/>
      <c r="H3" s="78"/>
      <c r="I3" s="78"/>
      <c r="J3" s="78"/>
      <c r="L3" s="17"/>
    </row>
    <row r="4" spans="1:13" ht="23.25" customHeight="1" thickBot="1">
      <c r="B4" s="16"/>
      <c r="C4" s="16"/>
      <c r="D4" s="16"/>
      <c r="E4" s="79" t="s">
        <v>1338</v>
      </c>
      <c r="F4" s="80"/>
      <c r="G4" s="80"/>
      <c r="H4" s="81"/>
      <c r="I4" s="81"/>
      <c r="J4" s="81"/>
      <c r="L4" s="17"/>
    </row>
    <row r="5" spans="1:13" s="20" customFormat="1" ht="13.5" outlineLevel="1" thickBot="1">
      <c r="A5" s="4" t="s">
        <v>1339</v>
      </c>
      <c r="B5" s="4" t="s">
        <v>1340</v>
      </c>
      <c r="C5" s="4" t="s">
        <v>1341</v>
      </c>
      <c r="D5" s="4" t="s">
        <v>1342</v>
      </c>
      <c r="E5" s="155" t="s">
        <v>671</v>
      </c>
      <c r="F5" s="156"/>
      <c r="G5" s="157"/>
      <c r="H5" s="87"/>
      <c r="I5" s="87"/>
      <c r="J5" s="239"/>
    </row>
    <row r="6" spans="1:13" ht="13.5" outlineLevel="2" thickBot="1">
      <c r="A6" s="4" t="str">
        <f>B6&amp;C6&amp;D6</f>
        <v>O&amp;M Mobilization BudgetOperating ExpensesPublic Relations</v>
      </c>
      <c r="B6" s="4" t="s">
        <v>1340</v>
      </c>
      <c r="C6" s="4" t="s">
        <v>1341</v>
      </c>
      <c r="D6" s="4" t="s">
        <v>1342</v>
      </c>
      <c r="E6" s="83" t="s">
        <v>1343</v>
      </c>
      <c r="F6" s="23"/>
      <c r="G6" s="65"/>
      <c r="H6" s="19">
        <v>0</v>
      </c>
      <c r="I6" s="19">
        <f>H6</f>
        <v>0</v>
      </c>
      <c r="J6" s="19">
        <f>H6</f>
        <v>0</v>
      </c>
      <c r="L6" s="4"/>
      <c r="M6" s="4"/>
    </row>
    <row r="7" spans="1:13" ht="13.5" hidden="1" outlineLevel="2" thickBot="1">
      <c r="E7" s="83"/>
      <c r="F7" s="23"/>
      <c r="G7" s="65"/>
      <c r="H7" s="19" t="e">
        <f>9*#REF!*1.5/12</f>
        <v>#REF!</v>
      </c>
      <c r="I7" s="19" t="e">
        <f t="shared" ref="I7:I14" si="0">H7</f>
        <v>#REF!</v>
      </c>
      <c r="J7" s="19" t="e">
        <f>H7</f>
        <v>#REF!</v>
      </c>
      <c r="L7" s="4"/>
      <c r="M7" s="4"/>
    </row>
    <row r="8" spans="1:13" ht="13.5" hidden="1" outlineLevel="2" thickBot="1">
      <c r="E8" s="83" t="s">
        <v>1344</v>
      </c>
      <c r="F8" s="23" t="s">
        <v>1345</v>
      </c>
      <c r="G8" s="65"/>
      <c r="H8" s="19">
        <f>6*6000+150*90</f>
        <v>49500</v>
      </c>
      <c r="I8" s="19">
        <f t="shared" si="0"/>
        <v>49500</v>
      </c>
      <c r="J8" s="19">
        <f t="shared" ref="J8:J14" si="1">H8</f>
        <v>49500</v>
      </c>
      <c r="L8" s="4"/>
      <c r="M8" s="4"/>
    </row>
    <row r="9" spans="1:13" ht="13.5" hidden="1" outlineLevel="2" thickBot="1">
      <c r="E9" s="83" t="s">
        <v>1346</v>
      </c>
      <c r="F9" s="23" t="s">
        <v>1347</v>
      </c>
      <c r="G9" s="65"/>
      <c r="H9" s="19">
        <f>1*3*6000</f>
        <v>18000</v>
      </c>
      <c r="I9" s="19">
        <f t="shared" si="0"/>
        <v>18000</v>
      </c>
      <c r="J9" s="19">
        <f t="shared" si="1"/>
        <v>18000</v>
      </c>
      <c r="L9" s="4"/>
      <c r="M9" s="4"/>
    </row>
    <row r="10" spans="1:13" ht="13.5" hidden="1" outlineLevel="2" thickBot="1">
      <c r="E10" s="83" t="s">
        <v>1348</v>
      </c>
      <c r="F10" s="23" t="s">
        <v>1349</v>
      </c>
      <c r="G10" s="65"/>
      <c r="H10" s="19">
        <f>9*3000</f>
        <v>27000</v>
      </c>
      <c r="I10" s="19">
        <f t="shared" si="0"/>
        <v>27000</v>
      </c>
      <c r="J10" s="19">
        <f t="shared" si="1"/>
        <v>27000</v>
      </c>
      <c r="L10" s="4"/>
      <c r="M10" s="4"/>
    </row>
    <row r="11" spans="1:13" ht="13.5" hidden="1" outlineLevel="2" thickBot="1">
      <c r="E11" s="83" t="s">
        <v>1350</v>
      </c>
      <c r="F11" s="23" t="s">
        <v>1351</v>
      </c>
      <c r="G11" s="65"/>
      <c r="H11" s="19">
        <f>15*75*8</f>
        <v>9000</v>
      </c>
      <c r="I11" s="19">
        <f t="shared" si="0"/>
        <v>9000</v>
      </c>
      <c r="J11" s="19">
        <f t="shared" si="1"/>
        <v>9000</v>
      </c>
      <c r="L11" s="4"/>
      <c r="M11" s="4"/>
    </row>
    <row r="12" spans="1:13" ht="13.5" hidden="1" outlineLevel="2" thickBot="1">
      <c r="E12" s="83" t="s">
        <v>1352</v>
      </c>
      <c r="F12" s="23" t="s">
        <v>1353</v>
      </c>
      <c r="G12" s="65"/>
      <c r="H12" s="19">
        <f>12*1000</f>
        <v>12000</v>
      </c>
      <c r="I12" s="19">
        <f t="shared" si="0"/>
        <v>12000</v>
      </c>
      <c r="J12" s="19">
        <f t="shared" si="1"/>
        <v>12000</v>
      </c>
      <c r="L12" s="4"/>
      <c r="M12" s="4"/>
    </row>
    <row r="13" spans="1:13" ht="13.5" hidden="1" outlineLevel="2" thickBot="1">
      <c r="E13" s="83"/>
      <c r="F13" s="23" t="s">
        <v>1354</v>
      </c>
      <c r="G13" s="65"/>
      <c r="H13" s="19">
        <v>25000</v>
      </c>
      <c r="I13" s="19">
        <f t="shared" si="0"/>
        <v>25000</v>
      </c>
      <c r="J13" s="19">
        <f t="shared" si="1"/>
        <v>25000</v>
      </c>
      <c r="L13" s="4"/>
      <c r="M13" s="4"/>
    </row>
    <row r="14" spans="1:13" ht="13.5" hidden="1" outlineLevel="2" thickBot="1">
      <c r="E14" s="83"/>
      <c r="F14" s="23" t="s">
        <v>1355</v>
      </c>
      <c r="G14" s="65"/>
      <c r="H14" s="19">
        <v>40000</v>
      </c>
      <c r="I14" s="19">
        <f t="shared" si="0"/>
        <v>40000</v>
      </c>
      <c r="J14" s="19">
        <f t="shared" si="1"/>
        <v>40000</v>
      </c>
      <c r="L14" s="4"/>
      <c r="M14" s="4"/>
    </row>
    <row r="15" spans="1:13" ht="13.5" hidden="1" outlineLevel="2" thickBot="1">
      <c r="E15" s="83" t="s">
        <v>1356</v>
      </c>
      <c r="F15" s="23" t="s">
        <v>1357</v>
      </c>
      <c r="G15" s="65"/>
      <c r="H15" s="19" t="e">
        <f>0.4*#REF!</f>
        <v>#REF!</v>
      </c>
      <c r="I15" s="19" t="e">
        <f>H15-J15</f>
        <v>#REF!</v>
      </c>
      <c r="J15" s="19" t="e">
        <f>H15</f>
        <v>#REF!</v>
      </c>
      <c r="L15" s="4"/>
      <c r="M15" s="4"/>
    </row>
    <row r="16" spans="1:13" s="20" customFormat="1" ht="13.5" outlineLevel="1" collapsed="1" thickBot="1">
      <c r="A16" s="20" t="s">
        <v>1358</v>
      </c>
      <c r="B16" s="20" t="s">
        <v>1340</v>
      </c>
      <c r="C16" s="20" t="s">
        <v>1341</v>
      </c>
      <c r="D16" s="20" t="s">
        <v>1342</v>
      </c>
      <c r="E16" s="83"/>
      <c r="F16" s="23" t="s">
        <v>1359</v>
      </c>
      <c r="G16" s="85"/>
      <c r="H16" s="86">
        <f>SUBTOTAL(9,H6:H6)</f>
        <v>0</v>
      </c>
      <c r="I16" s="86">
        <f>SUBTOTAL(9,I6:I6)</f>
        <v>0</v>
      </c>
      <c r="J16" s="86" t="e">
        <f>SUBTOTAL(9,J6:J15)</f>
        <v>#REF!</v>
      </c>
    </row>
    <row r="17" spans="1:13" ht="13.5" customHeight="1" thickBot="1">
      <c r="A17" s="4" t="s">
        <v>1361</v>
      </c>
      <c r="B17" s="4" t="s">
        <v>1340</v>
      </c>
      <c r="C17" s="4" t="s">
        <v>1341</v>
      </c>
      <c r="D17" s="4" t="s">
        <v>1362</v>
      </c>
      <c r="E17" s="158" t="s">
        <v>1362</v>
      </c>
      <c r="F17" s="144"/>
      <c r="G17" s="145"/>
      <c r="H17" s="82"/>
      <c r="I17" s="240"/>
      <c r="J17" s="238"/>
      <c r="M17" s="4"/>
    </row>
    <row r="18" spans="1:13" ht="13.5" customHeight="1" outlineLevel="2" thickBot="1">
      <c r="E18" s="83" t="s">
        <v>1187</v>
      </c>
      <c r="F18" s="23"/>
      <c r="G18" s="65"/>
      <c r="H18" s="583">
        <f>MobStaff!$F$19</f>
        <v>145405.93539999999</v>
      </c>
      <c r="I18" s="19">
        <f>H18</f>
        <v>145405.93539999999</v>
      </c>
      <c r="J18" s="19">
        <f>H18</f>
        <v>145405.93539999999</v>
      </c>
      <c r="L18" s="4"/>
      <c r="M18" s="4"/>
    </row>
    <row r="19" spans="1:13" ht="13.5" customHeight="1" outlineLevel="2" thickBot="1">
      <c r="F19" s="23"/>
      <c r="G19" s="65"/>
      <c r="H19" s="19"/>
      <c r="I19" s="19"/>
      <c r="J19" s="19"/>
      <c r="L19" s="4"/>
      <c r="M19" s="4"/>
    </row>
    <row r="20" spans="1:13" ht="13.5" customHeight="1" outlineLevel="2" thickBot="1">
      <c r="E20" s="83"/>
      <c r="F20" s="23"/>
      <c r="G20" s="65"/>
      <c r="H20" s="19"/>
      <c r="I20" s="19"/>
      <c r="J20" s="19"/>
      <c r="L20" s="4"/>
      <c r="M20" s="4"/>
    </row>
    <row r="21" spans="1:13" ht="13.5" customHeight="1" outlineLevel="2" thickBot="1">
      <c r="E21" s="83"/>
      <c r="F21" s="23"/>
      <c r="G21" s="65"/>
      <c r="H21" s="19"/>
      <c r="I21" s="19"/>
      <c r="J21" s="19"/>
      <c r="L21" s="4"/>
      <c r="M21" s="4"/>
    </row>
    <row r="22" spans="1:13" s="20" customFormat="1" ht="13.5" customHeight="1" outlineLevel="1" thickBot="1">
      <c r="A22" s="84" t="s">
        <v>1363</v>
      </c>
      <c r="B22" s="20" t="s">
        <v>1340</v>
      </c>
      <c r="C22" s="20" t="s">
        <v>1341</v>
      </c>
      <c r="D22" s="20" t="s">
        <v>1362</v>
      </c>
      <c r="E22" s="83" t="s">
        <v>1364</v>
      </c>
      <c r="F22" s="23"/>
      <c r="G22" s="85" t="s">
        <v>1360</v>
      </c>
      <c r="H22" s="86">
        <f>SUBTOTAL(9,H18:H21)</f>
        <v>145405.93539999999</v>
      </c>
      <c r="I22" s="86">
        <f>SUBTOTAL(9,I18:I21)</f>
        <v>145405.93539999999</v>
      </c>
      <c r="J22" s="86">
        <f>SUBTOTAL(9,J18:J21)</f>
        <v>145405.93539999999</v>
      </c>
    </row>
    <row r="23" spans="1:13" s="20" customFormat="1" ht="13.5" customHeight="1" outlineLevel="1" thickBot="1">
      <c r="A23" s="4" t="s">
        <v>1365</v>
      </c>
      <c r="B23" s="4" t="s">
        <v>1340</v>
      </c>
      <c r="C23" s="4" t="s">
        <v>1341</v>
      </c>
      <c r="D23" s="4" t="s">
        <v>695</v>
      </c>
      <c r="E23" s="158" t="s">
        <v>695</v>
      </c>
      <c r="F23" s="144"/>
      <c r="G23" s="145"/>
      <c r="H23" s="87"/>
      <c r="I23" s="239"/>
      <c r="J23" s="239"/>
    </row>
    <row r="24" spans="1:13" ht="13.5" hidden="1" customHeight="1" outlineLevel="2" thickBot="1">
      <c r="A24" s="4" t="str">
        <f>B24&amp;C24&amp;D24</f>
        <v>O&amp;M Mobilization BudgetOperating ExpensesEmployee Expenses</v>
      </c>
      <c r="B24" s="4" t="s">
        <v>1340</v>
      </c>
      <c r="C24" s="4" t="s">
        <v>1341</v>
      </c>
      <c r="D24" s="4" t="s">
        <v>695</v>
      </c>
      <c r="E24" s="83" t="s">
        <v>1366</v>
      </c>
      <c r="F24" s="23" t="s">
        <v>1367</v>
      </c>
      <c r="G24" s="65"/>
      <c r="H24" s="19">
        <v>0</v>
      </c>
      <c r="I24" s="19">
        <f>H24-J24</f>
        <v>0</v>
      </c>
      <c r="J24" s="19"/>
      <c r="L24" s="4"/>
      <c r="M24" s="4"/>
    </row>
    <row r="25" spans="1:13" ht="13.5" hidden="1" customHeight="1" outlineLevel="2" thickBot="1">
      <c r="E25" s="83" t="s">
        <v>1368</v>
      </c>
      <c r="F25" s="23" t="s">
        <v>1369</v>
      </c>
      <c r="G25" s="65"/>
      <c r="H25" s="19">
        <f>0.33*H24</f>
        <v>0</v>
      </c>
      <c r="I25" s="19">
        <f>H25-J25</f>
        <v>0</v>
      </c>
      <c r="J25" s="19"/>
      <c r="L25" s="4"/>
      <c r="M25" s="4"/>
    </row>
    <row r="26" spans="1:13" ht="13.5" hidden="1" customHeight="1" outlineLevel="2" thickBot="1">
      <c r="E26" s="83" t="s">
        <v>1370</v>
      </c>
      <c r="F26" s="23" t="s">
        <v>1371</v>
      </c>
      <c r="G26" s="65"/>
      <c r="H26" s="19"/>
      <c r="I26" s="19">
        <f>H26-J26</f>
        <v>0</v>
      </c>
      <c r="J26" s="19"/>
      <c r="L26" s="4"/>
      <c r="M26" s="4"/>
    </row>
    <row r="27" spans="1:13" ht="13.5" customHeight="1" outlineLevel="2" thickBot="1">
      <c r="E27" s="83"/>
      <c r="F27" s="23"/>
      <c r="G27" s="65"/>
      <c r="H27" s="19"/>
      <c r="I27" s="19"/>
      <c r="J27" s="19"/>
      <c r="L27" s="4"/>
      <c r="M27" s="4"/>
    </row>
    <row r="28" spans="1:13" s="20" customFormat="1" ht="13.5" customHeight="1" outlineLevel="1" thickBot="1">
      <c r="A28" s="20" t="s">
        <v>1372</v>
      </c>
      <c r="B28" s="20" t="s">
        <v>1340</v>
      </c>
      <c r="C28" s="20" t="s">
        <v>1341</v>
      </c>
      <c r="D28" s="20" t="s">
        <v>695</v>
      </c>
      <c r="E28" s="83" t="s">
        <v>1373</v>
      </c>
      <c r="F28" s="23"/>
      <c r="G28" s="85" t="s">
        <v>1360</v>
      </c>
      <c r="H28" s="86">
        <f>SUBTOTAL(9,H24:H26)</f>
        <v>0</v>
      </c>
      <c r="I28" s="86">
        <f>SUBTOTAL(9,I24:I26)</f>
        <v>0</v>
      </c>
      <c r="J28" s="86">
        <f>SUBTOTAL(9,J24:J26)</f>
        <v>0</v>
      </c>
    </row>
    <row r="29" spans="1:13" s="20" customFormat="1" ht="13.5" customHeight="1" outlineLevel="1" thickBot="1">
      <c r="A29" s="4" t="s">
        <v>1374</v>
      </c>
      <c r="B29" s="4" t="s">
        <v>1340</v>
      </c>
      <c r="C29" s="4" t="s">
        <v>1341</v>
      </c>
      <c r="D29" s="4" t="s">
        <v>696</v>
      </c>
      <c r="E29" s="158" t="s">
        <v>696</v>
      </c>
      <c r="F29" s="144"/>
      <c r="G29" s="145"/>
      <c r="H29" s="87"/>
      <c r="I29" s="239"/>
      <c r="J29" s="87"/>
    </row>
    <row r="30" spans="1:13" ht="13.5" hidden="1" outlineLevel="2" thickBot="1">
      <c r="A30" s="4" t="str">
        <f>B30&amp;C30&amp;D30</f>
        <v>O&amp;M Mobilization BudgetOperating ExpensesRecruiting Expenses</v>
      </c>
      <c r="B30" s="4" t="s">
        <v>1340</v>
      </c>
      <c r="C30" s="4" t="s">
        <v>1341</v>
      </c>
      <c r="D30" s="4" t="s">
        <v>696</v>
      </c>
      <c r="E30" s="83"/>
      <c r="F30" s="23"/>
      <c r="G30" s="65"/>
      <c r="H30" s="19">
        <v>0</v>
      </c>
      <c r="I30" s="19">
        <f>H30-J30</f>
        <v>0</v>
      </c>
      <c r="J30" s="19"/>
      <c r="L30" s="4"/>
      <c r="M30" s="4"/>
    </row>
    <row r="31" spans="1:13" ht="13.5" hidden="1" customHeight="1" outlineLevel="2" thickBot="1">
      <c r="A31" s="4" t="str">
        <f>B31&amp;C31&amp;D31</f>
        <v>O&amp;M Mobilization BudgetOperating ExpensesRecruiting Expenses</v>
      </c>
      <c r="B31" s="4" t="s">
        <v>1340</v>
      </c>
      <c r="C31" s="4" t="s">
        <v>1341</v>
      </c>
      <c r="D31" s="4" t="s">
        <v>696</v>
      </c>
      <c r="E31" s="83" t="s">
        <v>1428</v>
      </c>
      <c r="F31" s="23" t="s">
        <v>1429</v>
      </c>
      <c r="G31" s="65"/>
      <c r="H31" s="19">
        <v>0</v>
      </c>
      <c r="I31" s="19">
        <f>H31-J31</f>
        <v>0</v>
      </c>
      <c r="J31" s="19">
        <f>H31</f>
        <v>0</v>
      </c>
      <c r="L31" s="4"/>
      <c r="M31" s="4"/>
    </row>
    <row r="32" spans="1:13" ht="13.5" customHeight="1" outlineLevel="2" thickBot="1">
      <c r="E32" s="83" t="s">
        <v>1375</v>
      </c>
      <c r="F32" s="23" t="s">
        <v>1376</v>
      </c>
      <c r="G32" s="65"/>
      <c r="H32" s="19">
        <f>120*75</f>
        <v>9000</v>
      </c>
      <c r="I32" s="19">
        <f>H32-J32</f>
        <v>9000</v>
      </c>
      <c r="J32" s="19"/>
      <c r="L32" s="4"/>
      <c r="M32" s="4"/>
    </row>
    <row r="33" spans="1:13" ht="13.5" customHeight="1" outlineLevel="2" thickBot="1">
      <c r="E33" s="83" t="s">
        <v>1377</v>
      </c>
      <c r="F33" s="23" t="s">
        <v>1378</v>
      </c>
      <c r="G33" s="65"/>
      <c r="H33" s="19">
        <f>5*2000+150*25</f>
        <v>13750</v>
      </c>
      <c r="I33" s="19">
        <f>H33-J33</f>
        <v>13750</v>
      </c>
      <c r="J33" s="19"/>
      <c r="L33" s="4"/>
      <c r="M33" s="4"/>
    </row>
    <row r="34" spans="1:13" ht="13.5" customHeight="1" outlineLevel="2" thickBot="1">
      <c r="E34" s="83"/>
      <c r="F34" s="23"/>
      <c r="G34" s="65"/>
      <c r="H34" s="19"/>
      <c r="I34" s="19"/>
      <c r="J34" s="19"/>
      <c r="L34" s="4"/>
      <c r="M34" s="4"/>
    </row>
    <row r="35" spans="1:13" s="20" customFormat="1" ht="13.5" outlineLevel="1" thickBot="1">
      <c r="A35" s="20" t="s">
        <v>1379</v>
      </c>
      <c r="B35" s="20" t="s">
        <v>1340</v>
      </c>
      <c r="C35" s="20" t="s">
        <v>1341</v>
      </c>
      <c r="D35" s="20" t="s">
        <v>696</v>
      </c>
      <c r="E35" s="83" t="s">
        <v>1019</v>
      </c>
      <c r="F35" s="23"/>
      <c r="G35" s="85" t="s">
        <v>1360</v>
      </c>
      <c r="H35" s="86">
        <f>SUBTOTAL(9,H30:H34)</f>
        <v>22750</v>
      </c>
      <c r="I35" s="86">
        <f>SUBTOTAL(9,I30:I34)</f>
        <v>22750</v>
      </c>
      <c r="J35" s="86">
        <f>SUBTOTAL(9,J30:J34)</f>
        <v>0</v>
      </c>
    </row>
    <row r="36" spans="1:13" s="20" customFormat="1" ht="13.5" outlineLevel="1" thickBot="1">
      <c r="A36" s="4" t="s">
        <v>1380</v>
      </c>
      <c r="B36" s="4" t="s">
        <v>1340</v>
      </c>
      <c r="C36" s="4" t="s">
        <v>1341</v>
      </c>
      <c r="D36" s="4" t="s">
        <v>697</v>
      </c>
      <c r="E36" s="158" t="s">
        <v>697</v>
      </c>
      <c r="F36" s="144"/>
      <c r="G36" s="145"/>
      <c r="H36" s="87"/>
      <c r="I36" s="239"/>
      <c r="J36" s="87"/>
    </row>
    <row r="37" spans="1:13" ht="13.5" outlineLevel="2" thickBot="1">
      <c r="A37" s="4" t="str">
        <f>B37&amp;C37&amp;D37</f>
        <v>O&amp;M Mobilization BudgetOperating ExpensesRelocation Expenses</v>
      </c>
      <c r="B37" s="4" t="s">
        <v>1340</v>
      </c>
      <c r="C37" s="4" t="s">
        <v>1341</v>
      </c>
      <c r="D37" s="4" t="s">
        <v>697</v>
      </c>
      <c r="E37" s="83" t="s">
        <v>1427</v>
      </c>
      <c r="F37" s="23" t="s">
        <v>1426</v>
      </c>
      <c r="G37" s="65"/>
      <c r="H37" s="19">
        <f>MobStaff!$J$46*0.5</f>
        <v>40000</v>
      </c>
      <c r="I37" s="19">
        <f>H37-J37</f>
        <v>40000</v>
      </c>
      <c r="J37" s="19"/>
      <c r="L37" s="4"/>
      <c r="M37" s="4"/>
    </row>
    <row r="38" spans="1:13" ht="13.5" outlineLevel="2" thickBot="1">
      <c r="E38" s="83" t="s">
        <v>1428</v>
      </c>
      <c r="F38" s="23" t="s">
        <v>1429</v>
      </c>
      <c r="G38" s="65"/>
      <c r="H38" s="19">
        <v>0</v>
      </c>
      <c r="I38" s="19">
        <f>H38-J38</f>
        <v>0</v>
      </c>
      <c r="J38" s="19"/>
      <c r="L38" s="4"/>
      <c r="M38" s="4"/>
    </row>
    <row r="39" spans="1:13" ht="13.5" hidden="1" outlineLevel="2" thickBot="1">
      <c r="E39" s="83"/>
      <c r="F39" s="23"/>
      <c r="G39" s="65"/>
      <c r="H39" s="19">
        <v>0</v>
      </c>
      <c r="I39" s="19">
        <f>H39-J39</f>
        <v>0</v>
      </c>
      <c r="J39" s="19">
        <f>H39</f>
        <v>0</v>
      </c>
      <c r="L39" s="4"/>
      <c r="M39" s="4"/>
    </row>
    <row r="40" spans="1:13" ht="13.5" hidden="1" outlineLevel="2" thickBot="1">
      <c r="E40" s="83"/>
      <c r="F40" s="23"/>
      <c r="G40" s="65"/>
      <c r="H40" s="19">
        <v>0</v>
      </c>
      <c r="I40" s="19">
        <f>H40-J40</f>
        <v>0</v>
      </c>
      <c r="J40" s="19"/>
      <c r="L40" s="4"/>
      <c r="M40" s="4"/>
    </row>
    <row r="41" spans="1:13" ht="13.5" hidden="1" outlineLevel="2" thickBot="1">
      <c r="E41" s="83" t="s">
        <v>1381</v>
      </c>
      <c r="F41" s="23" t="s">
        <v>1382</v>
      </c>
      <c r="G41" s="65"/>
      <c r="H41" s="19"/>
      <c r="I41" s="19">
        <f>H41-J41</f>
        <v>0</v>
      </c>
      <c r="J41" s="19"/>
      <c r="L41" s="4"/>
      <c r="M41" s="4"/>
    </row>
    <row r="42" spans="1:13" ht="13.5" outlineLevel="2" thickBot="1">
      <c r="E42" s="83"/>
      <c r="F42" s="23"/>
      <c r="G42" s="65"/>
      <c r="H42" s="19"/>
      <c r="I42" s="19"/>
      <c r="J42" s="19"/>
      <c r="L42" s="4"/>
      <c r="M42" s="4"/>
    </row>
    <row r="43" spans="1:13" s="20" customFormat="1" ht="13.5" outlineLevel="1" thickBot="1">
      <c r="A43" s="20" t="s">
        <v>1383</v>
      </c>
      <c r="B43" s="20" t="s">
        <v>1340</v>
      </c>
      <c r="C43" s="20" t="s">
        <v>1341</v>
      </c>
      <c r="D43" s="20" t="s">
        <v>697</v>
      </c>
      <c r="E43" s="83" t="s">
        <v>1019</v>
      </c>
      <c r="F43" s="23"/>
      <c r="G43" s="85" t="s">
        <v>1360</v>
      </c>
      <c r="H43" s="86">
        <f>SUBTOTAL(9,H37:H42)</f>
        <v>40000</v>
      </c>
      <c r="I43" s="86">
        <f>SUBTOTAL(9,I37:I42)</f>
        <v>40000</v>
      </c>
      <c r="J43" s="86">
        <f>SUBTOTAL(9,J37:J42)</f>
        <v>0</v>
      </c>
    </row>
    <row r="44" spans="1:13" s="20" customFormat="1" ht="13.5" outlineLevel="1" thickBot="1">
      <c r="A44" s="4" t="s">
        <v>1384</v>
      </c>
      <c r="B44" s="4" t="s">
        <v>1340</v>
      </c>
      <c r="C44" s="4" t="s">
        <v>1341</v>
      </c>
      <c r="D44" s="4" t="s">
        <v>698</v>
      </c>
      <c r="E44" s="158" t="s">
        <v>698</v>
      </c>
      <c r="F44" s="144"/>
      <c r="G44" s="145"/>
      <c r="H44" s="87"/>
      <c r="I44" s="87"/>
      <c r="J44" s="87"/>
    </row>
    <row r="45" spans="1:13" ht="13.5" hidden="1" outlineLevel="2" thickBot="1">
      <c r="A45" s="4" t="str">
        <f t="shared" ref="A45:A61" si="2">B45&amp;C45&amp;D45</f>
        <v>O&amp;M Mobilization BudgetOperating ExpensesOutside Services</v>
      </c>
      <c r="B45" s="4" t="s">
        <v>1340</v>
      </c>
      <c r="C45" s="4" t="s">
        <v>1341</v>
      </c>
      <c r="D45" s="4" t="s">
        <v>698</v>
      </c>
      <c r="E45" s="83" t="s">
        <v>1385</v>
      </c>
      <c r="F45" s="23" t="s">
        <v>1386</v>
      </c>
      <c r="G45" s="65"/>
      <c r="H45" s="19">
        <v>0</v>
      </c>
      <c r="I45" s="19">
        <f t="shared" ref="I45:I66" si="3">H45-J45</f>
        <v>0</v>
      </c>
      <c r="J45" s="19"/>
      <c r="L45" s="4"/>
      <c r="M45" s="4"/>
    </row>
    <row r="46" spans="1:13" ht="13.5" hidden="1" outlineLevel="2" thickBot="1">
      <c r="E46" s="83" t="s">
        <v>1387</v>
      </c>
      <c r="F46" s="23"/>
      <c r="G46" s="65"/>
      <c r="H46" s="19">
        <v>0</v>
      </c>
      <c r="I46" s="19">
        <f t="shared" si="3"/>
        <v>0</v>
      </c>
      <c r="J46" s="19"/>
      <c r="L46" s="4"/>
      <c r="M46" s="4"/>
    </row>
    <row r="47" spans="1:13" ht="13.5" hidden="1" outlineLevel="2" thickBot="1">
      <c r="A47" s="4" t="str">
        <f t="shared" si="2"/>
        <v>O&amp;M Mobilization BudgetOperating ExpensesOutside Services</v>
      </c>
      <c r="B47" s="4" t="s">
        <v>1340</v>
      </c>
      <c r="C47" s="4" t="s">
        <v>1341</v>
      </c>
      <c r="D47" s="4" t="s">
        <v>698</v>
      </c>
      <c r="E47" s="83" t="s">
        <v>1388</v>
      </c>
      <c r="F47" s="23" t="s">
        <v>1389</v>
      </c>
      <c r="G47" s="65"/>
      <c r="H47" s="19">
        <v>0</v>
      </c>
      <c r="I47" s="19">
        <f t="shared" si="3"/>
        <v>0</v>
      </c>
      <c r="J47" s="19"/>
      <c r="L47" s="4"/>
      <c r="M47" s="4"/>
    </row>
    <row r="48" spans="1:13" ht="13.5" hidden="1" outlineLevel="2" thickBot="1">
      <c r="A48" s="4" t="str">
        <f t="shared" si="2"/>
        <v>O&amp;M Mobilization BudgetOperating ExpensesOutside Services</v>
      </c>
      <c r="B48" s="4" t="s">
        <v>1340</v>
      </c>
      <c r="C48" s="4" t="s">
        <v>1341</v>
      </c>
      <c r="D48" s="4" t="s">
        <v>698</v>
      </c>
      <c r="E48" s="83" t="s">
        <v>1390</v>
      </c>
      <c r="F48" s="23" t="s">
        <v>1389</v>
      </c>
      <c r="G48" s="65"/>
      <c r="H48" s="19">
        <v>0</v>
      </c>
      <c r="I48" s="19">
        <f t="shared" si="3"/>
        <v>0</v>
      </c>
      <c r="J48" s="19"/>
      <c r="L48" s="4"/>
      <c r="M48" s="4"/>
    </row>
    <row r="49" spans="1:13" ht="13.5" hidden="1" outlineLevel="2" thickBot="1">
      <c r="A49" s="4" t="str">
        <f t="shared" si="2"/>
        <v>O&amp;M Mobilization BudgetOperating ExpensesOutside Services</v>
      </c>
      <c r="B49" s="4" t="s">
        <v>1340</v>
      </c>
      <c r="C49" s="4" t="s">
        <v>1341</v>
      </c>
      <c r="D49" s="4" t="s">
        <v>698</v>
      </c>
      <c r="E49" s="83" t="s">
        <v>1391</v>
      </c>
      <c r="F49" s="23" t="s">
        <v>1392</v>
      </c>
      <c r="G49" s="65"/>
      <c r="H49" s="19"/>
      <c r="I49" s="19">
        <f t="shared" si="3"/>
        <v>0</v>
      </c>
      <c r="J49" s="19"/>
      <c r="L49" s="4"/>
      <c r="M49" s="4"/>
    </row>
    <row r="50" spans="1:13" ht="13.5" hidden="1" outlineLevel="2" thickBot="1">
      <c r="A50" s="4" t="str">
        <f t="shared" si="2"/>
        <v>O&amp;M Mobilization BudgetOperating ExpensesOutside Services</v>
      </c>
      <c r="B50" s="4" t="s">
        <v>1340</v>
      </c>
      <c r="C50" s="4" t="s">
        <v>1341</v>
      </c>
      <c r="D50" s="4" t="s">
        <v>698</v>
      </c>
      <c r="E50" s="83" t="s">
        <v>1393</v>
      </c>
      <c r="F50" s="23" t="s">
        <v>1394</v>
      </c>
      <c r="G50" s="65"/>
      <c r="H50" s="19"/>
      <c r="I50" s="19">
        <f t="shared" si="3"/>
        <v>0</v>
      </c>
      <c r="J50" s="19"/>
      <c r="L50" s="4"/>
      <c r="M50" s="4"/>
    </row>
    <row r="51" spans="1:13" ht="13.5" hidden="1" outlineLevel="2" thickBot="1">
      <c r="A51" s="4" t="str">
        <f t="shared" si="2"/>
        <v>O&amp;M Mobilization BudgetOperating ExpensesOutside Services</v>
      </c>
      <c r="B51" s="4" t="s">
        <v>1340</v>
      </c>
      <c r="C51" s="4" t="s">
        <v>1341</v>
      </c>
      <c r="D51" s="4" t="s">
        <v>698</v>
      </c>
      <c r="E51" s="83" t="s">
        <v>1395</v>
      </c>
      <c r="F51" s="23" t="s">
        <v>1396</v>
      </c>
      <c r="G51" s="65"/>
      <c r="H51" s="19"/>
      <c r="I51" s="19">
        <f t="shared" si="3"/>
        <v>0</v>
      </c>
      <c r="J51" s="19"/>
      <c r="L51" s="4"/>
      <c r="M51" s="4"/>
    </row>
    <row r="52" spans="1:13" ht="13.5" hidden="1" outlineLevel="2" thickBot="1">
      <c r="A52" s="4" t="str">
        <f t="shared" si="2"/>
        <v>O&amp;M Mobilization BudgetOperating ExpensesOutside Services</v>
      </c>
      <c r="B52" s="4" t="s">
        <v>1340</v>
      </c>
      <c r="C52" s="4" t="s">
        <v>1341</v>
      </c>
      <c r="D52" s="4" t="s">
        <v>698</v>
      </c>
      <c r="E52" s="83" t="s">
        <v>1397</v>
      </c>
      <c r="F52" s="23"/>
      <c r="G52" s="65"/>
      <c r="H52" s="19"/>
      <c r="I52" s="19">
        <f t="shared" si="3"/>
        <v>0</v>
      </c>
      <c r="J52" s="19"/>
      <c r="L52" s="4"/>
      <c r="M52" s="4"/>
    </row>
    <row r="53" spans="1:13" ht="13.5" hidden="1" outlineLevel="2" thickBot="1">
      <c r="E53" s="83" t="s">
        <v>1398</v>
      </c>
      <c r="F53" s="23" t="s">
        <v>1399</v>
      </c>
      <c r="G53" s="65"/>
      <c r="H53" s="19">
        <v>0</v>
      </c>
      <c r="I53" s="19">
        <f t="shared" si="3"/>
        <v>0</v>
      </c>
      <c r="J53" s="19"/>
      <c r="L53" s="4"/>
      <c r="M53" s="4"/>
    </row>
    <row r="54" spans="1:13" ht="13.5" hidden="1" outlineLevel="2" thickBot="1">
      <c r="E54" s="83" t="s">
        <v>1400</v>
      </c>
      <c r="F54" s="23" t="s">
        <v>1394</v>
      </c>
      <c r="G54" s="65"/>
      <c r="H54" s="19"/>
      <c r="I54" s="19">
        <f t="shared" si="3"/>
        <v>0</v>
      </c>
      <c r="J54" s="19"/>
      <c r="L54" s="4"/>
      <c r="M54" s="4"/>
    </row>
    <row r="55" spans="1:13" ht="13.5" outlineLevel="2" thickBot="1">
      <c r="A55" s="4" t="str">
        <f t="shared" si="2"/>
        <v>O&amp;M Mobilization BudgetOperating ExpensesOutside Services</v>
      </c>
      <c r="B55" s="4" t="s">
        <v>1340</v>
      </c>
      <c r="C55" s="4" t="s">
        <v>1341</v>
      </c>
      <c r="D55" s="4" t="s">
        <v>698</v>
      </c>
      <c r="E55" s="83" t="s">
        <v>1401</v>
      </c>
      <c r="F55" s="23" t="s">
        <v>1402</v>
      </c>
      <c r="G55" s="65"/>
      <c r="H55" s="19">
        <f>80*125</f>
        <v>10000</v>
      </c>
      <c r="I55" s="19">
        <f t="shared" si="3"/>
        <v>0</v>
      </c>
      <c r="J55" s="19">
        <f t="shared" ref="J55:J62" si="4">H55</f>
        <v>10000</v>
      </c>
      <c r="L55" s="4"/>
      <c r="M55" s="4"/>
    </row>
    <row r="56" spans="1:13" ht="13.5" outlineLevel="2" thickBot="1">
      <c r="E56" s="83" t="s">
        <v>1403</v>
      </c>
      <c r="F56" s="23" t="s">
        <v>1404</v>
      </c>
      <c r="G56" s="65"/>
      <c r="H56" s="19">
        <f>80*75</f>
        <v>6000</v>
      </c>
      <c r="I56" s="19">
        <f t="shared" si="3"/>
        <v>0</v>
      </c>
      <c r="J56" s="19">
        <f t="shared" si="4"/>
        <v>6000</v>
      </c>
      <c r="L56" s="4"/>
      <c r="M56" s="4"/>
    </row>
    <row r="57" spans="1:13" ht="13.5" outlineLevel="2" thickBot="1">
      <c r="A57" s="4" t="str">
        <f t="shared" si="2"/>
        <v>O&amp;M Mobilization BudgetOperating ExpensesOutside Services</v>
      </c>
      <c r="B57" s="4" t="s">
        <v>1340</v>
      </c>
      <c r="C57" s="4" t="s">
        <v>1341</v>
      </c>
      <c r="D57" s="4" t="s">
        <v>698</v>
      </c>
      <c r="E57" s="83" t="s">
        <v>1405</v>
      </c>
      <c r="F57" s="23" t="s">
        <v>330</v>
      </c>
      <c r="G57" s="65"/>
      <c r="H57" s="19">
        <f>160*75+2*1000+30*150</f>
        <v>18500</v>
      </c>
      <c r="I57" s="19">
        <f t="shared" si="3"/>
        <v>0</v>
      </c>
      <c r="J57" s="19">
        <f t="shared" si="4"/>
        <v>18500</v>
      </c>
      <c r="L57" s="4"/>
      <c r="M57" s="4"/>
    </row>
    <row r="58" spans="1:13" ht="13.5" outlineLevel="2" thickBot="1">
      <c r="A58" s="4" t="str">
        <f t="shared" si="2"/>
        <v>O&amp;M Mobilization BudgetOperating ExpensesOutside Services</v>
      </c>
      <c r="B58" s="4" t="s">
        <v>1340</v>
      </c>
      <c r="C58" s="4" t="s">
        <v>1341</v>
      </c>
      <c r="D58" s="4" t="s">
        <v>698</v>
      </c>
      <c r="E58" s="83" t="s">
        <v>1406</v>
      </c>
      <c r="F58" s="23" t="s">
        <v>1407</v>
      </c>
      <c r="G58" s="65"/>
      <c r="H58" s="19">
        <f>80*75+2*3000+15*150</f>
        <v>14250</v>
      </c>
      <c r="I58" s="19">
        <f t="shared" si="3"/>
        <v>0</v>
      </c>
      <c r="J58" s="19">
        <f t="shared" si="4"/>
        <v>14250</v>
      </c>
      <c r="L58" s="4"/>
      <c r="M58" s="4"/>
    </row>
    <row r="59" spans="1:13" ht="13.5" outlineLevel="2" thickBot="1">
      <c r="A59" s="4" t="str">
        <f t="shared" si="2"/>
        <v>O&amp;M Mobilization BudgetOperating ExpensesOutside Services</v>
      </c>
      <c r="B59" s="4" t="s">
        <v>1340</v>
      </c>
      <c r="C59" s="4" t="s">
        <v>1341</v>
      </c>
      <c r="D59" s="4" t="s">
        <v>698</v>
      </c>
      <c r="E59" s="83" t="s">
        <v>1408</v>
      </c>
      <c r="F59" s="23" t="s">
        <v>1409</v>
      </c>
      <c r="G59" s="65"/>
      <c r="H59" s="19">
        <f>80*75+3000+7*150</f>
        <v>10050</v>
      </c>
      <c r="I59" s="19">
        <f t="shared" si="3"/>
        <v>0</v>
      </c>
      <c r="J59" s="19">
        <f t="shared" si="4"/>
        <v>10050</v>
      </c>
      <c r="L59" s="4"/>
      <c r="M59" s="4"/>
    </row>
    <row r="60" spans="1:13" ht="13.5" outlineLevel="2" thickBot="1">
      <c r="E60" s="83" t="s">
        <v>1410</v>
      </c>
      <c r="F60" s="23" t="s">
        <v>1411</v>
      </c>
      <c r="G60" s="65"/>
      <c r="H60" s="19">
        <f>120*75+2*3000+14*150</f>
        <v>17100</v>
      </c>
      <c r="I60" s="19">
        <f t="shared" si="3"/>
        <v>0</v>
      </c>
      <c r="J60" s="19">
        <f t="shared" si="4"/>
        <v>17100</v>
      </c>
      <c r="L60" s="4"/>
      <c r="M60" s="4"/>
    </row>
    <row r="61" spans="1:13" ht="13.5" hidden="1" outlineLevel="2" thickBot="1">
      <c r="A61" s="4" t="str">
        <f t="shared" si="2"/>
        <v>O&amp;M Mobilization BudgetOperating ExpensesOutside Services</v>
      </c>
      <c r="B61" s="4" t="s">
        <v>1340</v>
      </c>
      <c r="C61" s="4" t="s">
        <v>1341</v>
      </c>
      <c r="D61" s="4" t="s">
        <v>698</v>
      </c>
      <c r="E61" s="83" t="s">
        <v>1412</v>
      </c>
      <c r="F61" s="23" t="s">
        <v>1413</v>
      </c>
      <c r="G61" s="65"/>
      <c r="H61" s="19">
        <v>0</v>
      </c>
      <c r="I61" s="19">
        <f t="shared" si="3"/>
        <v>0</v>
      </c>
      <c r="J61" s="19">
        <f t="shared" si="4"/>
        <v>0</v>
      </c>
      <c r="L61" s="4"/>
      <c r="M61" s="4"/>
    </row>
    <row r="62" spans="1:13" ht="13.5" hidden="1" outlineLevel="2" thickBot="1">
      <c r="E62" s="83" t="s">
        <v>1414</v>
      </c>
      <c r="F62" s="23" t="s">
        <v>1415</v>
      </c>
      <c r="G62" s="65"/>
      <c r="H62" s="19">
        <v>0</v>
      </c>
      <c r="I62" s="19">
        <f t="shared" si="3"/>
        <v>0</v>
      </c>
      <c r="J62" s="19">
        <f t="shared" si="4"/>
        <v>0</v>
      </c>
      <c r="L62" s="4"/>
      <c r="M62" s="4"/>
    </row>
    <row r="63" spans="1:13" ht="13.5" hidden="1" outlineLevel="2" thickBot="1">
      <c r="E63" s="83" t="s">
        <v>1416</v>
      </c>
      <c r="F63" s="23" t="s">
        <v>1389</v>
      </c>
      <c r="G63" s="65"/>
      <c r="H63" s="19">
        <v>0</v>
      </c>
      <c r="I63" s="19">
        <f t="shared" si="3"/>
        <v>0</v>
      </c>
      <c r="J63" s="19"/>
      <c r="L63" s="4"/>
      <c r="M63" s="4"/>
    </row>
    <row r="64" spans="1:13" ht="13.5" hidden="1" outlineLevel="2" thickBot="1">
      <c r="E64" s="83" t="s">
        <v>1417</v>
      </c>
      <c r="F64" s="23" t="s">
        <v>1389</v>
      </c>
      <c r="G64" s="65"/>
      <c r="H64" s="19">
        <v>0</v>
      </c>
      <c r="I64" s="19">
        <f t="shared" si="3"/>
        <v>0</v>
      </c>
      <c r="J64" s="19"/>
      <c r="L64" s="4"/>
      <c r="M64" s="4"/>
    </row>
    <row r="65" spans="1:13" ht="13.5" hidden="1" outlineLevel="2" thickBot="1">
      <c r="E65" s="83" t="s">
        <v>1418</v>
      </c>
      <c r="F65" s="23"/>
      <c r="G65" s="65"/>
      <c r="H65" s="19">
        <v>0</v>
      </c>
      <c r="I65" s="19">
        <f t="shared" si="3"/>
        <v>0</v>
      </c>
      <c r="J65" s="19"/>
      <c r="L65" s="4"/>
      <c r="M65" s="4"/>
    </row>
    <row r="66" spans="1:13" ht="13.5" outlineLevel="2" thickBot="1">
      <c r="A66" s="4" t="str">
        <f>B66&amp;C66&amp;D66</f>
        <v>O&amp;M Mobilization BudgetOperating ExpensesOutside Services</v>
      </c>
      <c r="B66" s="4" t="s">
        <v>1340</v>
      </c>
      <c r="C66" s="4" t="s">
        <v>1341</v>
      </c>
      <c r="D66" s="4" t="s">
        <v>698</v>
      </c>
      <c r="E66" s="83" t="s">
        <v>1419</v>
      </c>
      <c r="F66" s="23"/>
      <c r="G66" s="65"/>
      <c r="H66" s="19">
        <v>2000</v>
      </c>
      <c r="I66" s="19">
        <f t="shared" si="3"/>
        <v>2000</v>
      </c>
      <c r="J66" s="19"/>
      <c r="L66" s="4"/>
      <c r="M66" s="4"/>
    </row>
    <row r="67" spans="1:13" ht="13.5" outlineLevel="2" thickBot="1">
      <c r="E67" s="83"/>
      <c r="F67" s="23"/>
      <c r="G67" s="65"/>
      <c r="H67" s="19"/>
      <c r="I67" s="19"/>
      <c r="J67" s="19"/>
      <c r="L67" s="4"/>
      <c r="M67" s="4"/>
    </row>
    <row r="68" spans="1:13" s="20" customFormat="1" ht="13.5" outlineLevel="1" thickBot="1">
      <c r="A68" s="20" t="s">
        <v>1420</v>
      </c>
      <c r="B68" s="20" t="s">
        <v>1340</v>
      </c>
      <c r="C68" s="20" t="s">
        <v>1341</v>
      </c>
      <c r="D68" s="20" t="s">
        <v>698</v>
      </c>
      <c r="E68" s="83" t="s">
        <v>1421</v>
      </c>
      <c r="F68" s="23"/>
      <c r="G68" s="85" t="s">
        <v>1360</v>
      </c>
      <c r="H68" s="86">
        <v>25000</v>
      </c>
      <c r="I68" s="86">
        <f>SUBTOTAL(9,I45:I67)</f>
        <v>2000</v>
      </c>
      <c r="J68" s="86">
        <f>SUBTOTAL(9,J45:J67)</f>
        <v>75900</v>
      </c>
    </row>
    <row r="69" spans="1:13" s="20" customFormat="1" ht="13.5" outlineLevel="1" thickBot="1">
      <c r="A69" s="4" t="s">
        <v>1439</v>
      </c>
      <c r="B69" s="4" t="s">
        <v>1340</v>
      </c>
      <c r="C69" s="4" t="s">
        <v>1341</v>
      </c>
      <c r="D69" s="4" t="s">
        <v>699</v>
      </c>
      <c r="E69" s="158" t="s">
        <v>699</v>
      </c>
      <c r="F69" s="144"/>
      <c r="G69" s="145"/>
      <c r="H69" s="87"/>
      <c r="I69" s="87"/>
      <c r="J69" s="87"/>
    </row>
    <row r="70" spans="1:13" ht="13.5" outlineLevel="2" thickBot="1">
      <c r="E70" s="83" t="s">
        <v>1440</v>
      </c>
      <c r="F70" s="23" t="s">
        <v>446</v>
      </c>
      <c r="G70" s="65"/>
      <c r="H70" s="19">
        <f>9*100</f>
        <v>900</v>
      </c>
      <c r="I70" s="19">
        <f t="shared" ref="I70:I77" si="5">H70-J70</f>
        <v>900</v>
      </c>
      <c r="J70" s="19"/>
      <c r="L70" s="4"/>
      <c r="M70" s="4"/>
    </row>
    <row r="71" spans="1:13" ht="13.5" outlineLevel="2" thickBot="1">
      <c r="A71" s="4" t="str">
        <f>B71&amp;C71&amp;D71</f>
        <v>O&amp;M Mobilization BudgetOperating ExpensesOther Supplies &amp; Expenses</v>
      </c>
      <c r="B71" s="4" t="s">
        <v>1340</v>
      </c>
      <c r="C71" s="4" t="s">
        <v>1341</v>
      </c>
      <c r="D71" s="4" t="s">
        <v>699</v>
      </c>
      <c r="E71" s="83" t="s">
        <v>1441</v>
      </c>
      <c r="F71" s="23" t="s">
        <v>447</v>
      </c>
      <c r="G71" s="65"/>
      <c r="H71" s="19">
        <f>9*200</f>
        <v>1800</v>
      </c>
      <c r="I71" s="19">
        <f t="shared" si="5"/>
        <v>1800</v>
      </c>
      <c r="J71" s="19"/>
      <c r="L71" s="4"/>
      <c r="M71" s="4"/>
    </row>
    <row r="72" spans="1:13" ht="13.5" outlineLevel="2" thickBot="1">
      <c r="A72" s="4" t="str">
        <f>B72&amp;C72&amp;D72</f>
        <v>O&amp;M Mobilization BudgetOperating ExpensesOther Supplies &amp; Expenses</v>
      </c>
      <c r="B72" s="4" t="s">
        <v>1340</v>
      </c>
      <c r="C72" s="4" t="s">
        <v>1341</v>
      </c>
      <c r="D72" s="4" t="s">
        <v>699</v>
      </c>
      <c r="E72" s="83" t="s">
        <v>1442</v>
      </c>
      <c r="F72" s="23" t="s">
        <v>448</v>
      </c>
      <c r="G72" s="65"/>
      <c r="H72" s="19">
        <f>5*100*9</f>
        <v>4500</v>
      </c>
      <c r="I72" s="19">
        <f t="shared" si="5"/>
        <v>4500</v>
      </c>
      <c r="J72" s="19"/>
      <c r="L72" s="4"/>
      <c r="M72" s="4"/>
    </row>
    <row r="73" spans="1:13" ht="13.5" outlineLevel="2" thickBot="1">
      <c r="A73" s="4" t="str">
        <f>B73&amp;C73&amp;D73</f>
        <v>O&amp;M Mobilization BudgetOperating ExpensesOther Supplies &amp; Expenses</v>
      </c>
      <c r="B73" s="4" t="s">
        <v>1340</v>
      </c>
      <c r="C73" s="4" t="s">
        <v>1341</v>
      </c>
      <c r="D73" s="4" t="s">
        <v>699</v>
      </c>
      <c r="E73" s="83" t="s">
        <v>1443</v>
      </c>
      <c r="F73" s="23" t="s">
        <v>1444</v>
      </c>
      <c r="G73" s="65"/>
      <c r="H73" s="19">
        <f>2*40*60</f>
        <v>4800</v>
      </c>
      <c r="I73" s="19">
        <f t="shared" si="5"/>
        <v>4800</v>
      </c>
      <c r="J73" s="19"/>
      <c r="L73" s="4"/>
      <c r="M73" s="4"/>
    </row>
    <row r="74" spans="1:13" ht="13.5" outlineLevel="2" thickBot="1">
      <c r="A74" s="4" t="str">
        <f>B74&amp;C74&amp;D74</f>
        <v>O&amp;M Mobilization BudgetOperating ExpensesOther Supplies &amp; Expenses</v>
      </c>
      <c r="B74" s="4" t="s">
        <v>1340</v>
      </c>
      <c r="C74" s="4" t="s">
        <v>1341</v>
      </c>
      <c r="D74" s="4" t="s">
        <v>699</v>
      </c>
      <c r="E74" s="83" t="s">
        <v>1445</v>
      </c>
      <c r="F74" s="23"/>
      <c r="G74" s="65"/>
      <c r="H74" s="19">
        <v>1000</v>
      </c>
      <c r="I74" s="19">
        <f t="shared" si="5"/>
        <v>1000</v>
      </c>
      <c r="J74" s="19"/>
      <c r="L74" s="4"/>
      <c r="M74" s="4"/>
    </row>
    <row r="75" spans="1:13" ht="13.5" outlineLevel="2" thickBot="1">
      <c r="A75" s="4" t="str">
        <f>B75&amp;C75&amp;D75</f>
        <v>O&amp;M Mobilization BudgetOperating ExpensesOther Supplies &amp; Expenses</v>
      </c>
      <c r="B75" s="4" t="s">
        <v>1340</v>
      </c>
      <c r="C75" s="4" t="s">
        <v>1341</v>
      </c>
      <c r="D75" s="4" t="s">
        <v>699</v>
      </c>
      <c r="E75" s="83" t="s">
        <v>1446</v>
      </c>
      <c r="F75" s="23" t="s">
        <v>445</v>
      </c>
      <c r="G75" s="65"/>
      <c r="H75" s="19">
        <f>9*750</f>
        <v>6750</v>
      </c>
      <c r="I75" s="19">
        <f t="shared" si="5"/>
        <v>6750</v>
      </c>
      <c r="J75" s="19"/>
      <c r="L75" s="4"/>
      <c r="M75" s="4"/>
    </row>
    <row r="76" spans="1:13" ht="13.5" outlineLevel="2" thickBot="1">
      <c r="E76" s="83" t="s">
        <v>1447</v>
      </c>
      <c r="F76" s="23" t="s">
        <v>1448</v>
      </c>
      <c r="G76" s="65"/>
      <c r="H76" s="19">
        <f>0.5*'O&amp;M_Backup'!D86</f>
        <v>0</v>
      </c>
      <c r="I76" s="19">
        <f t="shared" si="5"/>
        <v>0</v>
      </c>
      <c r="J76" s="19"/>
      <c r="L76" s="4"/>
      <c r="M76" s="4"/>
    </row>
    <row r="77" spans="1:13" ht="13.5" outlineLevel="2" thickBot="1">
      <c r="E77" s="83" t="s">
        <v>1474</v>
      </c>
      <c r="F77" s="23" t="s">
        <v>1475</v>
      </c>
      <c r="G77" s="65"/>
      <c r="H77" s="19">
        <f>500*8</f>
        <v>4000</v>
      </c>
      <c r="I77" s="19">
        <f t="shared" si="5"/>
        <v>4000</v>
      </c>
      <c r="J77" s="19"/>
      <c r="L77" s="4"/>
      <c r="M77" s="4"/>
    </row>
    <row r="78" spans="1:13" ht="13.5" outlineLevel="2" thickBot="1">
      <c r="E78" s="83"/>
      <c r="F78" s="23"/>
      <c r="G78" s="65"/>
      <c r="H78" s="19"/>
      <c r="I78" s="19"/>
      <c r="J78" s="19"/>
      <c r="L78" s="4"/>
      <c r="M78" s="4"/>
    </row>
    <row r="79" spans="1:13" s="20" customFormat="1" ht="13.5" outlineLevel="1" thickBot="1">
      <c r="A79" s="20" t="s">
        <v>1476</v>
      </c>
      <c r="B79" s="20" t="s">
        <v>1340</v>
      </c>
      <c r="C79" s="20" t="s">
        <v>1341</v>
      </c>
      <c r="D79" s="20" t="s">
        <v>699</v>
      </c>
      <c r="E79" s="83" t="s">
        <v>1019</v>
      </c>
      <c r="F79" s="23"/>
      <c r="G79" s="85" t="s">
        <v>1360</v>
      </c>
      <c r="H79" s="86">
        <f>SUBTOTAL(9,H70:H78)</f>
        <v>23750</v>
      </c>
      <c r="I79" s="86">
        <f>SUBTOTAL(9,I70:I78)</f>
        <v>23750</v>
      </c>
      <c r="J79" s="86">
        <f>SUBTOTAL(9,J70:J78)</f>
        <v>0</v>
      </c>
    </row>
    <row r="80" spans="1:13" s="20" customFormat="1" ht="13.5" outlineLevel="1" thickBot="1">
      <c r="A80" s="4" t="s">
        <v>1477</v>
      </c>
      <c r="B80" s="4" t="s">
        <v>1340</v>
      </c>
      <c r="C80" s="4" t="s">
        <v>1341</v>
      </c>
      <c r="D80" s="4" t="s">
        <v>700</v>
      </c>
      <c r="E80" s="158" t="s">
        <v>700</v>
      </c>
      <c r="F80" s="144"/>
      <c r="G80" s="145"/>
      <c r="H80" s="87"/>
      <c r="I80" s="87"/>
      <c r="J80" s="87"/>
    </row>
    <row r="81" spans="1:13" ht="13.5" outlineLevel="2" thickBot="1">
      <c r="A81" s="4" t="str">
        <f>B81&amp;C81&amp;D81</f>
        <v>O&amp;M Mobilization BudgetOperating ExpensesCommunications</v>
      </c>
      <c r="B81" s="4" t="s">
        <v>1340</v>
      </c>
      <c r="C81" s="4" t="s">
        <v>1341</v>
      </c>
      <c r="D81" s="4" t="s">
        <v>700</v>
      </c>
      <c r="E81" s="83" t="s">
        <v>326</v>
      </c>
      <c r="F81" s="23" t="s">
        <v>327</v>
      </c>
      <c r="G81" s="65"/>
      <c r="H81" s="19">
        <f>9*1000</f>
        <v>9000</v>
      </c>
      <c r="I81" s="19">
        <f>H81-J81</f>
        <v>9000</v>
      </c>
      <c r="J81" s="19"/>
      <c r="L81" s="4"/>
      <c r="M81" s="4"/>
    </row>
    <row r="82" spans="1:13" ht="13.5" outlineLevel="2" thickBot="1">
      <c r="A82" s="4" t="str">
        <f>B82&amp;C82&amp;D82</f>
        <v>O&amp;M Mobilization BudgetOperating ExpensesCommunications</v>
      </c>
      <c r="B82" s="4" t="s">
        <v>1340</v>
      </c>
      <c r="C82" s="4" t="s">
        <v>1341</v>
      </c>
      <c r="D82" s="4" t="s">
        <v>700</v>
      </c>
      <c r="E82" s="83" t="s">
        <v>1478</v>
      </c>
      <c r="F82" s="23" t="s">
        <v>328</v>
      </c>
      <c r="G82" s="65"/>
      <c r="H82" s="19">
        <f>1*9*150</f>
        <v>1350</v>
      </c>
      <c r="I82" s="19">
        <f>H82-J82</f>
        <v>1350</v>
      </c>
      <c r="J82" s="19"/>
      <c r="L82" s="4"/>
      <c r="M82" s="4"/>
    </row>
    <row r="83" spans="1:13" ht="13.5" outlineLevel="2" thickBot="1">
      <c r="A83" s="4" t="str">
        <f>B83&amp;C83&amp;D83</f>
        <v>O&amp;M Mobilization BudgetOperating ExpensesCommunications</v>
      </c>
      <c r="B83" s="4" t="s">
        <v>1340</v>
      </c>
      <c r="C83" s="4" t="s">
        <v>1341</v>
      </c>
      <c r="D83" s="4" t="s">
        <v>700</v>
      </c>
      <c r="E83" s="83"/>
      <c r="F83" s="23" t="s">
        <v>329</v>
      </c>
      <c r="G83" s="65"/>
      <c r="H83" s="19">
        <f>1*50</f>
        <v>50</v>
      </c>
      <c r="I83" s="19">
        <f>H83-J83</f>
        <v>50</v>
      </c>
      <c r="J83" s="19"/>
      <c r="L83" s="4"/>
      <c r="M83" s="4"/>
    </row>
    <row r="84" spans="1:13" ht="13.5" outlineLevel="2" thickBot="1">
      <c r="E84" s="83"/>
      <c r="F84" s="23"/>
      <c r="G84" s="65"/>
      <c r="H84" s="19"/>
      <c r="I84" s="19"/>
      <c r="J84" s="19"/>
      <c r="L84" s="4"/>
      <c r="M84" s="4"/>
    </row>
    <row r="85" spans="1:13" s="20" customFormat="1" ht="13.5" outlineLevel="1" thickBot="1">
      <c r="A85" s="20" t="s">
        <v>1479</v>
      </c>
      <c r="B85" s="20" t="s">
        <v>1340</v>
      </c>
      <c r="C85" s="20" t="s">
        <v>1341</v>
      </c>
      <c r="D85" s="20" t="s">
        <v>700</v>
      </c>
      <c r="E85" s="83" t="s">
        <v>1019</v>
      </c>
      <c r="F85" s="23"/>
      <c r="G85" s="85" t="s">
        <v>1360</v>
      </c>
      <c r="H85" s="86">
        <f>SUBTOTAL(9,H81:H83)</f>
        <v>10400</v>
      </c>
      <c r="I85" s="86">
        <f>SUBTOTAL(9,I81:I83)</f>
        <v>10400</v>
      </c>
      <c r="J85" s="86">
        <f>SUBTOTAL(9,J81:J83)</f>
        <v>0</v>
      </c>
    </row>
    <row r="86" spans="1:13" s="20" customFormat="1" ht="13.5" outlineLevel="1" thickBot="1">
      <c r="A86" s="4" t="s">
        <v>1480</v>
      </c>
      <c r="B86" s="4" t="s">
        <v>1340</v>
      </c>
      <c r="C86" s="4" t="s">
        <v>1341</v>
      </c>
      <c r="D86" s="4" t="s">
        <v>1481</v>
      </c>
      <c r="E86" s="158" t="s">
        <v>701</v>
      </c>
      <c r="F86" s="144"/>
      <c r="G86" s="145"/>
      <c r="H86" s="87"/>
      <c r="I86" s="87"/>
      <c r="J86" s="87"/>
    </row>
    <row r="87" spans="1:13" ht="13.5" hidden="1" outlineLevel="2" thickBot="1">
      <c r="A87" s="4" t="str">
        <f>B87&amp;C87&amp;D87</f>
        <v>O&amp;M Mobilization BudgetOperating ExpensesMiscellaneous Office Expenses</v>
      </c>
      <c r="B87" s="4" t="s">
        <v>1340</v>
      </c>
      <c r="C87" s="4" t="s">
        <v>1341</v>
      </c>
      <c r="D87" s="4" t="s">
        <v>1481</v>
      </c>
      <c r="E87" s="83" t="s">
        <v>1482</v>
      </c>
      <c r="F87" s="23" t="s">
        <v>1483</v>
      </c>
      <c r="G87" s="65"/>
      <c r="H87" s="19">
        <v>0</v>
      </c>
      <c r="I87" s="19">
        <f>H87-J87</f>
        <v>0</v>
      </c>
      <c r="J87" s="19"/>
      <c r="L87" s="4"/>
      <c r="M87" s="4"/>
    </row>
    <row r="88" spans="1:13" ht="13.5" outlineLevel="2" thickBot="1">
      <c r="A88" s="4" t="str">
        <f>B88&amp;C88&amp;D88</f>
        <v>O&amp;M Mobilization BudgetOperating ExpensesMiscellaneous Office Expenses</v>
      </c>
      <c r="B88" s="4" t="s">
        <v>1340</v>
      </c>
      <c r="C88" s="4" t="s">
        <v>1341</v>
      </c>
      <c r="D88" s="4" t="s">
        <v>1481</v>
      </c>
      <c r="E88" s="83" t="s">
        <v>1484</v>
      </c>
      <c r="F88" s="23" t="s">
        <v>1485</v>
      </c>
      <c r="G88" s="65"/>
      <c r="H88" s="19">
        <f>3*6*600</f>
        <v>10800</v>
      </c>
      <c r="I88" s="19">
        <f>H88-J88</f>
        <v>10800</v>
      </c>
      <c r="J88" s="19"/>
      <c r="L88" s="4"/>
      <c r="M88" s="4"/>
    </row>
    <row r="89" spans="1:13" ht="13.5" outlineLevel="2" thickBot="1">
      <c r="A89" s="4" t="str">
        <f>B89&amp;C89&amp;D89</f>
        <v>O&amp;M Mobilization BudgetOperating ExpensesMiscellaneous Office Expenses</v>
      </c>
      <c r="B89" s="4" t="s">
        <v>1340</v>
      </c>
      <c r="C89" s="4" t="s">
        <v>1341</v>
      </c>
      <c r="D89" s="4" t="s">
        <v>1481</v>
      </c>
      <c r="E89" s="83" t="s">
        <v>1486</v>
      </c>
      <c r="F89" s="23" t="s">
        <v>1487</v>
      </c>
      <c r="G89" s="65"/>
      <c r="H89" s="19">
        <f>5*6*100</f>
        <v>3000</v>
      </c>
      <c r="I89" s="19">
        <f>H89-J89</f>
        <v>3000</v>
      </c>
      <c r="J89" s="19"/>
      <c r="L89" s="4"/>
      <c r="M89" s="4"/>
    </row>
    <row r="90" spans="1:13" ht="13.5" outlineLevel="2" thickBot="1">
      <c r="A90" s="4" t="str">
        <f>B90&amp;C90&amp;D90</f>
        <v>O&amp;M Mobilization BudgetOperating ExpensesMiscellaneous Office Expenses</v>
      </c>
      <c r="B90" s="4" t="s">
        <v>1340</v>
      </c>
      <c r="C90" s="4" t="s">
        <v>1341</v>
      </c>
      <c r="D90" s="4" t="s">
        <v>1481</v>
      </c>
      <c r="E90" s="83" t="s">
        <v>1488</v>
      </c>
      <c r="G90" s="65"/>
      <c r="H90" s="19">
        <v>5000</v>
      </c>
      <c r="I90" s="19">
        <f>H90-J90</f>
        <v>5000</v>
      </c>
      <c r="J90" s="19"/>
      <c r="L90" s="4"/>
      <c r="M90" s="4"/>
    </row>
    <row r="91" spans="1:13" ht="13.5" hidden="1" outlineLevel="2" thickBot="1">
      <c r="E91" s="83" t="s">
        <v>1489</v>
      </c>
      <c r="F91" s="4" t="s">
        <v>1490</v>
      </c>
      <c r="G91" s="65"/>
      <c r="H91" s="19"/>
      <c r="I91" s="19">
        <f>H91-J91</f>
        <v>0</v>
      </c>
      <c r="J91" s="19"/>
      <c r="L91" s="4"/>
      <c r="M91" s="4"/>
    </row>
    <row r="92" spans="1:13" ht="13.5" hidden="1" outlineLevel="2" thickBot="1">
      <c r="E92" s="83"/>
      <c r="F92" s="23" t="s">
        <v>1491</v>
      </c>
      <c r="G92" s="65"/>
      <c r="H92" s="19"/>
      <c r="I92" s="19"/>
      <c r="J92" s="19"/>
      <c r="L92" s="4"/>
      <c r="M92" s="4"/>
    </row>
    <row r="93" spans="1:13" s="20" customFormat="1" ht="13.5" outlineLevel="1" collapsed="1" thickBot="1">
      <c r="A93" s="20" t="s">
        <v>1492</v>
      </c>
      <c r="B93" s="20" t="s">
        <v>1340</v>
      </c>
      <c r="C93" s="20" t="s">
        <v>1341</v>
      </c>
      <c r="D93" s="20" t="s">
        <v>1481</v>
      </c>
      <c r="E93" s="83"/>
      <c r="F93" s="23"/>
      <c r="G93" s="85" t="s">
        <v>1360</v>
      </c>
      <c r="H93" s="86">
        <f>SUBTOTAL(9,H87:H91)</f>
        <v>18800</v>
      </c>
      <c r="I93" s="86">
        <f>SUBTOTAL(9,I87:I91)</f>
        <v>18800</v>
      </c>
      <c r="J93" s="86">
        <f>SUBTOTAL(9,J87:J91)</f>
        <v>0</v>
      </c>
    </row>
    <row r="94" spans="1:13" s="20" customFormat="1" ht="13.5" outlineLevel="1" thickBot="1">
      <c r="A94" s="4" t="s">
        <v>1493</v>
      </c>
      <c r="B94" s="4" t="s">
        <v>1340</v>
      </c>
      <c r="C94" s="4" t="s">
        <v>1341</v>
      </c>
      <c r="D94" s="4" t="s">
        <v>702</v>
      </c>
      <c r="E94" s="158" t="s">
        <v>702</v>
      </c>
      <c r="F94" s="144"/>
      <c r="G94" s="145"/>
      <c r="H94" s="87"/>
      <c r="I94" s="87"/>
      <c r="J94" s="87"/>
    </row>
    <row r="95" spans="1:13" ht="13.5" outlineLevel="2" thickBot="1">
      <c r="A95" s="4" t="str">
        <f t="shared" ref="A95:A108" si="6">B95&amp;C95&amp;D95</f>
        <v>O&amp;M Mobilization BudgetOperating ExpensesTraining</v>
      </c>
      <c r="B95" s="4" t="s">
        <v>1340</v>
      </c>
      <c r="C95" s="4" t="s">
        <v>1341</v>
      </c>
      <c r="D95" s="4" t="s">
        <v>702</v>
      </c>
      <c r="E95" s="83" t="s">
        <v>1494</v>
      </c>
      <c r="F95" s="23" t="s">
        <v>1495</v>
      </c>
      <c r="G95" s="65"/>
      <c r="H95" s="19">
        <f>Training!$F$51</f>
        <v>131827.5</v>
      </c>
      <c r="I95" s="19">
        <f>H95-J95</f>
        <v>0</v>
      </c>
      <c r="J95" s="19">
        <f>H95</f>
        <v>131827.5</v>
      </c>
      <c r="L95" s="4"/>
      <c r="M95" s="4"/>
    </row>
    <row r="96" spans="1:13" ht="13.5" hidden="1" outlineLevel="2" thickBot="1">
      <c r="A96" s="4" t="str">
        <f t="shared" si="6"/>
        <v>O&amp;M Mobilization BudgetOperating ExpensesTraining</v>
      </c>
      <c r="B96" s="4" t="s">
        <v>1340</v>
      </c>
      <c r="C96" s="4" t="s">
        <v>1341</v>
      </c>
      <c r="D96" s="4" t="s">
        <v>702</v>
      </c>
      <c r="E96" s="83" t="s">
        <v>1496</v>
      </c>
      <c r="F96" s="23"/>
      <c r="G96" s="65"/>
      <c r="H96" s="19"/>
      <c r="I96" s="19"/>
      <c r="J96" s="19"/>
      <c r="L96" s="4"/>
      <c r="M96" s="4"/>
    </row>
    <row r="97" spans="1:13" ht="13.5" hidden="1" outlineLevel="2" thickBot="1">
      <c r="A97" s="4" t="str">
        <f t="shared" si="6"/>
        <v>O&amp;M Mobilization BudgetOperating ExpensesTraining</v>
      </c>
      <c r="B97" s="4" t="s">
        <v>1340</v>
      </c>
      <c r="C97" s="4" t="s">
        <v>1341</v>
      </c>
      <c r="D97" s="4" t="s">
        <v>702</v>
      </c>
      <c r="E97" s="83" t="s">
        <v>1497</v>
      </c>
      <c r="F97" s="23"/>
      <c r="G97" s="65"/>
      <c r="H97" s="19"/>
      <c r="I97" s="19"/>
      <c r="J97" s="19"/>
      <c r="L97" s="4"/>
      <c r="M97" s="4"/>
    </row>
    <row r="98" spans="1:13" ht="13.5" hidden="1" outlineLevel="2" thickBot="1">
      <c r="A98" s="4" t="str">
        <f t="shared" si="6"/>
        <v>O&amp;M Mobilization BudgetOperating ExpensesTraining</v>
      </c>
      <c r="B98" s="4" t="s">
        <v>1340</v>
      </c>
      <c r="C98" s="4" t="s">
        <v>1341</v>
      </c>
      <c r="D98" s="4" t="s">
        <v>702</v>
      </c>
      <c r="E98" s="83" t="s">
        <v>1498</v>
      </c>
      <c r="F98" s="23"/>
      <c r="G98" s="65"/>
      <c r="H98" s="19"/>
      <c r="I98" s="19"/>
      <c r="J98" s="19"/>
      <c r="L98" s="4"/>
      <c r="M98" s="4"/>
    </row>
    <row r="99" spans="1:13" ht="13.5" hidden="1" outlineLevel="2" thickBot="1">
      <c r="A99" s="4" t="str">
        <f t="shared" si="6"/>
        <v>O&amp;M Mobilization BudgetOperating ExpensesTraining</v>
      </c>
      <c r="B99" s="4" t="s">
        <v>1340</v>
      </c>
      <c r="C99" s="4" t="s">
        <v>1341</v>
      </c>
      <c r="D99" s="4" t="s">
        <v>702</v>
      </c>
      <c r="E99" s="83" t="s">
        <v>1499</v>
      </c>
      <c r="F99" s="23"/>
      <c r="G99" s="65"/>
      <c r="H99" s="19"/>
      <c r="I99" s="19"/>
      <c r="J99" s="19"/>
      <c r="L99" s="4"/>
      <c r="M99" s="4"/>
    </row>
    <row r="100" spans="1:13" ht="13.5" hidden="1" outlineLevel="2" thickBot="1">
      <c r="A100" s="4" t="str">
        <f t="shared" si="6"/>
        <v>O&amp;M Mobilization BudgetOperating ExpensesTraining</v>
      </c>
      <c r="B100" s="4" t="s">
        <v>1340</v>
      </c>
      <c r="C100" s="4" t="s">
        <v>1341</v>
      </c>
      <c r="D100" s="4" t="s">
        <v>702</v>
      </c>
      <c r="E100" s="83" t="s">
        <v>1500</v>
      </c>
      <c r="F100" s="23"/>
      <c r="G100" s="65"/>
      <c r="H100" s="19"/>
      <c r="I100" s="19"/>
      <c r="J100" s="19"/>
      <c r="L100" s="4"/>
      <c r="M100" s="4"/>
    </row>
    <row r="101" spans="1:13" ht="13.5" hidden="1" outlineLevel="2" thickBot="1">
      <c r="A101" s="4" t="str">
        <f t="shared" si="6"/>
        <v>O&amp;M Mobilization BudgetOperating ExpensesTraining</v>
      </c>
      <c r="B101" s="4" t="s">
        <v>1340</v>
      </c>
      <c r="C101" s="4" t="s">
        <v>1341</v>
      </c>
      <c r="D101" s="4" t="s">
        <v>702</v>
      </c>
      <c r="E101" s="83" t="s">
        <v>1501</v>
      </c>
      <c r="F101" s="23"/>
      <c r="G101" s="65"/>
      <c r="H101" s="19"/>
      <c r="I101" s="19"/>
      <c r="J101" s="19"/>
      <c r="L101" s="4"/>
      <c r="M101" s="4"/>
    </row>
    <row r="102" spans="1:13" ht="13.5" hidden="1" outlineLevel="2" thickBot="1">
      <c r="A102" s="4" t="str">
        <f t="shared" si="6"/>
        <v>O&amp;M Mobilization BudgetOperating ExpensesTraining</v>
      </c>
      <c r="B102" s="4" t="s">
        <v>1340</v>
      </c>
      <c r="C102" s="4" t="s">
        <v>1341</v>
      </c>
      <c r="D102" s="4" t="s">
        <v>702</v>
      </c>
      <c r="E102" s="83" t="s">
        <v>1502</v>
      </c>
      <c r="F102" s="23"/>
      <c r="G102" s="65"/>
      <c r="H102" s="19"/>
      <c r="I102" s="19"/>
      <c r="J102" s="19"/>
      <c r="L102" s="4"/>
      <c r="M102" s="4"/>
    </row>
    <row r="103" spans="1:13" ht="13.5" hidden="1" outlineLevel="2" thickBot="1">
      <c r="A103" s="4" t="str">
        <f t="shared" si="6"/>
        <v>O&amp;M Mobilization BudgetOperating ExpensesTraining</v>
      </c>
      <c r="B103" s="4" t="s">
        <v>1340</v>
      </c>
      <c r="C103" s="4" t="s">
        <v>1341</v>
      </c>
      <c r="D103" s="4" t="s">
        <v>702</v>
      </c>
      <c r="E103" s="83" t="s">
        <v>1503</v>
      </c>
      <c r="F103" s="23"/>
      <c r="G103" s="65"/>
      <c r="H103" s="19"/>
      <c r="I103" s="19"/>
      <c r="J103" s="19"/>
      <c r="L103" s="4"/>
      <c r="M103" s="4"/>
    </row>
    <row r="104" spans="1:13" ht="13.5" hidden="1" outlineLevel="2" thickBot="1">
      <c r="A104" s="4" t="str">
        <f t="shared" si="6"/>
        <v>O&amp;M Mobilization BudgetOperating ExpensesTraining</v>
      </c>
      <c r="B104" s="4" t="s">
        <v>1340</v>
      </c>
      <c r="C104" s="4" t="s">
        <v>1341</v>
      </c>
      <c r="D104" s="4" t="s">
        <v>702</v>
      </c>
      <c r="E104" s="83" t="s">
        <v>1504</v>
      </c>
      <c r="F104" s="23"/>
      <c r="G104" s="65"/>
      <c r="H104" s="19"/>
      <c r="I104" s="19"/>
      <c r="J104" s="19"/>
      <c r="L104" s="4"/>
      <c r="M104" s="4"/>
    </row>
    <row r="105" spans="1:13" ht="13.5" hidden="1" outlineLevel="2" thickBot="1">
      <c r="A105" s="4" t="str">
        <f t="shared" si="6"/>
        <v>O&amp;M Mobilization BudgetOperating ExpensesTraining</v>
      </c>
      <c r="B105" s="4" t="s">
        <v>1340</v>
      </c>
      <c r="C105" s="4" t="s">
        <v>1341</v>
      </c>
      <c r="D105" s="4" t="s">
        <v>702</v>
      </c>
      <c r="E105" s="83" t="s">
        <v>1505</v>
      </c>
      <c r="F105" s="23"/>
      <c r="G105" s="65"/>
      <c r="H105" s="19"/>
      <c r="I105" s="19"/>
      <c r="J105" s="19"/>
      <c r="L105" s="4"/>
      <c r="M105" s="4"/>
    </row>
    <row r="106" spans="1:13" ht="13.5" hidden="1" outlineLevel="2" thickBot="1">
      <c r="A106" s="4" t="str">
        <f t="shared" si="6"/>
        <v>O&amp;M Mobilization BudgetOperating ExpensesTraining</v>
      </c>
      <c r="B106" s="4" t="s">
        <v>1340</v>
      </c>
      <c r="C106" s="4" t="s">
        <v>1341</v>
      </c>
      <c r="D106" s="4" t="s">
        <v>702</v>
      </c>
      <c r="E106" s="83" t="s">
        <v>1506</v>
      </c>
      <c r="F106" s="23"/>
      <c r="G106" s="65"/>
      <c r="H106" s="19"/>
      <c r="I106" s="19"/>
      <c r="J106" s="19"/>
      <c r="L106" s="4"/>
      <c r="M106" s="4"/>
    </row>
    <row r="107" spans="1:13" ht="13.5" hidden="1" customHeight="1" outlineLevel="2" thickBot="1">
      <c r="A107" s="4" t="str">
        <f t="shared" si="6"/>
        <v>O&amp;M Mobilization BudgetOperating ExpensesTraining</v>
      </c>
      <c r="B107" s="4" t="s">
        <v>1340</v>
      </c>
      <c r="C107" s="4" t="s">
        <v>1341</v>
      </c>
      <c r="D107" s="4" t="s">
        <v>702</v>
      </c>
      <c r="E107" s="83" t="s">
        <v>1507</v>
      </c>
      <c r="F107" s="23"/>
      <c r="G107" s="65"/>
      <c r="H107" s="19"/>
      <c r="I107" s="19"/>
      <c r="J107" s="19"/>
      <c r="L107" s="4"/>
      <c r="M107" s="4"/>
    </row>
    <row r="108" spans="1:13" ht="13.5" hidden="1" outlineLevel="2" thickBot="1">
      <c r="A108" s="4" t="str">
        <f t="shared" si="6"/>
        <v>O&amp;M Mobilization BudgetOperating ExpensesTraining</v>
      </c>
      <c r="B108" s="4" t="s">
        <v>1340</v>
      </c>
      <c r="C108" s="4" t="s">
        <v>1341</v>
      </c>
      <c r="D108" s="4" t="s">
        <v>702</v>
      </c>
      <c r="E108" s="83" t="s">
        <v>1508</v>
      </c>
      <c r="F108" s="23"/>
      <c r="G108" s="65"/>
      <c r="H108" s="19"/>
      <c r="I108" s="19"/>
      <c r="J108" s="19"/>
      <c r="L108" s="4"/>
      <c r="M108" s="4"/>
    </row>
    <row r="109" spans="1:13" ht="13.5" outlineLevel="2" thickBot="1">
      <c r="E109" s="83"/>
      <c r="F109" s="23"/>
      <c r="G109" s="65"/>
      <c r="H109" s="19"/>
      <c r="I109" s="19"/>
      <c r="J109" s="19"/>
      <c r="L109" s="4"/>
      <c r="M109" s="4"/>
    </row>
    <row r="110" spans="1:13" s="20" customFormat="1" ht="13.5" outlineLevel="1" thickBot="1">
      <c r="A110" s="20" t="s">
        <v>1509</v>
      </c>
      <c r="B110" s="20" t="s">
        <v>1340</v>
      </c>
      <c r="C110" s="20" t="s">
        <v>1341</v>
      </c>
      <c r="D110" s="20" t="s">
        <v>702</v>
      </c>
      <c r="E110" s="83" t="s">
        <v>444</v>
      </c>
      <c r="F110" s="23"/>
      <c r="G110" s="85" t="s">
        <v>1360</v>
      </c>
      <c r="H110" s="86">
        <f>SUBTOTAL(9,H95:H108)</f>
        <v>131827.5</v>
      </c>
      <c r="I110" s="86">
        <f>SUBTOTAL(9,I95:I108)</f>
        <v>0</v>
      </c>
      <c r="J110" s="86">
        <f>SUBTOTAL(9,J95:J108)</f>
        <v>131827.5</v>
      </c>
    </row>
    <row r="111" spans="1:13" s="20" customFormat="1" ht="13.5" outlineLevel="1" thickBot="1">
      <c r="A111" s="4" t="s">
        <v>1511</v>
      </c>
      <c r="B111" s="4" t="s">
        <v>1340</v>
      </c>
      <c r="C111" s="4" t="s">
        <v>1341</v>
      </c>
      <c r="D111" s="4" t="s">
        <v>1512</v>
      </c>
      <c r="E111" s="159" t="s">
        <v>1512</v>
      </c>
      <c r="F111" s="146"/>
      <c r="G111" s="147"/>
      <c r="H111" s="87"/>
      <c r="I111" s="87"/>
      <c r="J111" s="87"/>
    </row>
    <row r="112" spans="1:13" ht="13.5" outlineLevel="2" thickBot="1">
      <c r="A112" s="4" t="str">
        <f t="shared" ref="A112:A120" si="7">B112&amp;C112&amp;D112</f>
        <v>O&amp;M Mobilization BudgetOperating ExpensesManuals/Operating Procedures</v>
      </c>
      <c r="B112" s="4" t="s">
        <v>1340</v>
      </c>
      <c r="C112" s="4" t="s">
        <v>1341</v>
      </c>
      <c r="D112" s="4" t="s">
        <v>1512</v>
      </c>
      <c r="E112" s="83" t="s">
        <v>1513</v>
      </c>
      <c r="F112" s="23" t="s">
        <v>1514</v>
      </c>
      <c r="G112" s="65"/>
      <c r="H112" s="19">
        <f>5*400</f>
        <v>2000</v>
      </c>
      <c r="I112" s="19">
        <f t="shared" ref="I112:I128" si="8">H112-J112</f>
        <v>0</v>
      </c>
      <c r="J112" s="19">
        <f>H112</f>
        <v>2000</v>
      </c>
      <c r="L112" s="4"/>
      <c r="M112" s="4"/>
    </row>
    <row r="113" spans="1:13" ht="13.5" outlineLevel="2" thickBot="1">
      <c r="A113" s="4" t="str">
        <f t="shared" si="7"/>
        <v>O&amp;M Mobilization BudgetOperating ExpensesManuals/Operating Procedures</v>
      </c>
      <c r="B113" s="4" t="s">
        <v>1340</v>
      </c>
      <c r="C113" s="4" t="s">
        <v>1341</v>
      </c>
      <c r="D113" s="4" t="s">
        <v>1512</v>
      </c>
      <c r="E113" s="83" t="s">
        <v>1515</v>
      </c>
      <c r="F113" s="23" t="s">
        <v>449</v>
      </c>
      <c r="G113" s="65"/>
      <c r="H113" s="19">
        <f>8*2*400</f>
        <v>6400</v>
      </c>
      <c r="I113" s="19">
        <f t="shared" si="8"/>
        <v>0</v>
      </c>
      <c r="J113" s="19">
        <f t="shared" ref="J113:J128" si="9">H113</f>
        <v>6400</v>
      </c>
      <c r="L113" s="4"/>
      <c r="M113" s="4"/>
    </row>
    <row r="114" spans="1:13" ht="13.5" outlineLevel="2" thickBot="1">
      <c r="E114" s="83" t="s">
        <v>1516</v>
      </c>
      <c r="F114" s="23" t="s">
        <v>1517</v>
      </c>
      <c r="G114" s="65"/>
      <c r="H114" s="19">
        <f>H113/2</f>
        <v>3200</v>
      </c>
      <c r="I114" s="19">
        <f t="shared" si="8"/>
        <v>0</v>
      </c>
      <c r="J114" s="19">
        <f t="shared" si="9"/>
        <v>3200</v>
      </c>
      <c r="L114" s="4"/>
      <c r="M114" s="4"/>
    </row>
    <row r="115" spans="1:13" ht="13.5" outlineLevel="2" thickBot="1">
      <c r="A115" s="4" t="str">
        <f t="shared" si="7"/>
        <v>O&amp;M Mobilization BudgetOperating ExpensesManuals/Operating Procedures</v>
      </c>
      <c r="B115" s="4" t="s">
        <v>1340</v>
      </c>
      <c r="C115" s="4" t="s">
        <v>1341</v>
      </c>
      <c r="D115" s="4" t="s">
        <v>1512</v>
      </c>
      <c r="E115" s="83" t="s">
        <v>159</v>
      </c>
      <c r="F115" s="23" t="s">
        <v>160</v>
      </c>
      <c r="G115" s="65"/>
      <c r="H115" s="19">
        <v>2000</v>
      </c>
      <c r="I115" s="19">
        <f t="shared" si="8"/>
        <v>0</v>
      </c>
      <c r="J115" s="19">
        <f t="shared" si="9"/>
        <v>2000</v>
      </c>
      <c r="L115" s="4"/>
      <c r="M115" s="4"/>
    </row>
    <row r="116" spans="1:13" ht="13.5" outlineLevel="2" thickBot="1">
      <c r="A116" s="4" t="str">
        <f t="shared" si="7"/>
        <v>O&amp;M Mobilization BudgetOperating ExpensesManuals/Operating Procedures</v>
      </c>
      <c r="B116" s="4" t="s">
        <v>1340</v>
      </c>
      <c r="C116" s="4" t="s">
        <v>1341</v>
      </c>
      <c r="D116" s="4" t="s">
        <v>1512</v>
      </c>
      <c r="E116" s="83" t="s">
        <v>161</v>
      </c>
      <c r="F116" s="23" t="s">
        <v>160</v>
      </c>
      <c r="G116" s="65"/>
      <c r="H116" s="19">
        <v>2000</v>
      </c>
      <c r="I116" s="19">
        <f t="shared" si="8"/>
        <v>0</v>
      </c>
      <c r="J116" s="19">
        <f t="shared" si="9"/>
        <v>2000</v>
      </c>
      <c r="L116" s="4"/>
      <c r="M116" s="4"/>
    </row>
    <row r="117" spans="1:13" ht="13.5" outlineLevel="2" thickBot="1">
      <c r="A117" s="4" t="str">
        <f t="shared" si="7"/>
        <v>O&amp;M Mobilization BudgetOperating ExpensesManuals/Operating Procedures</v>
      </c>
      <c r="B117" s="4" t="s">
        <v>1340</v>
      </c>
      <c r="C117" s="4" t="s">
        <v>1341</v>
      </c>
      <c r="D117" s="4" t="s">
        <v>1512</v>
      </c>
      <c r="E117" s="83" t="s">
        <v>162</v>
      </c>
      <c r="F117" s="23" t="s">
        <v>163</v>
      </c>
      <c r="G117" s="65"/>
      <c r="H117" s="19">
        <f>40*400</f>
        <v>16000</v>
      </c>
      <c r="I117" s="19">
        <f t="shared" si="8"/>
        <v>0</v>
      </c>
      <c r="J117" s="19">
        <f t="shared" si="9"/>
        <v>16000</v>
      </c>
      <c r="L117" s="4"/>
      <c r="M117" s="4"/>
    </row>
    <row r="118" spans="1:13" ht="13.5" outlineLevel="2" thickBot="1">
      <c r="A118" s="4" t="str">
        <f t="shared" si="7"/>
        <v>O&amp;M Mobilization BudgetOperating ExpensesManuals/Operating Procedures</v>
      </c>
      <c r="B118" s="4" t="s">
        <v>1340</v>
      </c>
      <c r="C118" s="4" t="s">
        <v>1341</v>
      </c>
      <c r="D118" s="4" t="s">
        <v>1512</v>
      </c>
      <c r="E118" s="83" t="s">
        <v>164</v>
      </c>
      <c r="F118" s="23" t="s">
        <v>160</v>
      </c>
      <c r="G118" s="65"/>
      <c r="H118" s="19">
        <v>2000</v>
      </c>
      <c r="I118" s="19">
        <f t="shared" si="8"/>
        <v>0</v>
      </c>
      <c r="J118" s="19">
        <f t="shared" si="9"/>
        <v>2000</v>
      </c>
      <c r="L118" s="4"/>
      <c r="M118" s="4"/>
    </row>
    <row r="119" spans="1:13" ht="13.5" outlineLevel="2" thickBot="1">
      <c r="A119" s="4" t="str">
        <f t="shared" si="7"/>
        <v>O&amp;M Mobilization BudgetOperating ExpensesManuals/Operating Procedures</v>
      </c>
      <c r="B119" s="4" t="s">
        <v>1340</v>
      </c>
      <c r="C119" s="4" t="s">
        <v>1341</v>
      </c>
      <c r="D119" s="4" t="s">
        <v>1512</v>
      </c>
      <c r="E119" s="83" t="s">
        <v>165</v>
      </c>
      <c r="F119" s="23" t="s">
        <v>166</v>
      </c>
      <c r="G119" s="65"/>
      <c r="H119" s="19">
        <v>8000</v>
      </c>
      <c r="I119" s="19">
        <f t="shared" si="8"/>
        <v>0</v>
      </c>
      <c r="J119" s="19">
        <f t="shared" si="9"/>
        <v>8000</v>
      </c>
      <c r="L119" s="4"/>
      <c r="M119" s="4"/>
    </row>
    <row r="120" spans="1:13" ht="13.5" outlineLevel="2" thickBot="1">
      <c r="A120" s="4" t="str">
        <f t="shared" si="7"/>
        <v>O&amp;M Mobilization BudgetOperating ExpensesManuals/Operating Procedures</v>
      </c>
      <c r="B120" s="4" t="s">
        <v>1340</v>
      </c>
      <c r="C120" s="4" t="s">
        <v>1341</v>
      </c>
      <c r="D120" s="4" t="s">
        <v>1512</v>
      </c>
      <c r="E120" s="83" t="s">
        <v>167</v>
      </c>
      <c r="F120" s="23" t="s">
        <v>168</v>
      </c>
      <c r="G120" s="65"/>
      <c r="H120" s="19">
        <f>10*400</f>
        <v>4000</v>
      </c>
      <c r="I120" s="19">
        <f t="shared" si="8"/>
        <v>0</v>
      </c>
      <c r="J120" s="19">
        <f t="shared" si="9"/>
        <v>4000</v>
      </c>
      <c r="L120" s="4"/>
      <c r="M120" s="4"/>
    </row>
    <row r="121" spans="1:13" ht="13.5" outlineLevel="2" thickBot="1">
      <c r="A121" s="4" t="str">
        <f t="shared" ref="A121:A127" si="10">B121&amp;C121&amp;D121</f>
        <v>O&amp;M Mobilization BudgetOperating ExpensesManuals/Operating Procedures</v>
      </c>
      <c r="B121" s="4" t="s">
        <v>1340</v>
      </c>
      <c r="C121" s="4" t="s">
        <v>1341</v>
      </c>
      <c r="D121" s="4" t="s">
        <v>1512</v>
      </c>
      <c r="E121" s="83" t="s">
        <v>169</v>
      </c>
      <c r="F121" s="23" t="s">
        <v>168</v>
      </c>
      <c r="G121" s="65"/>
      <c r="H121" s="19">
        <f>10*400</f>
        <v>4000</v>
      </c>
      <c r="I121" s="19">
        <f t="shared" si="8"/>
        <v>0</v>
      </c>
      <c r="J121" s="19">
        <f t="shared" si="9"/>
        <v>4000</v>
      </c>
      <c r="L121" s="4"/>
      <c r="M121" s="4"/>
    </row>
    <row r="122" spans="1:13" ht="13.5" outlineLevel="2" thickBot="1">
      <c r="A122" s="4" t="str">
        <f t="shared" si="10"/>
        <v>O&amp;M Mobilization BudgetOperating ExpensesManuals/Operating Procedures</v>
      </c>
      <c r="B122" s="4" t="s">
        <v>1340</v>
      </c>
      <c r="C122" s="4" t="s">
        <v>1341</v>
      </c>
      <c r="D122" s="4" t="s">
        <v>1512</v>
      </c>
      <c r="E122" s="83" t="s">
        <v>170</v>
      </c>
      <c r="F122" s="23" t="s">
        <v>160</v>
      </c>
      <c r="G122" s="65"/>
      <c r="H122" s="19">
        <f>5*400</f>
        <v>2000</v>
      </c>
      <c r="I122" s="19">
        <f t="shared" si="8"/>
        <v>0</v>
      </c>
      <c r="J122" s="19">
        <f t="shared" si="9"/>
        <v>2000</v>
      </c>
      <c r="L122" s="4"/>
      <c r="M122" s="4"/>
    </row>
    <row r="123" spans="1:13" ht="13.5" outlineLevel="2" thickBot="1">
      <c r="A123" s="4" t="str">
        <f t="shared" si="10"/>
        <v>O&amp;M Mobilization BudgetOperating ExpensesManuals/Operating Procedures</v>
      </c>
      <c r="B123" s="4" t="s">
        <v>1340</v>
      </c>
      <c r="C123" s="4" t="s">
        <v>1341</v>
      </c>
      <c r="D123" s="4" t="s">
        <v>1512</v>
      </c>
      <c r="E123" s="83" t="s">
        <v>171</v>
      </c>
      <c r="F123" s="23" t="s">
        <v>160</v>
      </c>
      <c r="G123" s="65"/>
      <c r="H123" s="19">
        <f>5*400</f>
        <v>2000</v>
      </c>
      <c r="I123" s="19">
        <f t="shared" si="8"/>
        <v>0</v>
      </c>
      <c r="J123" s="19">
        <f t="shared" si="9"/>
        <v>2000</v>
      </c>
      <c r="L123" s="4"/>
      <c r="M123" s="4"/>
    </row>
    <row r="124" spans="1:13" ht="13.5" outlineLevel="2" thickBot="1">
      <c r="E124" s="83" t="s">
        <v>1405</v>
      </c>
      <c r="F124" s="23" t="s">
        <v>168</v>
      </c>
      <c r="G124" s="65"/>
      <c r="H124" s="19">
        <f>10*400</f>
        <v>4000</v>
      </c>
      <c r="I124" s="19">
        <f t="shared" si="8"/>
        <v>0</v>
      </c>
      <c r="J124" s="19">
        <f t="shared" si="9"/>
        <v>4000</v>
      </c>
      <c r="L124" s="4"/>
      <c r="M124" s="4"/>
    </row>
    <row r="125" spans="1:13" ht="13.5" outlineLevel="2" thickBot="1">
      <c r="E125" s="83" t="s">
        <v>634</v>
      </c>
      <c r="F125" s="23" t="s">
        <v>168</v>
      </c>
      <c r="G125" s="65"/>
      <c r="H125" s="19">
        <v>4000</v>
      </c>
      <c r="I125" s="19">
        <f t="shared" si="8"/>
        <v>0</v>
      </c>
      <c r="J125" s="19">
        <f t="shared" si="9"/>
        <v>4000</v>
      </c>
      <c r="L125" s="4"/>
      <c r="M125" s="4"/>
    </row>
    <row r="126" spans="1:13" ht="13.5" hidden="1" outlineLevel="2" thickBot="1">
      <c r="A126" s="4" t="str">
        <f t="shared" si="10"/>
        <v>O&amp;M Mobilization BudgetOperating ExpensesManuals/Operating Procedures</v>
      </c>
      <c r="B126" s="4" t="s">
        <v>1340</v>
      </c>
      <c r="C126" s="4" t="s">
        <v>1341</v>
      </c>
      <c r="D126" s="4" t="s">
        <v>1512</v>
      </c>
      <c r="E126" s="83" t="s">
        <v>172</v>
      </c>
      <c r="F126" s="23" t="s">
        <v>173</v>
      </c>
      <c r="G126" s="65"/>
      <c r="H126" s="19">
        <v>0</v>
      </c>
      <c r="I126" s="19">
        <f t="shared" si="8"/>
        <v>0</v>
      </c>
      <c r="J126" s="19">
        <f t="shared" si="9"/>
        <v>0</v>
      </c>
      <c r="L126" s="4"/>
      <c r="M126" s="4"/>
    </row>
    <row r="127" spans="1:13" ht="13.5" outlineLevel="2" thickBot="1">
      <c r="A127" s="4" t="str">
        <f t="shared" si="10"/>
        <v>O&amp;M Mobilization BudgetOperating ExpensesManuals/Operating Procedures</v>
      </c>
      <c r="B127" s="4" t="s">
        <v>1340</v>
      </c>
      <c r="C127" s="4" t="s">
        <v>1341</v>
      </c>
      <c r="D127" s="4" t="s">
        <v>1512</v>
      </c>
      <c r="E127" s="83" t="s">
        <v>174</v>
      </c>
      <c r="F127" s="23"/>
      <c r="G127" s="65"/>
      <c r="H127" s="19">
        <v>10000</v>
      </c>
      <c r="I127" s="19">
        <f t="shared" si="8"/>
        <v>0</v>
      </c>
      <c r="J127" s="19">
        <f t="shared" si="9"/>
        <v>10000</v>
      </c>
      <c r="L127" s="4"/>
      <c r="M127" s="4"/>
    </row>
    <row r="128" spans="1:13" ht="13.5" outlineLevel="2" thickBot="1">
      <c r="E128" s="83" t="s">
        <v>175</v>
      </c>
      <c r="F128" s="23" t="s">
        <v>176</v>
      </c>
      <c r="G128" s="65"/>
      <c r="H128" s="19">
        <f>0.05*H127</f>
        <v>500</v>
      </c>
      <c r="I128" s="19">
        <f t="shared" si="8"/>
        <v>0</v>
      </c>
      <c r="J128" s="19">
        <f t="shared" si="9"/>
        <v>500</v>
      </c>
      <c r="L128" s="4"/>
      <c r="M128" s="4"/>
    </row>
    <row r="129" spans="1:13" ht="13.5" outlineLevel="2" thickBot="1">
      <c r="A129" s="4" t="str">
        <f>B129&amp;C129&amp;D129</f>
        <v>O&amp;M Mobilization BudgetOperating ExpensesManuals/Operating Procedures</v>
      </c>
      <c r="B129" s="4" t="s">
        <v>1340</v>
      </c>
      <c r="C129" s="4" t="s">
        <v>1341</v>
      </c>
      <c r="D129" s="4" t="s">
        <v>1512</v>
      </c>
      <c r="E129" s="83"/>
      <c r="F129" s="23"/>
      <c r="G129" s="65"/>
      <c r="H129" s="19"/>
      <c r="I129" s="19"/>
      <c r="J129" s="19"/>
      <c r="L129" s="4"/>
      <c r="M129" s="4"/>
    </row>
    <row r="130" spans="1:13" s="20" customFormat="1" ht="13.5" outlineLevel="1" thickBot="1">
      <c r="A130" s="20" t="s">
        <v>177</v>
      </c>
      <c r="B130" s="20" t="s">
        <v>1340</v>
      </c>
      <c r="C130" s="20" t="s">
        <v>1341</v>
      </c>
      <c r="D130" s="20" t="s">
        <v>1512</v>
      </c>
      <c r="E130" s="83" t="s">
        <v>1510</v>
      </c>
      <c r="F130" s="23"/>
      <c r="G130" s="85" t="s">
        <v>1360</v>
      </c>
      <c r="H130" s="86">
        <f>SUBTOTAL(9,H112:H129)</f>
        <v>72100</v>
      </c>
      <c r="I130" s="86">
        <f>SUBTOTAL(9,I112:I129)</f>
        <v>0</v>
      </c>
      <c r="J130" s="86">
        <f>SUBTOTAL(9,J112:J129)</f>
        <v>72100</v>
      </c>
    </row>
    <row r="131" spans="1:13" s="20" customFormat="1" ht="13.5" outlineLevel="1" thickBot="1">
      <c r="A131" s="4" t="s">
        <v>178</v>
      </c>
      <c r="B131" s="4" t="s">
        <v>1340</v>
      </c>
      <c r="C131" s="4" t="s">
        <v>1341</v>
      </c>
      <c r="D131" s="4" t="s">
        <v>704</v>
      </c>
      <c r="E131" s="159" t="s">
        <v>704</v>
      </c>
      <c r="F131" s="146"/>
      <c r="G131" s="147"/>
      <c r="H131" s="87"/>
      <c r="I131" s="87"/>
      <c r="J131" s="87"/>
    </row>
    <row r="132" spans="1:13" ht="13.5" outlineLevel="2" thickBot="1">
      <c r="A132" s="4" t="str">
        <f>B132&amp;C132&amp;D132</f>
        <v>O&amp;M Mobilization BudgetOperating ExpensesPermits</v>
      </c>
      <c r="B132" s="4" t="s">
        <v>1340</v>
      </c>
      <c r="C132" s="4" t="s">
        <v>1341</v>
      </c>
      <c r="D132" s="4" t="s">
        <v>704</v>
      </c>
      <c r="E132" s="83"/>
      <c r="F132" s="23"/>
      <c r="G132" s="65"/>
      <c r="H132" s="19"/>
      <c r="I132" s="19">
        <f>H132-J132</f>
        <v>0</v>
      </c>
      <c r="J132" s="19"/>
      <c r="L132" s="4"/>
      <c r="M132" s="4"/>
    </row>
    <row r="133" spans="1:13" s="20" customFormat="1" ht="13.5" outlineLevel="1" thickBot="1">
      <c r="A133" s="20" t="s">
        <v>179</v>
      </c>
      <c r="B133" s="20" t="s">
        <v>1340</v>
      </c>
      <c r="C133" s="20" t="s">
        <v>1341</v>
      </c>
      <c r="D133" s="20" t="s">
        <v>704</v>
      </c>
      <c r="E133" s="83"/>
      <c r="F133" s="23"/>
      <c r="G133" s="85" t="s">
        <v>1360</v>
      </c>
      <c r="H133" s="86">
        <f>SUBTOTAL(9,H132:H132)</f>
        <v>0</v>
      </c>
      <c r="I133" s="86">
        <f>SUBTOTAL(9,I132:I132)</f>
        <v>0</v>
      </c>
      <c r="J133" s="86">
        <f>SUBTOTAL(9,J132:J132)</f>
        <v>0</v>
      </c>
    </row>
    <row r="134" spans="1:13" s="20" customFormat="1" ht="13.5" outlineLevel="1" thickBot="1">
      <c r="A134" s="4" t="s">
        <v>180</v>
      </c>
      <c r="B134" s="4" t="s">
        <v>1340</v>
      </c>
      <c r="C134" s="4" t="s">
        <v>1341</v>
      </c>
      <c r="D134" s="4" t="s">
        <v>705</v>
      </c>
      <c r="E134" s="159" t="s">
        <v>181</v>
      </c>
      <c r="F134" s="146"/>
      <c r="G134" s="147"/>
      <c r="H134" s="87"/>
      <c r="I134" s="87"/>
      <c r="J134" s="87"/>
    </row>
    <row r="135" spans="1:13" ht="13.5" hidden="1" outlineLevel="2" thickBot="1">
      <c r="A135" s="4" t="str">
        <f>B135&amp;C135&amp;D135</f>
        <v>O&amp;M Mobilization BudgetOperating ExpensesInsurance</v>
      </c>
      <c r="B135" s="4" t="s">
        <v>1340</v>
      </c>
      <c r="C135" s="4" t="s">
        <v>1341</v>
      </c>
      <c r="D135" s="4" t="s">
        <v>705</v>
      </c>
      <c r="E135" s="83"/>
      <c r="F135" s="23"/>
      <c r="G135" s="65"/>
      <c r="H135" s="19">
        <v>0</v>
      </c>
      <c r="I135" s="19">
        <f>H135-J135</f>
        <v>0</v>
      </c>
      <c r="J135" s="19"/>
      <c r="L135" s="4"/>
      <c r="M135" s="4"/>
    </row>
    <row r="136" spans="1:13" ht="13.5" outlineLevel="2" thickBot="1">
      <c r="A136" s="4" t="str">
        <f>B136&amp;C136&amp;D136</f>
        <v>O&amp;M Mobilization BudgetOperating ExpensesInsurance</v>
      </c>
      <c r="B136" s="4" t="s">
        <v>1340</v>
      </c>
      <c r="C136" s="4" t="s">
        <v>1341</v>
      </c>
      <c r="D136" s="4" t="s">
        <v>705</v>
      </c>
      <c r="E136" s="83"/>
      <c r="F136" s="23"/>
      <c r="G136" s="65"/>
      <c r="H136" s="19"/>
      <c r="I136" s="19"/>
      <c r="J136" s="19"/>
      <c r="L136" s="4"/>
      <c r="M136" s="4"/>
    </row>
    <row r="137" spans="1:13" s="20" customFormat="1" ht="13.5" outlineLevel="1" thickBot="1">
      <c r="A137" s="20" t="s">
        <v>182</v>
      </c>
      <c r="B137" s="20" t="s">
        <v>1340</v>
      </c>
      <c r="C137" s="20" t="s">
        <v>1341</v>
      </c>
      <c r="D137" s="20" t="s">
        <v>705</v>
      </c>
      <c r="E137" s="83"/>
      <c r="F137" s="23"/>
      <c r="G137" s="85" t="s">
        <v>1360</v>
      </c>
      <c r="H137" s="86">
        <f>SUBTOTAL(9,H135:H136)</f>
        <v>0</v>
      </c>
      <c r="I137" s="86">
        <f>SUBTOTAL(9,I135:I136)</f>
        <v>0</v>
      </c>
      <c r="J137" s="86">
        <f>SUBTOTAL(9,J135:J136)</f>
        <v>0</v>
      </c>
    </row>
    <row r="138" spans="1:13" s="20" customFormat="1" ht="13.5" outlineLevel="1" thickBot="1">
      <c r="E138" s="159" t="s">
        <v>706</v>
      </c>
      <c r="F138" s="146"/>
      <c r="G138" s="147"/>
      <c r="H138" s="87"/>
      <c r="I138" s="87"/>
      <c r="J138" s="87"/>
    </row>
    <row r="139" spans="1:13" s="20" customFormat="1" ht="13.5" outlineLevel="1" thickBot="1">
      <c r="E139" s="121" t="s">
        <v>706</v>
      </c>
      <c r="F139" s="88" t="s">
        <v>183</v>
      </c>
      <c r="G139" s="122"/>
      <c r="H139" s="123">
        <f>1*350*30</f>
        <v>10500</v>
      </c>
      <c r="I139" s="19">
        <f>H139-J139</f>
        <v>0</v>
      </c>
      <c r="J139" s="241">
        <f>H139</f>
        <v>10500</v>
      </c>
    </row>
    <row r="140" spans="1:13" s="20" customFormat="1" ht="13.5" outlineLevel="1" thickBot="1">
      <c r="E140" s="121" t="s">
        <v>184</v>
      </c>
      <c r="F140" s="88" t="s">
        <v>185</v>
      </c>
      <c r="G140" s="122"/>
      <c r="H140" s="123">
        <v>3000</v>
      </c>
      <c r="I140" s="19">
        <f>H140-J140</f>
        <v>3000</v>
      </c>
      <c r="J140" s="241"/>
    </row>
    <row r="141" spans="1:13" s="20" customFormat="1" ht="13.5" outlineLevel="1" thickBot="1">
      <c r="E141" s="121" t="s">
        <v>186</v>
      </c>
      <c r="F141" s="88" t="s">
        <v>187</v>
      </c>
      <c r="G141" s="122"/>
      <c r="H141" s="123">
        <f>1*3000*1</f>
        <v>3000</v>
      </c>
      <c r="I141" s="19">
        <f>H141-J141</f>
        <v>0</v>
      </c>
      <c r="J141" s="241">
        <f>H141</f>
        <v>3000</v>
      </c>
    </row>
    <row r="142" spans="1:13" s="20" customFormat="1" ht="13.5" outlineLevel="1" thickBot="1">
      <c r="E142" s="121" t="s">
        <v>188</v>
      </c>
      <c r="F142" s="88" t="s">
        <v>189</v>
      </c>
      <c r="G142" s="122"/>
      <c r="H142" s="123"/>
      <c r="I142" s="19">
        <f>H142-J142</f>
        <v>0</v>
      </c>
      <c r="J142" s="241"/>
    </row>
    <row r="143" spans="1:13" s="20" customFormat="1" ht="13.5" outlineLevel="1" thickBot="1">
      <c r="E143" s="121"/>
      <c r="F143" s="88"/>
      <c r="G143" s="122"/>
      <c r="H143" s="123"/>
      <c r="I143" s="241"/>
      <c r="J143" s="241"/>
    </row>
    <row r="144" spans="1:13" s="20" customFormat="1" ht="13.5" outlineLevel="1" thickBot="1">
      <c r="E144" s="121" t="s">
        <v>1019</v>
      </c>
      <c r="F144" s="88"/>
      <c r="G144" s="124" t="s">
        <v>1360</v>
      </c>
      <c r="H144" s="112">
        <f>SUBTOTAL(9,H139:H142)</f>
        <v>16500</v>
      </c>
      <c r="I144" s="112">
        <f>SUBTOTAL(9,I139:I142)</f>
        <v>3000</v>
      </c>
      <c r="J144" s="112">
        <f>SUBTOTAL(9,J139:J142)</f>
        <v>13500</v>
      </c>
    </row>
    <row r="145" spans="1:13" s="20" customFormat="1" ht="13.5" outlineLevel="1" thickBot="1">
      <c r="A145" s="4" t="s">
        <v>190</v>
      </c>
      <c r="B145" s="4" t="s">
        <v>1340</v>
      </c>
      <c r="C145" s="4" t="s">
        <v>191</v>
      </c>
      <c r="D145" s="4" t="s">
        <v>192</v>
      </c>
      <c r="E145" s="159" t="s">
        <v>192</v>
      </c>
      <c r="F145" s="146"/>
      <c r="G145" s="147"/>
      <c r="H145" s="87"/>
      <c r="I145" s="87"/>
      <c r="J145" s="87"/>
    </row>
    <row r="146" spans="1:13" ht="13.5" outlineLevel="2" thickBot="1">
      <c r="A146" s="4" t="str">
        <f t="shared" ref="A146:A158" si="11">B146&amp;C146&amp;D146</f>
        <v>O&amp;M Mobilization BudgetProcurement ExpensesOffice Furnishings, Equipment, Supplies</v>
      </c>
      <c r="B146" s="4" t="s">
        <v>1340</v>
      </c>
      <c r="C146" s="4" t="s">
        <v>191</v>
      </c>
      <c r="D146" s="4" t="s">
        <v>192</v>
      </c>
      <c r="E146" s="83" t="s">
        <v>193</v>
      </c>
      <c r="F146" s="23" t="s">
        <v>1430</v>
      </c>
      <c r="G146" s="65"/>
      <c r="H146" s="19">
        <f>3*800</f>
        <v>2400</v>
      </c>
      <c r="I146" s="19">
        <f t="shared" ref="I146:I178" si="12">H146-J146</f>
        <v>2400</v>
      </c>
      <c r="J146" s="19"/>
      <c r="L146" s="4"/>
      <c r="M146" s="4"/>
    </row>
    <row r="147" spans="1:13" ht="13.5" outlineLevel="2" thickBot="1">
      <c r="A147" s="4" t="str">
        <f t="shared" si="11"/>
        <v>O&amp;M Mobilization BudgetProcurement ExpensesOffice Furnishings, Equipment, Supplies</v>
      </c>
      <c r="B147" s="4" t="s">
        <v>1340</v>
      </c>
      <c r="C147" s="4" t="s">
        <v>191</v>
      </c>
      <c r="D147" s="4" t="s">
        <v>192</v>
      </c>
      <c r="E147" s="83" t="s">
        <v>194</v>
      </c>
      <c r="F147" s="23" t="s">
        <v>1431</v>
      </c>
      <c r="G147" s="65"/>
      <c r="H147" s="19">
        <f>6*100</f>
        <v>600</v>
      </c>
      <c r="I147" s="19">
        <f t="shared" si="12"/>
        <v>600</v>
      </c>
      <c r="J147" s="19"/>
      <c r="L147" s="4"/>
      <c r="M147" s="4"/>
    </row>
    <row r="148" spans="1:13" ht="13.5" outlineLevel="2" thickBot="1">
      <c r="A148" s="4" t="str">
        <f t="shared" si="11"/>
        <v>O&amp;M Mobilization BudgetProcurement ExpensesOffice Furnishings, Equipment, Supplies</v>
      </c>
      <c r="B148" s="4" t="s">
        <v>1340</v>
      </c>
      <c r="C148" s="4" t="s">
        <v>191</v>
      </c>
      <c r="D148" s="4" t="s">
        <v>192</v>
      </c>
      <c r="E148" s="83" t="s">
        <v>195</v>
      </c>
      <c r="F148" s="23" t="s">
        <v>1432</v>
      </c>
      <c r="G148" s="65"/>
      <c r="H148" s="19">
        <f>5*75</f>
        <v>375</v>
      </c>
      <c r="I148" s="19">
        <f t="shared" si="12"/>
        <v>375</v>
      </c>
      <c r="J148" s="19"/>
      <c r="L148" s="4"/>
      <c r="M148" s="4"/>
    </row>
    <row r="149" spans="1:13" ht="13.5" outlineLevel="2" thickBot="1">
      <c r="A149" s="4" t="str">
        <f t="shared" si="11"/>
        <v>O&amp;M Mobilization BudgetProcurement ExpensesOffice Furnishings, Equipment, Supplies</v>
      </c>
      <c r="B149" s="4" t="s">
        <v>1340</v>
      </c>
      <c r="C149" s="4" t="s">
        <v>191</v>
      </c>
      <c r="D149" s="4" t="s">
        <v>192</v>
      </c>
      <c r="E149" s="83" t="s">
        <v>196</v>
      </c>
      <c r="F149" s="23" t="s">
        <v>1433</v>
      </c>
      <c r="G149" s="65"/>
      <c r="H149" s="19">
        <f>5*200</f>
        <v>1000</v>
      </c>
      <c r="I149" s="19">
        <f t="shared" si="12"/>
        <v>1000</v>
      </c>
      <c r="J149" s="19"/>
      <c r="L149" s="4"/>
      <c r="M149" s="4"/>
    </row>
    <row r="150" spans="1:13" ht="13.5" outlineLevel="2" thickBot="1">
      <c r="A150" s="4" t="str">
        <f t="shared" si="11"/>
        <v>O&amp;M Mobilization BudgetProcurement ExpensesOffice Furnishings, Equipment, Supplies</v>
      </c>
      <c r="B150" s="4" t="s">
        <v>1340</v>
      </c>
      <c r="C150" s="4" t="s">
        <v>191</v>
      </c>
      <c r="D150" s="4" t="s">
        <v>192</v>
      </c>
      <c r="E150" s="83" t="s">
        <v>197</v>
      </c>
      <c r="F150" s="23" t="s">
        <v>1434</v>
      </c>
      <c r="G150" s="65"/>
      <c r="H150" s="19">
        <f>5*50</f>
        <v>250</v>
      </c>
      <c r="I150" s="19">
        <f t="shared" si="12"/>
        <v>250</v>
      </c>
      <c r="J150" s="19"/>
      <c r="L150" s="4"/>
      <c r="M150" s="4"/>
    </row>
    <row r="151" spans="1:13" ht="13.5" hidden="1" outlineLevel="2" thickBot="1">
      <c r="A151" s="4" t="str">
        <f t="shared" si="11"/>
        <v>O&amp;M Mobilization BudgetProcurement ExpensesOffice Furnishings, Equipment, Supplies</v>
      </c>
      <c r="B151" s="4" t="s">
        <v>1340</v>
      </c>
      <c r="C151" s="4" t="s">
        <v>191</v>
      </c>
      <c r="D151" s="4" t="s">
        <v>192</v>
      </c>
      <c r="E151" s="83" t="s">
        <v>198</v>
      </c>
      <c r="F151" s="23" t="s">
        <v>1435</v>
      </c>
      <c r="G151" s="65"/>
      <c r="H151" s="19">
        <v>0</v>
      </c>
      <c r="I151" s="19">
        <f t="shared" si="12"/>
        <v>0</v>
      </c>
      <c r="J151" s="19"/>
      <c r="L151" s="4"/>
      <c r="M151" s="4"/>
    </row>
    <row r="152" spans="1:13" ht="13.5" outlineLevel="2" thickBot="1">
      <c r="A152" s="4" t="str">
        <f t="shared" si="11"/>
        <v>O&amp;M Mobilization BudgetProcurement ExpensesOffice Furnishings, Equipment, Supplies</v>
      </c>
      <c r="B152" s="4" t="s">
        <v>1340</v>
      </c>
      <c r="C152" s="4" t="s">
        <v>191</v>
      </c>
      <c r="D152" s="4" t="s">
        <v>192</v>
      </c>
      <c r="E152" s="83" t="s">
        <v>199</v>
      </c>
      <c r="F152" s="23" t="s">
        <v>1436</v>
      </c>
      <c r="G152" s="65"/>
      <c r="H152" s="19">
        <f>1*150</f>
        <v>150</v>
      </c>
      <c r="I152" s="19">
        <f t="shared" si="12"/>
        <v>150</v>
      </c>
      <c r="J152" s="19"/>
      <c r="L152" s="4"/>
      <c r="M152" s="4"/>
    </row>
    <row r="153" spans="1:13" ht="13.5" outlineLevel="2" thickBot="1">
      <c r="A153" s="4" t="str">
        <f t="shared" si="11"/>
        <v>O&amp;M Mobilization BudgetProcurement ExpensesOffice Furnishings, Equipment, Supplies</v>
      </c>
      <c r="B153" s="4" t="s">
        <v>1340</v>
      </c>
      <c r="C153" s="4" t="s">
        <v>191</v>
      </c>
      <c r="D153" s="4" t="s">
        <v>192</v>
      </c>
      <c r="E153" s="83" t="s">
        <v>200</v>
      </c>
      <c r="F153" s="23" t="s">
        <v>1437</v>
      </c>
      <c r="G153" s="65"/>
      <c r="H153" s="19">
        <f>6*75</f>
        <v>450</v>
      </c>
      <c r="I153" s="19">
        <f t="shared" si="12"/>
        <v>450</v>
      </c>
      <c r="J153" s="19"/>
      <c r="L153" s="4"/>
      <c r="M153" s="4"/>
    </row>
    <row r="154" spans="1:13" ht="13.5" outlineLevel="2" thickBot="1">
      <c r="A154" s="4" t="str">
        <f t="shared" si="11"/>
        <v>O&amp;M Mobilization BudgetProcurement ExpensesOffice Furnishings, Equipment, Supplies</v>
      </c>
      <c r="B154" s="4" t="s">
        <v>1340</v>
      </c>
      <c r="C154" s="4" t="s">
        <v>191</v>
      </c>
      <c r="D154" s="4" t="s">
        <v>192</v>
      </c>
      <c r="E154" s="83" t="s">
        <v>201</v>
      </c>
      <c r="F154" s="23" t="s">
        <v>1438</v>
      </c>
      <c r="G154" s="65"/>
      <c r="H154" s="19">
        <f>1*300</f>
        <v>300</v>
      </c>
      <c r="I154" s="19">
        <f t="shared" si="12"/>
        <v>300</v>
      </c>
      <c r="J154" s="19"/>
      <c r="L154" s="4"/>
      <c r="M154" s="4"/>
    </row>
    <row r="155" spans="1:13" ht="13.5" outlineLevel="2" thickBot="1">
      <c r="A155" s="4" t="str">
        <f t="shared" si="11"/>
        <v>O&amp;M Mobilization BudgetProcurement ExpensesOffice Furnishings, Equipment, Supplies</v>
      </c>
      <c r="B155" s="4" t="s">
        <v>1340</v>
      </c>
      <c r="C155" s="4" t="s">
        <v>191</v>
      </c>
      <c r="D155" s="4" t="s">
        <v>192</v>
      </c>
      <c r="E155" s="83" t="s">
        <v>202</v>
      </c>
      <c r="F155" s="23" t="s">
        <v>896</v>
      </c>
      <c r="G155" s="65"/>
      <c r="H155" s="19">
        <f>2*50</f>
        <v>100</v>
      </c>
      <c r="I155" s="19">
        <f t="shared" si="12"/>
        <v>100</v>
      </c>
      <c r="J155" s="19"/>
      <c r="L155" s="4"/>
      <c r="M155" s="4"/>
    </row>
    <row r="156" spans="1:13" ht="13.5" outlineLevel="2" thickBot="1">
      <c r="A156" s="4" t="str">
        <f t="shared" si="11"/>
        <v>O&amp;M Mobilization BudgetProcurement ExpensesOffice Furnishings, Equipment, Supplies</v>
      </c>
      <c r="B156" s="4" t="s">
        <v>1340</v>
      </c>
      <c r="C156" s="4" t="s">
        <v>191</v>
      </c>
      <c r="D156" s="4" t="s">
        <v>192</v>
      </c>
      <c r="E156" s="83" t="s">
        <v>240</v>
      </c>
      <c r="F156" s="23" t="s">
        <v>895</v>
      </c>
      <c r="G156" s="65"/>
      <c r="H156" s="19">
        <f>1*750</f>
        <v>750</v>
      </c>
      <c r="I156" s="19">
        <f t="shared" si="12"/>
        <v>750</v>
      </c>
      <c r="J156" s="19"/>
      <c r="L156" s="4"/>
      <c r="M156" s="4"/>
    </row>
    <row r="157" spans="1:13" ht="13.5" hidden="1" outlineLevel="2" thickBot="1">
      <c r="A157" s="4" t="str">
        <f t="shared" si="11"/>
        <v>O&amp;M Mobilization BudgetProcurement ExpensesOffice Furnishings, Equipment, Supplies</v>
      </c>
      <c r="B157" s="4" t="s">
        <v>1340</v>
      </c>
      <c r="C157" s="4" t="s">
        <v>191</v>
      </c>
      <c r="D157" s="4" t="s">
        <v>192</v>
      </c>
      <c r="E157" s="83" t="s">
        <v>241</v>
      </c>
      <c r="F157" s="23" t="s">
        <v>890</v>
      </c>
      <c r="G157" s="65"/>
      <c r="H157" s="19">
        <v>0</v>
      </c>
      <c r="I157" s="19">
        <f t="shared" si="12"/>
        <v>0</v>
      </c>
      <c r="J157" s="19"/>
      <c r="L157" s="4"/>
      <c r="M157" s="4"/>
    </row>
    <row r="158" spans="1:13" ht="13.5" outlineLevel="2" thickBot="1">
      <c r="A158" s="4" t="str">
        <f t="shared" si="11"/>
        <v>O&amp;M Mobilization BudgetProcurement ExpensesOffice Furnishings, Equipment, Supplies</v>
      </c>
      <c r="B158" s="4" t="s">
        <v>1340</v>
      </c>
      <c r="C158" s="4" t="s">
        <v>191</v>
      </c>
      <c r="D158" s="4" t="s">
        <v>192</v>
      </c>
      <c r="E158" s="83" t="s">
        <v>242</v>
      </c>
      <c r="F158" s="23" t="s">
        <v>897</v>
      </c>
      <c r="G158" s="65"/>
      <c r="H158" s="19">
        <f>3*200</f>
        <v>600</v>
      </c>
      <c r="I158" s="19">
        <f t="shared" si="12"/>
        <v>600</v>
      </c>
      <c r="J158" s="19"/>
      <c r="L158" s="4"/>
      <c r="M158" s="4"/>
    </row>
    <row r="159" spans="1:13" ht="13.5" outlineLevel="2" thickBot="1">
      <c r="A159" s="4" t="str">
        <f>B159&amp;C159&amp;D159</f>
        <v>O&amp;M Mobilization BudgetProcurement ExpensesOffice Furnishings, Equipment, Supplies</v>
      </c>
      <c r="B159" s="4" t="s">
        <v>1340</v>
      </c>
      <c r="C159" s="4" t="s">
        <v>191</v>
      </c>
      <c r="D159" s="4" t="s">
        <v>192</v>
      </c>
      <c r="E159" s="83" t="s">
        <v>243</v>
      </c>
      <c r="F159" s="23" t="s">
        <v>898</v>
      </c>
      <c r="G159" s="65"/>
      <c r="H159" s="19">
        <f>3*2500</f>
        <v>7500</v>
      </c>
      <c r="I159" s="19">
        <f t="shared" si="12"/>
        <v>7500</v>
      </c>
      <c r="J159" s="19"/>
      <c r="L159" s="4"/>
      <c r="M159" s="4"/>
    </row>
    <row r="160" spans="1:13" ht="13.5" outlineLevel="2" thickBot="1">
      <c r="A160" s="4" t="str">
        <f>B160&amp;C160&amp;D160</f>
        <v>O&amp;M Mobilization BudgetProcurement ExpensesOffice Furnishings, Equipment, Supplies</v>
      </c>
      <c r="B160" s="4" t="s">
        <v>1340</v>
      </c>
      <c r="C160" s="4" t="s">
        <v>191</v>
      </c>
      <c r="D160" s="4" t="s">
        <v>192</v>
      </c>
      <c r="E160" s="83" t="s">
        <v>244</v>
      </c>
      <c r="F160" s="23" t="s">
        <v>899</v>
      </c>
      <c r="G160" s="65"/>
      <c r="H160" s="19">
        <f>3*500</f>
        <v>1500</v>
      </c>
      <c r="I160" s="19">
        <f t="shared" si="12"/>
        <v>1500</v>
      </c>
      <c r="J160" s="19"/>
      <c r="L160" s="4"/>
      <c r="M160" s="4"/>
    </row>
    <row r="161" spans="1:13" ht="13.5" outlineLevel="2" thickBot="1">
      <c r="E161" s="83" t="s">
        <v>245</v>
      </c>
      <c r="F161" s="23" t="s">
        <v>900</v>
      </c>
      <c r="G161" s="65"/>
      <c r="H161" s="19">
        <v>20000</v>
      </c>
      <c r="I161" s="19">
        <f t="shared" si="12"/>
        <v>0</v>
      </c>
      <c r="J161" s="19">
        <f>H161</f>
        <v>20000</v>
      </c>
      <c r="L161" s="4"/>
      <c r="M161" s="4"/>
    </row>
    <row r="162" spans="1:13" ht="13.5" outlineLevel="2" thickBot="1">
      <c r="E162" s="83" t="s">
        <v>246</v>
      </c>
      <c r="F162" s="23" t="s">
        <v>901</v>
      </c>
      <c r="G162" s="65"/>
      <c r="H162" s="19">
        <f>1*2500</f>
        <v>2500</v>
      </c>
      <c r="I162" s="19">
        <f t="shared" si="12"/>
        <v>2500</v>
      </c>
      <c r="J162" s="19"/>
      <c r="L162" s="4"/>
      <c r="M162" s="4"/>
    </row>
    <row r="163" spans="1:13" ht="13.5" hidden="1" outlineLevel="2" thickBot="1">
      <c r="E163" s="83" t="s">
        <v>247</v>
      </c>
      <c r="F163" s="23" t="s">
        <v>248</v>
      </c>
      <c r="G163" s="65"/>
      <c r="H163" s="19">
        <v>0</v>
      </c>
      <c r="I163" s="19">
        <f t="shared" si="12"/>
        <v>0</v>
      </c>
      <c r="J163" s="19">
        <f>H163</f>
        <v>0</v>
      </c>
      <c r="L163" s="4"/>
      <c r="M163" s="4"/>
    </row>
    <row r="164" spans="1:13" ht="13.5" outlineLevel="2" thickBot="1">
      <c r="E164" s="83" t="s">
        <v>452</v>
      </c>
      <c r="F164" s="23" t="s">
        <v>249</v>
      </c>
      <c r="G164" s="65"/>
      <c r="H164" s="19">
        <v>30000</v>
      </c>
      <c r="I164" s="19">
        <f t="shared" si="12"/>
        <v>0</v>
      </c>
      <c r="J164" s="19">
        <f>H164</f>
        <v>30000</v>
      </c>
      <c r="L164" s="4"/>
      <c r="M164" s="4"/>
    </row>
    <row r="165" spans="1:13" ht="13.5" outlineLevel="2" thickBot="1">
      <c r="A165" s="4" t="str">
        <f t="shared" ref="A165:A175" si="13">B165&amp;C165&amp;D165</f>
        <v>O&amp;M Mobilization BudgetProcurement ExpensesOffice Furnishings, Equipment, Supplies</v>
      </c>
      <c r="B165" s="4" t="s">
        <v>1340</v>
      </c>
      <c r="C165" s="4" t="s">
        <v>191</v>
      </c>
      <c r="D165" s="4" t="s">
        <v>192</v>
      </c>
      <c r="E165" s="83" t="s">
        <v>250</v>
      </c>
      <c r="F165" s="23" t="s">
        <v>251</v>
      </c>
      <c r="G165" s="65"/>
      <c r="H165" s="19">
        <v>8000</v>
      </c>
      <c r="I165" s="19">
        <f t="shared" si="12"/>
        <v>8000</v>
      </c>
      <c r="J165" s="19"/>
      <c r="L165" s="4"/>
      <c r="M165" s="4"/>
    </row>
    <row r="166" spans="1:13" ht="13.5" outlineLevel="2" thickBot="1">
      <c r="A166" s="4" t="str">
        <f t="shared" si="13"/>
        <v>O&amp;M Mobilization BudgetProcurement ExpensesOffice Furnishings, Equipment, Supplies</v>
      </c>
      <c r="B166" s="4" t="s">
        <v>1340</v>
      </c>
      <c r="C166" s="4" t="s">
        <v>191</v>
      </c>
      <c r="D166" s="4" t="s">
        <v>192</v>
      </c>
      <c r="E166" s="83" t="s">
        <v>252</v>
      </c>
      <c r="F166" s="23" t="s">
        <v>253</v>
      </c>
      <c r="G166" s="65"/>
      <c r="H166" s="19">
        <v>750</v>
      </c>
      <c r="I166" s="19">
        <f t="shared" si="12"/>
        <v>750</v>
      </c>
      <c r="J166" s="19"/>
      <c r="L166" s="4"/>
      <c r="M166" s="4"/>
    </row>
    <row r="167" spans="1:13" ht="13.5" outlineLevel="2" thickBot="1">
      <c r="A167" s="4" t="str">
        <f t="shared" si="13"/>
        <v>O&amp;M Mobilization BudgetProcurement ExpensesOffice Furnishings, Equipment, Supplies</v>
      </c>
      <c r="B167" s="4" t="s">
        <v>1340</v>
      </c>
      <c r="C167" s="4" t="s">
        <v>191</v>
      </c>
      <c r="D167" s="4" t="s">
        <v>192</v>
      </c>
      <c r="E167" s="83" t="s">
        <v>254</v>
      </c>
      <c r="F167" s="23" t="s">
        <v>902</v>
      </c>
      <c r="G167" s="65"/>
      <c r="H167" s="19">
        <v>4000</v>
      </c>
      <c r="I167" s="19">
        <f t="shared" si="12"/>
        <v>4000</v>
      </c>
      <c r="J167" s="19"/>
      <c r="L167" s="4"/>
      <c r="M167" s="4"/>
    </row>
    <row r="168" spans="1:13" ht="13.5" outlineLevel="2" thickBot="1">
      <c r="A168" s="4" t="str">
        <f t="shared" si="13"/>
        <v>O&amp;M Mobilization BudgetProcurement ExpensesOffice Furnishings, Equipment, Supplies</v>
      </c>
      <c r="B168" s="4" t="s">
        <v>1340</v>
      </c>
      <c r="C168" s="4" t="s">
        <v>191</v>
      </c>
      <c r="D168" s="4" t="s">
        <v>192</v>
      </c>
      <c r="E168" s="83" t="s">
        <v>255</v>
      </c>
      <c r="F168" s="23" t="s">
        <v>903</v>
      </c>
      <c r="G168" s="65"/>
      <c r="H168" s="19">
        <f>3*20</f>
        <v>60</v>
      </c>
      <c r="I168" s="19">
        <f t="shared" si="12"/>
        <v>60</v>
      </c>
      <c r="J168" s="19"/>
      <c r="L168" s="4"/>
      <c r="M168" s="4"/>
    </row>
    <row r="169" spans="1:13" ht="13.5" outlineLevel="2" thickBot="1">
      <c r="A169" s="4" t="str">
        <f t="shared" si="13"/>
        <v>O&amp;M Mobilization BudgetProcurement ExpensesOffice Furnishings, Equipment, Supplies</v>
      </c>
      <c r="B169" s="4" t="s">
        <v>1340</v>
      </c>
      <c r="C169" s="4" t="s">
        <v>191</v>
      </c>
      <c r="D169" s="4" t="s">
        <v>192</v>
      </c>
      <c r="E169" s="83" t="s">
        <v>256</v>
      </c>
      <c r="F169" s="23" t="s">
        <v>257</v>
      </c>
      <c r="G169" s="65"/>
      <c r="H169" s="19">
        <f>400+500+200</f>
        <v>1100</v>
      </c>
      <c r="I169" s="19">
        <f t="shared" si="12"/>
        <v>1100</v>
      </c>
      <c r="J169" s="19"/>
      <c r="L169" s="4"/>
      <c r="M169" s="4"/>
    </row>
    <row r="170" spans="1:13" ht="13.5" outlineLevel="2" thickBot="1">
      <c r="A170" s="4" t="str">
        <f t="shared" si="13"/>
        <v>O&amp;M Mobilization BudgetProcurement ExpensesOffice Furnishings, Equipment, Supplies</v>
      </c>
      <c r="B170" s="4" t="s">
        <v>1340</v>
      </c>
      <c r="C170" s="4" t="s">
        <v>191</v>
      </c>
      <c r="D170" s="4" t="s">
        <v>192</v>
      </c>
      <c r="E170" s="83" t="s">
        <v>258</v>
      </c>
      <c r="F170" s="23" t="s">
        <v>259</v>
      </c>
      <c r="G170" s="65"/>
      <c r="H170" s="19">
        <v>2000</v>
      </c>
      <c r="I170" s="19">
        <f t="shared" si="12"/>
        <v>2000</v>
      </c>
      <c r="J170" s="19"/>
      <c r="L170" s="4"/>
      <c r="M170" s="4"/>
    </row>
    <row r="171" spans="1:13" ht="13.5" hidden="1" outlineLevel="2" thickBot="1">
      <c r="A171" s="4" t="str">
        <f t="shared" si="13"/>
        <v>O&amp;M Mobilization BudgetProcurement ExpensesOffice Furnishings, Equipment, Supplies</v>
      </c>
      <c r="B171" s="4" t="s">
        <v>1340</v>
      </c>
      <c r="C171" s="4" t="s">
        <v>191</v>
      </c>
      <c r="D171" s="4" t="s">
        <v>192</v>
      </c>
      <c r="E171" s="83" t="s">
        <v>260</v>
      </c>
      <c r="F171" s="23" t="s">
        <v>261</v>
      </c>
      <c r="G171" s="65"/>
      <c r="H171" s="19">
        <v>0</v>
      </c>
      <c r="I171" s="19">
        <f t="shared" si="12"/>
        <v>0</v>
      </c>
      <c r="J171" s="19"/>
      <c r="L171" s="4"/>
      <c r="M171" s="4"/>
    </row>
    <row r="172" spans="1:13" ht="13.5" outlineLevel="2" thickBot="1">
      <c r="A172" s="4" t="str">
        <f t="shared" si="13"/>
        <v>O&amp;M Mobilization BudgetProcurement ExpensesOffice Furnishings, Equipment, Supplies</v>
      </c>
      <c r="B172" s="4" t="s">
        <v>1340</v>
      </c>
      <c r="C172" s="4" t="s">
        <v>191</v>
      </c>
      <c r="D172" s="4" t="s">
        <v>192</v>
      </c>
      <c r="E172" s="83" t="s">
        <v>262</v>
      </c>
      <c r="F172" s="23" t="s">
        <v>904</v>
      </c>
      <c r="G172" s="65"/>
      <c r="H172" s="19">
        <f>2*80</f>
        <v>160</v>
      </c>
      <c r="I172" s="19">
        <f t="shared" si="12"/>
        <v>160</v>
      </c>
      <c r="J172" s="19"/>
      <c r="L172" s="4"/>
      <c r="M172" s="4"/>
    </row>
    <row r="173" spans="1:13" ht="13.5" outlineLevel="2" thickBot="1">
      <c r="A173" s="4" t="str">
        <f t="shared" si="13"/>
        <v>O&amp;M Mobilization BudgetProcurement ExpensesOffice Furnishings, Equipment, Supplies</v>
      </c>
      <c r="B173" s="4" t="s">
        <v>1340</v>
      </c>
      <c r="C173" s="4" t="s">
        <v>191</v>
      </c>
      <c r="D173" s="4" t="s">
        <v>192</v>
      </c>
      <c r="E173" s="83" t="s">
        <v>263</v>
      </c>
      <c r="F173" s="23" t="s">
        <v>905</v>
      </c>
      <c r="G173" s="65"/>
      <c r="H173" s="19">
        <v>600</v>
      </c>
      <c r="I173" s="19">
        <f t="shared" si="12"/>
        <v>600</v>
      </c>
      <c r="J173" s="19"/>
      <c r="L173" s="4"/>
      <c r="M173" s="4"/>
    </row>
    <row r="174" spans="1:13" ht="13.5" outlineLevel="2" thickBot="1">
      <c r="E174" s="83" t="s">
        <v>264</v>
      </c>
      <c r="F174" s="23" t="s">
        <v>265</v>
      </c>
      <c r="G174" s="65"/>
      <c r="H174" s="19">
        <v>1500</v>
      </c>
      <c r="I174" s="19">
        <f t="shared" si="12"/>
        <v>1500</v>
      </c>
      <c r="J174" s="19"/>
      <c r="L174" s="4"/>
      <c r="M174" s="4"/>
    </row>
    <row r="175" spans="1:13" ht="13.5" outlineLevel="2" thickBot="1">
      <c r="A175" s="4" t="str">
        <f t="shared" si="13"/>
        <v>O&amp;M Mobilization BudgetProcurement ExpensesOffice Furnishings, Equipment, Supplies</v>
      </c>
      <c r="B175" s="4" t="s">
        <v>1340</v>
      </c>
      <c r="C175" s="4" t="s">
        <v>191</v>
      </c>
      <c r="D175" s="4" t="s">
        <v>192</v>
      </c>
      <c r="E175" s="83" t="s">
        <v>266</v>
      </c>
      <c r="F175" s="23" t="s">
        <v>453</v>
      </c>
      <c r="G175" s="65"/>
      <c r="H175" s="19">
        <f>4*200</f>
        <v>800</v>
      </c>
      <c r="I175" s="19">
        <f t="shared" si="12"/>
        <v>800</v>
      </c>
      <c r="J175" s="19"/>
      <c r="L175" s="4"/>
      <c r="M175" s="4"/>
    </row>
    <row r="176" spans="1:13" ht="13.5" hidden="1" outlineLevel="2" thickBot="1">
      <c r="E176" s="83" t="s">
        <v>267</v>
      </c>
      <c r="F176" s="23" t="s">
        <v>268</v>
      </c>
      <c r="G176" s="65"/>
      <c r="H176" s="19">
        <v>0</v>
      </c>
      <c r="I176" s="19">
        <f t="shared" si="12"/>
        <v>0</v>
      </c>
      <c r="J176" s="19"/>
      <c r="L176" s="4"/>
      <c r="M176" s="4"/>
    </row>
    <row r="177" spans="1:13" ht="13.5" outlineLevel="2" thickBot="1">
      <c r="E177" s="83" t="s">
        <v>269</v>
      </c>
      <c r="F177" s="23"/>
      <c r="G177" s="65"/>
      <c r="H177" s="19">
        <v>3000</v>
      </c>
      <c r="I177" s="19">
        <f t="shared" si="12"/>
        <v>3000</v>
      </c>
      <c r="J177" s="19"/>
      <c r="L177" s="4"/>
      <c r="M177" s="4"/>
    </row>
    <row r="178" spans="1:13" ht="13.5" outlineLevel="2" thickBot="1">
      <c r="E178" s="83" t="s">
        <v>175</v>
      </c>
      <c r="F178" s="23" t="s">
        <v>270</v>
      </c>
      <c r="G178" s="65"/>
      <c r="H178" s="19">
        <f>SUM(H146:H177)*0.05</f>
        <v>4522.25</v>
      </c>
      <c r="I178" s="19">
        <f t="shared" si="12"/>
        <v>4522.25</v>
      </c>
      <c r="J178" s="19"/>
      <c r="L178" s="4"/>
      <c r="M178" s="4"/>
    </row>
    <row r="179" spans="1:13" ht="13.5" outlineLevel="2" thickBot="1">
      <c r="E179" s="83"/>
      <c r="F179" s="23"/>
      <c r="G179" s="65"/>
      <c r="H179" s="19"/>
      <c r="I179" s="19"/>
      <c r="J179" s="19"/>
      <c r="L179" s="4"/>
      <c r="M179" s="4"/>
    </row>
    <row r="180" spans="1:13" s="20" customFormat="1" ht="13.5" outlineLevel="1" thickBot="1">
      <c r="A180" s="20" t="s">
        <v>271</v>
      </c>
      <c r="B180" s="20" t="s">
        <v>1340</v>
      </c>
      <c r="C180" s="20" t="s">
        <v>191</v>
      </c>
      <c r="D180" s="20" t="s">
        <v>192</v>
      </c>
      <c r="E180" s="83" t="s">
        <v>1019</v>
      </c>
      <c r="F180" s="23"/>
      <c r="G180" s="85" t="s">
        <v>1360</v>
      </c>
      <c r="H180" s="86">
        <f>SUBTOTAL(9,H146:H179)</f>
        <v>94967.25</v>
      </c>
      <c r="I180" s="86">
        <f>SUBTOTAL(9,I146:I179)</f>
        <v>44967.25</v>
      </c>
      <c r="J180" s="86">
        <f>SUBTOTAL(9,J146:J179)</f>
        <v>50000</v>
      </c>
    </row>
    <row r="181" spans="1:13" s="20" customFormat="1" ht="13.5" outlineLevel="1" thickBot="1">
      <c r="A181" s="4" t="s">
        <v>272</v>
      </c>
      <c r="B181" s="4" t="s">
        <v>1340</v>
      </c>
      <c r="C181" s="4" t="s">
        <v>191</v>
      </c>
      <c r="D181" s="4" t="s">
        <v>273</v>
      </c>
      <c r="E181" s="159" t="s">
        <v>274</v>
      </c>
      <c r="F181" s="146"/>
      <c r="G181" s="147"/>
      <c r="H181" s="87"/>
      <c r="I181" s="87"/>
      <c r="J181" s="87"/>
    </row>
    <row r="182" spans="1:13" ht="13.5" outlineLevel="2" thickBot="1">
      <c r="A182" s="4" t="str">
        <f>B182&amp;C182&amp;D182</f>
        <v>O&amp;M Mobilization BudgetProcurement ExpensesSafety Equipment &amp; Supplies</v>
      </c>
      <c r="B182" s="4" t="s">
        <v>1340</v>
      </c>
      <c r="C182" s="4" t="s">
        <v>191</v>
      </c>
      <c r="D182" s="4" t="s">
        <v>273</v>
      </c>
      <c r="E182" s="83" t="s">
        <v>275</v>
      </c>
      <c r="F182" s="23" t="s">
        <v>276</v>
      </c>
      <c r="G182" s="65"/>
      <c r="H182" s="19"/>
      <c r="I182" s="19">
        <f t="shared" ref="I182:I192" si="14">H182-J182</f>
        <v>0</v>
      </c>
      <c r="J182" s="19"/>
      <c r="L182" s="4"/>
      <c r="M182" s="4"/>
    </row>
    <row r="183" spans="1:13" ht="13.5" outlineLevel="2" thickBot="1">
      <c r="E183" s="83"/>
      <c r="F183" s="23" t="s">
        <v>277</v>
      </c>
      <c r="G183" s="65"/>
      <c r="H183" s="19">
        <v>10000</v>
      </c>
      <c r="I183" s="19">
        <f t="shared" si="14"/>
        <v>10000</v>
      </c>
      <c r="J183" s="19"/>
      <c r="L183" s="4"/>
      <c r="M183" s="4"/>
    </row>
    <row r="184" spans="1:13" ht="13.5" outlineLevel="2" thickBot="1">
      <c r="E184" s="83" t="s">
        <v>278</v>
      </c>
      <c r="F184" s="23" t="s">
        <v>279</v>
      </c>
      <c r="G184" s="65"/>
      <c r="H184" s="19">
        <f>30*120</f>
        <v>3600</v>
      </c>
      <c r="I184" s="19">
        <f t="shared" si="14"/>
        <v>3600</v>
      </c>
      <c r="J184" s="19"/>
      <c r="L184" s="4"/>
      <c r="M184" s="4"/>
    </row>
    <row r="185" spans="1:13" ht="13.5" outlineLevel="2" thickBot="1">
      <c r="E185" s="83" t="s">
        <v>280</v>
      </c>
      <c r="F185" s="23"/>
      <c r="G185" s="65"/>
      <c r="H185" s="19">
        <v>7700</v>
      </c>
      <c r="I185" s="19">
        <f t="shared" si="14"/>
        <v>7700</v>
      </c>
      <c r="J185" s="19"/>
      <c r="L185" s="4"/>
      <c r="M185" s="4"/>
    </row>
    <row r="186" spans="1:13" ht="13.5" outlineLevel="2" thickBot="1">
      <c r="E186" s="83" t="s">
        <v>281</v>
      </c>
      <c r="F186" s="23" t="s">
        <v>282</v>
      </c>
      <c r="G186" s="65"/>
      <c r="H186" s="19">
        <v>6000</v>
      </c>
      <c r="I186" s="19">
        <f t="shared" si="14"/>
        <v>6000</v>
      </c>
      <c r="J186" s="19"/>
      <c r="L186" s="4"/>
      <c r="M186" s="4"/>
    </row>
    <row r="187" spans="1:13" ht="13.5" outlineLevel="2" thickBot="1">
      <c r="E187" s="83" t="s">
        <v>283</v>
      </c>
      <c r="F187" s="23" t="s">
        <v>284</v>
      </c>
      <c r="G187" s="65"/>
      <c r="H187" s="19">
        <v>2500</v>
      </c>
      <c r="I187" s="19">
        <f t="shared" si="14"/>
        <v>0</v>
      </c>
      <c r="J187" s="19">
        <f>H187</f>
        <v>2500</v>
      </c>
      <c r="L187" s="4"/>
      <c r="M187" s="4"/>
    </row>
    <row r="188" spans="1:13" ht="13.5" outlineLevel="2" thickBot="1">
      <c r="E188" s="83" t="s">
        <v>285</v>
      </c>
      <c r="F188" s="23" t="s">
        <v>286</v>
      </c>
      <c r="G188" s="65"/>
      <c r="H188" s="19">
        <v>800</v>
      </c>
      <c r="I188" s="19">
        <f t="shared" si="14"/>
        <v>0</v>
      </c>
      <c r="J188" s="19">
        <f>H188</f>
        <v>800</v>
      </c>
      <c r="L188" s="4"/>
      <c r="M188" s="4"/>
    </row>
    <row r="189" spans="1:13" ht="13.5" hidden="1" outlineLevel="2" thickBot="1">
      <c r="E189" s="83" t="s">
        <v>287</v>
      </c>
      <c r="F189" s="23"/>
      <c r="G189" s="65">
        <v>44700</v>
      </c>
      <c r="H189" s="19"/>
      <c r="I189" s="19"/>
      <c r="J189" s="19"/>
      <c r="L189" s="4"/>
      <c r="M189" s="4"/>
    </row>
    <row r="190" spans="1:13" ht="13.5" hidden="1" outlineLevel="2" thickBot="1">
      <c r="E190" s="83" t="s">
        <v>288</v>
      </c>
      <c r="F190" s="23"/>
      <c r="G190" s="65">
        <v>21000</v>
      </c>
      <c r="H190" s="19"/>
      <c r="I190" s="19"/>
      <c r="J190" s="19"/>
      <c r="L190" s="4"/>
      <c r="M190" s="4"/>
    </row>
    <row r="191" spans="1:13" ht="13.5" hidden="1" outlineLevel="2" thickBot="1">
      <c r="E191" s="83" t="s">
        <v>289</v>
      </c>
      <c r="F191" s="23"/>
      <c r="G191" s="65">
        <v>17600</v>
      </c>
      <c r="H191" s="19"/>
      <c r="I191" s="19"/>
      <c r="J191" s="19"/>
      <c r="L191" s="4"/>
      <c r="M191" s="4"/>
    </row>
    <row r="192" spans="1:13" ht="13.5" outlineLevel="2" thickBot="1">
      <c r="E192" s="83" t="s">
        <v>175</v>
      </c>
      <c r="F192" s="23" t="s">
        <v>270</v>
      </c>
      <c r="G192" s="65"/>
      <c r="H192" s="19">
        <f>0.05*SUM(H182:H188)</f>
        <v>1530</v>
      </c>
      <c r="I192" s="19">
        <f t="shared" si="14"/>
        <v>1530</v>
      </c>
      <c r="J192" s="19"/>
      <c r="L192" s="4"/>
      <c r="M192" s="4"/>
    </row>
    <row r="193" spans="1:13" ht="13.5" outlineLevel="2" thickBot="1">
      <c r="E193" s="83"/>
      <c r="F193" s="23"/>
      <c r="G193" s="65"/>
      <c r="H193" s="19"/>
      <c r="I193" s="19"/>
      <c r="J193" s="19"/>
      <c r="L193" s="4"/>
      <c r="M193" s="4"/>
    </row>
    <row r="194" spans="1:13" s="20" customFormat="1" ht="13.5" outlineLevel="1" thickBot="1">
      <c r="A194" s="20" t="s">
        <v>290</v>
      </c>
      <c r="B194" s="20" t="s">
        <v>1340</v>
      </c>
      <c r="C194" s="20" t="s">
        <v>191</v>
      </c>
      <c r="D194" s="20" t="s">
        <v>273</v>
      </c>
      <c r="E194" s="83" t="s">
        <v>1019</v>
      </c>
      <c r="F194" s="23"/>
      <c r="G194" s="85" t="s">
        <v>1360</v>
      </c>
      <c r="H194" s="86">
        <f>SUBTOTAL(9,H182:H193)</f>
        <v>32130</v>
      </c>
      <c r="I194" s="86">
        <f>SUBTOTAL(9,I182:I193)</f>
        <v>28830</v>
      </c>
      <c r="J194" s="86">
        <f>SUBTOTAL(9,J182:J193)</f>
        <v>3300</v>
      </c>
    </row>
    <row r="195" spans="1:13" s="20" customFormat="1" ht="13.5" outlineLevel="1" thickBot="1">
      <c r="A195" s="4" t="s">
        <v>291</v>
      </c>
      <c r="B195" s="4" t="s">
        <v>1340</v>
      </c>
      <c r="C195" s="4" t="s">
        <v>191</v>
      </c>
      <c r="D195" s="4" t="s">
        <v>869</v>
      </c>
      <c r="E195" s="159" t="s">
        <v>869</v>
      </c>
      <c r="F195" s="146"/>
      <c r="G195" s="147"/>
      <c r="H195" s="87"/>
      <c r="I195" s="87"/>
      <c r="J195" s="87"/>
    </row>
    <row r="196" spans="1:13" ht="13.5" hidden="1" outlineLevel="2" thickBot="1">
      <c r="A196" s="4" t="str">
        <f t="shared" ref="A196:A202" si="15">B196&amp;C196&amp;D196</f>
        <v>O&amp;M Mobilization BudgetProcurement ExpensesVehicles &amp; Mobile Equipment</v>
      </c>
      <c r="B196" s="4" t="s">
        <v>1340</v>
      </c>
      <c r="C196" s="4" t="s">
        <v>191</v>
      </c>
      <c r="D196" s="4" t="s">
        <v>869</v>
      </c>
      <c r="E196" s="83" t="s">
        <v>292</v>
      </c>
      <c r="F196" s="23" t="s">
        <v>293</v>
      </c>
      <c r="G196" s="65" t="s">
        <v>294</v>
      </c>
      <c r="H196" s="19">
        <v>0</v>
      </c>
      <c r="I196" s="19">
        <f t="shared" ref="I196:I211" si="16">H196-J196</f>
        <v>0</v>
      </c>
      <c r="J196" s="19"/>
      <c r="L196" s="4"/>
      <c r="M196" s="4"/>
    </row>
    <row r="197" spans="1:13" ht="13.5" outlineLevel="2" thickBot="1">
      <c r="A197" s="4" t="str">
        <f t="shared" si="15"/>
        <v>O&amp;M Mobilization BudgetProcurement ExpensesVehicles &amp; Mobile Equipment</v>
      </c>
      <c r="B197" s="4" t="s">
        <v>1340</v>
      </c>
      <c r="C197" s="4" t="s">
        <v>191</v>
      </c>
      <c r="D197" s="4" t="s">
        <v>869</v>
      </c>
      <c r="E197" s="83" t="s">
        <v>295</v>
      </c>
      <c r="F197" s="23" t="s">
        <v>454</v>
      </c>
      <c r="G197" s="65" t="s">
        <v>906</v>
      </c>
      <c r="H197" s="19">
        <f>9*600</f>
        <v>5400</v>
      </c>
      <c r="I197" s="19">
        <f t="shared" si="16"/>
        <v>5400</v>
      </c>
      <c r="J197" s="19"/>
      <c r="L197" s="4"/>
      <c r="M197" s="4"/>
    </row>
    <row r="198" spans="1:13" ht="13.5" hidden="1" outlineLevel="2" thickBot="1">
      <c r="E198" s="83" t="s">
        <v>297</v>
      </c>
      <c r="F198" s="23" t="s">
        <v>296</v>
      </c>
      <c r="G198" s="65" t="s">
        <v>298</v>
      </c>
      <c r="H198" s="19">
        <v>0</v>
      </c>
      <c r="I198" s="19">
        <f t="shared" si="16"/>
        <v>0</v>
      </c>
      <c r="J198" s="19"/>
      <c r="L198" s="4"/>
      <c r="M198" s="4"/>
    </row>
    <row r="199" spans="1:13" ht="13.5" hidden="1" outlineLevel="2" thickBot="1">
      <c r="A199" s="4" t="str">
        <f t="shared" si="15"/>
        <v>O&amp;M Mobilization BudgetProcurement ExpensesVehicles &amp; Mobile Equipment</v>
      </c>
      <c r="B199" s="4" t="s">
        <v>1340</v>
      </c>
      <c r="C199" s="4" t="s">
        <v>191</v>
      </c>
      <c r="D199" s="4" t="s">
        <v>869</v>
      </c>
      <c r="E199" s="83" t="s">
        <v>299</v>
      </c>
      <c r="F199" s="23" t="s">
        <v>296</v>
      </c>
      <c r="G199" s="65" t="s">
        <v>300</v>
      </c>
      <c r="H199" s="19">
        <v>0</v>
      </c>
      <c r="I199" s="19">
        <f t="shared" si="16"/>
        <v>0</v>
      </c>
      <c r="J199" s="19"/>
      <c r="L199" s="4"/>
      <c r="M199" s="4"/>
    </row>
    <row r="200" spans="1:13" ht="13.5" outlineLevel="2" thickBot="1">
      <c r="E200" s="83" t="s">
        <v>301</v>
      </c>
      <c r="F200" s="23" t="s">
        <v>454</v>
      </c>
      <c r="G200" s="65" t="s">
        <v>907</v>
      </c>
      <c r="H200" s="19">
        <f>9*500</f>
        <v>4500</v>
      </c>
      <c r="I200" s="19">
        <f t="shared" si="16"/>
        <v>4500</v>
      </c>
      <c r="J200" s="19"/>
      <c r="L200" s="4"/>
      <c r="M200" s="4"/>
    </row>
    <row r="201" spans="1:13" ht="13.5" hidden="1" outlineLevel="2" thickBot="1">
      <c r="E201" s="83" t="s">
        <v>302</v>
      </c>
      <c r="F201" s="23" t="s">
        <v>296</v>
      </c>
      <c r="G201" s="65" t="s">
        <v>303</v>
      </c>
      <c r="H201" s="19">
        <v>0</v>
      </c>
      <c r="I201" s="19">
        <f t="shared" si="16"/>
        <v>0</v>
      </c>
      <c r="J201" s="19"/>
      <c r="L201" s="4"/>
      <c r="M201" s="4"/>
    </row>
    <row r="202" spans="1:13" ht="13.5" hidden="1" outlineLevel="2" thickBot="1">
      <c r="A202" s="4" t="str">
        <f t="shared" si="15"/>
        <v>O&amp;M Mobilization BudgetProcurement ExpensesVehicles &amp; Mobile Equipment</v>
      </c>
      <c r="B202" s="4" t="s">
        <v>1340</v>
      </c>
      <c r="C202" s="4" t="s">
        <v>191</v>
      </c>
      <c r="D202" s="4" t="s">
        <v>869</v>
      </c>
      <c r="E202" s="83" t="s">
        <v>304</v>
      </c>
      <c r="F202" s="23" t="s">
        <v>305</v>
      </c>
      <c r="G202" s="65" t="s">
        <v>306</v>
      </c>
      <c r="H202" s="19">
        <v>0</v>
      </c>
      <c r="I202" s="19">
        <f t="shared" si="16"/>
        <v>0</v>
      </c>
      <c r="J202" s="19">
        <f>H202</f>
        <v>0</v>
      </c>
      <c r="L202" s="4"/>
      <c r="M202" s="4"/>
    </row>
    <row r="203" spans="1:13" ht="13.5" outlineLevel="2" thickBot="1">
      <c r="E203" s="83" t="s">
        <v>307</v>
      </c>
      <c r="F203" s="23" t="s">
        <v>455</v>
      </c>
      <c r="G203" s="65" t="s">
        <v>308</v>
      </c>
      <c r="H203" s="19">
        <f>2*1000</f>
        <v>2000</v>
      </c>
      <c r="I203" s="19">
        <f t="shared" si="16"/>
        <v>2000</v>
      </c>
      <c r="J203" s="19"/>
      <c r="L203" s="4"/>
      <c r="M203" s="4"/>
    </row>
    <row r="204" spans="1:13" ht="13.5" hidden="1" outlineLevel="2" thickBot="1">
      <c r="E204" s="83" t="s">
        <v>309</v>
      </c>
      <c r="F204" s="23"/>
      <c r="G204" s="65"/>
      <c r="H204" s="19">
        <v>0</v>
      </c>
      <c r="I204" s="19">
        <f t="shared" si="16"/>
        <v>0</v>
      </c>
      <c r="J204" s="19"/>
      <c r="L204" s="4"/>
      <c r="M204" s="4"/>
    </row>
    <row r="205" spans="1:13" ht="13.5" hidden="1" outlineLevel="2" thickBot="1">
      <c r="E205" s="83" t="s">
        <v>310</v>
      </c>
      <c r="F205" s="23" t="s">
        <v>296</v>
      </c>
      <c r="G205" s="65" t="s">
        <v>311</v>
      </c>
      <c r="H205" s="19">
        <v>0</v>
      </c>
      <c r="I205" s="19">
        <f t="shared" si="16"/>
        <v>0</v>
      </c>
      <c r="J205" s="19"/>
      <c r="L205" s="4"/>
      <c r="M205" s="4"/>
    </row>
    <row r="206" spans="1:13" ht="13.5" hidden="1" outlineLevel="2" thickBot="1">
      <c r="E206" s="83" t="s">
        <v>312</v>
      </c>
      <c r="F206" s="23" t="s">
        <v>296</v>
      </c>
      <c r="G206" s="65" t="s">
        <v>313</v>
      </c>
      <c r="H206" s="19">
        <v>0</v>
      </c>
      <c r="I206" s="19">
        <f t="shared" si="16"/>
        <v>0</v>
      </c>
      <c r="J206" s="19"/>
      <c r="L206" s="4"/>
      <c r="M206" s="4"/>
    </row>
    <row r="207" spans="1:13" ht="13.5" hidden="1" outlineLevel="2" thickBot="1">
      <c r="E207" s="83" t="s">
        <v>314</v>
      </c>
      <c r="F207" s="23" t="s">
        <v>296</v>
      </c>
      <c r="G207" s="65" t="s">
        <v>315</v>
      </c>
      <c r="H207" s="19">
        <v>0</v>
      </c>
      <c r="I207" s="19">
        <f t="shared" si="16"/>
        <v>0</v>
      </c>
      <c r="J207" s="19"/>
      <c r="L207" s="4"/>
      <c r="M207" s="4"/>
    </row>
    <row r="208" spans="1:13" ht="13.5" outlineLevel="2" thickBot="1">
      <c r="A208" s="4" t="str">
        <f>B208&amp;C208&amp;D208</f>
        <v>O&amp;M Mobilization BudgetProcurement ExpensesVehicles &amp; Mobile Equipment</v>
      </c>
      <c r="B208" s="4" t="s">
        <v>1340</v>
      </c>
      <c r="C208" s="4" t="s">
        <v>191</v>
      </c>
      <c r="D208" s="4" t="s">
        <v>869</v>
      </c>
      <c r="E208" s="83" t="s">
        <v>316</v>
      </c>
      <c r="F208" s="23" t="s">
        <v>296</v>
      </c>
      <c r="G208" s="65" t="s">
        <v>317</v>
      </c>
      <c r="H208" s="19">
        <v>0</v>
      </c>
      <c r="I208" s="19">
        <f t="shared" si="16"/>
        <v>0</v>
      </c>
      <c r="J208" s="19"/>
      <c r="L208" s="4"/>
      <c r="M208" s="4"/>
    </row>
    <row r="209" spans="1:13" ht="13.5" hidden="1" outlineLevel="2" thickBot="1">
      <c r="E209" s="83" t="s">
        <v>318</v>
      </c>
      <c r="F209" s="23" t="s">
        <v>296</v>
      </c>
      <c r="G209" s="65" t="s">
        <v>319</v>
      </c>
      <c r="H209" s="19">
        <v>0</v>
      </c>
      <c r="I209" s="19">
        <f t="shared" si="16"/>
        <v>0</v>
      </c>
      <c r="J209" s="19"/>
      <c r="L209" s="4"/>
      <c r="M209" s="4"/>
    </row>
    <row r="210" spans="1:13" ht="13.5" hidden="1" outlineLevel="2" thickBot="1">
      <c r="E210" s="83" t="s">
        <v>320</v>
      </c>
      <c r="F210" s="23" t="s">
        <v>321</v>
      </c>
      <c r="G210" s="65" t="s">
        <v>322</v>
      </c>
      <c r="H210" s="19">
        <v>0</v>
      </c>
      <c r="I210" s="19">
        <f t="shared" si="16"/>
        <v>0</v>
      </c>
      <c r="J210" s="19"/>
      <c r="L210" s="4"/>
      <c r="M210" s="4"/>
    </row>
    <row r="211" spans="1:13" ht="13.5" outlineLevel="2" thickBot="1">
      <c r="E211" s="83" t="s">
        <v>175</v>
      </c>
      <c r="F211" s="23" t="s">
        <v>270</v>
      </c>
      <c r="G211" s="65"/>
      <c r="H211" s="19">
        <f>0.05*SUM(H196:H209)</f>
        <v>595</v>
      </c>
      <c r="I211" s="19">
        <f t="shared" si="16"/>
        <v>595</v>
      </c>
      <c r="J211" s="19"/>
      <c r="L211" s="4"/>
      <c r="M211" s="4"/>
    </row>
    <row r="212" spans="1:13" ht="13.5" outlineLevel="2" thickBot="1">
      <c r="E212" s="83"/>
      <c r="F212" s="23"/>
      <c r="G212" s="65"/>
      <c r="H212" s="19"/>
      <c r="I212" s="19"/>
      <c r="J212" s="19"/>
      <c r="L212" s="4"/>
      <c r="M212" s="4"/>
    </row>
    <row r="213" spans="1:13" s="20" customFormat="1" ht="13.5" outlineLevel="1" thickBot="1">
      <c r="A213" s="20" t="s">
        <v>458</v>
      </c>
      <c r="B213" s="20" t="s">
        <v>1340</v>
      </c>
      <c r="C213" s="20" t="s">
        <v>191</v>
      </c>
      <c r="D213" s="20" t="s">
        <v>869</v>
      </c>
      <c r="E213" s="83" t="s">
        <v>459</v>
      </c>
      <c r="F213" s="23"/>
      <c r="G213" s="85" t="s">
        <v>1360</v>
      </c>
      <c r="H213" s="86">
        <f>SUBTOTAL(9,H196:H212)</f>
        <v>12495</v>
      </c>
      <c r="I213" s="86">
        <f>SUBTOTAL(9,I196:I212)</f>
        <v>12495</v>
      </c>
      <c r="J213" s="86">
        <f>SUBTOTAL(9,J196:J212)</f>
        <v>0</v>
      </c>
    </row>
    <row r="214" spans="1:13" s="20" customFormat="1" ht="13.5" outlineLevel="1" thickBot="1">
      <c r="A214" s="4" t="s">
        <v>460</v>
      </c>
      <c r="B214" s="4" t="s">
        <v>1340</v>
      </c>
      <c r="C214" s="4" t="s">
        <v>191</v>
      </c>
      <c r="D214" s="4" t="s">
        <v>711</v>
      </c>
      <c r="E214" s="159" t="s">
        <v>711</v>
      </c>
      <c r="F214" s="146"/>
      <c r="G214" s="147"/>
      <c r="H214" s="87"/>
      <c r="I214" s="87"/>
      <c r="J214" s="87"/>
    </row>
    <row r="215" spans="1:13" ht="13.5" outlineLevel="2" thickBot="1">
      <c r="A215" s="4" t="str">
        <f>B215&amp;C215&amp;D215</f>
        <v>O&amp;M Mobilization BudgetProcurement ExpensesWarehouse Furnishings &amp; Equipment</v>
      </c>
      <c r="B215" s="4" t="s">
        <v>1340</v>
      </c>
      <c r="C215" s="4" t="s">
        <v>191</v>
      </c>
      <c r="D215" s="4" t="s">
        <v>711</v>
      </c>
      <c r="E215" s="83" t="s">
        <v>461</v>
      </c>
      <c r="F215" s="23" t="s">
        <v>462</v>
      </c>
      <c r="G215" s="65"/>
      <c r="H215" s="19">
        <v>14000</v>
      </c>
      <c r="I215" s="19">
        <f>H215-J215</f>
        <v>14000</v>
      </c>
      <c r="J215" s="19"/>
      <c r="L215" s="4"/>
      <c r="M215" s="4"/>
    </row>
    <row r="216" spans="1:13" ht="13.5" outlineLevel="2" thickBot="1">
      <c r="A216" s="4" t="str">
        <f>B216&amp;C216&amp;D216</f>
        <v>O&amp;M Mobilization BudgetProcurement ExpensesWarehouse Furnishings &amp; Equipment</v>
      </c>
      <c r="B216" s="4" t="s">
        <v>1340</v>
      </c>
      <c r="C216" s="4" t="s">
        <v>191</v>
      </c>
      <c r="D216" s="4" t="s">
        <v>711</v>
      </c>
      <c r="E216" s="83" t="s">
        <v>463</v>
      </c>
      <c r="F216" s="23" t="s">
        <v>464</v>
      </c>
      <c r="G216" s="65"/>
      <c r="H216" s="19">
        <v>3000</v>
      </c>
      <c r="I216" s="19">
        <f>H216-J216</f>
        <v>3000</v>
      </c>
      <c r="J216" s="19"/>
      <c r="L216" s="4"/>
      <c r="M216" s="4"/>
    </row>
    <row r="217" spans="1:13" ht="14.25" customHeight="1" outlineLevel="2" thickBot="1">
      <c r="A217" s="4" t="str">
        <f>B217&amp;C217&amp;D217</f>
        <v>O&amp;M Mobilization BudgetProcurement ExpensesWarehouse Furnishings &amp; Equipment</v>
      </c>
      <c r="B217" s="4" t="s">
        <v>1340</v>
      </c>
      <c r="C217" s="4" t="s">
        <v>191</v>
      </c>
      <c r="D217" s="4" t="s">
        <v>711</v>
      </c>
      <c r="E217" s="83" t="s">
        <v>465</v>
      </c>
      <c r="F217" s="23" t="s">
        <v>466</v>
      </c>
      <c r="G217" s="65"/>
      <c r="H217" s="19">
        <v>2000</v>
      </c>
      <c r="I217" s="19">
        <f>H217-J217</f>
        <v>2000</v>
      </c>
      <c r="J217" s="19"/>
      <c r="L217" s="4"/>
      <c r="M217" s="4"/>
    </row>
    <row r="218" spans="1:13" ht="13.5" outlineLevel="2" thickBot="1">
      <c r="A218" s="4" t="str">
        <f>B218&amp;C218&amp;D218</f>
        <v>O&amp;M Mobilization BudgetProcurement ExpensesWarehouse Furnishings &amp; Equipment</v>
      </c>
      <c r="B218" s="4" t="s">
        <v>1340</v>
      </c>
      <c r="C218" s="4" t="s">
        <v>191</v>
      </c>
      <c r="D218" s="4" t="s">
        <v>711</v>
      </c>
      <c r="E218" s="83" t="s">
        <v>467</v>
      </c>
      <c r="F218" s="23"/>
      <c r="G218" s="65"/>
      <c r="H218" s="19">
        <v>1000</v>
      </c>
      <c r="I218" s="19">
        <f>H218-J218</f>
        <v>1000</v>
      </c>
      <c r="J218" s="19"/>
      <c r="L218" s="4"/>
      <c r="M218" s="4"/>
    </row>
    <row r="219" spans="1:13" ht="13.5" outlineLevel="2" thickBot="1">
      <c r="E219" s="83" t="s">
        <v>175</v>
      </c>
      <c r="F219" s="23" t="s">
        <v>270</v>
      </c>
      <c r="G219" s="65"/>
      <c r="H219" s="19">
        <f>0.05*SUM(H215:H218)</f>
        <v>1000</v>
      </c>
      <c r="I219" s="19">
        <f>H219-J219</f>
        <v>1000</v>
      </c>
      <c r="J219" s="19"/>
      <c r="L219" s="4"/>
      <c r="M219" s="4"/>
    </row>
    <row r="220" spans="1:13" ht="13.5" outlineLevel="2" thickBot="1">
      <c r="E220" s="83"/>
      <c r="F220" s="23"/>
      <c r="G220" s="65"/>
      <c r="H220" s="19"/>
      <c r="I220" s="19"/>
      <c r="J220" s="19"/>
      <c r="L220" s="4"/>
      <c r="M220" s="4"/>
    </row>
    <row r="221" spans="1:13" s="20" customFormat="1" ht="13.5" outlineLevel="1" thickBot="1">
      <c r="A221" s="20" t="s">
        <v>468</v>
      </c>
      <c r="B221" s="20" t="s">
        <v>1340</v>
      </c>
      <c r="C221" s="20" t="s">
        <v>191</v>
      </c>
      <c r="D221" s="20" t="s">
        <v>711</v>
      </c>
      <c r="E221" s="83"/>
      <c r="F221" s="23"/>
      <c r="G221" s="85" t="s">
        <v>1360</v>
      </c>
      <c r="H221" s="86">
        <f>SUBTOTAL(9,H215:H220)</f>
        <v>21000</v>
      </c>
      <c r="I221" s="86">
        <f>SUBTOTAL(9,I215:I220)</f>
        <v>21000</v>
      </c>
      <c r="J221" s="86">
        <f>SUBTOTAL(9,J215:J220)</f>
        <v>0</v>
      </c>
    </row>
    <row r="222" spans="1:13" s="20" customFormat="1" ht="13.5" outlineLevel="1" thickBot="1">
      <c r="A222" s="4" t="s">
        <v>469</v>
      </c>
      <c r="B222" s="4" t="s">
        <v>1340</v>
      </c>
      <c r="C222" s="4" t="s">
        <v>191</v>
      </c>
      <c r="D222" s="4" t="s">
        <v>712</v>
      </c>
      <c r="E222" s="159" t="s">
        <v>712</v>
      </c>
      <c r="F222" s="146"/>
      <c r="G222" s="147"/>
      <c r="H222" s="87"/>
      <c r="I222" s="87"/>
      <c r="J222" s="87"/>
    </row>
    <row r="223" spans="1:13" ht="13.5" outlineLevel="2" thickBot="1">
      <c r="A223" s="4" t="str">
        <f>B223&amp;C223&amp;D223</f>
        <v>O&amp;M Mobilization BudgetProcurement ExpensesLaboratory Equipment</v>
      </c>
      <c r="B223" s="4" t="s">
        <v>1340</v>
      </c>
      <c r="C223" s="4" t="s">
        <v>191</v>
      </c>
      <c r="D223" s="4" t="s">
        <v>712</v>
      </c>
      <c r="E223" s="83" t="s">
        <v>470</v>
      </c>
      <c r="F223" s="23"/>
      <c r="G223" s="65"/>
      <c r="H223" s="19">
        <v>8000</v>
      </c>
      <c r="I223" s="19">
        <f>H223-J223</f>
        <v>0</v>
      </c>
      <c r="J223" s="19">
        <f>H223</f>
        <v>8000</v>
      </c>
      <c r="L223" s="4"/>
      <c r="M223" s="4"/>
    </row>
    <row r="224" spans="1:13" ht="13.5" hidden="1" outlineLevel="2" thickBot="1">
      <c r="E224" s="83" t="s">
        <v>471</v>
      </c>
      <c r="F224" s="23"/>
      <c r="G224" s="65"/>
      <c r="H224" s="19">
        <v>0</v>
      </c>
      <c r="I224" s="19">
        <f>H224-J224</f>
        <v>0</v>
      </c>
      <c r="J224" s="19"/>
      <c r="L224" s="4"/>
      <c r="M224" s="4"/>
    </row>
    <row r="225" spans="1:13" ht="13.5" hidden="1" outlineLevel="2" thickBot="1">
      <c r="E225" s="83" t="s">
        <v>472</v>
      </c>
      <c r="F225" s="23"/>
      <c r="G225" s="65"/>
      <c r="H225" s="19">
        <v>0</v>
      </c>
      <c r="I225" s="19">
        <f>H225-J225</f>
        <v>0</v>
      </c>
      <c r="J225" s="19"/>
      <c r="L225" s="4"/>
      <c r="M225" s="4"/>
    </row>
    <row r="226" spans="1:13" ht="13.5" hidden="1" outlineLevel="2" thickBot="1">
      <c r="E226" s="83" t="s">
        <v>473</v>
      </c>
      <c r="F226" s="23" t="s">
        <v>474</v>
      </c>
      <c r="G226" s="65"/>
      <c r="H226" s="19">
        <v>0</v>
      </c>
      <c r="I226" s="19">
        <f>H226-J226</f>
        <v>0</v>
      </c>
      <c r="J226" s="19">
        <f>H226</f>
        <v>0</v>
      </c>
      <c r="L226" s="4"/>
      <c r="M226" s="4"/>
    </row>
    <row r="227" spans="1:13" ht="13.5" outlineLevel="2" thickBot="1">
      <c r="E227" s="83" t="s">
        <v>175</v>
      </c>
      <c r="F227" s="23" t="s">
        <v>270</v>
      </c>
      <c r="G227" s="65"/>
      <c r="H227" s="19">
        <f>0.05*SUM(H223:H226)</f>
        <v>400</v>
      </c>
      <c r="I227" s="19">
        <f>H227-J227</f>
        <v>0</v>
      </c>
      <c r="J227" s="19">
        <f>H227</f>
        <v>400</v>
      </c>
      <c r="L227" s="4"/>
      <c r="M227" s="4"/>
    </row>
    <row r="228" spans="1:13" ht="13.5" outlineLevel="2" thickBot="1">
      <c r="E228" s="83"/>
      <c r="F228" s="23"/>
      <c r="G228" s="65"/>
      <c r="H228" s="19"/>
      <c r="I228" s="19"/>
      <c r="J228" s="19"/>
      <c r="L228" s="4"/>
      <c r="M228" s="4"/>
    </row>
    <row r="229" spans="1:13" s="20" customFormat="1" ht="13.5" outlineLevel="1" thickBot="1">
      <c r="A229" s="20" t="s">
        <v>475</v>
      </c>
      <c r="B229" s="20" t="s">
        <v>1340</v>
      </c>
      <c r="C229" s="20" t="s">
        <v>191</v>
      </c>
      <c r="D229" s="20" t="s">
        <v>712</v>
      </c>
      <c r="E229" s="83" t="s">
        <v>1019</v>
      </c>
      <c r="F229" s="23"/>
      <c r="G229" s="85" t="s">
        <v>1360</v>
      </c>
      <c r="H229" s="86">
        <f>SUBTOTAL(9,H223:H228)</f>
        <v>8400</v>
      </c>
      <c r="I229" s="86">
        <f>SUBTOTAL(9,I223:I228)</f>
        <v>0</v>
      </c>
      <c r="J229" s="86">
        <f>SUBTOTAL(9,J223:J228)</f>
        <v>8400</v>
      </c>
    </row>
    <row r="230" spans="1:13" s="20" customFormat="1" ht="13.5" outlineLevel="1" thickBot="1">
      <c r="A230" s="4" t="s">
        <v>476</v>
      </c>
      <c r="B230" s="4" t="s">
        <v>1340</v>
      </c>
      <c r="C230" s="4" t="s">
        <v>191</v>
      </c>
      <c r="D230" s="4" t="s">
        <v>713</v>
      </c>
      <c r="E230" s="159" t="s">
        <v>713</v>
      </c>
      <c r="F230" s="146"/>
      <c r="G230" s="147"/>
      <c r="H230" s="87"/>
      <c r="I230" s="87"/>
      <c r="J230" s="87"/>
    </row>
    <row r="231" spans="1:13" ht="13.5" outlineLevel="2" thickBot="1">
      <c r="A231" s="4" t="str">
        <f t="shared" ref="A231:A243" si="17">B231&amp;C231&amp;D231</f>
        <v>O&amp;M Mobilization BudgetProcurement ExpensesShop Tools &amp; Equipment</v>
      </c>
      <c r="B231" s="4" t="s">
        <v>1340</v>
      </c>
      <c r="C231" s="4" t="s">
        <v>191</v>
      </c>
      <c r="D231" s="4" t="s">
        <v>713</v>
      </c>
      <c r="E231" s="311" t="s">
        <v>477</v>
      </c>
      <c r="F231" s="274" t="s">
        <v>478</v>
      </c>
      <c r="G231" s="312" t="s">
        <v>479</v>
      </c>
      <c r="H231" s="254">
        <f>2*1200</f>
        <v>2400</v>
      </c>
      <c r="I231" s="254"/>
      <c r="J231" s="254"/>
      <c r="K231"/>
      <c r="L231"/>
      <c r="M231" s="4"/>
    </row>
    <row r="232" spans="1:13" ht="13.5" outlineLevel="2" thickBot="1">
      <c r="A232" s="4" t="str">
        <f t="shared" si="17"/>
        <v>O&amp;M Mobilization BudgetProcurement ExpensesShop Tools &amp; Equipment</v>
      </c>
      <c r="B232" s="4" t="s">
        <v>1340</v>
      </c>
      <c r="C232" s="4" t="s">
        <v>191</v>
      </c>
      <c r="D232" s="4" t="s">
        <v>713</v>
      </c>
      <c r="E232" s="311" t="s">
        <v>480</v>
      </c>
      <c r="F232" s="274" t="s">
        <v>478</v>
      </c>
      <c r="G232" s="324" t="s">
        <v>481</v>
      </c>
      <c r="H232" s="254">
        <f>1*1500</f>
        <v>1500</v>
      </c>
      <c r="I232" s="254"/>
      <c r="J232" s="254"/>
      <c r="K232"/>
      <c r="L232"/>
      <c r="M232" s="4"/>
    </row>
    <row r="233" spans="1:13" ht="13.5" outlineLevel="2" thickBot="1">
      <c r="A233" s="4" t="str">
        <f t="shared" si="17"/>
        <v>O&amp;M Mobilization BudgetProcurement ExpensesShop Tools &amp; Equipment</v>
      </c>
      <c r="B233" s="4" t="s">
        <v>1340</v>
      </c>
      <c r="C233" s="4" t="s">
        <v>191</v>
      </c>
      <c r="D233" s="4" t="s">
        <v>713</v>
      </c>
      <c r="E233" s="311" t="s">
        <v>482</v>
      </c>
      <c r="F233" s="274"/>
      <c r="G233" s="325">
        <v>8000</v>
      </c>
      <c r="H233" s="254">
        <v>8000</v>
      </c>
      <c r="I233" s="254"/>
      <c r="J233" s="254"/>
      <c r="K233"/>
      <c r="L233"/>
      <c r="M233" s="4"/>
    </row>
    <row r="234" spans="1:13" ht="13.5" outlineLevel="2" thickBot="1">
      <c r="A234" s="4" t="str">
        <f t="shared" si="17"/>
        <v>O&amp;M Mobilization BudgetProcurement ExpensesShop Tools &amp; Equipment</v>
      </c>
      <c r="B234" s="4" t="s">
        <v>1340</v>
      </c>
      <c r="C234" s="4" t="s">
        <v>191</v>
      </c>
      <c r="D234" s="4" t="s">
        <v>713</v>
      </c>
      <c r="E234" s="311" t="s">
        <v>483</v>
      </c>
      <c r="F234" s="274"/>
      <c r="G234" s="312" t="s">
        <v>484</v>
      </c>
      <c r="H234" s="254">
        <f>4*1000</f>
        <v>4000</v>
      </c>
      <c r="I234" s="254"/>
      <c r="J234" s="254"/>
      <c r="K234"/>
      <c r="L234"/>
      <c r="M234" s="4"/>
    </row>
    <row r="235" spans="1:13" ht="13.5" outlineLevel="2" thickBot="1">
      <c r="E235" s="311" t="s">
        <v>485</v>
      </c>
      <c r="F235" s="274"/>
      <c r="G235" s="312" t="s">
        <v>525</v>
      </c>
      <c r="H235" s="254">
        <v>900</v>
      </c>
      <c r="I235" s="254"/>
      <c r="J235" s="254"/>
      <c r="K235"/>
      <c r="L235"/>
      <c r="M235" s="4"/>
    </row>
    <row r="236" spans="1:13" ht="13.5" outlineLevel="2" thickBot="1">
      <c r="A236" s="4" t="str">
        <f t="shared" si="17"/>
        <v>O&amp;M Mobilization BudgetProcurement ExpensesShop Tools &amp; Equipment</v>
      </c>
      <c r="B236" s="4" t="s">
        <v>1340</v>
      </c>
      <c r="C236" s="4" t="s">
        <v>191</v>
      </c>
      <c r="D236" s="4" t="s">
        <v>713</v>
      </c>
      <c r="E236" s="311" t="s">
        <v>486</v>
      </c>
      <c r="F236" s="313" t="s">
        <v>487</v>
      </c>
      <c r="G236" s="314" t="s">
        <v>479</v>
      </c>
      <c r="H236" s="254">
        <v>1200</v>
      </c>
      <c r="I236" s="254"/>
      <c r="J236" s="254"/>
      <c r="K236"/>
      <c r="L236"/>
      <c r="M236" s="4"/>
    </row>
    <row r="237" spans="1:13" ht="13.5" hidden="1" outlineLevel="2" thickBot="1">
      <c r="A237" s="4" t="str">
        <f t="shared" si="17"/>
        <v>O&amp;M Mobilization BudgetProcurement ExpensesShop Tools &amp; Equipment</v>
      </c>
      <c r="B237" s="4" t="s">
        <v>1340</v>
      </c>
      <c r="C237" s="4" t="s">
        <v>191</v>
      </c>
      <c r="D237" s="4" t="s">
        <v>713</v>
      </c>
      <c r="E237" s="311"/>
      <c r="F237" s="313" t="s">
        <v>488</v>
      </c>
      <c r="G237" s="314" t="s">
        <v>489</v>
      </c>
      <c r="H237" s="254">
        <v>0</v>
      </c>
      <c r="I237" s="254"/>
      <c r="J237" s="254"/>
      <c r="K237"/>
      <c r="L237"/>
      <c r="M237" s="4"/>
    </row>
    <row r="238" spans="1:13" ht="13.5" hidden="1" outlineLevel="2" thickBot="1">
      <c r="A238" s="4" t="str">
        <f t="shared" si="17"/>
        <v>O&amp;M Mobilization BudgetProcurement ExpensesShop Tools &amp; Equipment</v>
      </c>
      <c r="B238" s="4" t="s">
        <v>1340</v>
      </c>
      <c r="C238" s="4" t="s">
        <v>191</v>
      </c>
      <c r="D238" s="4" t="s">
        <v>713</v>
      </c>
      <c r="E238" s="311"/>
      <c r="F238" s="313" t="s">
        <v>515</v>
      </c>
      <c r="G238" s="314" t="s">
        <v>516</v>
      </c>
      <c r="H238" s="254">
        <v>0</v>
      </c>
      <c r="I238" s="254"/>
      <c r="J238" s="254"/>
      <c r="K238"/>
      <c r="L238"/>
      <c r="M238" s="4"/>
    </row>
    <row r="239" spans="1:13" ht="13.5" hidden="1" outlineLevel="2" thickBot="1">
      <c r="E239" s="315"/>
      <c r="F239" s="316" t="s">
        <v>517</v>
      </c>
      <c r="G239" s="317" t="s">
        <v>518</v>
      </c>
      <c r="H239" s="254">
        <v>0</v>
      </c>
      <c r="I239" s="254"/>
      <c r="J239" s="254"/>
      <c r="K239"/>
      <c r="L239"/>
      <c r="M239" s="4"/>
    </row>
    <row r="240" spans="1:13" ht="13.5" outlineLevel="2" thickBot="1">
      <c r="E240" s="318"/>
      <c r="F240" s="316" t="s">
        <v>519</v>
      </c>
      <c r="G240" s="317" t="s">
        <v>520</v>
      </c>
      <c r="H240" s="254">
        <v>2500</v>
      </c>
      <c r="I240" s="254"/>
      <c r="J240" s="254"/>
      <c r="K240"/>
      <c r="L240"/>
      <c r="M240" s="4"/>
    </row>
    <row r="241" spans="1:13" ht="13.5" outlineLevel="2" thickBot="1">
      <c r="E241" s="318"/>
      <c r="F241" s="316" t="s">
        <v>521</v>
      </c>
      <c r="G241" s="317" t="s">
        <v>484</v>
      </c>
      <c r="H241" s="254">
        <v>1000</v>
      </c>
      <c r="I241" s="254"/>
      <c r="J241" s="254"/>
      <c r="K241"/>
      <c r="L241"/>
      <c r="M241" s="4"/>
    </row>
    <row r="242" spans="1:13" ht="13.5" hidden="1" outlineLevel="2" thickBot="1">
      <c r="E242" s="311"/>
      <c r="F242" s="316" t="s">
        <v>522</v>
      </c>
      <c r="G242" s="317" t="s">
        <v>523</v>
      </c>
      <c r="H242" s="254">
        <v>0</v>
      </c>
      <c r="I242" s="254"/>
      <c r="J242" s="254"/>
      <c r="K242"/>
      <c r="L242"/>
      <c r="M242" s="4"/>
    </row>
    <row r="243" spans="1:13" ht="13.5" hidden="1" outlineLevel="2" thickBot="1">
      <c r="A243" s="4" t="str">
        <f t="shared" si="17"/>
        <v>O&amp;M Mobilization BudgetProcurement ExpensesShop Tools &amp; Equipment</v>
      </c>
      <c r="B243" s="4" t="s">
        <v>1340</v>
      </c>
      <c r="C243" s="4" t="s">
        <v>191</v>
      </c>
      <c r="D243" s="4" t="s">
        <v>713</v>
      </c>
      <c r="E243" s="311"/>
      <c r="F243" s="316" t="s">
        <v>524</v>
      </c>
      <c r="G243" s="317" t="s">
        <v>525</v>
      </c>
      <c r="H243" s="254">
        <v>0</v>
      </c>
      <c r="I243" s="254"/>
      <c r="J243" s="254"/>
      <c r="K243"/>
      <c r="L243"/>
      <c r="M243" s="4"/>
    </row>
    <row r="244" spans="1:13" ht="13.5" outlineLevel="2" thickBot="1">
      <c r="E244" s="311"/>
      <c r="F244" s="316" t="s">
        <v>526</v>
      </c>
      <c r="G244" s="317" t="s">
        <v>527</v>
      </c>
      <c r="H244" s="254">
        <v>600</v>
      </c>
      <c r="I244" s="254"/>
      <c r="J244" s="254"/>
      <c r="K244"/>
      <c r="L244"/>
      <c r="M244" s="4"/>
    </row>
    <row r="245" spans="1:13" ht="13.5" outlineLevel="2" thickBot="1">
      <c r="E245" s="318"/>
      <c r="F245" s="316" t="s">
        <v>528</v>
      </c>
      <c r="G245" s="317" t="s">
        <v>529</v>
      </c>
      <c r="H245" s="254">
        <v>1400</v>
      </c>
      <c r="I245" s="254"/>
      <c r="J245" s="254"/>
      <c r="K245"/>
      <c r="L245"/>
      <c r="M245" s="4"/>
    </row>
    <row r="246" spans="1:13" s="20" customFormat="1" ht="13.5" hidden="1" outlineLevel="1" thickBot="1">
      <c r="A246" s="20" t="s">
        <v>530</v>
      </c>
      <c r="B246" s="20" t="s">
        <v>1340</v>
      </c>
      <c r="C246" s="20" t="s">
        <v>191</v>
      </c>
      <c r="D246" s="20" t="s">
        <v>713</v>
      </c>
      <c r="E246" s="318"/>
      <c r="F246" s="316" t="s">
        <v>531</v>
      </c>
      <c r="G246" s="317" t="s">
        <v>479</v>
      </c>
      <c r="H246" s="254">
        <v>0</v>
      </c>
      <c r="I246" s="254"/>
      <c r="J246" s="254"/>
      <c r="K246"/>
      <c r="L246"/>
    </row>
    <row r="247" spans="1:13" s="20" customFormat="1" ht="13.5" outlineLevel="1" thickBot="1">
      <c r="A247" s="4" t="s">
        <v>532</v>
      </c>
      <c r="B247" s="4" t="s">
        <v>1340</v>
      </c>
      <c r="C247" s="4" t="s">
        <v>191</v>
      </c>
      <c r="D247" s="4" t="s">
        <v>714</v>
      </c>
      <c r="E247" s="318"/>
      <c r="F247" s="316" t="s">
        <v>533</v>
      </c>
      <c r="G247" s="317" t="s">
        <v>534</v>
      </c>
      <c r="H247" s="254">
        <v>160</v>
      </c>
      <c r="I247" s="254"/>
      <c r="J247" s="254"/>
      <c r="K247"/>
      <c r="L247"/>
    </row>
    <row r="248" spans="1:13" ht="13.5" outlineLevel="2" thickBot="1">
      <c r="A248" s="4" t="str">
        <f>B248&amp;C248&amp;D248</f>
        <v>O&amp;M Mobilization BudgetProcurement ExpensesChemicals, Lubricants, Hydraulic Fluids</v>
      </c>
      <c r="B248" s="4" t="s">
        <v>1340</v>
      </c>
      <c r="C248" s="4" t="s">
        <v>191</v>
      </c>
      <c r="D248" s="4" t="s">
        <v>714</v>
      </c>
      <c r="E248" s="318"/>
      <c r="F248" s="316" t="s">
        <v>535</v>
      </c>
      <c r="G248" s="317" t="s">
        <v>536</v>
      </c>
      <c r="H248" s="254">
        <f>250*6</f>
        <v>1500</v>
      </c>
      <c r="I248" s="254"/>
      <c r="J248" s="254"/>
      <c r="K248"/>
      <c r="L248"/>
      <c r="M248" s="4"/>
    </row>
    <row r="249" spans="1:13" ht="13.5" outlineLevel="2" thickBot="1">
      <c r="A249" s="4" t="str">
        <f>B249&amp;C249&amp;D249</f>
        <v>O&amp;M Mobilization BudgetProcurement ExpensesChemicals, Lubricants, Hydraulic Fluids</v>
      </c>
      <c r="B249" s="4" t="s">
        <v>1340</v>
      </c>
      <c r="C249" s="4" t="s">
        <v>191</v>
      </c>
      <c r="D249" s="4" t="s">
        <v>714</v>
      </c>
      <c r="E249" s="311"/>
      <c r="F249" s="316" t="s">
        <v>537</v>
      </c>
      <c r="G249" s="317" t="s">
        <v>538</v>
      </c>
      <c r="H249" s="254">
        <v>300</v>
      </c>
      <c r="I249" s="254"/>
      <c r="J249" s="254"/>
      <c r="K249"/>
      <c r="L249"/>
      <c r="M249" s="4"/>
    </row>
    <row r="250" spans="1:13" ht="13.5" outlineLevel="2" thickBot="1">
      <c r="E250" s="311"/>
      <c r="F250" s="316" t="s">
        <v>539</v>
      </c>
      <c r="G250" s="317" t="s">
        <v>484</v>
      </c>
      <c r="H250" s="254">
        <v>1000</v>
      </c>
      <c r="I250" s="254"/>
      <c r="J250" s="254"/>
      <c r="K250"/>
      <c r="L250"/>
      <c r="M250" s="4"/>
    </row>
    <row r="251" spans="1:13" ht="13.5" outlineLevel="2" thickBot="1">
      <c r="E251" s="311"/>
      <c r="F251" s="316" t="s">
        <v>540</v>
      </c>
      <c r="G251" s="317" t="s">
        <v>541</v>
      </c>
      <c r="H251" s="254">
        <v>400</v>
      </c>
      <c r="I251" s="254"/>
      <c r="J251" s="254"/>
      <c r="K251"/>
      <c r="L251"/>
      <c r="M251" s="4"/>
    </row>
    <row r="252" spans="1:13" s="20" customFormat="1" ht="13.5" outlineLevel="1" thickBot="1">
      <c r="A252" s="20" t="s">
        <v>542</v>
      </c>
      <c r="B252" s="20" t="s">
        <v>1340</v>
      </c>
      <c r="C252" s="20" t="s">
        <v>191</v>
      </c>
      <c r="D252" s="20" t="s">
        <v>714</v>
      </c>
      <c r="E252" s="311"/>
      <c r="F252" s="316" t="s">
        <v>543</v>
      </c>
      <c r="G252" s="317" t="s">
        <v>544</v>
      </c>
      <c r="H252" s="254">
        <v>2375</v>
      </c>
      <c r="I252" s="254"/>
      <c r="J252" s="254"/>
      <c r="K252"/>
      <c r="L252"/>
    </row>
    <row r="253" spans="1:13" s="20" customFormat="1" ht="13.5" outlineLevel="1" thickBot="1">
      <c r="A253" s="4" t="s">
        <v>545</v>
      </c>
      <c r="B253" s="4" t="s">
        <v>1340</v>
      </c>
      <c r="C253" s="4" t="s">
        <v>1304</v>
      </c>
      <c r="D253" s="4"/>
      <c r="E253" s="311"/>
      <c r="F253" s="316" t="s">
        <v>546</v>
      </c>
      <c r="G253" s="317" t="s">
        <v>547</v>
      </c>
      <c r="H253" s="254">
        <v>3100</v>
      </c>
      <c r="I253" s="254"/>
      <c r="J253" s="254"/>
      <c r="K253"/>
      <c r="L253"/>
    </row>
    <row r="254" spans="1:13" ht="13.5" hidden="1" outlineLevel="2" thickBot="1">
      <c r="A254" s="4" t="str">
        <f>B254&amp;C254&amp;D254</f>
        <v>O&amp;M Mobilization BudgetO&amp;M Mobilization Fee</v>
      </c>
      <c r="B254" s="4" t="s">
        <v>1340</v>
      </c>
      <c r="C254" s="4" t="s">
        <v>1304</v>
      </c>
      <c r="E254" s="311"/>
      <c r="F254" s="316" t="s">
        <v>548</v>
      </c>
      <c r="G254" s="317" t="s">
        <v>549</v>
      </c>
      <c r="H254" s="254">
        <v>0</v>
      </c>
      <c r="I254" s="254"/>
      <c r="J254" s="254"/>
      <c r="K254"/>
      <c r="L254"/>
      <c r="M254" s="4"/>
    </row>
    <row r="255" spans="1:13" ht="13.5" outlineLevel="2" thickBot="1">
      <c r="E255" s="311"/>
      <c r="F255" s="316" t="s">
        <v>550</v>
      </c>
      <c r="G255" s="317" t="s">
        <v>536</v>
      </c>
      <c r="H255" s="254">
        <v>250</v>
      </c>
      <c r="I255" s="254"/>
      <c r="J255" s="254"/>
      <c r="K255"/>
      <c r="L255"/>
      <c r="M255" s="4"/>
    </row>
    <row r="256" spans="1:13" ht="13.5" outlineLevel="2" thickBot="1">
      <c r="E256" s="311"/>
      <c r="F256" s="316" t="s">
        <v>551</v>
      </c>
      <c r="G256" s="317" t="s">
        <v>484</v>
      </c>
      <c r="H256" s="254">
        <v>1000</v>
      </c>
      <c r="I256" s="254"/>
      <c r="J256" s="254"/>
      <c r="K256"/>
      <c r="L256"/>
      <c r="M256" s="4"/>
    </row>
    <row r="257" spans="1:13" ht="13.5" outlineLevel="2" thickBot="1">
      <c r="E257" s="311"/>
      <c r="F257" s="316" t="s">
        <v>552</v>
      </c>
      <c r="G257" s="317" t="s">
        <v>553</v>
      </c>
      <c r="H257" s="254">
        <v>5000</v>
      </c>
      <c r="I257" s="254"/>
      <c r="J257" s="254"/>
      <c r="K257"/>
      <c r="L257"/>
      <c r="M257" s="4"/>
    </row>
    <row r="258" spans="1:13" s="20" customFormat="1" ht="13.5" outlineLevel="1" thickBot="1">
      <c r="A258" s="20" t="s">
        <v>554</v>
      </c>
      <c r="B258" s="20" t="s">
        <v>1340</v>
      </c>
      <c r="C258" s="20" t="s">
        <v>1304</v>
      </c>
      <c r="E258" s="311" t="s">
        <v>555</v>
      </c>
      <c r="F258" s="316" t="s">
        <v>556</v>
      </c>
      <c r="G258" s="317" t="s">
        <v>557</v>
      </c>
      <c r="H258" s="254">
        <v>500</v>
      </c>
      <c r="I258" s="254"/>
      <c r="J258" s="254"/>
      <c r="K258"/>
      <c r="L258"/>
    </row>
    <row r="259" spans="1:13" s="20" customFormat="1" ht="13.5" outlineLevel="1" thickBot="1">
      <c r="A259" s="4" t="s">
        <v>558</v>
      </c>
      <c r="B259" s="4" t="s">
        <v>1340</v>
      </c>
      <c r="C259" s="4" t="s">
        <v>559</v>
      </c>
      <c r="D259" s="4"/>
      <c r="E259" s="311"/>
      <c r="F259" s="316" t="s">
        <v>560</v>
      </c>
      <c r="G259" s="317" t="s">
        <v>553</v>
      </c>
      <c r="H259" s="254">
        <v>5000</v>
      </c>
      <c r="I259" s="254"/>
      <c r="J259" s="254"/>
      <c r="K259"/>
      <c r="L259"/>
    </row>
    <row r="260" spans="1:13" ht="13.5" outlineLevel="2" thickBot="1">
      <c r="A260" s="4" t="str">
        <f>B260&amp;C260&amp;D260</f>
        <v>O&amp;M Mobilization BudgetOwner Optional Items</v>
      </c>
      <c r="B260" s="4" t="s">
        <v>1340</v>
      </c>
      <c r="C260" s="4" t="s">
        <v>559</v>
      </c>
      <c r="E260" s="311"/>
      <c r="F260" s="316" t="s">
        <v>561</v>
      </c>
      <c r="G260" s="317" t="s">
        <v>523</v>
      </c>
      <c r="H260" s="254">
        <v>1800</v>
      </c>
      <c r="I260" s="254"/>
      <c r="J260" s="254"/>
      <c r="K260"/>
      <c r="L260"/>
      <c r="M260" s="4"/>
    </row>
    <row r="261" spans="1:13" ht="13.5" hidden="1" outlineLevel="2" thickBot="1">
      <c r="E261" s="311"/>
      <c r="F261" s="316" t="s">
        <v>562</v>
      </c>
      <c r="G261" s="317" t="s">
        <v>518</v>
      </c>
      <c r="H261" s="254">
        <v>0</v>
      </c>
      <c r="I261" s="254"/>
      <c r="J261" s="254"/>
      <c r="K261"/>
      <c r="L261"/>
      <c r="M261" s="4"/>
    </row>
    <row r="262" spans="1:13" ht="13.5" hidden="1" outlineLevel="2" thickBot="1">
      <c r="E262" s="311"/>
      <c r="F262" s="316" t="s">
        <v>563</v>
      </c>
      <c r="G262" s="317" t="s">
        <v>564</v>
      </c>
      <c r="H262" s="254">
        <v>0</v>
      </c>
      <c r="I262" s="254"/>
      <c r="J262" s="254"/>
      <c r="K262"/>
      <c r="L262"/>
      <c r="M262" s="4"/>
    </row>
    <row r="263" spans="1:13" ht="13.5" outlineLevel="2" thickBot="1">
      <c r="E263" s="311"/>
      <c r="F263" s="316" t="s">
        <v>565</v>
      </c>
      <c r="G263" s="317" t="s">
        <v>566</v>
      </c>
      <c r="H263" s="254">
        <v>350</v>
      </c>
      <c r="I263" s="254"/>
      <c r="J263" s="254"/>
      <c r="K263"/>
      <c r="L263"/>
      <c r="M263" s="4"/>
    </row>
    <row r="264" spans="1:13" s="20" customFormat="1" ht="13.5" outlineLevel="1" thickBot="1">
      <c r="A264" s="20" t="s">
        <v>567</v>
      </c>
      <c r="B264" s="20" t="s">
        <v>1340</v>
      </c>
      <c r="C264" s="20" t="s">
        <v>559</v>
      </c>
      <c r="E264" s="311"/>
      <c r="F264" s="316" t="s">
        <v>568</v>
      </c>
      <c r="G264" s="317" t="s">
        <v>569</v>
      </c>
      <c r="H264" s="254">
        <v>950</v>
      </c>
      <c r="I264" s="254"/>
      <c r="J264" s="254"/>
      <c r="K264"/>
      <c r="L264"/>
    </row>
    <row r="265" spans="1:13" s="20" customFormat="1" ht="13.5" outlineLevel="1" thickBot="1">
      <c r="E265" s="311"/>
      <c r="F265" s="316" t="s">
        <v>570</v>
      </c>
      <c r="G265" s="317" t="s">
        <v>571</v>
      </c>
      <c r="H265" s="254">
        <v>5700</v>
      </c>
      <c r="I265" s="254"/>
      <c r="J265" s="254"/>
      <c r="K265"/>
      <c r="L265"/>
    </row>
    <row r="266" spans="1:13" s="20" customFormat="1" ht="13.5" hidden="1" outlineLevel="1" thickBot="1">
      <c r="E266" s="311"/>
      <c r="F266" s="316" t="s">
        <v>572</v>
      </c>
      <c r="G266" s="317" t="s">
        <v>538</v>
      </c>
      <c r="H266" s="254">
        <v>0</v>
      </c>
      <c r="I266" s="254"/>
      <c r="J266" s="254"/>
      <c r="K266"/>
      <c r="L266"/>
    </row>
    <row r="267" spans="1:13" s="20" customFormat="1" ht="13.5" outlineLevel="1" thickBot="1">
      <c r="E267" s="311"/>
      <c r="F267" s="316" t="s">
        <v>573</v>
      </c>
      <c r="G267" s="317" t="s">
        <v>574</v>
      </c>
      <c r="H267" s="254">
        <v>700</v>
      </c>
      <c r="I267" s="254"/>
      <c r="J267" s="254"/>
      <c r="K267"/>
      <c r="L267"/>
    </row>
    <row r="268" spans="1:13" s="20" customFormat="1" ht="13.5" outlineLevel="1" thickBot="1">
      <c r="E268" s="311"/>
      <c r="F268" s="316" t="s">
        <v>575</v>
      </c>
      <c r="G268" s="317" t="s">
        <v>576</v>
      </c>
      <c r="H268" s="254">
        <v>1000</v>
      </c>
      <c r="I268" s="254"/>
      <c r="J268" s="254"/>
      <c r="K268"/>
      <c r="L268"/>
    </row>
    <row r="269" spans="1:13" s="20" customFormat="1" ht="13.5" hidden="1" outlineLevel="1" thickBot="1">
      <c r="E269" s="311"/>
      <c r="F269" s="316" t="s">
        <v>577</v>
      </c>
      <c r="G269" s="317" t="s">
        <v>578</v>
      </c>
      <c r="H269" s="254">
        <v>0</v>
      </c>
      <c r="I269" s="254"/>
      <c r="J269" s="254"/>
      <c r="K269"/>
      <c r="L269"/>
    </row>
    <row r="270" spans="1:13" s="20" customFormat="1" ht="13.5" outlineLevel="1" thickBot="1">
      <c r="E270" s="318"/>
      <c r="F270" s="316" t="s">
        <v>579</v>
      </c>
      <c r="G270" s="317" t="s">
        <v>580</v>
      </c>
      <c r="H270" s="254">
        <v>4065</v>
      </c>
      <c r="I270" s="254"/>
      <c r="J270" s="254"/>
      <c r="K270"/>
      <c r="L270"/>
    </row>
    <row r="271" spans="1:13" s="20" customFormat="1" ht="13.5" hidden="1" outlineLevel="1" thickBot="1">
      <c r="E271" s="318"/>
      <c r="F271" s="316" t="s">
        <v>581</v>
      </c>
      <c r="G271" s="317" t="s">
        <v>582</v>
      </c>
      <c r="H271" s="254">
        <v>0</v>
      </c>
      <c r="I271" s="254"/>
      <c r="J271" s="254"/>
      <c r="K271"/>
      <c r="L271"/>
    </row>
    <row r="272" spans="1:13" s="20" customFormat="1" ht="13.5" hidden="1" outlineLevel="1" thickBot="1">
      <c r="E272" s="311" t="s">
        <v>583</v>
      </c>
      <c r="F272" s="316" t="s">
        <v>584</v>
      </c>
      <c r="G272" s="317" t="s">
        <v>585</v>
      </c>
      <c r="H272" s="254">
        <v>0</v>
      </c>
      <c r="I272" s="254"/>
      <c r="J272" s="254"/>
      <c r="K272"/>
      <c r="L272"/>
    </row>
    <row r="273" spans="1:13" s="20" customFormat="1" ht="13.5" outlineLevel="1" thickBot="1">
      <c r="A273" s="4" t="s">
        <v>586</v>
      </c>
      <c r="B273" s="4" t="s">
        <v>1340</v>
      </c>
      <c r="C273" s="4" t="s">
        <v>587</v>
      </c>
      <c r="D273" s="4"/>
      <c r="E273" s="311"/>
      <c r="F273" s="316" t="s">
        <v>588</v>
      </c>
      <c r="G273" s="317" t="s">
        <v>589</v>
      </c>
      <c r="H273" s="254">
        <v>3000</v>
      </c>
      <c r="I273" s="254"/>
      <c r="J273" s="254"/>
      <c r="K273"/>
      <c r="L273"/>
    </row>
    <row r="274" spans="1:13" ht="13.5" outlineLevel="2" thickBot="1">
      <c r="A274" s="4" t="str">
        <f>B274&amp;C274&amp;D274</f>
        <v>O&amp;M Mobilization BudgetCapital, Operating and BOP Spares (1998$)</v>
      </c>
      <c r="B274" s="4" t="s">
        <v>1340</v>
      </c>
      <c r="C274" s="4" t="s">
        <v>590</v>
      </c>
      <c r="E274" s="311"/>
      <c r="F274" s="316" t="s">
        <v>591</v>
      </c>
      <c r="G274" s="317" t="s">
        <v>592</v>
      </c>
      <c r="H274" s="254">
        <v>15000</v>
      </c>
      <c r="I274" s="254"/>
      <c r="J274" s="254"/>
      <c r="K274"/>
      <c r="L274"/>
      <c r="M274" s="4"/>
    </row>
    <row r="275" spans="1:13" ht="13.5" outlineLevel="2" thickBot="1">
      <c r="E275" s="311"/>
      <c r="F275" s="316" t="s">
        <v>593</v>
      </c>
      <c r="G275" s="317" t="s">
        <v>594</v>
      </c>
      <c r="H275" s="254">
        <v>1795</v>
      </c>
      <c r="I275" s="254"/>
      <c r="J275" s="254"/>
      <c r="K275"/>
      <c r="L275"/>
      <c r="M275" s="4"/>
    </row>
    <row r="276" spans="1:13" ht="13.5" hidden="1" outlineLevel="2" thickBot="1">
      <c r="E276" s="311"/>
      <c r="F276" s="274"/>
      <c r="G276" s="312"/>
      <c r="H276" s="254"/>
      <c r="I276" s="254"/>
      <c r="J276" s="254"/>
      <c r="K276"/>
      <c r="L276"/>
      <c r="M276" s="4"/>
    </row>
    <row r="277" spans="1:13" ht="13.5" outlineLevel="2" thickBot="1">
      <c r="E277" s="311" t="s">
        <v>175</v>
      </c>
      <c r="F277" s="319">
        <v>0.05</v>
      </c>
      <c r="G277" s="312"/>
      <c r="H277" s="254">
        <f>0.05*SUM(H231:H276)</f>
        <v>3922.25</v>
      </c>
      <c r="I277" s="254"/>
      <c r="J277" s="254"/>
      <c r="K277"/>
      <c r="L277"/>
      <c r="M277" s="4"/>
    </row>
    <row r="278" spans="1:13" s="20" customFormat="1" ht="13.5" outlineLevel="1" thickBot="1">
      <c r="A278" s="20" t="s">
        <v>595</v>
      </c>
      <c r="B278" s="20" t="s">
        <v>1340</v>
      </c>
      <c r="C278" s="20" t="s">
        <v>590</v>
      </c>
      <c r="E278" s="311"/>
      <c r="F278" s="274"/>
      <c r="G278" s="312"/>
      <c r="H278" s="254"/>
      <c r="I278" s="254"/>
      <c r="J278" s="254"/>
      <c r="K278"/>
      <c r="L278"/>
    </row>
    <row r="279" spans="1:13" s="20" customFormat="1" ht="13.5" thickBot="1">
      <c r="E279" s="320" t="s">
        <v>877</v>
      </c>
      <c r="F279" s="321"/>
      <c r="G279" s="322" t="s">
        <v>1360</v>
      </c>
      <c r="H279" s="323">
        <f>SUBTOTAL(9,H231:H278)</f>
        <v>82367.25</v>
      </c>
      <c r="I279" s="241"/>
      <c r="J279" s="323"/>
      <c r="K279"/>
      <c r="L279"/>
    </row>
    <row r="280" spans="1:13" ht="13.5" thickBot="1">
      <c r="E280" s="159" t="s">
        <v>714</v>
      </c>
      <c r="F280" s="146"/>
      <c r="G280" s="147"/>
      <c r="H280" s="87"/>
      <c r="I280" s="87"/>
      <c r="J280" s="87"/>
      <c r="K280" s="20"/>
    </row>
    <row r="281" spans="1:13" ht="13.5" thickBot="1">
      <c r="E281" s="83" t="s">
        <v>596</v>
      </c>
      <c r="F281" s="23" t="s">
        <v>597</v>
      </c>
      <c r="G281" s="65"/>
      <c r="H281" s="19">
        <f>'O&amp;M_Backup'!D131/12</f>
        <v>4161.3</v>
      </c>
      <c r="I281" s="19">
        <f>H281-J281</f>
        <v>4161.3</v>
      </c>
      <c r="J281" s="19"/>
    </row>
    <row r="282" spans="1:13" ht="13.5" thickBot="1">
      <c r="E282" s="83"/>
      <c r="F282" s="23"/>
      <c r="G282" s="65"/>
      <c r="H282" s="19"/>
      <c r="I282" s="19">
        <f>H282-J282</f>
        <v>0</v>
      </c>
      <c r="J282" s="19"/>
    </row>
    <row r="283" spans="1:13" ht="13.5" thickBot="1">
      <c r="E283" s="83" t="s">
        <v>175</v>
      </c>
      <c r="F283" s="23" t="s">
        <v>598</v>
      </c>
      <c r="G283" s="65"/>
      <c r="H283" s="19"/>
      <c r="I283" s="19">
        <f>H283-J283</f>
        <v>0</v>
      </c>
      <c r="J283" s="19"/>
    </row>
    <row r="284" spans="1:13" ht="13.5" thickBot="1">
      <c r="E284" s="83"/>
      <c r="F284" s="23"/>
      <c r="G284" s="65"/>
      <c r="H284" s="19"/>
      <c r="I284" s="19"/>
      <c r="J284" s="19"/>
    </row>
    <row r="285" spans="1:13" ht="13.5" thickBot="1">
      <c r="E285" s="83" t="s">
        <v>1019</v>
      </c>
      <c r="F285" s="23"/>
      <c r="G285" s="85" t="s">
        <v>1360</v>
      </c>
      <c r="H285" s="86">
        <f>SUBTOTAL(9,H281:H284)</f>
        <v>4161.3</v>
      </c>
      <c r="I285" s="86">
        <f>SUBTOTAL(9,I281:I284)</f>
        <v>4161.3</v>
      </c>
      <c r="J285" s="86">
        <f>SUBTOTAL(9,J281:J284)</f>
        <v>0</v>
      </c>
      <c r="K285" s="20"/>
    </row>
    <row r="286" spans="1:13" ht="13.5" thickBot="1">
      <c r="E286" s="159" t="s">
        <v>1304</v>
      </c>
      <c r="F286" s="146"/>
      <c r="G286" s="147"/>
      <c r="H286" s="87"/>
      <c r="I286" s="87"/>
      <c r="J286" s="87"/>
      <c r="K286" s="20"/>
    </row>
    <row r="287" spans="1:13" ht="13.5" thickBot="1">
      <c r="E287" s="83" t="s">
        <v>599</v>
      </c>
      <c r="F287" s="23"/>
      <c r="G287" s="65"/>
      <c r="H287" s="476">
        <v>0.1</v>
      </c>
      <c r="I287" s="19">
        <f>H287-J287</f>
        <v>0</v>
      </c>
      <c r="J287" s="19">
        <f>H287</f>
        <v>0.1</v>
      </c>
    </row>
    <row r="288" spans="1:13" ht="13.5" thickBot="1">
      <c r="E288" s="83" t="s">
        <v>600</v>
      </c>
      <c r="F288" s="23"/>
      <c r="G288" s="65"/>
      <c r="H288" s="19"/>
      <c r="I288" s="19">
        <f>H288-J288</f>
        <v>0</v>
      </c>
      <c r="J288" s="19"/>
    </row>
    <row r="289" spans="5:11" ht="13.5" thickBot="1">
      <c r="E289" s="83" t="s">
        <v>601</v>
      </c>
      <c r="F289" s="23"/>
      <c r="G289" s="65"/>
      <c r="H289" s="19"/>
      <c r="I289" s="19">
        <f>H289-J289</f>
        <v>0</v>
      </c>
      <c r="J289" s="19"/>
    </row>
    <row r="290" spans="5:11" ht="13.5" thickBot="1">
      <c r="E290" s="83"/>
      <c r="F290" s="23"/>
      <c r="G290" s="65"/>
      <c r="H290" s="19"/>
      <c r="I290" s="19"/>
      <c r="J290" s="19"/>
    </row>
    <row r="291" spans="5:11" ht="13.5" thickBot="1">
      <c r="E291" s="149"/>
      <c r="F291" s="150"/>
      <c r="G291" s="85" t="s">
        <v>1360</v>
      </c>
      <c r="H291" s="298">
        <f>SUBTOTAL(9,H287:H289)</f>
        <v>0.1</v>
      </c>
      <c r="I291" s="86">
        <f>SUBTOTAL(9,I287:I287)</f>
        <v>0</v>
      </c>
      <c r="J291" s="86">
        <f>SUBTOTAL(9,J287:J287)</f>
        <v>0.1</v>
      </c>
      <c r="K291" s="20"/>
    </row>
    <row r="292" spans="5:11" ht="13.5" thickBot="1">
      <c r="E292" s="159" t="s">
        <v>679</v>
      </c>
      <c r="F292" s="146"/>
      <c r="G292" s="147"/>
      <c r="H292" s="87"/>
      <c r="I292" s="87"/>
      <c r="J292" s="87"/>
      <c r="K292" s="20"/>
    </row>
    <row r="293" spans="5:11" ht="13.5" thickBot="1">
      <c r="E293" s="83" t="s">
        <v>599</v>
      </c>
      <c r="F293" s="23" t="s">
        <v>602</v>
      </c>
      <c r="G293" s="296">
        <v>0.1</v>
      </c>
      <c r="H293" s="297">
        <f>$G$293</f>
        <v>0.1</v>
      </c>
      <c r="I293" s="19">
        <f>H293-J293</f>
        <v>0</v>
      </c>
      <c r="J293" s="19">
        <f>H293</f>
        <v>0.1</v>
      </c>
    </row>
    <row r="294" spans="5:11" ht="13.5" thickBot="1">
      <c r="E294" s="83" t="s">
        <v>603</v>
      </c>
      <c r="F294" s="23"/>
      <c r="G294" s="296"/>
      <c r="H294" s="297">
        <f>G294</f>
        <v>0</v>
      </c>
      <c r="I294" s="19"/>
      <c r="J294" s="19"/>
    </row>
    <row r="295" spans="5:11" ht="13.5" thickBot="1">
      <c r="E295" s="83" t="s">
        <v>605</v>
      </c>
      <c r="F295" s="23"/>
      <c r="G295" s="296"/>
      <c r="H295" s="297"/>
      <c r="I295" s="19"/>
      <c r="J295" s="19"/>
    </row>
    <row r="296" spans="5:11" ht="13.5" thickBot="1">
      <c r="E296" s="83"/>
      <c r="F296" s="23"/>
      <c r="G296" s="65"/>
      <c r="H296" s="19"/>
      <c r="I296" s="19"/>
      <c r="J296" s="19"/>
    </row>
    <row r="297" spans="5:11" ht="13.5" thickBot="1">
      <c r="E297" s="83" t="s">
        <v>607</v>
      </c>
      <c r="F297" s="23"/>
      <c r="G297" s="85" t="s">
        <v>1360</v>
      </c>
      <c r="H297" s="298">
        <f>SUBTOTAL(9,H293:H296)</f>
        <v>0.1</v>
      </c>
      <c r="I297" s="86">
        <f>SUBTOTAL(9,I293:I293)</f>
        <v>0</v>
      </c>
      <c r="J297" s="86">
        <f>SUBTOTAL(9,J293:J293)</f>
        <v>0.1</v>
      </c>
      <c r="K297" s="20"/>
    </row>
    <row r="298" spans="5:11" ht="13.5" thickBot="1">
      <c r="E298" s="159" t="s">
        <v>717</v>
      </c>
      <c r="F298" s="146"/>
      <c r="G298" s="147"/>
      <c r="H298" s="87"/>
      <c r="I298" s="87"/>
      <c r="J298" s="87"/>
      <c r="K298" s="20"/>
    </row>
    <row r="299" spans="5:11" ht="13.5" hidden="1" thickBot="1">
      <c r="E299" s="83" t="s">
        <v>608</v>
      </c>
      <c r="F299" s="23"/>
      <c r="G299" s="65"/>
      <c r="H299" s="19">
        <v>0</v>
      </c>
      <c r="I299" s="19">
        <f>H299-J299</f>
        <v>0</v>
      </c>
      <c r="J299" s="19">
        <f>H299</f>
        <v>0</v>
      </c>
      <c r="K299" s="20"/>
    </row>
    <row r="300" spans="5:11" ht="13.5" thickBot="1">
      <c r="E300" s="83"/>
      <c r="F300" s="23"/>
      <c r="G300" s="65"/>
      <c r="H300" s="19"/>
      <c r="I300" s="86"/>
      <c r="J300" s="86"/>
      <c r="K300" s="20"/>
    </row>
    <row r="301" spans="5:11" ht="13.5" thickBot="1">
      <c r="E301" s="83" t="s">
        <v>609</v>
      </c>
      <c r="F301" s="23"/>
      <c r="G301" s="85" t="s">
        <v>1360</v>
      </c>
      <c r="H301" s="86">
        <f>SUBTOTAL(9,H299:H300)</f>
        <v>0</v>
      </c>
      <c r="I301" s="86">
        <f>SUBTOTAL(9,I299:I300)</f>
        <v>0</v>
      </c>
      <c r="J301" s="86">
        <f>SUBTOTAL(9,J299:J300)</f>
        <v>0</v>
      </c>
      <c r="K301" s="20"/>
    </row>
    <row r="302" spans="5:11" ht="13.5" thickBot="1">
      <c r="E302" s="159" t="s">
        <v>635</v>
      </c>
      <c r="F302" s="146"/>
      <c r="G302" s="147"/>
      <c r="H302" s="87"/>
      <c r="I302" s="87"/>
      <c r="J302" s="87"/>
      <c r="K302" s="20"/>
    </row>
    <row r="303" spans="5:11" ht="13.5" hidden="1" thickBot="1">
      <c r="E303" s="83" t="s">
        <v>610</v>
      </c>
      <c r="F303" s="23" t="s">
        <v>611</v>
      </c>
      <c r="G303" s="65"/>
      <c r="H303" s="19">
        <v>0</v>
      </c>
      <c r="I303" s="19">
        <f>H303-J303</f>
        <v>0</v>
      </c>
      <c r="J303" s="19">
        <f>0.25*H303</f>
        <v>0</v>
      </c>
      <c r="K303" s="20"/>
    </row>
    <row r="304" spans="5:11" ht="13.5" thickBot="1">
      <c r="E304" s="83"/>
      <c r="F304" s="23"/>
      <c r="G304" s="65"/>
      <c r="H304" s="19"/>
      <c r="I304" s="86"/>
      <c r="J304" s="86"/>
      <c r="K304" s="20"/>
    </row>
    <row r="305" spans="2:11" ht="13.5" thickBot="1">
      <c r="E305" s="83" t="s">
        <v>877</v>
      </c>
      <c r="F305" s="23"/>
      <c r="G305" s="85" t="s">
        <v>1360</v>
      </c>
      <c r="H305" s="86">
        <f>SUBTOTAL(9,H303:H304)</f>
        <v>0</v>
      </c>
      <c r="I305" s="86">
        <f>SUBTOTAL(9,I303:I304)</f>
        <v>0</v>
      </c>
      <c r="J305" s="86">
        <f>SUBTOTAL(9,J303:J304)</f>
        <v>0</v>
      </c>
      <c r="K305" s="20"/>
    </row>
    <row r="306" spans="2:11" ht="13.5" thickBot="1">
      <c r="E306" s="159" t="s">
        <v>1520</v>
      </c>
      <c r="F306" s="146"/>
      <c r="G306" s="147"/>
      <c r="H306" s="87"/>
      <c r="I306" s="87"/>
      <c r="J306" s="87"/>
      <c r="K306" s="20"/>
    </row>
    <row r="307" spans="2:11" ht="13.5" thickBot="1">
      <c r="E307" s="83" t="s">
        <v>1521</v>
      </c>
      <c r="F307" s="23"/>
      <c r="G307" s="65"/>
      <c r="H307" s="19">
        <f>'Cap Spares'!$C$18</f>
        <v>974407.6</v>
      </c>
      <c r="I307" s="19">
        <f>H307-J307</f>
        <v>0</v>
      </c>
      <c r="J307" s="19">
        <f>H307</f>
        <v>974407.6</v>
      </c>
    </row>
    <row r="308" spans="2:11" ht="13.5" thickBot="1">
      <c r="E308" s="83"/>
      <c r="F308" s="23"/>
      <c r="G308" s="65"/>
      <c r="H308" s="19"/>
      <c r="I308" s="19"/>
      <c r="J308" s="19">
        <f>H308</f>
        <v>0</v>
      </c>
    </row>
    <row r="309" spans="2:11" ht="13.5" thickBot="1">
      <c r="E309" s="83" t="s">
        <v>175</v>
      </c>
      <c r="F309" s="23" t="s">
        <v>1522</v>
      </c>
      <c r="G309" s="65"/>
      <c r="H309" s="19">
        <f>H307*0.03</f>
        <v>29232.227999999999</v>
      </c>
      <c r="I309" s="19">
        <f>H309-J309</f>
        <v>0</v>
      </c>
      <c r="J309" s="19">
        <f>H309</f>
        <v>29232.227999999999</v>
      </c>
    </row>
    <row r="310" spans="2:11" ht="13.5" thickBot="1">
      <c r="E310" s="83" t="s">
        <v>705</v>
      </c>
      <c r="F310" s="242" t="s">
        <v>1523</v>
      </c>
      <c r="G310" s="65"/>
      <c r="H310" s="19">
        <f>H307*0.0025</f>
        <v>2436.0189999999998</v>
      </c>
      <c r="I310" s="19">
        <f>H310-J310</f>
        <v>0</v>
      </c>
      <c r="J310" s="19">
        <f>H310</f>
        <v>2436.0189999999998</v>
      </c>
    </row>
    <row r="311" spans="2:11" ht="13.5" thickBot="1">
      <c r="E311" s="175" t="s">
        <v>877</v>
      </c>
      <c r="F311" s="176"/>
      <c r="G311" s="177" t="s">
        <v>1360</v>
      </c>
      <c r="H311" s="86">
        <f>SUBTOTAL(9,H307:H310)</f>
        <v>1006075.847</v>
      </c>
      <c r="I311" s="86">
        <f>SUBTOTAL(9,I307:I310)</f>
        <v>0</v>
      </c>
      <c r="J311" s="86">
        <f>SUBTOTAL(9,J307:J310)</f>
        <v>1006075.847</v>
      </c>
      <c r="K311" s="20"/>
    </row>
    <row r="312" spans="2:11">
      <c r="E312" s="20"/>
      <c r="F312" s="20"/>
      <c r="G312" s="20"/>
      <c r="H312" s="20"/>
      <c r="I312" s="20"/>
      <c r="J312" s="20"/>
    </row>
    <row r="319" spans="2:11">
      <c r="B319" s="41"/>
      <c r="E319" s="21"/>
    </row>
    <row r="320" spans="2:11">
      <c r="B320" s="41"/>
      <c r="F320" s="21"/>
      <c r="G320" s="21"/>
    </row>
    <row r="864" spans="1:4">
      <c r="A864" s="21"/>
      <c r="B864" s="21"/>
      <c r="C864" s="21"/>
      <c r="D864" s="21"/>
    </row>
    <row r="912" spans="5:5">
      <c r="E912" s="21"/>
    </row>
    <row r="913" spans="6:10">
      <c r="F913" s="21"/>
      <c r="G913" s="21"/>
      <c r="H913" s="21"/>
      <c r="I913" s="21"/>
      <c r="J913" s="21"/>
    </row>
  </sheetData>
  <dataConsolidate/>
  <printOptions horizontalCentered="1"/>
  <pageMargins left="0.75" right="0.75" top="1" bottom="1" header="0.5" footer="0.5"/>
  <pageSetup scale="75" firstPageNumber="13" fitToHeight="5" orientation="portrait" horizontalDpi="4294967292" verticalDpi="4294967292" r:id="rId1"/>
  <headerFooter alignWithMargins="0">
    <oddFooter>&amp;LRichard Bickings
&amp;D&amp;CPage &amp;P&amp;R&amp;F
&amp;A</oddFooter>
  </headerFooter>
  <rowBreaks count="3" manualBreakCount="3">
    <brk id="68" min="4" max="9" man="1"/>
    <brk id="130" min="4" max="9" man="1"/>
    <brk id="192" min="4" max="9"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AR370"/>
  <sheetViews>
    <sheetView zoomScale="75" zoomScaleNormal="25" zoomScaleSheetLayoutView="100" workbookViewId="0">
      <selection activeCell="F28" sqref="F28"/>
    </sheetView>
  </sheetViews>
  <sheetFormatPr defaultRowHeight="12.75"/>
  <cols>
    <col min="1" max="1" width="4.7109375" style="3" customWidth="1"/>
    <col min="2" max="2" width="49.85546875" style="3" customWidth="1"/>
    <col min="3" max="3" width="9.5703125" style="3" customWidth="1"/>
    <col min="4" max="6" width="11.42578125" style="3" customWidth="1"/>
    <col min="7" max="7" width="12.85546875" style="3" customWidth="1"/>
    <col min="8" max="8" width="10.85546875" style="3" customWidth="1"/>
    <col min="9" max="10" width="9.140625" style="3"/>
    <col min="11" max="16384" width="9.140625" style="2"/>
  </cols>
  <sheetData>
    <row r="1" spans="1:44" ht="15.75">
      <c r="A1" s="1" t="str">
        <f>Scope!A1</f>
        <v>Rochester Public Utilities LM6000 PC Power Project</v>
      </c>
      <c r="B1" s="68"/>
      <c r="C1" s="68"/>
      <c r="D1" s="68"/>
      <c r="E1" s="68"/>
      <c r="F1" s="68"/>
      <c r="G1" s="68"/>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row>
    <row r="2" spans="1:44" ht="15.75">
      <c r="A2" s="33" t="s">
        <v>636</v>
      </c>
      <c r="B2" s="68"/>
      <c r="C2" s="68"/>
      <c r="D2" s="68"/>
      <c r="E2" s="68"/>
      <c r="F2" s="68"/>
      <c r="G2" s="68"/>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row>
    <row r="3" spans="1:44">
      <c r="A3" s="34"/>
      <c r="B3" s="34"/>
      <c r="C3" s="34"/>
      <c r="D3" s="34"/>
      <c r="E3" s="32"/>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row>
    <row r="4" spans="1:44" ht="13.5" thickBot="1">
      <c r="A4" s="34"/>
      <c r="B4" s="32"/>
      <c r="C4" s="32"/>
      <c r="D4" s="584"/>
      <c r="E4" s="586"/>
      <c r="G4" s="585"/>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row>
    <row r="5" spans="1:44">
      <c r="A5" s="34"/>
      <c r="B5" s="32"/>
      <c r="C5" s="32"/>
      <c r="D5" s="166"/>
      <c r="E5" s="587" t="s">
        <v>1300</v>
      </c>
      <c r="G5" s="58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row>
    <row r="6" spans="1:44" ht="13.5" thickBot="1">
      <c r="A6" s="34"/>
      <c r="B6" s="32"/>
      <c r="C6" s="160"/>
      <c r="D6" s="584"/>
      <c r="E6" s="182" t="s">
        <v>681</v>
      </c>
      <c r="G6" s="58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row>
    <row r="7" spans="1:44">
      <c r="A7" s="41"/>
      <c r="B7" s="23"/>
      <c r="C7" s="23"/>
      <c r="D7" s="23"/>
      <c r="E7" s="590"/>
      <c r="G7" s="23"/>
      <c r="H7" s="4"/>
      <c r="I7" s="4"/>
      <c r="J7" s="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row>
    <row r="8" spans="1:44">
      <c r="A8" s="38" t="s">
        <v>1524</v>
      </c>
      <c r="B8" s="23"/>
      <c r="C8" s="151"/>
      <c r="D8" s="32"/>
      <c r="E8" s="591">
        <f>Ops_Staff!$G$17</f>
        <v>406043.19160615373</v>
      </c>
      <c r="G8" s="303"/>
      <c r="H8" s="4"/>
      <c r="I8" s="4"/>
      <c r="J8" s="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row>
    <row r="9" spans="1:44">
      <c r="A9" s="41"/>
      <c r="B9" s="23"/>
      <c r="C9" s="143"/>
      <c r="D9" s="23"/>
      <c r="E9" s="592"/>
      <c r="G9" s="32"/>
      <c r="H9" s="4"/>
      <c r="I9" s="4"/>
      <c r="J9" s="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row>
    <row r="10" spans="1:44">
      <c r="A10" s="41" t="s">
        <v>1525</v>
      </c>
      <c r="B10"/>
      <c r="C10" s="143"/>
      <c r="D10" s="32"/>
      <c r="E10" s="591"/>
      <c r="G10" s="32"/>
      <c r="H10" s="4"/>
      <c r="I10" s="4"/>
      <c r="J10" s="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row>
    <row r="11" spans="1:44">
      <c r="A11" s="4"/>
      <c r="B11" s="23" t="str">
        <f>'O&amp;M_Backup'!A14</f>
        <v>Employee Expenses</v>
      </c>
      <c r="C11" s="151"/>
      <c r="D11" s="32"/>
      <c r="E11" s="591">
        <f>'O&amp;M_Backup'!$D$23</f>
        <v>24400</v>
      </c>
      <c r="G11" s="303"/>
      <c r="H11" s="4"/>
      <c r="I11" s="4"/>
      <c r="J11" s="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row>
    <row r="12" spans="1:44">
      <c r="A12" s="4"/>
      <c r="B12" s="23" t="str">
        <f>'O&amp;M_Backup'!A24</f>
        <v>Permanent Contract Labor</v>
      </c>
      <c r="C12" s="151"/>
      <c r="D12" s="32"/>
      <c r="E12" s="591">
        <v>50000</v>
      </c>
      <c r="G12" s="303"/>
      <c r="H12" s="4"/>
      <c r="I12" s="4"/>
      <c r="J12" s="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row>
    <row r="13" spans="1:44">
      <c r="A13" s="4"/>
      <c r="B13" s="23" t="str">
        <f>'O&amp;M_Backup'!A29</f>
        <v>Environmental Expense (including permit fees)</v>
      </c>
      <c r="C13" s="151"/>
      <c r="D13" s="32"/>
      <c r="E13" s="591">
        <f>'O&amp;M_Backup'!$D$39</f>
        <v>26000</v>
      </c>
      <c r="G13" s="303"/>
      <c r="H13" s="4"/>
      <c r="I13" s="4"/>
      <c r="J13" s="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row>
    <row r="14" spans="1:44">
      <c r="A14" s="4"/>
      <c r="B14" s="23" t="str">
        <f>'O&amp;M_Backup'!A40</f>
        <v>Safety Expense</v>
      </c>
      <c r="C14" s="151"/>
      <c r="D14" s="32"/>
      <c r="E14" s="591">
        <f>'O&amp;M_Backup'!$D$48</f>
        <v>7000</v>
      </c>
      <c r="G14" s="303"/>
      <c r="H14" s="4"/>
      <c r="I14" s="4"/>
      <c r="J14" s="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row>
    <row r="15" spans="1:44">
      <c r="A15" s="4"/>
      <c r="B15" s="23" t="str">
        <f>'O&amp;M_Backup'!A49</f>
        <v>Buildings &amp; Grounds</v>
      </c>
      <c r="C15" s="151"/>
      <c r="D15" s="32"/>
      <c r="E15" s="591">
        <f>'O&amp;M_Backup'!$D$59</f>
        <v>11000</v>
      </c>
      <c r="G15" s="303"/>
      <c r="H15" s="4"/>
      <c r="I15" s="4"/>
      <c r="J15" s="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row>
    <row r="16" spans="1:44">
      <c r="A16" s="4"/>
      <c r="B16" s="23" t="str">
        <f>'O&amp;M_Backup'!A60</f>
        <v>Other Supplies &amp; Expenses</v>
      </c>
      <c r="C16" s="151"/>
      <c r="D16" s="32"/>
      <c r="E16" s="591">
        <f>'O&amp;M_Backup'!$D$89</f>
        <v>40000</v>
      </c>
      <c r="G16" s="303"/>
      <c r="H16" s="4"/>
      <c r="I16" s="4"/>
      <c r="J16" s="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row>
    <row r="17" spans="1:44">
      <c r="A17" s="4"/>
      <c r="B17" s="23" t="str">
        <f>'O&amp;M_Backup'!A90</f>
        <v>Communications</v>
      </c>
      <c r="C17" s="151"/>
      <c r="D17" s="32"/>
      <c r="E17" s="591">
        <f>'O&amp;M_Backup'!$D$95</f>
        <v>21000</v>
      </c>
      <c r="G17" s="303"/>
      <c r="H17" s="4"/>
      <c r="I17" s="4"/>
      <c r="J17" s="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row>
    <row r="18" spans="1:44" ht="12.75" hidden="1" customHeight="1" thickBot="1">
      <c r="A18" s="4"/>
      <c r="B18" s="88" t="str">
        <f>'O&amp;M_Backup'!A96</f>
        <v>Operating Insurance</v>
      </c>
      <c r="C18" s="151"/>
      <c r="D18" s="32"/>
      <c r="E18" s="591"/>
      <c r="G18" s="303"/>
      <c r="H18" s="4"/>
      <c r="I18" s="4"/>
      <c r="J18" s="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row>
    <row r="19" spans="1:44" ht="12.75" customHeight="1">
      <c r="A19" s="4"/>
      <c r="B19" s="23" t="str">
        <f>'O&amp;M_Backup'!A100</f>
        <v>Control Room/Laboratory Expenses</v>
      </c>
      <c r="C19" s="151"/>
      <c r="D19" s="32"/>
      <c r="E19" s="591">
        <f>'O&amp;M_Backup'!$D$109</f>
        <v>1000</v>
      </c>
      <c r="G19" s="303"/>
      <c r="H19" s="4"/>
      <c r="I19" s="4"/>
      <c r="J19" s="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row>
    <row r="20" spans="1:44" hidden="1">
      <c r="A20" s="4"/>
      <c r="B20" s="23" t="str">
        <f>'O&amp;M_Backup'!A110</f>
        <v>Operations Support (Year 1 Only)</v>
      </c>
      <c r="C20" s="151"/>
      <c r="D20" s="32"/>
      <c r="E20" s="591">
        <v>0</v>
      </c>
      <c r="G20" s="303"/>
      <c r="H20" s="4"/>
      <c r="I20" s="4"/>
      <c r="J20" s="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row>
    <row r="21" spans="1:44" ht="12.75" customHeight="1">
      <c r="A21" s="4"/>
      <c r="B21" s="23"/>
      <c r="C21" s="151"/>
      <c r="D21" s="23"/>
      <c r="E21" s="592"/>
      <c r="G21" s="32"/>
      <c r="H21" s="4"/>
      <c r="I21" s="4"/>
      <c r="J21" s="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row>
    <row r="22" spans="1:44" ht="12.75" customHeight="1">
      <c r="A22" s="4"/>
      <c r="B22" s="38" t="s">
        <v>1526</v>
      </c>
      <c r="C22" s="138"/>
      <c r="D22" s="32"/>
      <c r="E22" s="591">
        <f>SUM(E11:E19)</f>
        <v>180400</v>
      </c>
      <c r="G22" s="303"/>
      <c r="H22" s="4"/>
      <c r="I22" s="4"/>
      <c r="J22" s="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row>
    <row r="23" spans="1:44" ht="12.75" customHeight="1">
      <c r="A23" s="4"/>
      <c r="B23" s="23"/>
      <c r="C23" s="151"/>
      <c r="D23" s="23"/>
      <c r="E23" s="592"/>
      <c r="G23" s="32"/>
      <c r="H23" s="4"/>
      <c r="I23" s="4"/>
      <c r="J23" s="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row>
    <row r="24" spans="1:44" ht="12.75" customHeight="1">
      <c r="A24" s="38" t="s">
        <v>1299</v>
      </c>
      <c r="B24" s="23"/>
      <c r="C24" s="151"/>
      <c r="D24" s="32"/>
      <c r="E24" s="591">
        <f>'O&amp;M_Backup'!$D$131</f>
        <v>49935.6</v>
      </c>
      <c r="G24" s="303"/>
      <c r="H24" s="4"/>
      <c r="I24" s="4"/>
      <c r="J24" s="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row>
    <row r="25" spans="1:44" ht="12.75" customHeight="1">
      <c r="A25" s="38"/>
      <c r="B25" s="208" t="s">
        <v>779</v>
      </c>
      <c r="C25" s="151"/>
      <c r="D25" s="32"/>
      <c r="E25" s="591"/>
      <c r="G25" s="303"/>
      <c r="H25" s="4"/>
      <c r="I25" s="4"/>
      <c r="J25" s="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row>
    <row r="26" spans="1:44" ht="12.75" customHeight="1">
      <c r="A26" s="41"/>
      <c r="B26" s="23"/>
      <c r="C26" s="151"/>
      <c r="D26" s="23"/>
      <c r="E26" s="592"/>
      <c r="G26" s="32"/>
      <c r="H26" s="4"/>
      <c r="I26" s="4"/>
      <c r="J26" s="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row>
    <row r="27" spans="1:44" ht="12.75" customHeight="1">
      <c r="A27" s="38" t="s">
        <v>0</v>
      </c>
      <c r="B27"/>
      <c r="C27" s="143"/>
      <c r="D27" s="32"/>
      <c r="E27" s="591"/>
      <c r="G27" s="32"/>
      <c r="H27" s="4"/>
      <c r="I27" s="4"/>
      <c r="J27" s="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row>
    <row r="28" spans="1:44">
      <c r="A28" s="4"/>
      <c r="B28" s="23" t="str">
        <f>'O&amp;M_Backup'!A132</f>
        <v>Painting</v>
      </c>
      <c r="C28" s="151"/>
      <c r="D28" s="32"/>
      <c r="E28" s="591">
        <f>'O&amp;M_Backup'!D139</f>
        <v>58795.095664265558</v>
      </c>
      <c r="G28" s="303"/>
      <c r="H28" s="4"/>
      <c r="I28" s="4"/>
      <c r="J28" s="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row>
    <row r="29" spans="1:44">
      <c r="A29" s="4"/>
      <c r="B29" s="23" t="str">
        <f>'O&amp;M_Backup'!A140</f>
        <v>Electrical &amp; Controls</v>
      </c>
      <c r="C29" s="151"/>
      <c r="D29" s="32"/>
      <c r="E29" s="591">
        <f>'O&amp;M_Backup'!D149</f>
        <v>28000</v>
      </c>
      <c r="G29" s="303"/>
      <c r="H29" s="4"/>
      <c r="I29" s="4"/>
      <c r="J29" s="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row>
    <row r="30" spans="1:44">
      <c r="A30" s="4"/>
      <c r="B30" s="23" t="str">
        <f>'O&amp;M_Backup'!A150</f>
        <v>Water Treatment System</v>
      </c>
      <c r="C30" s="151"/>
      <c r="D30" s="32"/>
      <c r="E30" s="591">
        <v>25000</v>
      </c>
      <c r="G30" s="303"/>
      <c r="H30" s="4"/>
      <c r="I30" s="4"/>
      <c r="J30" s="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row>
    <row r="31" spans="1:44">
      <c r="A31" s="4"/>
      <c r="B31" s="23" t="str">
        <f>'O&amp;M_Backup'!A159</f>
        <v>Cooling System</v>
      </c>
      <c r="C31" s="151"/>
      <c r="D31" s="32"/>
      <c r="E31" s="591">
        <v>25000</v>
      </c>
      <c r="G31" s="303"/>
      <c r="H31" s="4"/>
      <c r="I31" s="4"/>
      <c r="J31" s="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row>
    <row r="32" spans="1:44">
      <c r="A32" s="4"/>
      <c r="B32" s="23" t="str">
        <f>'O&amp;M_Backup'!A169</f>
        <v>Substation/Interconnects</v>
      </c>
      <c r="C32" s="151"/>
      <c r="D32" s="32"/>
      <c r="E32" s="591">
        <v>10000</v>
      </c>
      <c r="G32" s="303"/>
      <c r="H32" s="4"/>
      <c r="I32" s="4"/>
      <c r="J32" s="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row>
    <row r="33" spans="1:44">
      <c r="A33" s="4"/>
      <c r="B33" s="23" t="str">
        <f>'O&amp;M_Backup'!A180</f>
        <v>Gas Turbines (excluding scheduled maint.)</v>
      </c>
      <c r="C33" s="151"/>
      <c r="D33" s="32"/>
      <c r="E33" s="591">
        <f>'O&amp;M_Backup'!D189</f>
        <v>225000</v>
      </c>
      <c r="G33" s="303"/>
      <c r="H33" s="4"/>
      <c r="I33" s="4"/>
      <c r="J33" s="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row>
    <row r="34" spans="1:44">
      <c r="A34" s="4"/>
      <c r="B34" s="23" t="str">
        <f>'O&amp;M_Backup'!A190</f>
        <v>Boilers</v>
      </c>
      <c r="C34" s="151"/>
      <c r="D34" s="32"/>
      <c r="E34" s="591">
        <f>'O&amp;M_Backup'!D199</f>
        <v>0</v>
      </c>
      <c r="G34" s="303"/>
      <c r="H34" s="4"/>
      <c r="I34" s="4"/>
      <c r="J34" s="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row>
    <row r="35" spans="1:44">
      <c r="A35" s="4"/>
      <c r="B35" s="23" t="str">
        <f>'O&amp;M_Backup'!A200</f>
        <v>Steam Turbine (including Scheduled Maint.)</v>
      </c>
      <c r="C35" s="151"/>
      <c r="D35" s="32"/>
      <c r="E35" s="591">
        <f>'O&amp;M_Backup'!D210</f>
        <v>0</v>
      </c>
      <c r="G35" s="303"/>
      <c r="H35" s="4"/>
      <c r="I35" s="4"/>
      <c r="J35" s="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row>
    <row r="36" spans="1:44">
      <c r="A36" s="4"/>
      <c r="B36" s="23" t="str">
        <f>'O&amp;M_Backup'!A211</f>
        <v>Water Supply Pipeline and Booster Station</v>
      </c>
      <c r="C36" s="151"/>
      <c r="D36" s="32"/>
      <c r="E36" s="591">
        <f>'O&amp;M_Backup'!D220</f>
        <v>0</v>
      </c>
      <c r="G36" s="303"/>
      <c r="H36" s="4"/>
      <c r="I36" s="4"/>
      <c r="J36" s="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row>
    <row r="37" spans="1:44">
      <c r="A37" s="4"/>
      <c r="B37" s="23" t="str">
        <f>'O&amp;M_Backup'!A221</f>
        <v>Fuel Facility</v>
      </c>
      <c r="C37" s="151"/>
      <c r="D37" s="32"/>
      <c r="E37" s="591">
        <f>'O&amp;M_Backup'!D230</f>
        <v>0</v>
      </c>
      <c r="G37" s="303"/>
      <c r="H37" s="4"/>
      <c r="I37" s="4"/>
      <c r="J37" s="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row>
    <row r="38" spans="1:44">
      <c r="A38" s="4"/>
      <c r="B38" s="23" t="str">
        <f>'O&amp;M_Backup'!A231</f>
        <v>Miscellaneous Maintenance Expense</v>
      </c>
      <c r="C38" s="151"/>
      <c r="D38" s="32"/>
      <c r="E38" s="591">
        <f>'O&amp;M_Backup'!D249</f>
        <v>31850</v>
      </c>
      <c r="G38" s="303"/>
      <c r="H38" s="4"/>
      <c r="I38" s="4"/>
      <c r="J38" s="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row>
    <row r="39" spans="1:44">
      <c r="A39" s="4"/>
      <c r="B39" s="23"/>
      <c r="C39" s="151"/>
      <c r="D39" s="23"/>
      <c r="E39" s="592"/>
      <c r="G39" s="32"/>
      <c r="H39" s="4"/>
      <c r="I39" s="4"/>
      <c r="J39" s="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row>
    <row r="40" spans="1:44">
      <c r="A40" s="4"/>
      <c r="B40" s="38" t="s">
        <v>1</v>
      </c>
      <c r="C40" s="138"/>
      <c r="D40" s="32"/>
      <c r="E40" s="591">
        <f>SUBTOTAL(9,E28:E39)</f>
        <v>403645.09566426557</v>
      </c>
      <c r="G40" s="303"/>
      <c r="H40" s="4"/>
      <c r="I40" s="4"/>
      <c r="J40" s="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row>
    <row r="41" spans="1:44">
      <c r="A41" s="4"/>
      <c r="B41" s="38"/>
      <c r="C41" s="138"/>
      <c r="D41" s="32"/>
      <c r="E41" s="591"/>
      <c r="G41" s="32"/>
      <c r="H41" s="4"/>
      <c r="I41" s="4"/>
      <c r="J41" s="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row>
    <row r="42" spans="1:44">
      <c r="A42" s="222" t="s">
        <v>686</v>
      </c>
      <c r="B42" s="38"/>
      <c r="C42" s="138"/>
      <c r="D42" s="32"/>
      <c r="E42" s="591">
        <f>'O&amp;M_Backup'!$D$281</f>
        <v>25552.080000000002</v>
      </c>
      <c r="G42" s="303"/>
      <c r="H42" s="4"/>
      <c r="I42" s="4"/>
      <c r="J42" s="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row>
    <row r="43" spans="1:44">
      <c r="A43" s="4"/>
      <c r="B43" s="38"/>
      <c r="C43" s="138"/>
      <c r="D43" s="32"/>
      <c r="E43" s="591"/>
      <c r="G43" s="32"/>
      <c r="H43" s="4"/>
      <c r="I43" s="4"/>
      <c r="J43" s="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row>
    <row r="44" spans="1:44" ht="13.5" thickBot="1">
      <c r="A44" s="41" t="s">
        <v>2</v>
      </c>
      <c r="B44" s="38"/>
      <c r="C44" s="138"/>
      <c r="D44" s="32"/>
      <c r="E44" s="593">
        <f>E42+E40+E24+E22+E8</f>
        <v>1065575.9672704192</v>
      </c>
      <c r="G44" s="32"/>
      <c r="H44" s="4"/>
      <c r="I44" s="4"/>
      <c r="J44" s="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row>
    <row r="45" spans="1:44">
      <c r="A45" s="41"/>
      <c r="B45" s="38"/>
      <c r="C45" s="138"/>
      <c r="D45" s="32"/>
      <c r="E45" s="32"/>
      <c r="F45" s="32"/>
      <c r="G45" s="32"/>
      <c r="H45" s="4"/>
      <c r="I45" s="4"/>
      <c r="J45" s="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row>
    <row r="46" spans="1:44" ht="13.5" thickBot="1">
      <c r="A46" s="41"/>
      <c r="B46" s="4"/>
      <c r="C46" s="18"/>
      <c r="D46" s="4"/>
      <c r="E46" s="4"/>
      <c r="F46" s="4"/>
      <c r="G46" s="34"/>
      <c r="H46" s="4"/>
      <c r="I46" s="4"/>
      <c r="J46" s="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row>
    <row r="47" spans="1:44" ht="13.5" thickBot="1">
      <c r="A47" s="41" t="s">
        <v>3</v>
      </c>
      <c r="B47" s="4"/>
      <c r="C47" s="18" t="s">
        <v>4</v>
      </c>
      <c r="D47" s="199">
        <f>'O&amp;M_Backup'!D272</f>
        <v>11090544</v>
      </c>
      <c r="E47" s="307"/>
      <c r="F47" s="307" t="s">
        <v>5</v>
      </c>
      <c r="G47" s="183">
        <f>D47/20</f>
        <v>554527.19999999995</v>
      </c>
      <c r="H47" s="4"/>
      <c r="I47" s="4"/>
      <c r="J47" s="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row>
    <row r="48" spans="1:44" ht="13.5" thickBot="1">
      <c r="A48" s="41"/>
      <c r="B48" s="4"/>
      <c r="C48" s="18"/>
      <c r="D48" s="202"/>
      <c r="E48" s="310" t="s">
        <v>1297</v>
      </c>
      <c r="F48" s="307"/>
      <c r="G48" s="304">
        <f>G47/(1200*450)</f>
        <v>1.0269022222222222</v>
      </c>
      <c r="H48" s="4"/>
      <c r="I48" s="4"/>
      <c r="J48" s="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row>
    <row r="49" spans="1:44" ht="13.5" thickBot="1">
      <c r="A49" s="41"/>
      <c r="B49" s="4"/>
      <c r="C49" s="18"/>
      <c r="D49" s="202"/>
      <c r="E49" s="307"/>
      <c r="F49" s="307"/>
      <c r="G49" s="306"/>
      <c r="H49" s="4"/>
      <c r="I49" s="4"/>
      <c r="J49" s="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row>
    <row r="50" spans="1:44" ht="13.5" thickBot="1">
      <c r="A50" s="41" t="s">
        <v>6</v>
      </c>
      <c r="B50" s="4"/>
      <c r="C50" s="18"/>
      <c r="D50" s="202"/>
      <c r="E50" s="307"/>
      <c r="F50" s="307" t="s">
        <v>5</v>
      </c>
      <c r="G50" s="199">
        <f>G47+E44</f>
        <v>1620103.1672704192</v>
      </c>
      <c r="H50" s="4"/>
      <c r="I50" s="4"/>
      <c r="J50" s="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row>
    <row r="51" spans="1:44" ht="13.5" thickBot="1">
      <c r="A51" s="41"/>
      <c r="B51" s="4"/>
      <c r="C51" s="18"/>
      <c r="D51" s="202"/>
      <c r="E51" s="310" t="s">
        <v>1297</v>
      </c>
      <c r="G51" s="304">
        <f>G50/(1200*450)</f>
        <v>3.0001910505007761</v>
      </c>
      <c r="H51" s="4"/>
      <c r="I51" s="4"/>
      <c r="J51" s="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row>
    <row r="52" spans="1:44" ht="13.5" thickBot="1">
      <c r="A52" s="41"/>
      <c r="B52" s="4"/>
      <c r="C52" s="18"/>
      <c r="D52" s="202"/>
      <c r="E52" s="307"/>
      <c r="F52" s="307"/>
      <c r="G52" s="303"/>
      <c r="H52" s="4"/>
      <c r="I52" s="4"/>
      <c r="J52" s="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row>
    <row r="53" spans="1:44" ht="13.5" hidden="1" thickBot="1">
      <c r="A53" s="41"/>
      <c r="B53" s="4"/>
      <c r="C53" s="151"/>
      <c r="D53" s="32"/>
      <c r="E53" s="32"/>
      <c r="F53" s="32"/>
      <c r="G53" s="34"/>
      <c r="H53" s="4"/>
      <c r="I53" s="4"/>
      <c r="J53" s="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row>
    <row r="54" spans="1:44" ht="13.5" hidden="1" thickBot="1">
      <c r="A54" s="41" t="s">
        <v>689</v>
      </c>
      <c r="B54" s="4"/>
      <c r="C54" s="151"/>
      <c r="D54" s="28"/>
      <c r="E54" s="28"/>
      <c r="F54" s="28"/>
      <c r="G54" s="183"/>
      <c r="H54" s="4"/>
      <c r="I54" s="4"/>
      <c r="J54" s="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row>
    <row r="55" spans="1:44" ht="13.5" hidden="1" thickBot="1">
      <c r="A55" s="41"/>
      <c r="B55" s="4"/>
      <c r="C55" s="151"/>
      <c r="D55" s="32"/>
      <c r="E55" s="32"/>
      <c r="F55" s="32"/>
      <c r="G55" s="34"/>
      <c r="H55" s="4"/>
      <c r="I55" s="4"/>
      <c r="J55" s="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row>
    <row r="56" spans="1:44" ht="13.5" hidden="1" thickBot="1">
      <c r="A56" s="41" t="s">
        <v>690</v>
      </c>
      <c r="B56" s="23"/>
      <c r="C56" s="151"/>
      <c r="D56" s="28"/>
      <c r="E56" s="28"/>
      <c r="F56" s="28"/>
      <c r="G56" s="183"/>
      <c r="H56" s="4"/>
      <c r="I56" s="4"/>
      <c r="J56" s="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row>
    <row r="57" spans="1:44" hidden="1">
      <c r="A57" s="41"/>
      <c r="B57" s="23"/>
      <c r="C57" s="151"/>
      <c r="D57" s="32"/>
      <c r="E57" s="32"/>
      <c r="F57" s="32"/>
      <c r="G57" s="303"/>
      <c r="H57" s="4"/>
      <c r="I57" s="4"/>
      <c r="J57" s="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row>
    <row r="58" spans="1:44" ht="13.5" hidden="1" thickBot="1">
      <c r="A58" s="41"/>
      <c r="B58" s="23"/>
      <c r="C58" s="23"/>
      <c r="D58"/>
      <c r="E58"/>
      <c r="F58"/>
      <c r="G58" s="4"/>
      <c r="H58" s="4"/>
      <c r="I58" s="4"/>
      <c r="J58" s="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row>
    <row r="59" spans="1:44" ht="13.5" hidden="1" thickBot="1">
      <c r="A59" s="41" t="s">
        <v>1296</v>
      </c>
      <c r="B59" s="23"/>
      <c r="C59" s="23"/>
      <c r="D59"/>
      <c r="E59"/>
      <c r="F59" s="307" t="s">
        <v>5</v>
      </c>
      <c r="G59" s="28">
        <f>G56+G54+G47+G44</f>
        <v>554527.19999999995</v>
      </c>
      <c r="H59" s="4"/>
      <c r="I59" s="4"/>
      <c r="J59" s="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row>
    <row r="60" spans="1:44" ht="13.5" hidden="1" thickBot="1">
      <c r="A60" s="41"/>
      <c r="B60" s="23"/>
      <c r="C60" s="23"/>
      <c r="D60"/>
      <c r="E60" s="310" t="s">
        <v>1298</v>
      </c>
      <c r="F60" s="307"/>
      <c r="G60" s="304">
        <f>G59/(1200*450)</f>
        <v>1.0269022222222222</v>
      </c>
      <c r="H60" s="4"/>
      <c r="I60" s="4"/>
      <c r="J60" s="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row>
    <row r="61" spans="1:44" hidden="1">
      <c r="A61" s="41"/>
      <c r="B61" s="23"/>
      <c r="C61" s="23"/>
      <c r="D61"/>
      <c r="E61"/>
      <c r="F61"/>
      <c r="G61" s="4"/>
      <c r="H61" s="4"/>
      <c r="I61" s="4"/>
      <c r="J61" s="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row>
    <row r="62" spans="1:44" ht="13.5" hidden="1" thickBot="1">
      <c r="A62"/>
      <c r="B62"/>
      <c r="C62"/>
      <c r="D62"/>
      <c r="E62"/>
      <c r="F62"/>
      <c r="G62" s="73"/>
      <c r="H62" s="4"/>
      <c r="I62" s="4"/>
      <c r="J62" s="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row>
    <row r="63" spans="1:44" ht="13.5" thickBot="1">
      <c r="A63" s="41" t="s">
        <v>1295</v>
      </c>
      <c r="B63" s="4"/>
      <c r="C63" s="4"/>
      <c r="D63" s="199">
        <f>ROUND(0.1*(G56+G54+G47+E44),-4)</f>
        <v>160000</v>
      </c>
      <c r="E63" s="307"/>
      <c r="F63" s="307"/>
      <c r="G63" s="303"/>
      <c r="H63" s="4"/>
      <c r="I63" s="4"/>
      <c r="J63" s="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row>
    <row r="64" spans="1:44" ht="13.5" thickBot="1">
      <c r="A64" s="222" t="s">
        <v>679</v>
      </c>
      <c r="B64" s="4"/>
      <c r="C64" s="4"/>
      <c r="D64" s="199">
        <f>ROUND('O&amp;M_Backup'!$D$264*'O&amp;M_Estimate'!E8,-4)</f>
        <v>60000</v>
      </c>
      <c r="E64" s="202"/>
      <c r="F64" s="202"/>
      <c r="G64" s="303"/>
      <c r="H64" s="4"/>
      <c r="I64" s="4"/>
      <c r="J64" s="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row>
    <row r="65" spans="1:44">
      <c r="A65" s="139"/>
      <c r="B65" s="4"/>
      <c r="C65" s="4"/>
      <c r="D65" s="4"/>
      <c r="E65" s="4"/>
      <c r="F65" s="4"/>
      <c r="G65" s="4"/>
      <c r="H65" s="4"/>
      <c r="I65" s="4"/>
      <c r="J65" s="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row>
    <row r="66" spans="1:44">
      <c r="A66" s="161"/>
      <c r="B66" s="4"/>
      <c r="C66" s="4"/>
      <c r="D66" s="4"/>
      <c r="E66" s="4"/>
      <c r="F66" s="4"/>
      <c r="G66" s="4"/>
      <c r="H66" s="4"/>
      <c r="I66" s="4"/>
      <c r="J66" s="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row>
    <row r="67" spans="1:44">
      <c r="A67" s="161"/>
      <c r="B67" s="4"/>
      <c r="C67" s="4"/>
      <c r="D67" s="4"/>
      <c r="E67" s="4"/>
      <c r="F67" s="4"/>
      <c r="G67" s="4"/>
      <c r="H67" s="4"/>
      <c r="I67" s="4"/>
      <c r="J67" s="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row>
    <row r="68" spans="1:44">
      <c r="A68" s="161"/>
      <c r="B68" s="4"/>
      <c r="C68" s="4"/>
      <c r="D68" s="4"/>
      <c r="E68" s="4"/>
      <c r="F68" s="4"/>
      <c r="G68" s="4"/>
      <c r="H68" s="4"/>
      <c r="I68" s="4"/>
      <c r="J68" s="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row>
    <row r="69" spans="1:44">
      <c r="A69" s="104"/>
      <c r="B69" s="4"/>
      <c r="C69" s="4"/>
      <c r="D69" s="4"/>
      <c r="E69" s="4"/>
      <c r="F69" s="4"/>
      <c r="G69" s="4"/>
      <c r="H69" s="4"/>
      <c r="I69" s="4"/>
      <c r="J69" s="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row>
    <row r="70" spans="1:44">
      <c r="A70" s="104"/>
      <c r="B70" s="4"/>
      <c r="C70" s="4"/>
      <c r="D70" s="4"/>
      <c r="E70" s="4"/>
      <c r="F70" s="4"/>
      <c r="G70" s="4"/>
      <c r="H70" s="4"/>
      <c r="I70" s="4"/>
      <c r="J70" s="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row>
    <row r="71" spans="1:44">
      <c r="A71" s="4"/>
      <c r="B71" s="4"/>
      <c r="C71" s="4"/>
      <c r="D71" s="4"/>
      <c r="E71" s="4"/>
      <c r="F71" s="4"/>
      <c r="G71" s="4"/>
      <c r="H71" s="4"/>
      <c r="I71" s="4"/>
      <c r="J71" s="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row>
    <row r="72" spans="1:44">
      <c r="A72" s="4"/>
      <c r="B72" s="4"/>
      <c r="C72" s="4"/>
      <c r="D72" s="4"/>
      <c r="E72" s="4"/>
      <c r="F72" s="4"/>
      <c r="G72" s="4"/>
      <c r="H72" s="4"/>
      <c r="I72" s="4"/>
      <c r="J72" s="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row>
    <row r="73" spans="1:44">
      <c r="A73" s="4"/>
      <c r="B73" s="4"/>
      <c r="C73" s="4"/>
      <c r="D73" s="4"/>
      <c r="E73" s="4"/>
      <c r="F73" s="4"/>
      <c r="G73" s="4"/>
      <c r="H73" s="4"/>
      <c r="I73" s="4"/>
      <c r="J73" s="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row>
    <row r="74" spans="1:44">
      <c r="A74" s="4"/>
      <c r="B74" s="4"/>
      <c r="C74" s="4"/>
      <c r="D74" s="4"/>
      <c r="E74" s="4"/>
      <c r="F74" s="4"/>
      <c r="G74" s="4"/>
      <c r="H74" s="4"/>
      <c r="I74" s="4"/>
      <c r="J74" s="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row>
    <row r="75" spans="1:44">
      <c r="A75" s="4"/>
      <c r="B75" s="4"/>
      <c r="C75" s="4"/>
      <c r="D75" s="4"/>
      <c r="E75" s="4"/>
      <c r="F75" s="4"/>
      <c r="G75" s="4"/>
      <c r="H75" s="4"/>
      <c r="I75" s="4"/>
      <c r="J75" s="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row>
    <row r="76" spans="1:44">
      <c r="A76" s="4"/>
      <c r="B76" s="4"/>
      <c r="C76" s="4"/>
      <c r="D76" s="4"/>
      <c r="E76" s="4"/>
      <c r="F76" s="4"/>
      <c r="G76" s="4"/>
      <c r="H76" s="4"/>
      <c r="I76" s="4"/>
      <c r="J76" s="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row>
    <row r="77" spans="1:44">
      <c r="A77" s="4"/>
      <c r="B77" s="4"/>
      <c r="C77" s="4"/>
      <c r="D77" s="4"/>
      <c r="E77" s="4"/>
      <c r="F77" s="4"/>
      <c r="G77" s="4"/>
      <c r="H77" s="4"/>
      <c r="I77" s="4"/>
      <c r="J77" s="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row>
    <row r="78" spans="1:44">
      <c r="A78" s="4"/>
      <c r="B78" s="4"/>
      <c r="C78" s="4"/>
      <c r="D78" s="4"/>
      <c r="E78" s="4"/>
      <c r="F78" s="4"/>
      <c r="G78" s="4"/>
      <c r="H78" s="4"/>
      <c r="I78" s="4"/>
      <c r="J78" s="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row>
    <row r="79" spans="1:44">
      <c r="A79" s="4"/>
      <c r="B79" s="4"/>
      <c r="C79" s="4"/>
      <c r="D79" s="4"/>
      <c r="E79" s="4"/>
      <c r="F79" s="4"/>
      <c r="G79" s="4"/>
      <c r="H79" s="4"/>
      <c r="I79" s="4"/>
      <c r="J79" s="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row>
    <row r="80" spans="1:44">
      <c r="A80" s="4"/>
      <c r="B80" s="4"/>
      <c r="C80" s="4"/>
      <c r="D80" s="4"/>
      <c r="E80" s="4"/>
      <c r="F80" s="4"/>
      <c r="G80" s="4"/>
      <c r="H80" s="4"/>
      <c r="I80" s="4"/>
      <c r="J80" s="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row>
    <row r="81" spans="1:44">
      <c r="A81" s="4"/>
      <c r="B81" s="4"/>
      <c r="C81" s="4"/>
      <c r="D81" s="4"/>
      <c r="E81" s="4"/>
      <c r="F81" s="4"/>
      <c r="G81" s="4"/>
      <c r="H81" s="4"/>
      <c r="I81" s="4"/>
      <c r="J81" s="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row>
    <row r="82" spans="1:44">
      <c r="A82" s="4"/>
      <c r="B82" s="4"/>
      <c r="C82" s="4"/>
      <c r="D82" s="4"/>
      <c r="E82" s="4"/>
      <c r="F82" s="4"/>
      <c r="G82" s="4"/>
      <c r="H82" s="4"/>
      <c r="I82" s="4"/>
      <c r="J82" s="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row>
    <row r="83" spans="1:44">
      <c r="A83" s="4"/>
      <c r="B83" s="4"/>
      <c r="C83" s="4"/>
      <c r="D83" s="4"/>
      <c r="E83" s="4"/>
      <c r="F83" s="4"/>
      <c r="G83" s="4"/>
      <c r="H83" s="4"/>
      <c r="I83" s="4"/>
      <c r="J83" s="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row>
    <row r="84" spans="1:44">
      <c r="A84" s="4"/>
      <c r="B84" s="4"/>
      <c r="C84" s="4"/>
      <c r="D84" s="4"/>
      <c r="E84" s="4"/>
      <c r="F84" s="4"/>
      <c r="G84" s="4"/>
      <c r="H84" s="4"/>
      <c r="I84" s="4"/>
      <c r="J84" s="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row>
    <row r="85" spans="1:44">
      <c r="A85" s="4"/>
      <c r="B85" s="4"/>
      <c r="C85" s="4"/>
      <c r="D85" s="4"/>
      <c r="E85" s="4"/>
      <c r="F85" s="4"/>
      <c r="G85" s="4"/>
      <c r="H85" s="4"/>
      <c r="I85" s="4"/>
      <c r="J85" s="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row>
    <row r="86" spans="1:44">
      <c r="A86" s="4"/>
      <c r="B86" s="4"/>
      <c r="C86" s="4"/>
      <c r="D86" s="4"/>
      <c r="E86" s="4"/>
      <c r="F86" s="4"/>
      <c r="G86" s="4"/>
      <c r="H86" s="4"/>
      <c r="I86" s="4"/>
      <c r="J86" s="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row>
    <row r="87" spans="1:44">
      <c r="A87" s="4"/>
      <c r="B87" s="4"/>
      <c r="C87" s="4"/>
      <c r="D87" s="4"/>
      <c r="E87" s="4"/>
      <c r="F87" s="4"/>
      <c r="G87" s="4"/>
      <c r="H87" s="4"/>
      <c r="I87" s="4"/>
      <c r="J87" s="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row>
    <row r="88" spans="1:44">
      <c r="A88" s="4"/>
      <c r="B88" s="4"/>
      <c r="C88" s="4"/>
      <c r="D88" s="4"/>
      <c r="E88" s="4"/>
      <c r="F88" s="4"/>
      <c r="G88" s="4"/>
      <c r="H88" s="4"/>
      <c r="I88" s="4"/>
      <c r="J88" s="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row>
    <row r="89" spans="1:44">
      <c r="A89" s="4"/>
      <c r="B89" s="4"/>
      <c r="C89" s="4"/>
      <c r="D89" s="4"/>
      <c r="E89" s="4"/>
      <c r="F89" s="4"/>
      <c r="G89" s="4"/>
      <c r="H89" s="4"/>
      <c r="I89" s="4"/>
      <c r="J89" s="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row>
    <row r="90" spans="1:44">
      <c r="A90" s="4"/>
      <c r="B90" s="4"/>
      <c r="C90" s="4"/>
      <c r="D90" s="4"/>
      <c r="E90" s="4"/>
      <c r="F90" s="4"/>
      <c r="G90" s="4"/>
      <c r="H90" s="4"/>
      <c r="I90" s="4"/>
      <c r="J90" s="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row>
    <row r="91" spans="1:44">
      <c r="A91" s="4"/>
      <c r="B91" s="4"/>
      <c r="C91" s="4"/>
      <c r="D91" s="4"/>
      <c r="E91" s="4"/>
      <c r="F91" s="4"/>
      <c r="G91" s="4"/>
      <c r="H91" s="4"/>
      <c r="I91" s="4"/>
      <c r="J91" s="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row>
    <row r="92" spans="1:44">
      <c r="A92" s="4"/>
      <c r="B92" s="4"/>
      <c r="C92" s="4"/>
      <c r="D92" s="4"/>
      <c r="E92" s="4"/>
      <c r="F92" s="4"/>
      <c r="G92" s="4"/>
      <c r="H92" s="4"/>
      <c r="I92" s="4"/>
      <c r="J92" s="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row>
    <row r="93" spans="1:44">
      <c r="A93" s="4"/>
      <c r="B93" s="4"/>
      <c r="C93" s="4"/>
      <c r="D93" s="4"/>
      <c r="E93" s="4"/>
      <c r="F93" s="4"/>
      <c r="G93" s="4"/>
      <c r="H93" s="4"/>
      <c r="I93" s="4"/>
      <c r="J93" s="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row>
    <row r="94" spans="1:44">
      <c r="A94" s="4"/>
      <c r="B94" s="4"/>
      <c r="C94" s="4"/>
      <c r="D94" s="4"/>
      <c r="E94" s="4"/>
      <c r="F94" s="4"/>
      <c r="G94" s="4"/>
      <c r="H94" s="4"/>
      <c r="I94" s="4"/>
      <c r="J94" s="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row>
    <row r="95" spans="1:44">
      <c r="A95" s="4"/>
      <c r="B95" s="4"/>
      <c r="C95" s="4"/>
      <c r="D95" s="4"/>
      <c r="E95" s="4"/>
      <c r="F95" s="4"/>
      <c r="G95" s="4"/>
      <c r="H95" s="4"/>
      <c r="I95" s="4"/>
      <c r="J95" s="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row>
    <row r="96" spans="1:44">
      <c r="A96" s="4"/>
      <c r="B96" s="4"/>
      <c r="C96" s="4"/>
      <c r="D96" s="4"/>
      <c r="E96" s="4"/>
      <c r="F96" s="4"/>
      <c r="G96" s="4"/>
      <c r="H96" s="4"/>
      <c r="I96" s="4"/>
      <c r="J96" s="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row>
    <row r="97" spans="1:44">
      <c r="A97" s="4"/>
      <c r="B97" s="4"/>
      <c r="C97" s="4"/>
      <c r="D97" s="4"/>
      <c r="E97" s="4"/>
      <c r="F97" s="4"/>
      <c r="G97" s="4"/>
      <c r="H97" s="4"/>
      <c r="I97" s="4"/>
      <c r="J97" s="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row>
    <row r="98" spans="1:44">
      <c r="A98" s="4"/>
      <c r="B98" s="4"/>
      <c r="C98" s="4"/>
      <c r="D98" s="4"/>
      <c r="E98" s="4"/>
      <c r="F98" s="4"/>
      <c r="G98" s="4"/>
      <c r="H98" s="4"/>
      <c r="I98" s="4"/>
      <c r="J98" s="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row>
    <row r="99" spans="1:44">
      <c r="A99" s="4"/>
      <c r="B99" s="4"/>
      <c r="C99" s="4"/>
      <c r="D99" s="4"/>
      <c r="E99" s="4"/>
      <c r="F99" s="4"/>
      <c r="G99" s="4"/>
      <c r="H99" s="4"/>
      <c r="I99" s="4"/>
      <c r="J99" s="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row>
    <row r="100" spans="1:44">
      <c r="A100" s="4"/>
      <c r="B100" s="4"/>
      <c r="C100" s="4"/>
      <c r="D100" s="4"/>
      <c r="E100" s="4"/>
      <c r="F100" s="4"/>
      <c r="G100" s="4"/>
      <c r="H100" s="4"/>
      <c r="I100" s="4"/>
      <c r="J100" s="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row>
    <row r="101" spans="1:44">
      <c r="A101" s="4"/>
      <c r="B101" s="4"/>
      <c r="C101" s="4"/>
      <c r="D101" s="4"/>
      <c r="E101" s="4"/>
      <c r="F101" s="4"/>
      <c r="G101" s="4"/>
      <c r="H101" s="4"/>
      <c r="I101" s="4"/>
      <c r="J101" s="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row>
    <row r="102" spans="1:44">
      <c r="A102" s="4"/>
      <c r="B102" s="4"/>
      <c r="C102" s="4"/>
      <c r="D102" s="4"/>
      <c r="E102" s="4"/>
      <c r="F102" s="4"/>
      <c r="G102" s="4"/>
      <c r="H102" s="4"/>
      <c r="I102" s="4"/>
      <c r="J102" s="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row>
    <row r="103" spans="1:44">
      <c r="A103" s="4"/>
      <c r="B103" s="4"/>
      <c r="C103" s="4"/>
      <c r="D103" s="4"/>
      <c r="E103" s="4"/>
      <c r="F103" s="4"/>
      <c r="G103" s="4"/>
      <c r="H103" s="4"/>
      <c r="I103" s="4"/>
      <c r="J103" s="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row>
    <row r="104" spans="1:44">
      <c r="A104" s="4"/>
      <c r="B104" s="4"/>
      <c r="C104" s="4"/>
      <c r="D104" s="4"/>
      <c r="E104" s="4"/>
      <c r="F104" s="4"/>
      <c r="G104" s="4"/>
      <c r="H104" s="4"/>
      <c r="I104" s="4"/>
      <c r="J104" s="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row>
    <row r="105" spans="1:44">
      <c r="A105" s="4"/>
      <c r="B105" s="4"/>
      <c r="C105" s="4"/>
      <c r="D105" s="4"/>
      <c r="E105" s="4"/>
      <c r="F105" s="4"/>
      <c r="G105" s="4"/>
      <c r="H105" s="4"/>
      <c r="I105" s="4"/>
      <c r="J105" s="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row>
    <row r="106" spans="1:44">
      <c r="A106" s="4"/>
      <c r="B106" s="4"/>
      <c r="C106" s="4"/>
      <c r="D106" s="4"/>
      <c r="E106" s="4"/>
      <c r="F106" s="4"/>
      <c r="G106" s="4"/>
      <c r="H106" s="4"/>
      <c r="I106" s="4"/>
      <c r="J106" s="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row>
    <row r="107" spans="1:44">
      <c r="A107" s="4"/>
      <c r="B107" s="4"/>
      <c r="C107" s="4"/>
      <c r="D107" s="4"/>
      <c r="E107" s="4"/>
      <c r="F107" s="4"/>
      <c r="G107" s="4"/>
      <c r="H107" s="4"/>
      <c r="I107" s="4"/>
      <c r="J107" s="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row>
    <row r="108" spans="1:44">
      <c r="A108" s="4"/>
      <c r="B108" s="4"/>
      <c r="C108" s="4"/>
      <c r="D108" s="4"/>
      <c r="E108" s="4"/>
      <c r="F108" s="4"/>
      <c r="G108" s="4"/>
      <c r="H108" s="4"/>
      <c r="I108" s="4"/>
      <c r="J108" s="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row>
    <row r="109" spans="1:44">
      <c r="A109" s="4"/>
      <c r="B109" s="4"/>
      <c r="C109" s="4"/>
      <c r="D109" s="4"/>
      <c r="E109" s="4"/>
      <c r="F109" s="4"/>
      <c r="G109" s="4"/>
      <c r="H109" s="4"/>
      <c r="I109" s="4"/>
      <c r="J109" s="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row>
    <row r="110" spans="1:44">
      <c r="A110" s="4"/>
      <c r="B110" s="4"/>
      <c r="C110" s="4"/>
      <c r="D110" s="4"/>
      <c r="E110" s="4"/>
      <c r="F110" s="4"/>
      <c r="G110" s="4"/>
      <c r="H110" s="4"/>
      <c r="I110" s="4"/>
      <c r="J110" s="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row>
    <row r="111" spans="1:44">
      <c r="A111" s="4"/>
      <c r="B111" s="4"/>
      <c r="C111" s="4"/>
      <c r="D111" s="4"/>
      <c r="E111" s="4"/>
      <c r="F111" s="4"/>
      <c r="G111" s="4"/>
      <c r="H111" s="4"/>
      <c r="I111" s="4"/>
      <c r="J111" s="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row>
    <row r="112" spans="1:44">
      <c r="A112" s="4"/>
      <c r="B112" s="4"/>
      <c r="C112" s="4"/>
      <c r="D112" s="4"/>
      <c r="E112" s="4"/>
      <c r="F112" s="4"/>
      <c r="G112" s="4"/>
      <c r="H112" s="4"/>
      <c r="I112" s="4"/>
      <c r="J112" s="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row>
    <row r="113" spans="1:44">
      <c r="A113" s="4"/>
      <c r="B113" s="4"/>
      <c r="C113" s="4"/>
      <c r="D113" s="4"/>
      <c r="E113" s="4"/>
      <c r="F113" s="4"/>
      <c r="G113" s="4"/>
      <c r="H113" s="4"/>
      <c r="I113" s="4"/>
      <c r="J113" s="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row>
    <row r="114" spans="1:44">
      <c r="A114" s="4"/>
      <c r="B114" s="4"/>
      <c r="C114" s="4"/>
      <c r="D114" s="4"/>
      <c r="E114" s="4"/>
      <c r="F114" s="4"/>
      <c r="G114" s="4"/>
      <c r="H114" s="4"/>
      <c r="I114" s="4"/>
      <c r="J114" s="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row>
    <row r="115" spans="1:44">
      <c r="A115" s="4"/>
      <c r="B115" s="4"/>
      <c r="C115" s="4"/>
      <c r="D115" s="4"/>
      <c r="E115" s="4"/>
      <c r="F115" s="4"/>
      <c r="G115" s="4"/>
      <c r="H115" s="4"/>
      <c r="I115" s="4"/>
      <c r="J115" s="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row>
    <row r="116" spans="1:44">
      <c r="A116" s="4"/>
      <c r="B116" s="4"/>
      <c r="C116" s="4"/>
      <c r="D116" s="4"/>
      <c r="E116" s="4"/>
      <c r="F116" s="4"/>
      <c r="G116" s="4"/>
      <c r="H116" s="4"/>
      <c r="I116" s="4"/>
      <c r="J116" s="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row>
    <row r="117" spans="1:44">
      <c r="A117" s="4"/>
      <c r="B117" s="4"/>
      <c r="C117" s="4"/>
      <c r="D117" s="4"/>
      <c r="E117" s="4"/>
      <c r="F117" s="4"/>
      <c r="G117" s="4"/>
      <c r="H117" s="4"/>
      <c r="I117" s="4"/>
      <c r="J117" s="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row>
    <row r="118" spans="1:44">
      <c r="A118" s="4"/>
      <c r="B118" s="4"/>
      <c r="C118" s="4"/>
      <c r="D118" s="4"/>
      <c r="E118" s="4"/>
      <c r="F118" s="4"/>
      <c r="G118" s="4"/>
      <c r="H118" s="4"/>
      <c r="I118" s="4"/>
      <c r="J118" s="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row>
    <row r="119" spans="1:44">
      <c r="A119" s="4"/>
      <c r="B119" s="4"/>
      <c r="C119" s="4"/>
      <c r="D119" s="4"/>
      <c r="E119" s="4"/>
      <c r="F119" s="4"/>
      <c r="G119" s="4"/>
      <c r="H119" s="4"/>
      <c r="I119" s="4"/>
      <c r="J119" s="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row>
    <row r="120" spans="1:44">
      <c r="A120" s="4"/>
      <c r="B120" s="4"/>
      <c r="C120" s="4"/>
      <c r="D120" s="4"/>
      <c r="E120" s="4"/>
      <c r="F120" s="4"/>
      <c r="G120" s="4"/>
      <c r="H120" s="4"/>
      <c r="I120" s="4"/>
      <c r="J120" s="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row>
    <row r="121" spans="1:44">
      <c r="A121" s="4"/>
      <c r="B121" s="4"/>
      <c r="C121" s="4"/>
      <c r="D121" s="4"/>
      <c r="E121" s="4"/>
      <c r="F121" s="4"/>
      <c r="G121" s="4"/>
      <c r="H121" s="4"/>
      <c r="I121" s="4"/>
      <c r="J121" s="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row>
    <row r="122" spans="1:44">
      <c r="A122" s="4"/>
      <c r="B122" s="4"/>
      <c r="C122" s="4"/>
      <c r="D122" s="4"/>
      <c r="E122" s="4"/>
      <c r="F122" s="4"/>
      <c r="G122" s="4"/>
      <c r="H122" s="4"/>
      <c r="I122" s="4"/>
      <c r="J122" s="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row>
    <row r="123" spans="1:44">
      <c r="A123" s="4"/>
      <c r="B123" s="4"/>
      <c r="C123" s="4"/>
      <c r="D123" s="4"/>
      <c r="E123" s="4"/>
      <c r="F123" s="4"/>
      <c r="G123" s="4"/>
      <c r="H123" s="4"/>
      <c r="I123" s="4"/>
      <c r="J123" s="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row>
    <row r="124" spans="1:44">
      <c r="A124" s="4"/>
      <c r="B124" s="4"/>
      <c r="C124" s="4"/>
      <c r="D124" s="4"/>
      <c r="E124" s="4"/>
      <c r="F124" s="4"/>
      <c r="G124" s="4"/>
      <c r="H124" s="4"/>
      <c r="I124" s="4"/>
      <c r="J124" s="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row>
    <row r="125" spans="1:44">
      <c r="A125" s="4"/>
      <c r="B125" s="4"/>
      <c r="C125" s="4"/>
      <c r="D125" s="4"/>
      <c r="E125" s="4"/>
      <c r="F125" s="4"/>
      <c r="G125" s="4"/>
      <c r="H125" s="4"/>
      <c r="I125" s="4"/>
      <c r="J125" s="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row>
    <row r="126" spans="1:44">
      <c r="A126" s="4"/>
      <c r="B126" s="4"/>
      <c r="C126" s="4"/>
      <c r="D126" s="4"/>
      <c r="E126" s="4"/>
      <c r="F126" s="4"/>
      <c r="G126" s="4"/>
      <c r="H126" s="4"/>
      <c r="I126" s="4"/>
      <c r="J126" s="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row>
    <row r="127" spans="1:44">
      <c r="A127" s="4"/>
      <c r="B127" s="4"/>
      <c r="C127" s="4"/>
      <c r="D127" s="4"/>
      <c r="E127" s="4"/>
      <c r="F127" s="4"/>
      <c r="G127" s="4"/>
      <c r="H127" s="4"/>
      <c r="I127" s="4"/>
      <c r="J127" s="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row>
    <row r="128" spans="1:44">
      <c r="A128" s="4"/>
      <c r="B128" s="4"/>
      <c r="C128" s="4"/>
      <c r="D128" s="4"/>
      <c r="E128" s="4"/>
      <c r="F128" s="4"/>
      <c r="G128" s="4"/>
      <c r="H128" s="4"/>
      <c r="I128" s="4"/>
      <c r="J128" s="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row>
    <row r="129" spans="1:44">
      <c r="A129" s="4"/>
      <c r="B129" s="4"/>
      <c r="C129" s="4"/>
      <c r="D129" s="4"/>
      <c r="E129" s="4"/>
      <c r="F129" s="4"/>
      <c r="G129" s="4"/>
      <c r="H129" s="4"/>
      <c r="I129" s="4"/>
      <c r="J129" s="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row>
    <row r="130" spans="1:44">
      <c r="A130" s="4"/>
      <c r="B130" s="4"/>
      <c r="C130" s="4"/>
      <c r="D130" s="4"/>
      <c r="E130" s="4"/>
      <c r="F130" s="4"/>
      <c r="G130" s="4"/>
      <c r="H130" s="4"/>
      <c r="I130" s="4"/>
      <c r="J130" s="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row>
    <row r="131" spans="1:44">
      <c r="A131" s="4"/>
      <c r="B131" s="4"/>
      <c r="C131" s="4"/>
      <c r="D131" s="4"/>
      <c r="E131" s="4"/>
      <c r="F131" s="4"/>
      <c r="G131" s="4"/>
      <c r="H131" s="4"/>
      <c r="I131" s="4"/>
      <c r="J131" s="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row>
    <row r="132" spans="1:44">
      <c r="A132" s="4"/>
      <c r="B132" s="4"/>
      <c r="C132" s="4"/>
      <c r="D132" s="4"/>
      <c r="E132" s="4"/>
      <c r="F132" s="4"/>
      <c r="G132" s="4"/>
      <c r="H132" s="4"/>
      <c r="I132" s="4"/>
      <c r="J132" s="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row>
    <row r="133" spans="1:44">
      <c r="A133" s="4"/>
      <c r="B133" s="4"/>
      <c r="C133" s="4"/>
      <c r="D133" s="4"/>
      <c r="E133" s="4"/>
      <c r="F133" s="4"/>
      <c r="G133" s="4"/>
      <c r="H133" s="4"/>
      <c r="I133" s="4"/>
      <c r="J133" s="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row>
    <row r="134" spans="1:44">
      <c r="A134" s="4"/>
      <c r="B134" s="4"/>
      <c r="C134" s="4"/>
      <c r="D134" s="4"/>
      <c r="E134" s="4"/>
      <c r="F134" s="4"/>
      <c r="G134" s="4"/>
      <c r="H134" s="4"/>
      <c r="I134" s="4"/>
      <c r="J134" s="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row>
    <row r="135" spans="1:44">
      <c r="A135" s="4"/>
      <c r="B135" s="4"/>
      <c r="C135" s="4"/>
      <c r="D135" s="4"/>
      <c r="E135" s="4"/>
      <c r="F135" s="4"/>
      <c r="G135" s="4"/>
      <c r="H135" s="4"/>
      <c r="I135" s="4"/>
      <c r="J135" s="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row>
    <row r="136" spans="1:44">
      <c r="A136" s="4"/>
      <c r="B136" s="4"/>
      <c r="C136" s="4"/>
      <c r="D136" s="4"/>
      <c r="E136" s="4"/>
      <c r="F136" s="4"/>
      <c r="G136" s="4"/>
      <c r="H136" s="4"/>
      <c r="I136" s="4"/>
      <c r="J136" s="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row>
    <row r="137" spans="1:44">
      <c r="A137" s="4"/>
      <c r="B137" s="4"/>
      <c r="C137" s="4"/>
      <c r="D137" s="4"/>
      <c r="E137" s="4"/>
      <c r="F137" s="4"/>
      <c r="G137" s="4"/>
      <c r="H137" s="4"/>
      <c r="I137" s="4"/>
      <c r="J137" s="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row>
    <row r="138" spans="1:44">
      <c r="A138" s="4"/>
      <c r="B138" s="4"/>
      <c r="C138" s="4"/>
      <c r="D138" s="4"/>
      <c r="E138" s="4"/>
      <c r="F138" s="4"/>
      <c r="G138" s="4"/>
      <c r="H138" s="4"/>
      <c r="I138" s="4"/>
      <c r="J138" s="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row>
    <row r="139" spans="1:44">
      <c r="A139" s="4"/>
      <c r="B139" s="4"/>
      <c r="C139" s="4"/>
      <c r="D139" s="4"/>
      <c r="E139" s="4"/>
      <c r="F139" s="4"/>
      <c r="G139" s="4"/>
      <c r="H139" s="4"/>
      <c r="I139" s="4"/>
      <c r="J139" s="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row>
    <row r="140" spans="1:44">
      <c r="A140" s="4"/>
      <c r="B140" s="4"/>
      <c r="C140" s="4"/>
      <c r="D140" s="4"/>
      <c r="E140" s="4"/>
      <c r="F140" s="4"/>
      <c r="G140" s="4"/>
      <c r="H140" s="4"/>
      <c r="I140" s="4"/>
      <c r="J140" s="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row>
    <row r="141" spans="1:44">
      <c r="A141" s="4"/>
      <c r="B141" s="4"/>
      <c r="C141" s="4"/>
      <c r="D141" s="4"/>
      <c r="E141" s="4"/>
      <c r="F141" s="4"/>
      <c r="G141" s="4"/>
      <c r="H141" s="4"/>
      <c r="I141" s="4"/>
      <c r="J141" s="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row>
    <row r="142" spans="1:44">
      <c r="A142" s="4"/>
      <c r="B142" s="4"/>
      <c r="C142" s="4"/>
      <c r="D142" s="4"/>
      <c r="E142" s="4"/>
      <c r="F142" s="4"/>
      <c r="G142" s="4"/>
      <c r="H142" s="4"/>
      <c r="I142" s="4"/>
      <c r="J142" s="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row>
    <row r="143" spans="1:44">
      <c r="A143" s="4"/>
      <c r="B143" s="4"/>
      <c r="C143" s="4"/>
      <c r="D143" s="4"/>
      <c r="E143" s="4"/>
      <c r="F143" s="4"/>
      <c r="G143" s="4"/>
      <c r="H143" s="4"/>
      <c r="I143" s="4"/>
      <c r="J143" s="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row>
    <row r="144" spans="1:44">
      <c r="A144" s="4"/>
      <c r="B144" s="4"/>
      <c r="C144" s="4"/>
      <c r="D144" s="4"/>
      <c r="E144" s="4"/>
      <c r="F144" s="4"/>
      <c r="G144" s="4"/>
      <c r="H144" s="4"/>
      <c r="I144" s="4"/>
      <c r="J144" s="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row>
    <row r="145" spans="1:44">
      <c r="A145" s="4"/>
      <c r="B145" s="4"/>
      <c r="C145" s="4"/>
      <c r="D145" s="4"/>
      <c r="E145" s="4"/>
      <c r="F145" s="4"/>
      <c r="G145" s="4"/>
      <c r="H145" s="4"/>
      <c r="I145" s="4"/>
      <c r="J145" s="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row>
    <row r="146" spans="1:44">
      <c r="A146" s="4"/>
      <c r="B146" s="4"/>
      <c r="C146" s="4"/>
      <c r="D146" s="4"/>
      <c r="E146" s="4"/>
      <c r="F146" s="4"/>
      <c r="G146" s="4"/>
      <c r="H146" s="4"/>
      <c r="I146" s="4"/>
      <c r="J146" s="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row>
    <row r="147" spans="1:44">
      <c r="A147" s="4"/>
      <c r="B147" s="4"/>
      <c r="C147" s="4"/>
      <c r="D147" s="4"/>
      <c r="E147" s="4"/>
      <c r="F147" s="4"/>
      <c r="G147" s="4"/>
      <c r="H147" s="4"/>
      <c r="I147" s="4"/>
      <c r="J147" s="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row>
    <row r="148" spans="1:44">
      <c r="A148" s="4"/>
      <c r="B148" s="4"/>
      <c r="C148" s="4"/>
      <c r="D148" s="4"/>
      <c r="E148" s="4"/>
      <c r="F148" s="4"/>
      <c r="G148" s="4"/>
      <c r="H148" s="4"/>
      <c r="I148" s="4"/>
      <c r="J148" s="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row>
    <row r="149" spans="1:44">
      <c r="A149" s="4"/>
      <c r="B149" s="4"/>
      <c r="C149" s="4"/>
      <c r="D149" s="4"/>
      <c r="E149" s="4"/>
      <c r="F149" s="4"/>
      <c r="G149" s="4"/>
      <c r="H149" s="4"/>
      <c r="I149" s="4"/>
      <c r="J149" s="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row>
    <row r="150" spans="1:44">
      <c r="A150" s="4"/>
      <c r="B150" s="4"/>
      <c r="C150" s="4"/>
      <c r="D150" s="4"/>
      <c r="E150" s="4"/>
      <c r="F150" s="4"/>
      <c r="G150" s="4"/>
      <c r="H150" s="4"/>
      <c r="I150" s="4"/>
      <c r="J150" s="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row>
    <row r="151" spans="1:44">
      <c r="A151" s="4"/>
      <c r="B151" s="4"/>
      <c r="C151" s="4"/>
      <c r="D151" s="4"/>
      <c r="E151" s="4"/>
      <c r="F151" s="4"/>
      <c r="G151" s="4"/>
      <c r="H151" s="4"/>
      <c r="I151" s="4"/>
      <c r="J151" s="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row>
    <row r="152" spans="1:44">
      <c r="A152" s="4"/>
      <c r="B152" s="4"/>
      <c r="C152" s="4"/>
      <c r="D152" s="4"/>
      <c r="E152" s="4"/>
      <c r="F152" s="4"/>
      <c r="G152" s="4"/>
      <c r="H152" s="4"/>
      <c r="I152" s="4"/>
      <c r="J152" s="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row>
    <row r="153" spans="1:44">
      <c r="A153" s="4"/>
      <c r="B153" s="4"/>
      <c r="C153" s="4"/>
      <c r="D153" s="4"/>
      <c r="E153" s="4"/>
      <c r="F153" s="4"/>
      <c r="G153" s="4"/>
      <c r="H153" s="4"/>
      <c r="I153" s="4"/>
      <c r="J153" s="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row>
    <row r="154" spans="1:44">
      <c r="A154" s="4"/>
      <c r="B154" s="4"/>
      <c r="C154" s="4"/>
      <c r="D154" s="4"/>
      <c r="E154" s="4"/>
      <c r="F154" s="4"/>
      <c r="G154" s="4"/>
      <c r="H154" s="4"/>
      <c r="I154" s="4"/>
      <c r="J154" s="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row>
    <row r="155" spans="1:44">
      <c r="A155" s="4"/>
      <c r="B155" s="4"/>
      <c r="C155" s="4"/>
      <c r="D155" s="4"/>
      <c r="E155" s="4"/>
      <c r="F155" s="4"/>
      <c r="G155" s="4"/>
      <c r="H155" s="4"/>
      <c r="I155" s="4"/>
      <c r="J155" s="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row>
    <row r="156" spans="1:44">
      <c r="A156" s="4"/>
      <c r="B156" s="4"/>
      <c r="C156" s="4"/>
      <c r="D156" s="4"/>
      <c r="E156" s="4"/>
      <c r="F156" s="4"/>
      <c r="G156" s="4"/>
      <c r="H156" s="4"/>
      <c r="I156" s="4"/>
      <c r="J156" s="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row>
    <row r="157" spans="1:44">
      <c r="A157" s="4"/>
      <c r="B157" s="4"/>
      <c r="C157" s="4"/>
      <c r="D157" s="4"/>
      <c r="E157" s="4"/>
      <c r="F157" s="4"/>
      <c r="G157" s="4"/>
      <c r="H157" s="4"/>
      <c r="I157" s="4"/>
      <c r="J157" s="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row>
    <row r="158" spans="1:44">
      <c r="A158" s="4"/>
      <c r="B158" s="4"/>
      <c r="C158" s="4"/>
      <c r="D158" s="4"/>
      <c r="E158" s="4"/>
      <c r="F158" s="4"/>
      <c r="G158" s="4"/>
      <c r="H158" s="4"/>
      <c r="I158" s="4"/>
      <c r="J158" s="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row>
    <row r="159" spans="1:44">
      <c r="A159" s="4"/>
      <c r="B159" s="4"/>
      <c r="C159" s="4"/>
      <c r="D159" s="4"/>
      <c r="E159" s="4"/>
      <c r="F159" s="4"/>
      <c r="G159" s="4"/>
      <c r="H159" s="4"/>
      <c r="I159" s="4"/>
      <c r="J159" s="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row>
    <row r="160" spans="1:44">
      <c r="A160" s="4"/>
      <c r="B160" s="4"/>
      <c r="C160" s="4"/>
      <c r="D160" s="4"/>
      <c r="E160" s="4"/>
      <c r="F160" s="4"/>
      <c r="G160" s="4"/>
      <c r="H160" s="4"/>
      <c r="I160" s="4"/>
      <c r="J160" s="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row>
    <row r="161" spans="1:44">
      <c r="A161" s="4"/>
      <c r="B161" s="4"/>
      <c r="C161" s="4"/>
      <c r="D161" s="4"/>
      <c r="E161" s="4"/>
      <c r="F161" s="4"/>
      <c r="G161" s="4"/>
      <c r="H161" s="4"/>
      <c r="I161" s="4"/>
      <c r="J161" s="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row>
    <row r="162" spans="1:44">
      <c r="A162" s="4"/>
      <c r="B162" s="4"/>
      <c r="C162" s="4"/>
      <c r="D162" s="4"/>
      <c r="E162" s="4"/>
      <c r="F162" s="4"/>
      <c r="G162" s="4"/>
      <c r="H162" s="4"/>
      <c r="I162" s="4"/>
      <c r="J162" s="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row>
    <row r="163" spans="1:44">
      <c r="A163" s="4"/>
      <c r="B163" s="4"/>
      <c r="C163" s="4"/>
      <c r="D163" s="4"/>
      <c r="E163" s="4"/>
      <c r="F163" s="4"/>
      <c r="G163" s="4"/>
      <c r="H163" s="4"/>
      <c r="I163" s="4"/>
      <c r="J163" s="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row>
    <row r="164" spans="1:44">
      <c r="A164" s="4"/>
      <c r="B164" s="4"/>
      <c r="C164" s="4"/>
      <c r="D164" s="4"/>
      <c r="E164" s="4"/>
      <c r="F164" s="4"/>
      <c r="G164" s="4"/>
      <c r="H164" s="4"/>
      <c r="I164" s="4"/>
      <c r="J164" s="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row>
    <row r="165" spans="1:44">
      <c r="A165" s="4"/>
      <c r="B165" s="4"/>
      <c r="C165" s="4"/>
      <c r="D165" s="4"/>
      <c r="E165" s="4"/>
      <c r="F165" s="4"/>
      <c r="G165" s="4"/>
      <c r="H165" s="4"/>
      <c r="I165" s="4"/>
      <c r="J165" s="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row>
    <row r="166" spans="1:44">
      <c r="A166" s="4"/>
      <c r="B166" s="4"/>
      <c r="C166" s="4"/>
      <c r="D166" s="4"/>
      <c r="E166" s="4"/>
      <c r="F166" s="4"/>
      <c r="G166" s="4"/>
      <c r="H166" s="4"/>
      <c r="I166" s="4"/>
      <c r="J166" s="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row>
    <row r="167" spans="1:44">
      <c r="A167" s="4"/>
      <c r="B167" s="4"/>
      <c r="C167" s="4"/>
      <c r="D167" s="4"/>
      <c r="E167" s="4"/>
      <c r="F167" s="4"/>
      <c r="G167" s="4"/>
      <c r="H167" s="4"/>
      <c r="I167" s="4"/>
      <c r="J167" s="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row>
    <row r="168" spans="1:44">
      <c r="A168" s="4"/>
      <c r="B168" s="4"/>
      <c r="C168" s="4"/>
      <c r="D168" s="4"/>
      <c r="E168" s="4"/>
      <c r="F168" s="4"/>
      <c r="G168" s="4"/>
      <c r="H168" s="4"/>
      <c r="I168" s="4"/>
      <c r="J168" s="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row>
    <row r="169" spans="1:44">
      <c r="A169" s="4"/>
      <c r="B169" s="4"/>
      <c r="C169" s="4"/>
      <c r="D169" s="4"/>
      <c r="E169" s="4"/>
      <c r="F169" s="4"/>
      <c r="G169" s="4"/>
      <c r="H169" s="4"/>
      <c r="I169" s="4"/>
      <c r="J169" s="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row>
    <row r="170" spans="1:44">
      <c r="A170" s="4"/>
      <c r="B170" s="4"/>
      <c r="C170" s="4"/>
      <c r="D170" s="4"/>
      <c r="E170" s="4"/>
      <c r="F170" s="4"/>
      <c r="G170" s="4"/>
      <c r="H170" s="4"/>
      <c r="I170" s="4"/>
      <c r="J170" s="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row>
    <row r="171" spans="1:44">
      <c r="A171" s="4"/>
      <c r="B171" s="4"/>
      <c r="C171" s="4"/>
      <c r="D171" s="4"/>
      <c r="E171" s="4"/>
      <c r="F171" s="4"/>
      <c r="G171" s="4"/>
      <c r="H171" s="4"/>
      <c r="I171" s="4"/>
      <c r="J171" s="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row>
    <row r="172" spans="1:44">
      <c r="A172" s="4"/>
      <c r="B172" s="4"/>
      <c r="C172" s="4"/>
      <c r="D172" s="4"/>
      <c r="E172" s="4"/>
      <c r="F172" s="4"/>
      <c r="G172" s="4"/>
      <c r="H172" s="4"/>
      <c r="I172" s="4"/>
      <c r="J172" s="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row>
    <row r="173" spans="1:44">
      <c r="A173" s="4"/>
      <c r="B173" s="4"/>
      <c r="C173" s="4"/>
      <c r="D173" s="4"/>
      <c r="E173" s="4"/>
      <c r="F173" s="4"/>
      <c r="G173" s="4"/>
      <c r="H173" s="4"/>
      <c r="I173" s="4"/>
      <c r="J173" s="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row>
    <row r="174" spans="1:44">
      <c r="A174" s="4"/>
      <c r="B174" s="4"/>
      <c r="C174" s="4"/>
      <c r="D174" s="4"/>
      <c r="E174" s="4"/>
      <c r="F174" s="4"/>
      <c r="G174" s="4"/>
      <c r="H174" s="4"/>
      <c r="I174" s="4"/>
      <c r="J174" s="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row>
    <row r="175" spans="1:44">
      <c r="A175" s="4"/>
      <c r="B175" s="4"/>
      <c r="C175" s="4"/>
      <c r="D175" s="4"/>
      <c r="E175" s="4"/>
      <c r="F175" s="4"/>
      <c r="G175" s="4"/>
      <c r="H175" s="4"/>
      <c r="I175" s="4"/>
      <c r="J175" s="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row>
    <row r="176" spans="1:44">
      <c r="A176" s="4"/>
      <c r="B176" s="4"/>
      <c r="C176" s="4"/>
      <c r="D176" s="4"/>
      <c r="E176" s="4"/>
      <c r="F176" s="4"/>
      <c r="G176" s="4"/>
      <c r="H176" s="4"/>
      <c r="I176" s="4"/>
      <c r="J176" s="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row>
    <row r="177" spans="1:44">
      <c r="A177" s="4"/>
      <c r="B177" s="4"/>
      <c r="C177" s="4"/>
      <c r="D177" s="4"/>
      <c r="E177" s="4"/>
      <c r="F177" s="4"/>
      <c r="G177" s="4"/>
      <c r="H177" s="4"/>
      <c r="I177" s="4"/>
      <c r="J177" s="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row>
    <row r="178" spans="1:44">
      <c r="A178" s="4"/>
      <c r="B178" s="4"/>
      <c r="C178" s="4"/>
      <c r="D178" s="4"/>
      <c r="E178" s="4"/>
      <c r="F178" s="4"/>
      <c r="G178" s="4"/>
      <c r="H178" s="4"/>
      <c r="I178" s="4"/>
      <c r="J178" s="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row>
    <row r="179" spans="1:44">
      <c r="A179" s="4"/>
      <c r="B179" s="4"/>
      <c r="C179" s="4"/>
      <c r="D179" s="4"/>
      <c r="E179" s="4"/>
      <c r="F179" s="4"/>
      <c r="G179" s="4"/>
      <c r="H179" s="4"/>
      <c r="I179" s="4"/>
      <c r="J179" s="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row>
    <row r="180" spans="1:44">
      <c r="A180" s="4"/>
      <c r="B180" s="4"/>
      <c r="C180" s="4"/>
      <c r="D180" s="4"/>
      <c r="E180" s="4"/>
      <c r="F180" s="4"/>
      <c r="G180" s="4"/>
      <c r="H180" s="4"/>
      <c r="I180" s="4"/>
      <c r="J180" s="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row>
    <row r="181" spans="1:44">
      <c r="A181" s="4"/>
      <c r="B181" s="4"/>
      <c r="C181" s="4"/>
      <c r="D181" s="4"/>
      <c r="E181" s="4"/>
      <c r="F181" s="4"/>
      <c r="G181" s="4"/>
      <c r="H181" s="4"/>
      <c r="I181" s="4"/>
      <c r="J181" s="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row>
    <row r="182" spans="1:44">
      <c r="A182" s="4"/>
      <c r="B182" s="4"/>
      <c r="C182" s="4"/>
      <c r="D182" s="4"/>
      <c r="E182" s="4"/>
      <c r="F182" s="4"/>
      <c r="G182" s="4"/>
      <c r="H182" s="4"/>
      <c r="I182" s="4"/>
      <c r="J182" s="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row>
    <row r="183" spans="1:44">
      <c r="A183" s="4"/>
      <c r="B183" s="4"/>
      <c r="C183" s="4"/>
      <c r="D183" s="4"/>
      <c r="E183" s="4"/>
      <c r="F183" s="4"/>
      <c r="G183" s="4"/>
      <c r="H183" s="4"/>
      <c r="I183" s="4"/>
      <c r="J183" s="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row>
    <row r="184" spans="1:44">
      <c r="A184" s="4"/>
      <c r="B184" s="4"/>
      <c r="C184" s="4"/>
      <c r="D184" s="4"/>
      <c r="E184" s="4"/>
      <c r="F184" s="4"/>
      <c r="G184" s="4"/>
      <c r="H184" s="4"/>
      <c r="I184" s="4"/>
      <c r="J184" s="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row>
    <row r="185" spans="1:44">
      <c r="A185" s="4"/>
      <c r="B185" s="4"/>
      <c r="C185" s="4"/>
      <c r="D185" s="4"/>
      <c r="E185" s="4"/>
      <c r="F185" s="4"/>
      <c r="G185" s="4"/>
      <c r="H185" s="4"/>
      <c r="I185" s="4"/>
      <c r="J185" s="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row>
    <row r="186" spans="1:44">
      <c r="A186" s="4"/>
      <c r="B186" s="4"/>
      <c r="C186" s="4"/>
      <c r="D186" s="4"/>
      <c r="E186" s="4"/>
      <c r="F186" s="4"/>
      <c r="G186" s="4"/>
      <c r="H186" s="4"/>
      <c r="I186" s="4"/>
      <c r="J186" s="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row>
    <row r="187" spans="1:44">
      <c r="A187" s="4"/>
      <c r="B187" s="4"/>
      <c r="C187" s="4"/>
      <c r="D187" s="4"/>
      <c r="E187" s="4"/>
      <c r="F187" s="4"/>
      <c r="G187" s="4"/>
      <c r="H187" s="4"/>
      <c r="I187" s="4"/>
      <c r="J187" s="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row>
    <row r="188" spans="1:44">
      <c r="A188" s="4"/>
      <c r="B188" s="4"/>
      <c r="C188" s="4"/>
      <c r="D188" s="4"/>
      <c r="E188" s="4"/>
      <c r="F188" s="4"/>
      <c r="G188" s="4"/>
      <c r="H188" s="4"/>
      <c r="I188" s="4"/>
      <c r="J188" s="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row>
    <row r="189" spans="1:44">
      <c r="A189" s="4"/>
      <c r="B189" s="4"/>
      <c r="C189" s="4"/>
      <c r="D189" s="4"/>
      <c r="E189" s="4"/>
      <c r="F189" s="4"/>
      <c r="G189" s="4"/>
      <c r="H189" s="4"/>
      <c r="I189" s="4"/>
      <c r="J189" s="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row>
    <row r="190" spans="1:44">
      <c r="A190" s="4"/>
      <c r="B190" s="4"/>
      <c r="C190" s="4"/>
      <c r="D190" s="4"/>
      <c r="E190" s="4"/>
      <c r="F190" s="4"/>
      <c r="G190" s="4"/>
      <c r="H190" s="4"/>
      <c r="I190" s="4"/>
      <c r="J190" s="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row>
    <row r="191" spans="1:44">
      <c r="A191" s="4"/>
      <c r="B191" s="4"/>
      <c r="C191" s="4"/>
      <c r="D191" s="4"/>
      <c r="E191" s="4"/>
      <c r="F191" s="4"/>
      <c r="G191" s="4"/>
      <c r="H191" s="4"/>
      <c r="I191" s="4"/>
      <c r="J191" s="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row>
    <row r="192" spans="1:44">
      <c r="A192" s="4"/>
      <c r="B192" s="4"/>
      <c r="C192" s="4"/>
      <c r="D192" s="4"/>
      <c r="E192" s="4"/>
      <c r="F192" s="4"/>
      <c r="G192" s="4"/>
      <c r="H192" s="4"/>
      <c r="I192" s="4"/>
      <c r="J192" s="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row>
    <row r="193" spans="1:44">
      <c r="A193" s="4"/>
      <c r="B193" s="4"/>
      <c r="C193" s="4"/>
      <c r="D193" s="4"/>
      <c r="E193" s="4"/>
      <c r="F193" s="4"/>
      <c r="G193" s="4"/>
      <c r="H193" s="4"/>
      <c r="I193" s="4"/>
      <c r="J193" s="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row>
    <row r="194" spans="1:44">
      <c r="A194" s="4"/>
      <c r="B194" s="4"/>
      <c r="C194" s="4"/>
      <c r="D194" s="4"/>
      <c r="E194" s="4"/>
      <c r="F194" s="4"/>
      <c r="G194" s="4"/>
      <c r="H194" s="4"/>
      <c r="I194" s="4"/>
      <c r="J194" s="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row>
    <row r="195" spans="1:44">
      <c r="A195" s="4"/>
      <c r="B195" s="4"/>
      <c r="C195" s="4"/>
      <c r="D195" s="4"/>
      <c r="E195" s="4"/>
      <c r="F195" s="4"/>
      <c r="G195" s="4"/>
      <c r="H195" s="4"/>
      <c r="I195" s="4"/>
      <c r="J195" s="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row>
    <row r="196" spans="1:44">
      <c r="A196" s="4"/>
      <c r="B196" s="4"/>
      <c r="C196" s="4"/>
      <c r="D196" s="4"/>
      <c r="E196" s="4"/>
      <c r="F196" s="4"/>
      <c r="G196" s="4"/>
      <c r="H196" s="4"/>
      <c r="I196" s="4"/>
      <c r="J196" s="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row>
    <row r="197" spans="1:44">
      <c r="A197" s="4"/>
      <c r="B197" s="4"/>
      <c r="C197" s="4"/>
      <c r="D197" s="4"/>
      <c r="E197" s="4"/>
      <c r="F197" s="4"/>
      <c r="G197" s="4"/>
      <c r="H197" s="4"/>
      <c r="I197" s="4"/>
      <c r="J197" s="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row>
    <row r="198" spans="1:44">
      <c r="A198" s="4"/>
      <c r="B198" s="4"/>
      <c r="C198" s="4"/>
      <c r="D198" s="4"/>
      <c r="E198" s="4"/>
      <c r="F198" s="4"/>
      <c r="G198" s="4"/>
      <c r="H198" s="4"/>
      <c r="I198" s="4"/>
      <c r="J198" s="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row>
    <row r="199" spans="1:44">
      <c r="A199" s="4"/>
      <c r="B199" s="4"/>
      <c r="C199" s="4"/>
      <c r="D199" s="4"/>
      <c r="E199" s="4"/>
      <c r="F199" s="4"/>
      <c r="G199" s="4"/>
      <c r="H199" s="4"/>
      <c r="I199" s="4"/>
      <c r="J199" s="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row>
    <row r="200" spans="1:44">
      <c r="A200" s="4"/>
      <c r="B200" s="4"/>
      <c r="C200" s="4"/>
      <c r="D200" s="4"/>
      <c r="E200" s="4"/>
      <c r="F200" s="4"/>
      <c r="G200" s="4"/>
      <c r="H200" s="4"/>
      <c r="I200" s="4"/>
      <c r="J200" s="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row>
    <row r="201" spans="1:44">
      <c r="A201" s="4"/>
      <c r="B201" s="4"/>
      <c r="C201" s="4"/>
      <c r="D201" s="4"/>
      <c r="E201" s="4"/>
      <c r="F201" s="4"/>
      <c r="G201" s="4"/>
      <c r="H201" s="4"/>
      <c r="I201" s="4"/>
      <c r="J201" s="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row>
    <row r="202" spans="1:44">
      <c r="A202" s="4"/>
      <c r="B202" s="4"/>
      <c r="C202" s="4"/>
      <c r="D202" s="4"/>
      <c r="E202" s="4"/>
      <c r="F202" s="4"/>
      <c r="G202" s="4"/>
      <c r="H202" s="4"/>
      <c r="I202" s="4"/>
      <c r="J202" s="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row>
    <row r="203" spans="1:44">
      <c r="A203" s="4"/>
      <c r="B203" s="4"/>
      <c r="C203" s="4"/>
      <c r="D203" s="4"/>
      <c r="E203" s="4"/>
      <c r="F203" s="4"/>
      <c r="G203" s="4"/>
      <c r="H203" s="4"/>
      <c r="I203" s="4"/>
      <c r="J203" s="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row>
    <row r="204" spans="1:44">
      <c r="A204" s="4"/>
      <c r="B204" s="4"/>
      <c r="C204" s="4"/>
      <c r="D204" s="4"/>
      <c r="E204" s="4"/>
      <c r="F204" s="4"/>
      <c r="G204" s="4"/>
      <c r="H204" s="4"/>
      <c r="I204" s="4"/>
      <c r="J204" s="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row>
    <row r="205" spans="1:44">
      <c r="A205" s="4"/>
      <c r="B205" s="4"/>
      <c r="C205" s="4"/>
      <c r="D205" s="4"/>
      <c r="E205" s="4"/>
      <c r="F205" s="4"/>
      <c r="G205" s="4"/>
      <c r="H205" s="4"/>
      <c r="I205" s="4"/>
      <c r="J205" s="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row>
    <row r="206" spans="1:44">
      <c r="A206" s="4"/>
      <c r="B206" s="4"/>
      <c r="C206" s="4"/>
      <c r="D206" s="4"/>
      <c r="E206" s="4"/>
      <c r="F206" s="4"/>
      <c r="G206" s="4"/>
      <c r="H206" s="4"/>
      <c r="I206" s="4"/>
      <c r="J206" s="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row>
    <row r="207" spans="1:44">
      <c r="A207" s="4"/>
      <c r="B207" s="4"/>
      <c r="C207" s="4"/>
      <c r="D207" s="4"/>
      <c r="E207" s="4"/>
      <c r="F207" s="4"/>
      <c r="G207" s="4"/>
      <c r="H207" s="4"/>
      <c r="I207" s="4"/>
      <c r="J207" s="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row>
    <row r="208" spans="1:44">
      <c r="A208" s="4"/>
      <c r="B208" s="4"/>
      <c r="C208" s="4"/>
      <c r="D208" s="4"/>
      <c r="E208" s="4"/>
      <c r="F208" s="4"/>
      <c r="G208" s="4"/>
      <c r="H208" s="4"/>
      <c r="I208" s="4"/>
      <c r="J208" s="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row>
    <row r="209" spans="1:44">
      <c r="A209" s="4"/>
      <c r="B209" s="4"/>
      <c r="C209" s="4"/>
      <c r="D209" s="4"/>
      <c r="E209" s="4"/>
      <c r="F209" s="4"/>
      <c r="G209" s="4"/>
      <c r="H209" s="4"/>
      <c r="I209" s="4"/>
      <c r="J209" s="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row>
    <row r="210" spans="1:44">
      <c r="A210" s="4"/>
      <c r="B210" s="4"/>
      <c r="C210" s="4"/>
      <c r="D210" s="4"/>
      <c r="E210" s="4"/>
      <c r="F210" s="4"/>
      <c r="G210" s="4"/>
      <c r="H210" s="4"/>
      <c r="I210" s="4"/>
      <c r="J210" s="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row>
    <row r="211" spans="1:44">
      <c r="A211" s="4"/>
      <c r="B211" s="4"/>
      <c r="C211" s="4"/>
      <c r="D211" s="4"/>
      <c r="E211" s="4"/>
      <c r="F211" s="4"/>
      <c r="G211" s="4"/>
      <c r="H211" s="4"/>
      <c r="I211" s="4"/>
      <c r="J211" s="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row>
    <row r="212" spans="1:44">
      <c r="A212" s="4"/>
      <c r="B212" s="4"/>
      <c r="C212" s="4"/>
      <c r="D212" s="4"/>
      <c r="E212" s="4"/>
      <c r="F212" s="4"/>
      <c r="G212" s="4"/>
      <c r="H212" s="4"/>
      <c r="I212" s="4"/>
      <c r="J212" s="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row>
    <row r="213" spans="1:44">
      <c r="A213" s="4"/>
      <c r="B213" s="4"/>
      <c r="C213" s="4"/>
      <c r="D213" s="4"/>
      <c r="E213" s="4"/>
      <c r="F213" s="4"/>
      <c r="G213" s="4"/>
      <c r="H213" s="4"/>
      <c r="I213" s="4"/>
      <c r="J213" s="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row>
    <row r="214" spans="1:44">
      <c r="A214" s="4"/>
      <c r="B214" s="4"/>
      <c r="C214" s="4"/>
      <c r="D214" s="4"/>
      <c r="E214" s="4"/>
      <c r="F214" s="4"/>
      <c r="G214" s="4"/>
      <c r="H214" s="4"/>
      <c r="I214" s="4"/>
      <c r="J214" s="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row>
    <row r="215" spans="1:44">
      <c r="A215" s="4"/>
      <c r="B215" s="4"/>
      <c r="C215" s="4"/>
      <c r="D215" s="4"/>
      <c r="E215" s="4"/>
      <c r="F215" s="4"/>
      <c r="G215" s="4"/>
      <c r="H215" s="4"/>
      <c r="I215" s="4"/>
      <c r="J215" s="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row>
    <row r="216" spans="1:44">
      <c r="A216" s="4"/>
      <c r="B216" s="4"/>
      <c r="C216" s="4"/>
      <c r="D216" s="4"/>
      <c r="E216" s="4"/>
      <c r="F216" s="4"/>
      <c r="G216" s="4"/>
      <c r="H216" s="4"/>
      <c r="I216" s="4"/>
      <c r="J216" s="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4"/>
      <c r="AN216" s="34"/>
      <c r="AO216" s="34"/>
      <c r="AP216" s="34"/>
      <c r="AQ216" s="34"/>
      <c r="AR216" s="34"/>
    </row>
    <row r="217" spans="1:44">
      <c r="A217" s="4"/>
      <c r="B217" s="4"/>
      <c r="C217" s="4"/>
      <c r="D217" s="4"/>
      <c r="E217" s="4"/>
      <c r="F217" s="4"/>
      <c r="G217" s="4"/>
      <c r="H217" s="4"/>
      <c r="I217" s="4"/>
      <c r="J217" s="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4"/>
      <c r="AN217" s="34"/>
      <c r="AO217" s="34"/>
      <c r="AP217" s="34"/>
      <c r="AQ217" s="34"/>
      <c r="AR217" s="34"/>
    </row>
    <row r="218" spans="1:44">
      <c r="A218" s="4"/>
      <c r="B218" s="4"/>
      <c r="C218" s="4"/>
      <c r="D218" s="4"/>
      <c r="E218" s="4"/>
      <c r="F218" s="4"/>
      <c r="G218" s="4"/>
      <c r="H218" s="4"/>
      <c r="I218" s="4"/>
      <c r="J218" s="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row>
    <row r="219" spans="1:44">
      <c r="A219" s="4"/>
      <c r="B219" s="4"/>
      <c r="C219" s="4"/>
      <c r="D219" s="4"/>
      <c r="E219" s="4"/>
      <c r="F219" s="4"/>
      <c r="G219" s="4"/>
      <c r="H219" s="4"/>
      <c r="I219" s="4"/>
      <c r="J219" s="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row>
    <row r="220" spans="1:44">
      <c r="A220" s="4"/>
      <c r="B220" s="4"/>
      <c r="C220" s="4"/>
      <c r="D220" s="4"/>
      <c r="E220" s="4"/>
      <c r="F220" s="4"/>
      <c r="G220" s="4"/>
      <c r="H220" s="4"/>
      <c r="I220" s="4"/>
      <c r="J220" s="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row>
    <row r="221" spans="1:44">
      <c r="A221" s="4"/>
      <c r="B221" s="4"/>
      <c r="C221" s="4"/>
      <c r="D221" s="4"/>
      <c r="E221" s="4"/>
      <c r="F221" s="4"/>
      <c r="G221" s="4"/>
      <c r="H221" s="4"/>
      <c r="I221" s="4"/>
      <c r="J221" s="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row>
    <row r="222" spans="1:44">
      <c r="A222" s="4"/>
      <c r="B222" s="4"/>
      <c r="C222" s="4"/>
      <c r="D222" s="4"/>
      <c r="E222" s="4"/>
      <c r="F222" s="4"/>
      <c r="G222" s="4"/>
      <c r="H222" s="4"/>
      <c r="I222" s="4"/>
      <c r="J222" s="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row>
    <row r="223" spans="1:44">
      <c r="A223" s="4"/>
      <c r="B223" s="4"/>
      <c r="C223" s="4"/>
      <c r="D223" s="4"/>
      <c r="E223" s="4"/>
      <c r="F223" s="4"/>
      <c r="G223" s="4"/>
      <c r="H223" s="4"/>
      <c r="I223" s="4"/>
      <c r="J223" s="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row>
    <row r="224" spans="1:44">
      <c r="A224" s="4"/>
      <c r="B224" s="4"/>
      <c r="C224" s="4"/>
      <c r="D224" s="4"/>
      <c r="E224" s="4"/>
      <c r="F224" s="4"/>
      <c r="G224" s="4"/>
      <c r="H224" s="4"/>
      <c r="I224" s="4"/>
      <c r="J224" s="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c r="AL224" s="34"/>
      <c r="AM224" s="34"/>
      <c r="AN224" s="34"/>
      <c r="AO224" s="34"/>
      <c r="AP224" s="34"/>
      <c r="AQ224" s="34"/>
      <c r="AR224" s="34"/>
    </row>
    <row r="225" spans="1:44">
      <c r="A225" s="4"/>
      <c r="B225" s="4"/>
      <c r="C225" s="4"/>
      <c r="D225" s="4"/>
      <c r="E225" s="4"/>
      <c r="F225" s="4"/>
      <c r="G225" s="4"/>
      <c r="H225" s="4"/>
      <c r="I225" s="4"/>
      <c r="J225" s="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row>
    <row r="226" spans="1:44">
      <c r="A226" s="4"/>
      <c r="B226" s="4"/>
      <c r="C226" s="4"/>
      <c r="D226" s="4"/>
      <c r="E226" s="4"/>
      <c r="F226" s="4"/>
      <c r="G226" s="4"/>
      <c r="H226" s="4"/>
      <c r="I226" s="4"/>
      <c r="J226" s="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c r="AL226" s="34"/>
      <c r="AM226" s="34"/>
      <c r="AN226" s="34"/>
      <c r="AO226" s="34"/>
      <c r="AP226" s="34"/>
      <c r="AQ226" s="34"/>
      <c r="AR226" s="34"/>
    </row>
    <row r="227" spans="1:44">
      <c r="A227" s="4"/>
      <c r="B227" s="4"/>
      <c r="C227" s="4"/>
      <c r="D227" s="4"/>
      <c r="E227" s="4"/>
      <c r="F227" s="4"/>
      <c r="G227" s="4"/>
      <c r="H227" s="4"/>
      <c r="I227" s="4"/>
      <c r="J227" s="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row>
    <row r="228" spans="1:44">
      <c r="A228" s="4"/>
      <c r="B228" s="4"/>
      <c r="C228" s="4"/>
      <c r="D228" s="4"/>
      <c r="E228" s="4"/>
      <c r="F228" s="4"/>
      <c r="G228" s="4"/>
      <c r="H228" s="4"/>
      <c r="I228" s="4"/>
      <c r="J228" s="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c r="AL228" s="34"/>
      <c r="AM228" s="34"/>
      <c r="AN228" s="34"/>
      <c r="AO228" s="34"/>
      <c r="AP228" s="34"/>
      <c r="AQ228" s="34"/>
      <c r="AR228" s="34"/>
    </row>
    <row r="229" spans="1:44">
      <c r="A229" s="4"/>
      <c r="B229" s="4"/>
      <c r="C229" s="4"/>
      <c r="D229" s="4"/>
      <c r="E229" s="4"/>
      <c r="F229" s="4"/>
      <c r="G229" s="4"/>
      <c r="H229" s="4"/>
      <c r="I229" s="4"/>
      <c r="J229" s="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4"/>
      <c r="AP229" s="34"/>
      <c r="AQ229" s="34"/>
      <c r="AR229" s="34"/>
    </row>
    <row r="230" spans="1:44">
      <c r="A230" s="4"/>
      <c r="B230" s="4"/>
      <c r="C230" s="4"/>
      <c r="D230" s="4"/>
      <c r="E230" s="4"/>
      <c r="F230" s="4"/>
      <c r="G230" s="4"/>
      <c r="H230" s="4"/>
      <c r="I230" s="4"/>
      <c r="J230" s="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c r="AL230" s="34"/>
      <c r="AM230" s="34"/>
      <c r="AN230" s="34"/>
      <c r="AO230" s="34"/>
      <c r="AP230" s="34"/>
      <c r="AQ230" s="34"/>
      <c r="AR230" s="34"/>
    </row>
    <row r="231" spans="1:44">
      <c r="A231" s="4"/>
      <c r="B231" s="4"/>
      <c r="C231" s="4"/>
      <c r="D231" s="4"/>
      <c r="E231" s="4"/>
      <c r="F231" s="4"/>
      <c r="G231" s="4"/>
      <c r="H231" s="4"/>
      <c r="I231" s="4"/>
      <c r="J231" s="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4"/>
      <c r="AP231" s="34"/>
      <c r="AQ231" s="34"/>
      <c r="AR231" s="34"/>
    </row>
    <row r="232" spans="1:44">
      <c r="A232" s="4"/>
      <c r="B232" s="4"/>
      <c r="C232" s="4"/>
      <c r="D232" s="4"/>
      <c r="E232" s="4"/>
      <c r="F232" s="4"/>
      <c r="G232" s="4"/>
      <c r="H232" s="4"/>
      <c r="I232" s="4"/>
      <c r="J232" s="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c r="AL232" s="34"/>
      <c r="AM232" s="34"/>
      <c r="AN232" s="34"/>
      <c r="AO232" s="34"/>
      <c r="AP232" s="34"/>
      <c r="AQ232" s="34"/>
      <c r="AR232" s="34"/>
    </row>
    <row r="233" spans="1:44">
      <c r="A233" s="4"/>
      <c r="B233" s="4"/>
      <c r="C233" s="4"/>
      <c r="D233" s="4"/>
      <c r="E233" s="4"/>
      <c r="F233" s="4"/>
      <c r="G233" s="4"/>
      <c r="H233" s="4"/>
      <c r="I233" s="4"/>
      <c r="J233" s="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c r="AL233" s="34"/>
      <c r="AM233" s="34"/>
      <c r="AN233" s="34"/>
      <c r="AO233" s="34"/>
      <c r="AP233" s="34"/>
      <c r="AQ233" s="34"/>
      <c r="AR233" s="34"/>
    </row>
    <row r="234" spans="1:44">
      <c r="A234" s="4"/>
      <c r="B234" s="4"/>
      <c r="C234" s="4"/>
      <c r="D234" s="4"/>
      <c r="E234" s="4"/>
      <c r="F234" s="4"/>
      <c r="G234" s="4"/>
      <c r="H234" s="4"/>
      <c r="I234" s="4"/>
      <c r="J234" s="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c r="AL234" s="34"/>
      <c r="AM234" s="34"/>
      <c r="AN234" s="34"/>
      <c r="AO234" s="34"/>
      <c r="AP234" s="34"/>
      <c r="AQ234" s="34"/>
      <c r="AR234" s="34"/>
    </row>
    <row r="235" spans="1:44">
      <c r="A235" s="4"/>
      <c r="B235" s="4"/>
      <c r="C235" s="4"/>
      <c r="D235" s="4"/>
      <c r="E235" s="4"/>
      <c r="F235" s="4"/>
      <c r="G235" s="4"/>
      <c r="H235" s="4"/>
      <c r="I235" s="4"/>
      <c r="J235" s="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c r="AL235" s="34"/>
      <c r="AM235" s="34"/>
      <c r="AN235" s="34"/>
      <c r="AO235" s="34"/>
      <c r="AP235" s="34"/>
      <c r="AQ235" s="34"/>
      <c r="AR235" s="34"/>
    </row>
    <row r="236" spans="1:44">
      <c r="A236" s="4"/>
      <c r="B236" s="4"/>
      <c r="C236" s="4"/>
      <c r="D236" s="4"/>
      <c r="E236" s="4"/>
      <c r="F236" s="4"/>
      <c r="G236" s="4"/>
      <c r="H236" s="4"/>
      <c r="I236" s="4"/>
      <c r="J236" s="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c r="AL236" s="34"/>
      <c r="AM236" s="34"/>
      <c r="AN236" s="34"/>
      <c r="AO236" s="34"/>
      <c r="AP236" s="34"/>
      <c r="AQ236" s="34"/>
      <c r="AR236" s="34"/>
    </row>
    <row r="237" spans="1:44">
      <c r="A237" s="4"/>
      <c r="B237" s="4"/>
      <c r="C237" s="4"/>
      <c r="D237" s="4"/>
      <c r="E237" s="4"/>
      <c r="F237" s="4"/>
      <c r="G237" s="4"/>
      <c r="H237" s="4"/>
      <c r="I237" s="4"/>
      <c r="J237" s="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c r="AL237" s="34"/>
      <c r="AM237" s="34"/>
      <c r="AN237" s="34"/>
      <c r="AO237" s="34"/>
      <c r="AP237" s="34"/>
      <c r="AQ237" s="34"/>
      <c r="AR237" s="34"/>
    </row>
    <row r="238" spans="1:44">
      <c r="A238" s="4"/>
      <c r="B238" s="4"/>
      <c r="C238" s="4"/>
      <c r="D238" s="4"/>
      <c r="E238" s="4"/>
      <c r="F238" s="4"/>
      <c r="G238" s="4"/>
      <c r="H238" s="4"/>
      <c r="I238" s="4"/>
      <c r="J238" s="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c r="AL238" s="34"/>
      <c r="AM238" s="34"/>
      <c r="AN238" s="34"/>
      <c r="AO238" s="34"/>
      <c r="AP238" s="34"/>
      <c r="AQ238" s="34"/>
      <c r="AR238" s="34"/>
    </row>
    <row r="239" spans="1:44">
      <c r="A239" s="4"/>
      <c r="B239" s="4"/>
      <c r="C239" s="4"/>
      <c r="D239" s="4"/>
      <c r="E239" s="4"/>
      <c r="F239" s="4"/>
      <c r="G239" s="4"/>
      <c r="H239" s="4"/>
      <c r="I239" s="4"/>
      <c r="J239" s="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c r="AL239" s="34"/>
      <c r="AM239" s="34"/>
      <c r="AN239" s="34"/>
      <c r="AO239" s="34"/>
      <c r="AP239" s="34"/>
      <c r="AQ239" s="34"/>
      <c r="AR239" s="34"/>
    </row>
    <row r="240" spans="1:44">
      <c r="A240" s="4"/>
      <c r="B240" s="4"/>
      <c r="C240" s="4"/>
      <c r="D240" s="4"/>
      <c r="E240" s="4"/>
      <c r="F240" s="4"/>
      <c r="G240" s="4"/>
      <c r="H240" s="4"/>
      <c r="I240" s="4"/>
      <c r="J240" s="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c r="AL240" s="34"/>
      <c r="AM240" s="34"/>
      <c r="AN240" s="34"/>
      <c r="AO240" s="34"/>
      <c r="AP240" s="34"/>
      <c r="AQ240" s="34"/>
      <c r="AR240" s="34"/>
    </row>
    <row r="241" spans="1:44">
      <c r="A241" s="4"/>
      <c r="B241" s="4"/>
      <c r="C241" s="4"/>
      <c r="D241" s="4"/>
      <c r="E241" s="4"/>
      <c r="F241" s="4"/>
      <c r="G241" s="4"/>
      <c r="H241" s="4"/>
      <c r="I241" s="4"/>
      <c r="J241" s="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c r="AL241" s="34"/>
      <c r="AM241" s="34"/>
      <c r="AN241" s="34"/>
      <c r="AO241" s="34"/>
      <c r="AP241" s="34"/>
      <c r="AQ241" s="34"/>
      <c r="AR241" s="34"/>
    </row>
    <row r="242" spans="1:44">
      <c r="A242" s="4"/>
      <c r="B242" s="4"/>
      <c r="C242" s="4"/>
      <c r="D242" s="4"/>
      <c r="E242" s="4"/>
      <c r="F242" s="4"/>
      <c r="G242" s="4"/>
      <c r="H242" s="4"/>
      <c r="I242" s="4"/>
      <c r="J242" s="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4"/>
      <c r="AQ242" s="34"/>
      <c r="AR242" s="34"/>
    </row>
    <row r="243" spans="1:44">
      <c r="A243" s="4"/>
      <c r="B243" s="4"/>
      <c r="C243" s="4"/>
      <c r="D243" s="4"/>
      <c r="E243" s="4"/>
      <c r="F243" s="4"/>
      <c r="G243" s="4"/>
      <c r="H243" s="4"/>
      <c r="I243" s="4"/>
      <c r="J243" s="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row>
    <row r="244" spans="1:44">
      <c r="A244" s="4"/>
      <c r="B244" s="4"/>
      <c r="C244" s="4"/>
      <c r="D244" s="4"/>
      <c r="E244" s="4"/>
      <c r="F244" s="4"/>
      <c r="G244" s="4"/>
      <c r="H244" s="4"/>
      <c r="I244" s="4"/>
      <c r="J244" s="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c r="AL244" s="34"/>
      <c r="AM244" s="34"/>
      <c r="AN244" s="34"/>
      <c r="AO244" s="34"/>
      <c r="AP244" s="34"/>
      <c r="AQ244" s="34"/>
      <c r="AR244" s="34"/>
    </row>
    <row r="245" spans="1:44">
      <c r="A245" s="4"/>
      <c r="B245" s="4"/>
      <c r="C245" s="4"/>
      <c r="D245" s="4"/>
      <c r="E245" s="4"/>
      <c r="F245" s="4"/>
      <c r="G245" s="4"/>
      <c r="H245" s="4"/>
      <c r="I245" s="4"/>
      <c r="J245" s="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c r="AL245" s="34"/>
      <c r="AM245" s="34"/>
      <c r="AN245" s="34"/>
      <c r="AO245" s="34"/>
      <c r="AP245" s="34"/>
      <c r="AQ245" s="34"/>
      <c r="AR245" s="34"/>
    </row>
    <row r="246" spans="1:44">
      <c r="A246" s="4"/>
      <c r="B246" s="4"/>
      <c r="C246" s="4"/>
      <c r="D246" s="4"/>
      <c r="E246" s="4"/>
      <c r="F246" s="4"/>
      <c r="G246" s="4"/>
      <c r="H246" s="4"/>
      <c r="I246" s="4"/>
      <c r="J246" s="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c r="AH246" s="34"/>
      <c r="AI246" s="34"/>
      <c r="AJ246" s="34"/>
      <c r="AK246" s="34"/>
      <c r="AL246" s="34"/>
      <c r="AM246" s="34"/>
      <c r="AN246" s="34"/>
      <c r="AO246" s="34"/>
      <c r="AP246" s="34"/>
      <c r="AQ246" s="34"/>
      <c r="AR246" s="34"/>
    </row>
    <row r="247" spans="1:44">
      <c r="A247" s="4"/>
      <c r="B247" s="4"/>
      <c r="C247" s="4"/>
      <c r="D247" s="4"/>
      <c r="E247" s="4"/>
      <c r="F247" s="4"/>
      <c r="G247" s="4"/>
      <c r="H247" s="4"/>
      <c r="I247" s="4"/>
      <c r="J247" s="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row>
    <row r="248" spans="1:44">
      <c r="A248" s="4"/>
      <c r="B248" s="4"/>
      <c r="C248" s="4"/>
      <c r="D248" s="4"/>
      <c r="E248" s="4"/>
      <c r="F248" s="4"/>
      <c r="G248" s="4"/>
      <c r="H248" s="4"/>
      <c r="I248" s="4"/>
      <c r="J248" s="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4"/>
      <c r="AL248" s="34"/>
      <c r="AM248" s="34"/>
      <c r="AN248" s="34"/>
      <c r="AO248" s="34"/>
      <c r="AP248" s="34"/>
      <c r="AQ248" s="34"/>
      <c r="AR248" s="34"/>
    </row>
    <row r="249" spans="1:44">
      <c r="A249" s="4"/>
      <c r="B249" s="4"/>
      <c r="C249" s="4"/>
      <c r="D249" s="4"/>
      <c r="E249" s="4"/>
      <c r="F249" s="4"/>
      <c r="G249" s="4"/>
      <c r="H249" s="4"/>
      <c r="I249" s="4"/>
      <c r="J249" s="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c r="AL249" s="34"/>
      <c r="AM249" s="34"/>
      <c r="AN249" s="34"/>
      <c r="AO249" s="34"/>
      <c r="AP249" s="34"/>
      <c r="AQ249" s="34"/>
      <c r="AR249" s="34"/>
    </row>
    <row r="250" spans="1:44">
      <c r="A250" s="4"/>
      <c r="B250" s="4"/>
      <c r="C250" s="4"/>
      <c r="D250" s="4"/>
      <c r="E250" s="4"/>
      <c r="F250" s="4"/>
      <c r="G250" s="4"/>
      <c r="H250" s="4"/>
      <c r="I250" s="4"/>
      <c r="J250" s="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4"/>
      <c r="AL250" s="34"/>
      <c r="AM250" s="34"/>
      <c r="AN250" s="34"/>
      <c r="AO250" s="34"/>
      <c r="AP250" s="34"/>
      <c r="AQ250" s="34"/>
      <c r="AR250" s="34"/>
    </row>
    <row r="251" spans="1:44">
      <c r="A251" s="4"/>
      <c r="B251" s="4"/>
      <c r="C251" s="4"/>
      <c r="D251" s="4"/>
      <c r="E251" s="4"/>
      <c r="F251" s="4"/>
      <c r="G251" s="4"/>
      <c r="H251" s="4"/>
      <c r="I251" s="4"/>
      <c r="J251" s="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c r="AL251" s="34"/>
      <c r="AM251" s="34"/>
      <c r="AN251" s="34"/>
      <c r="AO251" s="34"/>
      <c r="AP251" s="34"/>
      <c r="AQ251" s="34"/>
      <c r="AR251" s="34"/>
    </row>
    <row r="252" spans="1:44">
      <c r="A252" s="4"/>
      <c r="B252" s="4"/>
      <c r="C252" s="4"/>
      <c r="D252" s="4"/>
      <c r="E252" s="4"/>
      <c r="F252" s="4"/>
      <c r="G252" s="4"/>
      <c r="H252" s="4"/>
      <c r="I252" s="4"/>
      <c r="J252" s="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c r="AL252" s="34"/>
      <c r="AM252" s="34"/>
      <c r="AN252" s="34"/>
      <c r="AO252" s="34"/>
      <c r="AP252" s="34"/>
      <c r="AQ252" s="34"/>
      <c r="AR252" s="34"/>
    </row>
    <row r="253" spans="1:44">
      <c r="A253" s="4"/>
      <c r="B253" s="4"/>
      <c r="C253" s="4"/>
      <c r="D253" s="4"/>
      <c r="E253" s="4"/>
      <c r="F253" s="4"/>
      <c r="G253" s="4"/>
      <c r="H253" s="4"/>
      <c r="I253" s="4"/>
      <c r="J253" s="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c r="AL253" s="34"/>
      <c r="AM253" s="34"/>
      <c r="AN253" s="34"/>
      <c r="AO253" s="34"/>
      <c r="AP253" s="34"/>
      <c r="AQ253" s="34"/>
      <c r="AR253" s="34"/>
    </row>
    <row r="254" spans="1:44">
      <c r="A254" s="4"/>
      <c r="B254" s="4"/>
      <c r="C254" s="4"/>
      <c r="D254" s="4"/>
      <c r="E254" s="4"/>
      <c r="F254" s="4"/>
      <c r="G254" s="4"/>
      <c r="H254" s="4"/>
      <c r="I254" s="4"/>
      <c r="J254" s="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c r="AL254" s="34"/>
      <c r="AM254" s="34"/>
      <c r="AN254" s="34"/>
      <c r="AO254" s="34"/>
      <c r="AP254" s="34"/>
      <c r="AQ254" s="34"/>
      <c r="AR254" s="34"/>
    </row>
    <row r="255" spans="1:44">
      <c r="A255" s="4"/>
      <c r="B255" s="4"/>
      <c r="C255" s="4"/>
      <c r="D255" s="4"/>
      <c r="E255" s="4"/>
      <c r="F255" s="4"/>
      <c r="G255" s="4"/>
      <c r="H255" s="4"/>
      <c r="I255" s="4"/>
      <c r="J255" s="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c r="AL255" s="34"/>
      <c r="AM255" s="34"/>
      <c r="AN255" s="34"/>
      <c r="AO255" s="34"/>
      <c r="AP255" s="34"/>
      <c r="AQ255" s="34"/>
      <c r="AR255" s="34"/>
    </row>
    <row r="256" spans="1:44">
      <c r="A256" s="4"/>
      <c r="B256" s="4"/>
      <c r="C256" s="4"/>
      <c r="D256" s="4"/>
      <c r="E256" s="4"/>
      <c r="F256" s="4"/>
      <c r="G256" s="4"/>
      <c r="H256" s="4"/>
      <c r="I256" s="4"/>
      <c r="J256" s="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c r="AL256" s="34"/>
      <c r="AM256" s="34"/>
      <c r="AN256" s="34"/>
      <c r="AO256" s="34"/>
      <c r="AP256" s="34"/>
      <c r="AQ256" s="34"/>
      <c r="AR256" s="34"/>
    </row>
    <row r="257" spans="1:44">
      <c r="A257" s="4"/>
      <c r="B257" s="4"/>
      <c r="C257" s="4"/>
      <c r="D257" s="4"/>
      <c r="E257" s="4"/>
      <c r="F257" s="4"/>
      <c r="G257" s="4"/>
      <c r="H257" s="4"/>
      <c r="I257" s="4"/>
      <c r="J257" s="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c r="AL257" s="34"/>
      <c r="AM257" s="34"/>
      <c r="AN257" s="34"/>
      <c r="AO257" s="34"/>
      <c r="AP257" s="34"/>
      <c r="AQ257" s="34"/>
      <c r="AR257" s="34"/>
    </row>
    <row r="258" spans="1:44">
      <c r="A258" s="4"/>
      <c r="B258" s="4"/>
      <c r="C258" s="4"/>
      <c r="D258" s="4"/>
      <c r="E258" s="4"/>
      <c r="F258" s="4"/>
      <c r="G258" s="4"/>
      <c r="H258" s="4"/>
      <c r="I258" s="4"/>
      <c r="J258" s="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c r="AL258" s="34"/>
      <c r="AM258" s="34"/>
      <c r="AN258" s="34"/>
      <c r="AO258" s="34"/>
      <c r="AP258" s="34"/>
      <c r="AQ258" s="34"/>
      <c r="AR258" s="34"/>
    </row>
    <row r="259" spans="1:44">
      <c r="A259" s="4"/>
      <c r="B259" s="4"/>
      <c r="C259" s="4"/>
      <c r="D259" s="4"/>
      <c r="E259" s="4"/>
      <c r="F259" s="4"/>
      <c r="G259" s="4"/>
      <c r="H259" s="4"/>
      <c r="I259" s="4"/>
      <c r="J259" s="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c r="AL259" s="34"/>
      <c r="AM259" s="34"/>
      <c r="AN259" s="34"/>
      <c r="AO259" s="34"/>
      <c r="AP259" s="34"/>
      <c r="AQ259" s="34"/>
      <c r="AR259" s="34"/>
    </row>
    <row r="260" spans="1:44">
      <c r="A260" s="4"/>
      <c r="B260" s="4"/>
      <c r="C260" s="4"/>
      <c r="D260" s="4"/>
      <c r="E260" s="4"/>
      <c r="F260" s="4"/>
      <c r="G260" s="4"/>
      <c r="H260" s="4"/>
      <c r="I260" s="4"/>
      <c r="J260" s="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c r="AL260" s="34"/>
      <c r="AM260" s="34"/>
      <c r="AN260" s="34"/>
      <c r="AO260" s="34"/>
      <c r="AP260" s="34"/>
      <c r="AQ260" s="34"/>
      <c r="AR260" s="34"/>
    </row>
    <row r="261" spans="1:44">
      <c r="A261" s="4"/>
      <c r="B261" s="4"/>
      <c r="C261" s="4"/>
      <c r="D261" s="4"/>
      <c r="E261" s="4"/>
      <c r="F261" s="4"/>
      <c r="G261" s="4"/>
      <c r="H261" s="4"/>
      <c r="I261" s="4"/>
      <c r="J261" s="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c r="AL261" s="34"/>
      <c r="AM261" s="34"/>
      <c r="AN261" s="34"/>
      <c r="AO261" s="34"/>
      <c r="AP261" s="34"/>
      <c r="AQ261" s="34"/>
      <c r="AR261" s="34"/>
    </row>
    <row r="262" spans="1:44">
      <c r="A262" s="4"/>
      <c r="B262" s="4"/>
      <c r="C262" s="4"/>
      <c r="D262" s="4"/>
      <c r="E262" s="4"/>
      <c r="F262" s="4"/>
      <c r="G262" s="4"/>
      <c r="H262" s="4"/>
      <c r="I262" s="4"/>
      <c r="J262" s="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c r="AL262" s="34"/>
      <c r="AM262" s="34"/>
      <c r="AN262" s="34"/>
      <c r="AO262" s="34"/>
      <c r="AP262" s="34"/>
      <c r="AQ262" s="34"/>
      <c r="AR262" s="34"/>
    </row>
    <row r="263" spans="1:44">
      <c r="A263" s="4"/>
      <c r="B263" s="4"/>
      <c r="C263" s="4"/>
      <c r="D263" s="4"/>
      <c r="E263" s="4"/>
      <c r="F263" s="4"/>
      <c r="G263" s="4"/>
      <c r="H263" s="4"/>
      <c r="I263" s="4"/>
      <c r="J263" s="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c r="AL263" s="34"/>
      <c r="AM263" s="34"/>
      <c r="AN263" s="34"/>
      <c r="AO263" s="34"/>
      <c r="AP263" s="34"/>
      <c r="AQ263" s="34"/>
      <c r="AR263" s="34"/>
    </row>
    <row r="264" spans="1:44">
      <c r="A264" s="4"/>
      <c r="B264" s="4"/>
      <c r="C264" s="4"/>
      <c r="D264" s="4"/>
      <c r="E264" s="4"/>
      <c r="F264" s="4"/>
      <c r="G264" s="4"/>
      <c r="H264" s="4"/>
      <c r="I264" s="4"/>
      <c r="J264" s="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c r="AL264" s="34"/>
      <c r="AM264" s="34"/>
      <c r="AN264" s="34"/>
      <c r="AO264" s="34"/>
      <c r="AP264" s="34"/>
      <c r="AQ264" s="34"/>
      <c r="AR264" s="34"/>
    </row>
    <row r="265" spans="1:44">
      <c r="A265" s="4"/>
      <c r="B265" s="4"/>
      <c r="C265" s="4"/>
      <c r="D265" s="4"/>
      <c r="E265" s="4"/>
      <c r="F265" s="4"/>
      <c r="G265" s="4"/>
      <c r="H265" s="4"/>
      <c r="I265" s="4"/>
      <c r="J265" s="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c r="AL265" s="34"/>
      <c r="AM265" s="34"/>
      <c r="AN265" s="34"/>
      <c r="AO265" s="34"/>
      <c r="AP265" s="34"/>
      <c r="AQ265" s="34"/>
      <c r="AR265" s="34"/>
    </row>
    <row r="266" spans="1:44">
      <c r="A266" s="4"/>
      <c r="B266" s="4"/>
      <c r="C266" s="4"/>
      <c r="D266" s="4"/>
      <c r="E266" s="4"/>
      <c r="F266" s="4"/>
      <c r="G266" s="4"/>
      <c r="H266" s="4"/>
      <c r="I266" s="4"/>
      <c r="J266" s="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c r="AL266" s="34"/>
      <c r="AM266" s="34"/>
      <c r="AN266" s="34"/>
      <c r="AO266" s="34"/>
      <c r="AP266" s="34"/>
      <c r="AQ266" s="34"/>
      <c r="AR266" s="34"/>
    </row>
    <row r="267" spans="1:44">
      <c r="A267" s="4"/>
      <c r="B267" s="4"/>
      <c r="C267" s="4"/>
      <c r="D267" s="4"/>
      <c r="E267" s="4"/>
      <c r="F267" s="4"/>
      <c r="G267" s="4"/>
      <c r="H267" s="4"/>
      <c r="I267" s="4"/>
      <c r="J267" s="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row>
    <row r="268" spans="1:44">
      <c r="A268" s="4"/>
      <c r="B268" s="4"/>
      <c r="C268" s="4"/>
      <c r="D268" s="4"/>
      <c r="E268" s="4"/>
      <c r="F268" s="4"/>
      <c r="G268" s="4"/>
      <c r="H268" s="4"/>
      <c r="I268" s="4"/>
      <c r="J268" s="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c r="AL268" s="34"/>
      <c r="AM268" s="34"/>
      <c r="AN268" s="34"/>
      <c r="AO268" s="34"/>
      <c r="AP268" s="34"/>
      <c r="AQ268" s="34"/>
      <c r="AR268" s="34"/>
    </row>
    <row r="269" spans="1:44">
      <c r="A269" s="4"/>
      <c r="B269" s="4"/>
      <c r="C269" s="4"/>
      <c r="D269" s="4"/>
      <c r="E269" s="4"/>
      <c r="F269" s="4"/>
      <c r="G269" s="4"/>
      <c r="H269" s="4"/>
      <c r="I269" s="4"/>
      <c r="J269" s="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row>
    <row r="270" spans="1:44">
      <c r="A270" s="4"/>
      <c r="B270" s="4"/>
      <c r="C270" s="4"/>
      <c r="D270" s="4"/>
      <c r="E270" s="4"/>
      <c r="F270" s="4"/>
      <c r="G270" s="4"/>
      <c r="H270" s="4"/>
      <c r="I270" s="4"/>
      <c r="J270" s="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c r="AL270" s="34"/>
      <c r="AM270" s="34"/>
      <c r="AN270" s="34"/>
      <c r="AO270" s="34"/>
      <c r="AP270" s="34"/>
      <c r="AQ270" s="34"/>
      <c r="AR270" s="34"/>
    </row>
    <row r="271" spans="1:44">
      <c r="A271" s="4"/>
      <c r="B271" s="4"/>
      <c r="C271" s="4"/>
      <c r="D271" s="4"/>
      <c r="E271" s="4"/>
      <c r="F271" s="4"/>
      <c r="G271" s="4"/>
      <c r="H271" s="4"/>
      <c r="I271" s="4"/>
      <c r="J271" s="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c r="AL271" s="34"/>
      <c r="AM271" s="34"/>
      <c r="AN271" s="34"/>
      <c r="AO271" s="34"/>
      <c r="AP271" s="34"/>
      <c r="AQ271" s="34"/>
      <c r="AR271" s="34"/>
    </row>
    <row r="272" spans="1:44">
      <c r="A272" s="4"/>
      <c r="B272" s="4"/>
      <c r="C272" s="4"/>
      <c r="D272" s="4"/>
      <c r="E272" s="4"/>
      <c r="F272" s="4"/>
      <c r="G272" s="4"/>
      <c r="H272" s="4"/>
      <c r="I272" s="4"/>
      <c r="J272" s="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c r="AL272" s="34"/>
      <c r="AM272" s="34"/>
      <c r="AN272" s="34"/>
      <c r="AO272" s="34"/>
      <c r="AP272" s="34"/>
      <c r="AQ272" s="34"/>
      <c r="AR272" s="34"/>
    </row>
    <row r="273" spans="1:44">
      <c r="A273" s="4"/>
      <c r="B273" s="4"/>
      <c r="C273" s="4"/>
      <c r="D273" s="4"/>
      <c r="E273" s="4"/>
      <c r="F273" s="4"/>
      <c r="G273" s="4"/>
      <c r="H273" s="4"/>
      <c r="I273" s="4"/>
      <c r="J273" s="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c r="AL273" s="34"/>
      <c r="AM273" s="34"/>
      <c r="AN273" s="34"/>
      <c r="AO273" s="34"/>
      <c r="AP273" s="34"/>
      <c r="AQ273" s="34"/>
      <c r="AR273" s="34"/>
    </row>
    <row r="274" spans="1:44">
      <c r="A274" s="4"/>
      <c r="B274" s="4"/>
      <c r="C274" s="4"/>
      <c r="D274" s="4"/>
      <c r="E274" s="4"/>
      <c r="F274" s="4"/>
      <c r="G274" s="4"/>
      <c r="H274" s="4"/>
      <c r="I274" s="4"/>
      <c r="J274" s="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c r="AM274" s="34"/>
      <c r="AN274" s="34"/>
      <c r="AO274" s="34"/>
      <c r="AP274" s="34"/>
      <c r="AQ274" s="34"/>
      <c r="AR274" s="34"/>
    </row>
    <row r="275" spans="1:44">
      <c r="A275" s="4"/>
      <c r="B275" s="4"/>
      <c r="C275" s="4"/>
      <c r="D275" s="4"/>
      <c r="E275" s="4"/>
      <c r="F275" s="4"/>
      <c r="G275" s="4"/>
      <c r="H275" s="4"/>
      <c r="I275" s="4"/>
      <c r="J275" s="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c r="AL275" s="34"/>
      <c r="AM275" s="34"/>
      <c r="AN275" s="34"/>
      <c r="AO275" s="34"/>
      <c r="AP275" s="34"/>
      <c r="AQ275" s="34"/>
      <c r="AR275" s="34"/>
    </row>
    <row r="276" spans="1:44">
      <c r="A276" s="4"/>
      <c r="B276" s="4"/>
      <c r="C276" s="4"/>
      <c r="D276" s="4"/>
      <c r="E276" s="4"/>
      <c r="F276" s="4"/>
      <c r="G276" s="4"/>
      <c r="H276" s="4"/>
      <c r="I276" s="4"/>
      <c r="J276" s="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row>
    <row r="277" spans="1:44">
      <c r="A277" s="4"/>
      <c r="B277" s="4"/>
      <c r="C277" s="4"/>
      <c r="D277" s="4"/>
      <c r="E277" s="4"/>
      <c r="F277" s="4"/>
      <c r="G277" s="4"/>
      <c r="H277" s="4"/>
      <c r="I277" s="4"/>
      <c r="J277" s="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c r="AL277" s="34"/>
      <c r="AM277" s="34"/>
      <c r="AN277" s="34"/>
      <c r="AO277" s="34"/>
      <c r="AP277" s="34"/>
      <c r="AQ277" s="34"/>
      <c r="AR277" s="34"/>
    </row>
    <row r="278" spans="1:44">
      <c r="A278" s="4"/>
      <c r="B278" s="4"/>
      <c r="C278" s="4"/>
      <c r="D278" s="4"/>
      <c r="E278" s="4"/>
      <c r="F278" s="4"/>
      <c r="G278" s="4"/>
      <c r="H278" s="4"/>
      <c r="I278" s="4"/>
      <c r="J278" s="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c r="AL278" s="34"/>
      <c r="AM278" s="34"/>
      <c r="AN278" s="34"/>
      <c r="AO278" s="34"/>
      <c r="AP278" s="34"/>
      <c r="AQ278" s="34"/>
      <c r="AR278" s="34"/>
    </row>
    <row r="279" spans="1:44">
      <c r="A279" s="4"/>
      <c r="B279" s="4"/>
      <c r="C279" s="4"/>
      <c r="D279" s="4"/>
      <c r="E279" s="4"/>
      <c r="F279" s="4"/>
      <c r="G279" s="4"/>
      <c r="H279" s="4"/>
      <c r="I279" s="4"/>
      <c r="J279" s="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row>
    <row r="280" spans="1:44">
      <c r="A280" s="4"/>
      <c r="B280" s="4"/>
      <c r="C280" s="4"/>
      <c r="D280" s="4"/>
      <c r="E280" s="4"/>
      <c r="F280" s="4"/>
      <c r="G280" s="4"/>
      <c r="H280" s="4"/>
      <c r="I280" s="4"/>
      <c r="J280" s="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c r="AL280" s="34"/>
      <c r="AM280" s="34"/>
      <c r="AN280" s="34"/>
      <c r="AO280" s="34"/>
      <c r="AP280" s="34"/>
      <c r="AQ280" s="34"/>
      <c r="AR280" s="34"/>
    </row>
    <row r="281" spans="1:44">
      <c r="A281" s="4"/>
      <c r="B281" s="4"/>
      <c r="C281" s="4"/>
      <c r="D281" s="4"/>
      <c r="E281" s="4"/>
      <c r="F281" s="4"/>
      <c r="G281" s="4"/>
      <c r="H281" s="4"/>
      <c r="I281" s="4"/>
      <c r="J281" s="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row>
    <row r="282" spans="1:44">
      <c r="A282" s="4"/>
      <c r="B282" s="4"/>
      <c r="C282" s="4"/>
      <c r="D282" s="4"/>
      <c r="E282" s="4"/>
      <c r="F282" s="4"/>
      <c r="G282" s="4"/>
      <c r="H282" s="4"/>
      <c r="I282" s="4"/>
      <c r="J282" s="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row>
    <row r="283" spans="1:44">
      <c r="A283" s="4"/>
      <c r="B283" s="4"/>
      <c r="C283" s="4"/>
      <c r="D283" s="4"/>
      <c r="E283" s="4"/>
      <c r="F283" s="4"/>
      <c r="G283" s="4"/>
      <c r="H283" s="4"/>
      <c r="I283" s="4"/>
      <c r="J283" s="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c r="AL283" s="34"/>
      <c r="AM283" s="34"/>
      <c r="AN283" s="34"/>
      <c r="AO283" s="34"/>
      <c r="AP283" s="34"/>
      <c r="AQ283" s="34"/>
      <c r="AR283" s="34"/>
    </row>
    <row r="284" spans="1:44">
      <c r="A284" s="4"/>
      <c r="B284" s="4"/>
      <c r="C284" s="4"/>
      <c r="D284" s="4"/>
      <c r="E284" s="4"/>
      <c r="F284" s="4"/>
      <c r="G284" s="4"/>
      <c r="H284" s="4"/>
      <c r="I284" s="4"/>
      <c r="J284" s="4"/>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c r="AL284" s="34"/>
      <c r="AM284" s="34"/>
      <c r="AN284" s="34"/>
      <c r="AO284" s="34"/>
      <c r="AP284" s="34"/>
      <c r="AQ284" s="34"/>
      <c r="AR284" s="34"/>
    </row>
    <row r="285" spans="1:44">
      <c r="A285" s="4"/>
      <c r="B285" s="4"/>
      <c r="C285" s="4"/>
      <c r="D285" s="4"/>
      <c r="E285" s="4"/>
      <c r="F285" s="4"/>
      <c r="G285" s="4"/>
      <c r="H285" s="4"/>
      <c r="I285" s="4"/>
      <c r="J285" s="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c r="AL285" s="34"/>
      <c r="AM285" s="34"/>
      <c r="AN285" s="34"/>
      <c r="AO285" s="34"/>
      <c r="AP285" s="34"/>
      <c r="AQ285" s="34"/>
      <c r="AR285" s="34"/>
    </row>
    <row r="286" spans="1:44">
      <c r="A286" s="4"/>
      <c r="B286" s="4"/>
      <c r="C286" s="4"/>
      <c r="D286" s="4"/>
      <c r="E286" s="4"/>
      <c r="F286" s="4"/>
      <c r="G286" s="4"/>
      <c r="H286" s="4"/>
      <c r="I286" s="4"/>
      <c r="J286" s="4"/>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c r="AL286" s="34"/>
      <c r="AM286" s="34"/>
      <c r="AN286" s="34"/>
      <c r="AO286" s="34"/>
      <c r="AP286" s="34"/>
      <c r="AQ286" s="34"/>
      <c r="AR286" s="34"/>
    </row>
    <row r="287" spans="1:44">
      <c r="A287" s="4"/>
      <c r="B287" s="4"/>
      <c r="C287" s="4"/>
      <c r="D287" s="4"/>
      <c r="E287" s="4"/>
      <c r="F287" s="4"/>
      <c r="G287" s="4"/>
      <c r="H287" s="4"/>
      <c r="I287" s="4"/>
      <c r="J287" s="4"/>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c r="AL287" s="34"/>
      <c r="AM287" s="34"/>
      <c r="AN287" s="34"/>
      <c r="AO287" s="34"/>
      <c r="AP287" s="34"/>
      <c r="AQ287" s="34"/>
      <c r="AR287" s="34"/>
    </row>
    <row r="288" spans="1:44">
      <c r="A288" s="4"/>
      <c r="B288" s="4"/>
      <c r="C288" s="4"/>
      <c r="D288" s="4"/>
      <c r="E288" s="4"/>
      <c r="F288" s="4"/>
      <c r="G288" s="4"/>
      <c r="H288" s="4"/>
      <c r="I288" s="4"/>
      <c r="J288" s="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row>
    <row r="289" spans="1:44">
      <c r="A289" s="4"/>
      <c r="B289" s="4"/>
      <c r="C289" s="4"/>
      <c r="D289" s="4"/>
      <c r="E289" s="4"/>
      <c r="F289" s="4"/>
      <c r="G289" s="4"/>
      <c r="H289" s="4"/>
      <c r="I289" s="4"/>
      <c r="J289" s="4"/>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row>
    <row r="290" spans="1:44">
      <c r="A290" s="4"/>
      <c r="B290" s="4"/>
      <c r="C290" s="4"/>
      <c r="D290" s="4"/>
      <c r="E290" s="4"/>
      <c r="F290" s="4"/>
      <c r="G290" s="4"/>
      <c r="H290" s="4"/>
      <c r="I290" s="4"/>
      <c r="J290" s="4"/>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row>
    <row r="291" spans="1:44">
      <c r="A291" s="4"/>
      <c r="B291" s="4"/>
      <c r="C291" s="4"/>
      <c r="D291" s="4"/>
      <c r="E291" s="4"/>
      <c r="F291" s="4"/>
      <c r="G291" s="4"/>
      <c r="H291" s="4"/>
      <c r="I291" s="4"/>
      <c r="J291" s="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row>
    <row r="292" spans="1:44">
      <c r="A292" s="4"/>
      <c r="B292" s="4"/>
      <c r="C292" s="4"/>
      <c r="D292" s="4"/>
      <c r="E292" s="4"/>
      <c r="F292" s="4"/>
      <c r="G292" s="4"/>
      <c r="H292" s="4"/>
      <c r="I292" s="4"/>
      <c r="J292" s="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row>
    <row r="293" spans="1:44">
      <c r="A293" s="4"/>
      <c r="B293" s="4"/>
      <c r="C293" s="4"/>
      <c r="D293" s="4"/>
      <c r="E293" s="4"/>
      <c r="F293" s="4"/>
      <c r="G293" s="4"/>
      <c r="H293" s="4"/>
      <c r="I293" s="4"/>
      <c r="J293" s="4"/>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c r="AL293" s="34"/>
      <c r="AM293" s="34"/>
      <c r="AN293" s="34"/>
      <c r="AO293" s="34"/>
      <c r="AP293" s="34"/>
      <c r="AQ293" s="34"/>
      <c r="AR293" s="34"/>
    </row>
    <row r="294" spans="1:44">
      <c r="A294" s="4"/>
      <c r="B294" s="4"/>
      <c r="C294" s="4"/>
      <c r="D294" s="4"/>
      <c r="E294" s="4"/>
      <c r="F294" s="4"/>
      <c r="G294" s="4"/>
      <c r="H294" s="4"/>
      <c r="I294" s="4"/>
      <c r="J294" s="4"/>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c r="AH294" s="34"/>
      <c r="AI294" s="34"/>
      <c r="AJ294" s="34"/>
      <c r="AK294" s="34"/>
      <c r="AL294" s="34"/>
      <c r="AM294" s="34"/>
      <c r="AN294" s="34"/>
      <c r="AO294" s="34"/>
      <c r="AP294" s="34"/>
      <c r="AQ294" s="34"/>
      <c r="AR294" s="34"/>
    </row>
    <row r="295" spans="1:44">
      <c r="A295" s="4"/>
      <c r="B295" s="4"/>
      <c r="C295" s="4"/>
      <c r="D295" s="4"/>
      <c r="E295" s="4"/>
      <c r="F295" s="4"/>
      <c r="G295" s="4"/>
      <c r="H295" s="4"/>
      <c r="I295" s="4"/>
      <c r="J295" s="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row>
    <row r="296" spans="1:44">
      <c r="A296" s="4"/>
      <c r="B296" s="4"/>
      <c r="C296" s="4"/>
      <c r="D296" s="4"/>
      <c r="E296" s="4"/>
      <c r="F296" s="4"/>
      <c r="G296" s="4"/>
      <c r="H296" s="4"/>
      <c r="I296" s="4"/>
      <c r="J296" s="4"/>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row>
    <row r="297" spans="1:44">
      <c r="A297" s="4"/>
      <c r="B297" s="4"/>
      <c r="C297" s="4"/>
      <c r="D297" s="4"/>
      <c r="E297" s="4"/>
      <c r="F297" s="4"/>
      <c r="G297" s="4"/>
      <c r="H297" s="4"/>
      <c r="I297" s="4"/>
      <c r="J297" s="4"/>
      <c r="K297" s="34"/>
      <c r="L297" s="34"/>
      <c r="M297" s="34"/>
      <c r="N297" s="34"/>
      <c r="O297" s="34"/>
      <c r="P297" s="34"/>
      <c r="Q297" s="34"/>
      <c r="R297" s="34"/>
      <c r="S297" s="34"/>
      <c r="T297" s="34"/>
      <c r="U297" s="34"/>
      <c r="V297" s="34"/>
      <c r="W297" s="34"/>
      <c r="X297" s="34"/>
      <c r="Y297" s="34"/>
      <c r="Z297" s="34"/>
      <c r="AA297" s="34"/>
      <c r="AB297" s="34"/>
      <c r="AC297" s="34"/>
      <c r="AD297" s="34"/>
      <c r="AE297" s="34"/>
      <c r="AF297" s="34"/>
      <c r="AG297" s="34"/>
      <c r="AH297" s="34"/>
      <c r="AI297" s="34"/>
      <c r="AJ297" s="34"/>
      <c r="AK297" s="34"/>
      <c r="AL297" s="34"/>
      <c r="AM297" s="34"/>
      <c r="AN297" s="34"/>
      <c r="AO297" s="34"/>
      <c r="AP297" s="34"/>
      <c r="AQ297" s="34"/>
      <c r="AR297" s="34"/>
    </row>
    <row r="298" spans="1:44">
      <c r="A298" s="4"/>
      <c r="B298" s="4"/>
      <c r="C298" s="4"/>
      <c r="D298" s="4"/>
      <c r="E298" s="4"/>
      <c r="F298" s="4"/>
      <c r="G298" s="4"/>
      <c r="H298" s="4"/>
      <c r="I298" s="4"/>
      <c r="J298" s="4"/>
      <c r="K298" s="34"/>
      <c r="L298" s="34"/>
      <c r="M298" s="34"/>
      <c r="N298" s="34"/>
      <c r="O298" s="34"/>
      <c r="P298" s="34"/>
      <c r="Q298" s="34"/>
      <c r="R298" s="34"/>
      <c r="S298" s="34"/>
      <c r="T298" s="34"/>
      <c r="U298" s="34"/>
      <c r="V298" s="34"/>
      <c r="W298" s="34"/>
      <c r="X298" s="34"/>
      <c r="Y298" s="34"/>
      <c r="Z298" s="34"/>
      <c r="AA298" s="34"/>
      <c r="AB298" s="34"/>
      <c r="AC298" s="34"/>
      <c r="AD298" s="34"/>
      <c r="AE298" s="34"/>
      <c r="AF298" s="34"/>
      <c r="AG298" s="34"/>
      <c r="AH298" s="34"/>
      <c r="AI298" s="34"/>
      <c r="AJ298" s="34"/>
      <c r="AK298" s="34"/>
      <c r="AL298" s="34"/>
      <c r="AM298" s="34"/>
      <c r="AN298" s="34"/>
      <c r="AO298" s="34"/>
      <c r="AP298" s="34"/>
      <c r="AQ298" s="34"/>
      <c r="AR298" s="34"/>
    </row>
    <row r="299" spans="1:44">
      <c r="A299" s="4"/>
      <c r="B299" s="4"/>
      <c r="C299" s="4"/>
      <c r="D299" s="4"/>
      <c r="E299" s="4"/>
      <c r="F299" s="4"/>
      <c r="G299" s="4"/>
      <c r="H299" s="4"/>
      <c r="I299" s="4"/>
      <c r="J299" s="4"/>
      <c r="K299" s="34"/>
      <c r="L299" s="34"/>
      <c r="M299" s="34"/>
      <c r="N299" s="34"/>
      <c r="O299" s="34"/>
      <c r="P299" s="34"/>
      <c r="Q299" s="34"/>
      <c r="R299" s="34"/>
      <c r="S299" s="34"/>
      <c r="T299" s="34"/>
      <c r="U299" s="34"/>
      <c r="V299" s="34"/>
      <c r="W299" s="34"/>
      <c r="X299" s="34"/>
      <c r="Y299" s="34"/>
      <c r="Z299" s="34"/>
      <c r="AA299" s="34"/>
      <c r="AB299" s="34"/>
      <c r="AC299" s="34"/>
      <c r="AD299" s="34"/>
      <c r="AE299" s="34"/>
      <c r="AF299" s="34"/>
      <c r="AG299" s="34"/>
      <c r="AH299" s="34"/>
      <c r="AI299" s="34"/>
      <c r="AJ299" s="34"/>
      <c r="AK299" s="34"/>
      <c r="AL299" s="34"/>
      <c r="AM299" s="34"/>
      <c r="AN299" s="34"/>
      <c r="AO299" s="34"/>
      <c r="AP299" s="34"/>
      <c r="AQ299" s="34"/>
      <c r="AR299" s="34"/>
    </row>
    <row r="300" spans="1:44">
      <c r="A300" s="4"/>
      <c r="B300" s="4"/>
      <c r="C300" s="4"/>
      <c r="D300" s="4"/>
      <c r="E300" s="4"/>
      <c r="F300" s="4"/>
      <c r="G300" s="4"/>
      <c r="H300" s="4"/>
      <c r="I300" s="4"/>
      <c r="J300" s="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row>
    <row r="301" spans="1:44">
      <c r="A301" s="4"/>
      <c r="B301" s="4"/>
      <c r="C301" s="4"/>
      <c r="D301" s="4"/>
      <c r="E301" s="4"/>
      <c r="F301" s="4"/>
      <c r="G301" s="4"/>
      <c r="H301" s="4"/>
      <c r="I301" s="4"/>
      <c r="J301" s="4"/>
      <c r="K301" s="34"/>
      <c r="L301" s="34"/>
      <c r="M301" s="34"/>
      <c r="N301" s="34"/>
      <c r="O301" s="34"/>
      <c r="P301" s="34"/>
      <c r="Q301" s="34"/>
      <c r="R301" s="34"/>
      <c r="S301" s="34"/>
      <c r="T301" s="34"/>
      <c r="U301" s="34"/>
      <c r="V301" s="34"/>
      <c r="W301" s="34"/>
      <c r="X301" s="34"/>
      <c r="Y301" s="34"/>
      <c r="Z301" s="34"/>
      <c r="AA301" s="34"/>
      <c r="AB301" s="34"/>
      <c r="AC301" s="34"/>
      <c r="AD301" s="34"/>
      <c r="AE301" s="34"/>
      <c r="AF301" s="34"/>
      <c r="AG301" s="34"/>
      <c r="AH301" s="34"/>
      <c r="AI301" s="34"/>
      <c r="AJ301" s="34"/>
      <c r="AK301" s="34"/>
      <c r="AL301" s="34"/>
      <c r="AM301" s="34"/>
      <c r="AN301" s="34"/>
      <c r="AO301" s="34"/>
      <c r="AP301" s="34"/>
      <c r="AQ301" s="34"/>
      <c r="AR301" s="34"/>
    </row>
    <row r="302" spans="1:44">
      <c r="A302" s="4"/>
      <c r="B302" s="4"/>
      <c r="C302" s="4"/>
      <c r="D302" s="4"/>
      <c r="E302" s="4"/>
      <c r="F302" s="4"/>
      <c r="G302" s="4"/>
      <c r="H302" s="4"/>
      <c r="I302" s="4"/>
      <c r="J302" s="4"/>
      <c r="K302" s="34"/>
      <c r="L302" s="34"/>
      <c r="M302" s="34"/>
      <c r="N302" s="34"/>
      <c r="O302" s="34"/>
      <c r="P302" s="34"/>
      <c r="Q302" s="34"/>
      <c r="R302" s="34"/>
      <c r="S302" s="34"/>
      <c r="T302" s="34"/>
      <c r="U302" s="34"/>
      <c r="V302" s="34"/>
      <c r="W302" s="34"/>
      <c r="X302" s="34"/>
      <c r="Y302" s="34"/>
      <c r="Z302" s="34"/>
      <c r="AA302" s="34"/>
      <c r="AB302" s="34"/>
      <c r="AC302" s="34"/>
      <c r="AD302" s="34"/>
      <c r="AE302" s="34"/>
      <c r="AF302" s="34"/>
      <c r="AG302" s="34"/>
      <c r="AH302" s="34"/>
      <c r="AI302" s="34"/>
      <c r="AJ302" s="34"/>
      <c r="AK302" s="34"/>
      <c r="AL302" s="34"/>
      <c r="AM302" s="34"/>
      <c r="AN302" s="34"/>
      <c r="AO302" s="34"/>
      <c r="AP302" s="34"/>
      <c r="AQ302" s="34"/>
      <c r="AR302" s="34"/>
    </row>
    <row r="303" spans="1:44">
      <c r="A303" s="4"/>
      <c r="B303" s="4"/>
      <c r="C303" s="4"/>
      <c r="D303" s="4"/>
      <c r="E303" s="4"/>
      <c r="F303" s="4"/>
      <c r="G303" s="4"/>
      <c r="H303" s="4"/>
      <c r="I303" s="4"/>
      <c r="J303" s="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c r="AH303" s="34"/>
      <c r="AI303" s="34"/>
      <c r="AJ303" s="34"/>
      <c r="AK303" s="34"/>
      <c r="AL303" s="34"/>
      <c r="AM303" s="34"/>
      <c r="AN303" s="34"/>
      <c r="AO303" s="34"/>
      <c r="AP303" s="34"/>
      <c r="AQ303" s="34"/>
      <c r="AR303" s="34"/>
    </row>
    <row r="304" spans="1:44">
      <c r="A304" s="4"/>
      <c r="B304" s="4"/>
      <c r="C304" s="4"/>
      <c r="D304" s="4"/>
      <c r="E304" s="4"/>
      <c r="F304" s="4"/>
      <c r="G304" s="4"/>
      <c r="H304" s="4"/>
      <c r="I304" s="4"/>
      <c r="J304" s="4"/>
      <c r="K304" s="34"/>
      <c r="L304" s="34"/>
      <c r="M304" s="34"/>
      <c r="N304" s="34"/>
      <c r="O304" s="34"/>
      <c r="P304" s="34"/>
      <c r="Q304" s="34"/>
      <c r="R304" s="34"/>
      <c r="S304" s="34"/>
      <c r="T304" s="34"/>
      <c r="U304" s="34"/>
      <c r="V304" s="34"/>
      <c r="W304" s="34"/>
      <c r="X304" s="34"/>
      <c r="Y304" s="34"/>
      <c r="Z304" s="34"/>
      <c r="AA304" s="34"/>
      <c r="AB304" s="34"/>
      <c r="AC304" s="34"/>
      <c r="AD304" s="34"/>
      <c r="AE304" s="34"/>
      <c r="AF304" s="34"/>
      <c r="AG304" s="34"/>
      <c r="AH304" s="34"/>
      <c r="AI304" s="34"/>
      <c r="AJ304" s="34"/>
      <c r="AK304" s="34"/>
      <c r="AL304" s="34"/>
      <c r="AM304" s="34"/>
      <c r="AN304" s="34"/>
      <c r="AO304" s="34"/>
      <c r="AP304" s="34"/>
      <c r="AQ304" s="34"/>
      <c r="AR304" s="34"/>
    </row>
    <row r="305" spans="1:44">
      <c r="A305" s="4"/>
      <c r="B305" s="4"/>
      <c r="C305" s="4"/>
      <c r="D305" s="4"/>
      <c r="E305" s="4"/>
      <c r="F305" s="4"/>
      <c r="G305" s="4"/>
      <c r="H305" s="4"/>
      <c r="I305" s="4"/>
      <c r="J305" s="4"/>
      <c r="K305" s="34"/>
      <c r="L305" s="34"/>
      <c r="M305" s="34"/>
      <c r="N305" s="34"/>
      <c r="O305" s="34"/>
      <c r="P305" s="34"/>
      <c r="Q305" s="34"/>
      <c r="R305" s="34"/>
      <c r="S305" s="34"/>
      <c r="T305" s="34"/>
      <c r="U305" s="34"/>
      <c r="V305" s="34"/>
      <c r="W305" s="34"/>
      <c r="X305" s="34"/>
      <c r="Y305" s="34"/>
      <c r="Z305" s="34"/>
      <c r="AA305" s="34"/>
      <c r="AB305" s="34"/>
      <c r="AC305" s="34"/>
      <c r="AD305" s="34"/>
      <c r="AE305" s="34"/>
      <c r="AF305" s="34"/>
      <c r="AG305" s="34"/>
      <c r="AH305" s="34"/>
      <c r="AI305" s="34"/>
      <c r="AJ305" s="34"/>
      <c r="AK305" s="34"/>
      <c r="AL305" s="34"/>
      <c r="AM305" s="34"/>
      <c r="AN305" s="34"/>
      <c r="AO305" s="34"/>
      <c r="AP305" s="34"/>
      <c r="AQ305" s="34"/>
      <c r="AR305" s="34"/>
    </row>
    <row r="306" spans="1:44">
      <c r="A306" s="4"/>
      <c r="B306" s="4"/>
      <c r="C306" s="4"/>
      <c r="D306" s="4"/>
      <c r="E306" s="4"/>
      <c r="F306" s="4"/>
      <c r="G306" s="4"/>
      <c r="H306" s="4"/>
      <c r="I306" s="4"/>
      <c r="J306" s="4"/>
      <c r="K306" s="34"/>
      <c r="L306" s="34"/>
      <c r="M306" s="34"/>
      <c r="N306" s="34"/>
      <c r="O306" s="34"/>
      <c r="P306" s="34"/>
      <c r="Q306" s="34"/>
      <c r="R306" s="34"/>
      <c r="S306" s="34"/>
      <c r="T306" s="34"/>
      <c r="U306" s="34"/>
      <c r="V306" s="34"/>
      <c r="W306" s="34"/>
      <c r="X306" s="34"/>
      <c r="Y306" s="34"/>
      <c r="Z306" s="34"/>
      <c r="AA306" s="34"/>
      <c r="AB306" s="34"/>
      <c r="AC306" s="34"/>
      <c r="AD306" s="34"/>
      <c r="AE306" s="34"/>
      <c r="AF306" s="34"/>
      <c r="AG306" s="34"/>
      <c r="AH306" s="34"/>
      <c r="AI306" s="34"/>
      <c r="AJ306" s="34"/>
      <c r="AK306" s="34"/>
      <c r="AL306" s="34"/>
      <c r="AM306" s="34"/>
      <c r="AN306" s="34"/>
      <c r="AO306" s="34"/>
      <c r="AP306" s="34"/>
      <c r="AQ306" s="34"/>
      <c r="AR306" s="34"/>
    </row>
    <row r="307" spans="1:44">
      <c r="A307" s="4"/>
      <c r="B307" s="4"/>
      <c r="C307" s="4"/>
      <c r="D307" s="4"/>
      <c r="E307" s="4"/>
      <c r="F307" s="4"/>
      <c r="G307" s="4"/>
      <c r="H307" s="4"/>
      <c r="I307" s="4"/>
      <c r="J307" s="4"/>
      <c r="K307" s="34"/>
      <c r="L307" s="34"/>
      <c r="M307" s="34"/>
      <c r="N307" s="34"/>
      <c r="O307" s="34"/>
      <c r="P307" s="34"/>
      <c r="Q307" s="34"/>
      <c r="R307" s="34"/>
      <c r="S307" s="34"/>
      <c r="T307" s="34"/>
      <c r="U307" s="34"/>
      <c r="V307" s="34"/>
      <c r="W307" s="34"/>
      <c r="X307" s="34"/>
      <c r="Y307" s="34"/>
      <c r="Z307" s="34"/>
      <c r="AA307" s="34"/>
      <c r="AB307" s="34"/>
      <c r="AC307" s="34"/>
      <c r="AD307" s="34"/>
      <c r="AE307" s="34"/>
      <c r="AF307" s="34"/>
      <c r="AG307" s="34"/>
      <c r="AH307" s="34"/>
      <c r="AI307" s="34"/>
      <c r="AJ307" s="34"/>
      <c r="AK307" s="34"/>
      <c r="AL307" s="34"/>
      <c r="AM307" s="34"/>
      <c r="AN307" s="34"/>
      <c r="AO307" s="34"/>
      <c r="AP307" s="34"/>
      <c r="AQ307" s="34"/>
      <c r="AR307" s="34"/>
    </row>
    <row r="308" spans="1:44">
      <c r="A308" s="4"/>
      <c r="B308" s="4"/>
      <c r="C308" s="4"/>
      <c r="D308" s="4"/>
      <c r="E308" s="4"/>
      <c r="F308" s="4"/>
      <c r="G308" s="4"/>
      <c r="H308" s="4"/>
      <c r="I308" s="4"/>
      <c r="J308" s="4"/>
      <c r="K308" s="34"/>
      <c r="L308" s="34"/>
      <c r="M308" s="34"/>
      <c r="N308" s="34"/>
      <c r="O308" s="34"/>
      <c r="P308" s="34"/>
      <c r="Q308" s="34"/>
      <c r="R308" s="34"/>
      <c r="S308" s="34"/>
      <c r="T308" s="34"/>
      <c r="U308" s="34"/>
      <c r="V308" s="34"/>
      <c r="W308" s="34"/>
      <c r="X308" s="34"/>
      <c r="Y308" s="34"/>
      <c r="Z308" s="34"/>
      <c r="AA308" s="34"/>
      <c r="AB308" s="34"/>
      <c r="AC308" s="34"/>
      <c r="AD308" s="34"/>
      <c r="AE308" s="34"/>
      <c r="AF308" s="34"/>
      <c r="AG308" s="34"/>
      <c r="AH308" s="34"/>
      <c r="AI308" s="34"/>
      <c r="AJ308" s="34"/>
      <c r="AK308" s="34"/>
      <c r="AL308" s="34"/>
      <c r="AM308" s="34"/>
      <c r="AN308" s="34"/>
      <c r="AO308" s="34"/>
      <c r="AP308" s="34"/>
      <c r="AQ308" s="34"/>
      <c r="AR308" s="34"/>
    </row>
    <row r="309" spans="1:44">
      <c r="A309" s="4"/>
      <c r="B309" s="4"/>
      <c r="C309" s="4"/>
      <c r="D309" s="4"/>
      <c r="E309" s="4"/>
      <c r="F309" s="4"/>
      <c r="G309" s="4"/>
      <c r="H309" s="4"/>
      <c r="I309" s="4"/>
      <c r="J309" s="4"/>
      <c r="K309" s="34"/>
      <c r="L309" s="34"/>
      <c r="M309" s="34"/>
      <c r="N309" s="34"/>
      <c r="O309" s="34"/>
      <c r="P309" s="34"/>
      <c r="Q309" s="34"/>
      <c r="R309" s="34"/>
      <c r="S309" s="34"/>
      <c r="T309" s="34"/>
      <c r="U309" s="34"/>
      <c r="V309" s="34"/>
      <c r="W309" s="34"/>
      <c r="X309" s="34"/>
      <c r="Y309" s="34"/>
      <c r="Z309" s="34"/>
      <c r="AA309" s="34"/>
      <c r="AB309" s="34"/>
      <c r="AC309" s="34"/>
      <c r="AD309" s="34"/>
      <c r="AE309" s="34"/>
      <c r="AF309" s="34"/>
      <c r="AG309" s="34"/>
      <c r="AH309" s="34"/>
      <c r="AI309" s="34"/>
      <c r="AJ309" s="34"/>
      <c r="AK309" s="34"/>
      <c r="AL309" s="34"/>
      <c r="AM309" s="34"/>
      <c r="AN309" s="34"/>
      <c r="AO309" s="34"/>
      <c r="AP309" s="34"/>
      <c r="AQ309" s="34"/>
      <c r="AR309" s="34"/>
    </row>
    <row r="310" spans="1:44">
      <c r="A310" s="4"/>
      <c r="B310" s="4"/>
      <c r="C310" s="4"/>
      <c r="D310" s="4"/>
      <c r="E310" s="4"/>
      <c r="F310" s="4"/>
      <c r="G310" s="4"/>
      <c r="H310" s="4"/>
      <c r="I310" s="4"/>
      <c r="J310" s="4"/>
      <c r="K310" s="34"/>
      <c r="L310" s="34"/>
      <c r="M310" s="34"/>
      <c r="N310" s="34"/>
      <c r="O310" s="34"/>
      <c r="P310" s="34"/>
      <c r="Q310" s="34"/>
      <c r="R310" s="34"/>
      <c r="S310" s="34"/>
      <c r="T310" s="34"/>
      <c r="U310" s="34"/>
      <c r="V310" s="34"/>
      <c r="W310" s="34"/>
      <c r="X310" s="34"/>
      <c r="Y310" s="34"/>
      <c r="Z310" s="34"/>
      <c r="AA310" s="34"/>
      <c r="AB310" s="34"/>
      <c r="AC310" s="34"/>
      <c r="AD310" s="34"/>
      <c r="AE310" s="34"/>
      <c r="AF310" s="34"/>
      <c r="AG310" s="34"/>
      <c r="AH310" s="34"/>
      <c r="AI310" s="34"/>
      <c r="AJ310" s="34"/>
      <c r="AK310" s="34"/>
      <c r="AL310" s="34"/>
      <c r="AM310" s="34"/>
      <c r="AN310" s="34"/>
      <c r="AO310" s="34"/>
      <c r="AP310" s="34"/>
      <c r="AQ310" s="34"/>
      <c r="AR310" s="34"/>
    </row>
    <row r="311" spans="1:44">
      <c r="A311" s="4"/>
      <c r="B311" s="4"/>
      <c r="C311" s="4"/>
      <c r="D311" s="4"/>
      <c r="E311" s="4"/>
      <c r="F311" s="4"/>
      <c r="G311" s="4"/>
      <c r="H311" s="4"/>
      <c r="I311" s="4"/>
      <c r="J311" s="4"/>
      <c r="K311" s="34"/>
      <c r="L311" s="34"/>
      <c r="M311" s="34"/>
      <c r="N311" s="34"/>
      <c r="O311" s="34"/>
      <c r="P311" s="34"/>
      <c r="Q311" s="34"/>
      <c r="R311" s="34"/>
      <c r="S311" s="34"/>
      <c r="T311" s="34"/>
      <c r="U311" s="34"/>
      <c r="V311" s="34"/>
      <c r="W311" s="34"/>
      <c r="X311" s="34"/>
      <c r="Y311" s="34"/>
      <c r="Z311" s="34"/>
      <c r="AA311" s="34"/>
      <c r="AB311" s="34"/>
      <c r="AC311" s="34"/>
      <c r="AD311" s="34"/>
      <c r="AE311" s="34"/>
      <c r="AF311" s="34"/>
      <c r="AG311" s="34"/>
      <c r="AH311" s="34"/>
      <c r="AI311" s="34"/>
      <c r="AJ311" s="34"/>
      <c r="AK311" s="34"/>
      <c r="AL311" s="34"/>
      <c r="AM311" s="34"/>
      <c r="AN311" s="34"/>
      <c r="AO311" s="34"/>
      <c r="AP311" s="34"/>
      <c r="AQ311" s="34"/>
      <c r="AR311" s="34"/>
    </row>
    <row r="312" spans="1:44">
      <c r="A312" s="4"/>
      <c r="B312" s="4"/>
      <c r="C312" s="4"/>
      <c r="D312" s="4"/>
      <c r="E312" s="4"/>
      <c r="F312" s="4"/>
      <c r="G312" s="4"/>
      <c r="H312" s="4"/>
      <c r="I312" s="4"/>
      <c r="J312" s="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row>
    <row r="313" spans="1:44">
      <c r="A313" s="4"/>
      <c r="B313" s="4"/>
      <c r="C313" s="4"/>
      <c r="D313" s="4"/>
      <c r="E313" s="4"/>
      <c r="F313" s="4"/>
      <c r="G313" s="4"/>
      <c r="H313" s="4"/>
      <c r="I313" s="4"/>
      <c r="J313" s="4"/>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row>
    <row r="314" spans="1:44">
      <c r="A314" s="4"/>
      <c r="B314" s="4"/>
      <c r="C314" s="4"/>
      <c r="D314" s="4"/>
      <c r="E314" s="4"/>
      <c r="F314" s="4"/>
      <c r="G314" s="4"/>
      <c r="H314" s="4"/>
      <c r="I314" s="4"/>
      <c r="J314" s="4"/>
      <c r="K314" s="34"/>
      <c r="L314" s="34"/>
      <c r="M314" s="34"/>
      <c r="N314" s="34"/>
      <c r="O314" s="34"/>
      <c r="P314" s="34"/>
      <c r="Q314" s="34"/>
      <c r="R314" s="34"/>
      <c r="S314" s="34"/>
      <c r="T314" s="34"/>
      <c r="U314" s="34"/>
      <c r="V314" s="34"/>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row>
    <row r="315" spans="1:44">
      <c r="A315" s="4"/>
      <c r="B315" s="4"/>
      <c r="C315" s="4"/>
      <c r="D315" s="4"/>
      <c r="E315" s="4"/>
      <c r="F315" s="4"/>
      <c r="G315" s="4"/>
      <c r="H315" s="4"/>
      <c r="I315" s="4"/>
      <c r="J315" s="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c r="AL315" s="34"/>
      <c r="AM315" s="34"/>
      <c r="AN315" s="34"/>
      <c r="AO315" s="34"/>
      <c r="AP315" s="34"/>
      <c r="AQ315" s="34"/>
      <c r="AR315" s="34"/>
    </row>
    <row r="316" spans="1:44">
      <c r="A316" s="4"/>
      <c r="B316" s="4"/>
      <c r="C316" s="4"/>
      <c r="D316" s="4"/>
      <c r="E316" s="4"/>
      <c r="F316" s="4"/>
      <c r="G316" s="4"/>
      <c r="H316" s="4"/>
      <c r="I316" s="4"/>
      <c r="J316" s="4"/>
      <c r="K316" s="34"/>
      <c r="L316" s="34"/>
      <c r="M316" s="34"/>
      <c r="N316" s="34"/>
      <c r="O316" s="34"/>
      <c r="P316" s="34"/>
      <c r="Q316" s="34"/>
      <c r="R316" s="34"/>
      <c r="S316" s="34"/>
      <c r="T316" s="34"/>
      <c r="U316" s="34"/>
      <c r="V316" s="34"/>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row>
    <row r="317" spans="1:44">
      <c r="A317" s="4"/>
      <c r="B317" s="4"/>
      <c r="C317" s="4"/>
      <c r="D317" s="4"/>
      <c r="E317" s="4"/>
      <c r="F317" s="4"/>
      <c r="G317" s="4"/>
      <c r="H317" s="4"/>
      <c r="I317" s="4"/>
      <c r="J317" s="4"/>
      <c r="K317" s="34"/>
      <c r="L317" s="34"/>
      <c r="M317" s="34"/>
      <c r="N317" s="34"/>
      <c r="O317" s="34"/>
      <c r="P317" s="34"/>
      <c r="Q317" s="34"/>
      <c r="R317" s="34"/>
      <c r="S317" s="34"/>
      <c r="T317" s="34"/>
      <c r="U317" s="34"/>
      <c r="V317" s="34"/>
      <c r="W317" s="34"/>
      <c r="X317" s="34"/>
      <c r="Y317" s="34"/>
      <c r="Z317" s="34"/>
      <c r="AA317" s="34"/>
      <c r="AB317" s="34"/>
      <c r="AC317" s="34"/>
      <c r="AD317" s="34"/>
      <c r="AE317" s="34"/>
      <c r="AF317" s="34"/>
      <c r="AG317" s="34"/>
      <c r="AH317" s="34"/>
      <c r="AI317" s="34"/>
      <c r="AJ317" s="34"/>
      <c r="AK317" s="34"/>
      <c r="AL317" s="34"/>
      <c r="AM317" s="34"/>
      <c r="AN317" s="34"/>
      <c r="AO317" s="34"/>
      <c r="AP317" s="34"/>
      <c r="AQ317" s="34"/>
      <c r="AR317" s="34"/>
    </row>
    <row r="318" spans="1:44">
      <c r="A318" s="4"/>
      <c r="B318" s="4"/>
      <c r="C318" s="4"/>
      <c r="D318" s="4"/>
      <c r="E318" s="4"/>
      <c r="F318" s="4"/>
      <c r="G318" s="4"/>
      <c r="H318" s="4"/>
      <c r="I318" s="4"/>
      <c r="J318" s="4"/>
      <c r="K318" s="34"/>
      <c r="L318" s="34"/>
      <c r="M318" s="34"/>
      <c r="N318" s="34"/>
      <c r="O318" s="34"/>
      <c r="P318" s="34"/>
      <c r="Q318" s="34"/>
      <c r="R318" s="34"/>
      <c r="S318" s="34"/>
      <c r="T318" s="34"/>
      <c r="U318" s="34"/>
      <c r="V318" s="34"/>
      <c r="W318" s="34"/>
      <c r="X318" s="34"/>
      <c r="Y318" s="34"/>
      <c r="Z318" s="34"/>
      <c r="AA318" s="34"/>
      <c r="AB318" s="34"/>
      <c r="AC318" s="34"/>
      <c r="AD318" s="34"/>
      <c r="AE318" s="34"/>
      <c r="AF318" s="34"/>
      <c r="AG318" s="34"/>
      <c r="AH318" s="34"/>
      <c r="AI318" s="34"/>
      <c r="AJ318" s="34"/>
      <c r="AK318" s="34"/>
      <c r="AL318" s="34"/>
      <c r="AM318" s="34"/>
      <c r="AN318" s="34"/>
      <c r="AO318" s="34"/>
      <c r="AP318" s="34"/>
      <c r="AQ318" s="34"/>
      <c r="AR318" s="34"/>
    </row>
    <row r="319" spans="1:44">
      <c r="A319" s="4"/>
      <c r="B319" s="4"/>
      <c r="C319" s="4"/>
      <c r="D319" s="4"/>
      <c r="E319" s="4"/>
      <c r="F319" s="4"/>
      <c r="G319" s="4"/>
      <c r="H319" s="4"/>
      <c r="I319" s="4"/>
      <c r="J319" s="4"/>
      <c r="K319" s="34"/>
      <c r="L319" s="34"/>
      <c r="M319" s="34"/>
      <c r="N319" s="34"/>
      <c r="O319" s="34"/>
      <c r="P319" s="34"/>
      <c r="Q319" s="34"/>
      <c r="R319" s="34"/>
      <c r="S319" s="34"/>
      <c r="T319" s="34"/>
      <c r="U319" s="34"/>
      <c r="V319" s="34"/>
      <c r="W319" s="34"/>
      <c r="X319" s="34"/>
      <c r="Y319" s="34"/>
      <c r="Z319" s="34"/>
      <c r="AA319" s="34"/>
      <c r="AB319" s="34"/>
      <c r="AC319" s="34"/>
      <c r="AD319" s="34"/>
      <c r="AE319" s="34"/>
      <c r="AF319" s="34"/>
      <c r="AG319" s="34"/>
      <c r="AH319" s="34"/>
      <c r="AI319" s="34"/>
      <c r="AJ319" s="34"/>
      <c r="AK319" s="34"/>
      <c r="AL319" s="34"/>
      <c r="AM319" s="34"/>
      <c r="AN319" s="34"/>
      <c r="AO319" s="34"/>
      <c r="AP319" s="34"/>
      <c r="AQ319" s="34"/>
      <c r="AR319" s="34"/>
    </row>
    <row r="320" spans="1:44">
      <c r="A320" s="4"/>
      <c r="B320" s="4"/>
      <c r="C320" s="4"/>
      <c r="D320" s="4"/>
      <c r="E320" s="4"/>
      <c r="F320" s="4"/>
      <c r="G320" s="4"/>
      <c r="H320" s="4"/>
      <c r="I320" s="4"/>
      <c r="J320" s="4"/>
      <c r="K320" s="34"/>
      <c r="L320" s="34"/>
      <c r="M320" s="34"/>
      <c r="N320" s="34"/>
      <c r="O320" s="34"/>
      <c r="P320" s="34"/>
      <c r="Q320" s="34"/>
      <c r="R320" s="34"/>
      <c r="S320" s="34"/>
      <c r="T320" s="34"/>
      <c r="U320" s="34"/>
      <c r="V320" s="34"/>
      <c r="W320" s="34"/>
      <c r="X320" s="34"/>
      <c r="Y320" s="34"/>
      <c r="Z320" s="34"/>
      <c r="AA320" s="34"/>
      <c r="AB320" s="34"/>
      <c r="AC320" s="34"/>
      <c r="AD320" s="34"/>
      <c r="AE320" s="34"/>
      <c r="AF320" s="34"/>
      <c r="AG320" s="34"/>
      <c r="AH320" s="34"/>
      <c r="AI320" s="34"/>
      <c r="AJ320" s="34"/>
      <c r="AK320" s="34"/>
      <c r="AL320" s="34"/>
      <c r="AM320" s="34"/>
      <c r="AN320" s="34"/>
      <c r="AO320" s="34"/>
      <c r="AP320" s="34"/>
      <c r="AQ320" s="34"/>
      <c r="AR320" s="34"/>
    </row>
    <row r="321" spans="1:44">
      <c r="A321" s="4"/>
      <c r="B321" s="4"/>
      <c r="C321" s="4"/>
      <c r="D321" s="4"/>
      <c r="E321" s="4"/>
      <c r="F321" s="4"/>
      <c r="G321" s="4"/>
      <c r="H321" s="4"/>
      <c r="I321" s="4"/>
      <c r="J321" s="4"/>
      <c r="K321" s="34"/>
      <c r="L321" s="34"/>
      <c r="M321" s="34"/>
      <c r="N321" s="34"/>
      <c r="O321" s="34"/>
      <c r="P321" s="34"/>
      <c r="Q321" s="34"/>
      <c r="R321" s="34"/>
      <c r="S321" s="34"/>
      <c r="T321" s="34"/>
      <c r="U321" s="34"/>
      <c r="V321" s="34"/>
      <c r="W321" s="34"/>
      <c r="X321" s="34"/>
      <c r="Y321" s="34"/>
      <c r="Z321" s="34"/>
      <c r="AA321" s="34"/>
      <c r="AB321" s="34"/>
      <c r="AC321" s="34"/>
      <c r="AD321" s="34"/>
      <c r="AE321" s="34"/>
      <c r="AF321" s="34"/>
      <c r="AG321" s="34"/>
      <c r="AH321" s="34"/>
      <c r="AI321" s="34"/>
      <c r="AJ321" s="34"/>
      <c r="AK321" s="34"/>
      <c r="AL321" s="34"/>
      <c r="AM321" s="34"/>
      <c r="AN321" s="34"/>
      <c r="AO321" s="34"/>
      <c r="AP321" s="34"/>
      <c r="AQ321" s="34"/>
      <c r="AR321" s="34"/>
    </row>
    <row r="322" spans="1:44">
      <c r="A322" s="4"/>
      <c r="B322" s="4"/>
      <c r="C322" s="4"/>
      <c r="D322" s="4"/>
      <c r="E322" s="4"/>
      <c r="F322" s="4"/>
      <c r="G322" s="4"/>
      <c r="H322" s="4"/>
      <c r="I322" s="4"/>
      <c r="J322" s="4"/>
      <c r="K322" s="34"/>
      <c r="L322" s="34"/>
      <c r="M322" s="34"/>
      <c r="N322" s="34"/>
      <c r="O322" s="34"/>
      <c r="P322" s="34"/>
      <c r="Q322" s="34"/>
      <c r="R322" s="34"/>
      <c r="S322" s="34"/>
      <c r="T322" s="34"/>
      <c r="U322" s="34"/>
      <c r="V322" s="34"/>
      <c r="W322" s="34"/>
      <c r="X322" s="34"/>
      <c r="Y322" s="34"/>
      <c r="Z322" s="34"/>
      <c r="AA322" s="34"/>
      <c r="AB322" s="34"/>
      <c r="AC322" s="34"/>
      <c r="AD322" s="34"/>
      <c r="AE322" s="34"/>
      <c r="AF322" s="34"/>
      <c r="AG322" s="34"/>
      <c r="AH322" s="34"/>
      <c r="AI322" s="34"/>
      <c r="AJ322" s="34"/>
      <c r="AK322" s="34"/>
      <c r="AL322" s="34"/>
      <c r="AM322" s="34"/>
      <c r="AN322" s="34"/>
      <c r="AO322" s="34"/>
      <c r="AP322" s="34"/>
      <c r="AQ322" s="34"/>
      <c r="AR322" s="34"/>
    </row>
    <row r="323" spans="1:44">
      <c r="A323" s="4"/>
      <c r="B323" s="4"/>
      <c r="C323" s="4"/>
      <c r="D323" s="4"/>
      <c r="E323" s="4"/>
      <c r="F323" s="4"/>
      <c r="G323" s="4"/>
      <c r="H323" s="4"/>
      <c r="I323" s="4"/>
      <c r="J323" s="4"/>
      <c r="K323" s="34"/>
      <c r="L323" s="34"/>
      <c r="M323" s="34"/>
      <c r="N323" s="34"/>
      <c r="O323" s="34"/>
      <c r="P323" s="34"/>
      <c r="Q323" s="34"/>
      <c r="R323" s="34"/>
      <c r="S323" s="34"/>
      <c r="T323" s="34"/>
      <c r="U323" s="34"/>
      <c r="V323" s="34"/>
      <c r="W323" s="34"/>
      <c r="X323" s="34"/>
      <c r="Y323" s="34"/>
      <c r="Z323" s="34"/>
      <c r="AA323" s="34"/>
      <c r="AB323" s="34"/>
      <c r="AC323" s="34"/>
      <c r="AD323" s="34"/>
      <c r="AE323" s="34"/>
      <c r="AF323" s="34"/>
      <c r="AG323" s="34"/>
      <c r="AH323" s="34"/>
      <c r="AI323" s="34"/>
      <c r="AJ323" s="34"/>
      <c r="AK323" s="34"/>
      <c r="AL323" s="34"/>
      <c r="AM323" s="34"/>
      <c r="AN323" s="34"/>
      <c r="AO323" s="34"/>
      <c r="AP323" s="34"/>
      <c r="AQ323" s="34"/>
      <c r="AR323" s="34"/>
    </row>
    <row r="324" spans="1:44">
      <c r="A324" s="4"/>
      <c r="B324" s="4"/>
      <c r="C324" s="4"/>
      <c r="D324" s="4"/>
      <c r="E324" s="4"/>
      <c r="F324" s="4"/>
      <c r="G324" s="4"/>
      <c r="H324" s="4"/>
      <c r="I324" s="4"/>
      <c r="J324" s="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c r="AL324" s="34"/>
      <c r="AM324" s="34"/>
      <c r="AN324" s="34"/>
      <c r="AO324" s="34"/>
      <c r="AP324" s="34"/>
      <c r="AQ324" s="34"/>
      <c r="AR324" s="34"/>
    </row>
    <row r="325" spans="1:44">
      <c r="A325" s="4"/>
      <c r="B325" s="4"/>
      <c r="C325" s="4"/>
      <c r="D325" s="4"/>
      <c r="E325" s="4"/>
      <c r="F325" s="4"/>
      <c r="G325" s="4"/>
      <c r="H325" s="4"/>
      <c r="I325" s="4"/>
      <c r="J325" s="4"/>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c r="AH325" s="34"/>
      <c r="AI325" s="34"/>
      <c r="AJ325" s="34"/>
      <c r="AK325" s="34"/>
      <c r="AL325" s="34"/>
      <c r="AM325" s="34"/>
      <c r="AN325" s="34"/>
      <c r="AO325" s="34"/>
      <c r="AP325" s="34"/>
      <c r="AQ325" s="34"/>
      <c r="AR325" s="34"/>
    </row>
    <row r="326" spans="1:44">
      <c r="A326" s="4"/>
      <c r="B326" s="4"/>
      <c r="C326" s="4"/>
      <c r="D326" s="4"/>
      <c r="E326" s="4"/>
      <c r="F326" s="4"/>
      <c r="G326" s="4"/>
      <c r="H326" s="4"/>
      <c r="I326" s="4"/>
      <c r="J326" s="4"/>
      <c r="K326" s="34"/>
      <c r="L326" s="34"/>
      <c r="M326" s="34"/>
      <c r="N326" s="34"/>
      <c r="O326" s="34"/>
      <c r="P326" s="34"/>
      <c r="Q326" s="34"/>
      <c r="R326" s="34"/>
      <c r="S326" s="34"/>
      <c r="T326" s="34"/>
      <c r="U326" s="34"/>
      <c r="V326" s="34"/>
      <c r="W326" s="34"/>
      <c r="X326" s="34"/>
      <c r="Y326" s="34"/>
      <c r="Z326" s="34"/>
      <c r="AA326" s="34"/>
      <c r="AB326" s="34"/>
      <c r="AC326" s="34"/>
      <c r="AD326" s="34"/>
      <c r="AE326" s="34"/>
      <c r="AF326" s="34"/>
      <c r="AG326" s="34"/>
      <c r="AH326" s="34"/>
      <c r="AI326" s="34"/>
      <c r="AJ326" s="34"/>
      <c r="AK326" s="34"/>
      <c r="AL326" s="34"/>
      <c r="AM326" s="34"/>
      <c r="AN326" s="34"/>
      <c r="AO326" s="34"/>
      <c r="AP326" s="34"/>
      <c r="AQ326" s="34"/>
      <c r="AR326" s="34"/>
    </row>
    <row r="327" spans="1:44">
      <c r="A327" s="4"/>
      <c r="B327" s="4"/>
      <c r="C327" s="4"/>
      <c r="D327" s="4"/>
      <c r="E327" s="4"/>
      <c r="F327" s="4"/>
      <c r="G327" s="4"/>
      <c r="H327" s="4"/>
      <c r="I327" s="4"/>
      <c r="J327" s="4"/>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c r="AH327" s="34"/>
      <c r="AI327" s="34"/>
      <c r="AJ327" s="34"/>
      <c r="AK327" s="34"/>
      <c r="AL327" s="34"/>
      <c r="AM327" s="34"/>
      <c r="AN327" s="34"/>
      <c r="AO327" s="34"/>
      <c r="AP327" s="34"/>
      <c r="AQ327" s="34"/>
      <c r="AR327" s="34"/>
    </row>
    <row r="328" spans="1:44">
      <c r="A328" s="4"/>
      <c r="B328" s="4"/>
      <c r="C328" s="4"/>
      <c r="D328" s="4"/>
      <c r="E328" s="4"/>
      <c r="F328" s="4"/>
      <c r="G328" s="4"/>
      <c r="H328" s="4"/>
      <c r="I328" s="4"/>
      <c r="J328" s="4"/>
      <c r="K328" s="34"/>
      <c r="L328" s="34"/>
      <c r="M328" s="34"/>
      <c r="N328" s="34"/>
      <c r="O328" s="34"/>
      <c r="P328" s="34"/>
      <c r="Q328" s="34"/>
      <c r="R328" s="34"/>
      <c r="S328" s="34"/>
      <c r="T328" s="34"/>
      <c r="U328" s="34"/>
      <c r="V328" s="34"/>
      <c r="W328" s="34"/>
      <c r="X328" s="34"/>
      <c r="Y328" s="34"/>
      <c r="Z328" s="34"/>
      <c r="AA328" s="34"/>
      <c r="AB328" s="34"/>
      <c r="AC328" s="34"/>
      <c r="AD328" s="34"/>
      <c r="AE328" s="34"/>
      <c r="AF328" s="34"/>
      <c r="AG328" s="34"/>
      <c r="AH328" s="34"/>
      <c r="AI328" s="34"/>
      <c r="AJ328" s="34"/>
      <c r="AK328" s="34"/>
      <c r="AL328" s="34"/>
      <c r="AM328" s="34"/>
      <c r="AN328" s="34"/>
      <c r="AO328" s="34"/>
      <c r="AP328" s="34"/>
      <c r="AQ328" s="34"/>
      <c r="AR328" s="34"/>
    </row>
    <row r="329" spans="1:44">
      <c r="A329" s="4"/>
      <c r="B329" s="4"/>
      <c r="C329" s="4"/>
      <c r="D329" s="4"/>
      <c r="E329" s="4"/>
      <c r="F329" s="4"/>
      <c r="G329" s="4"/>
      <c r="H329" s="4"/>
      <c r="I329" s="4"/>
      <c r="J329" s="4"/>
      <c r="K329" s="34"/>
      <c r="L329" s="34"/>
      <c r="M329" s="34"/>
      <c r="N329" s="34"/>
      <c r="O329" s="34"/>
      <c r="P329" s="34"/>
      <c r="Q329" s="34"/>
      <c r="R329" s="34"/>
      <c r="S329" s="34"/>
      <c r="T329" s="34"/>
      <c r="U329" s="34"/>
      <c r="V329" s="34"/>
      <c r="W329" s="34"/>
      <c r="X329" s="34"/>
      <c r="Y329" s="34"/>
      <c r="Z329" s="34"/>
      <c r="AA329" s="34"/>
      <c r="AB329" s="34"/>
      <c r="AC329" s="34"/>
      <c r="AD329" s="34"/>
      <c r="AE329" s="34"/>
      <c r="AF329" s="34"/>
      <c r="AG329" s="34"/>
      <c r="AH329" s="34"/>
      <c r="AI329" s="34"/>
      <c r="AJ329" s="34"/>
      <c r="AK329" s="34"/>
      <c r="AL329" s="34"/>
      <c r="AM329" s="34"/>
      <c r="AN329" s="34"/>
      <c r="AO329" s="34"/>
      <c r="AP329" s="34"/>
      <c r="AQ329" s="34"/>
      <c r="AR329" s="34"/>
    </row>
    <row r="330" spans="1:44">
      <c r="A330" s="4"/>
      <c r="B330" s="4"/>
      <c r="C330" s="4"/>
      <c r="D330" s="4"/>
      <c r="E330" s="4"/>
      <c r="F330" s="4"/>
      <c r="G330" s="4"/>
      <c r="H330" s="4"/>
      <c r="I330" s="4"/>
      <c r="J330" s="4"/>
      <c r="K330" s="34"/>
      <c r="L330" s="34"/>
      <c r="M330" s="34"/>
      <c r="N330" s="34"/>
      <c r="O330" s="34"/>
      <c r="P330" s="34"/>
      <c r="Q330" s="34"/>
      <c r="R330" s="34"/>
      <c r="S330" s="34"/>
      <c r="T330" s="34"/>
      <c r="U330" s="34"/>
      <c r="V330" s="34"/>
      <c r="W330" s="34"/>
      <c r="X330" s="34"/>
      <c r="Y330" s="34"/>
      <c r="Z330" s="34"/>
      <c r="AA330" s="34"/>
      <c r="AB330" s="34"/>
      <c r="AC330" s="34"/>
      <c r="AD330" s="34"/>
      <c r="AE330" s="34"/>
      <c r="AF330" s="34"/>
      <c r="AG330" s="34"/>
      <c r="AH330" s="34"/>
      <c r="AI330" s="34"/>
      <c r="AJ330" s="34"/>
      <c r="AK330" s="34"/>
      <c r="AL330" s="34"/>
      <c r="AM330" s="34"/>
      <c r="AN330" s="34"/>
      <c r="AO330" s="34"/>
      <c r="AP330" s="34"/>
      <c r="AQ330" s="34"/>
      <c r="AR330" s="34"/>
    </row>
    <row r="331" spans="1:44">
      <c r="A331" s="4"/>
      <c r="B331" s="4"/>
      <c r="C331" s="4"/>
      <c r="D331" s="4"/>
      <c r="E331" s="4"/>
      <c r="F331" s="4"/>
      <c r="G331" s="4"/>
      <c r="H331" s="4"/>
      <c r="I331" s="4"/>
      <c r="J331" s="4"/>
      <c r="K331" s="34"/>
      <c r="L331" s="34"/>
      <c r="M331" s="34"/>
      <c r="N331" s="34"/>
      <c r="O331" s="34"/>
      <c r="P331" s="34"/>
      <c r="Q331" s="34"/>
      <c r="R331" s="34"/>
      <c r="S331" s="34"/>
      <c r="T331" s="34"/>
      <c r="U331" s="34"/>
      <c r="V331" s="34"/>
      <c r="W331" s="34"/>
      <c r="X331" s="34"/>
      <c r="Y331" s="34"/>
      <c r="Z331" s="34"/>
      <c r="AA331" s="34"/>
      <c r="AB331" s="34"/>
      <c r="AC331" s="34"/>
      <c r="AD331" s="34"/>
      <c r="AE331" s="34"/>
      <c r="AF331" s="34"/>
      <c r="AG331" s="34"/>
      <c r="AH331" s="34"/>
      <c r="AI331" s="34"/>
      <c r="AJ331" s="34"/>
      <c r="AK331" s="34"/>
      <c r="AL331" s="34"/>
      <c r="AM331" s="34"/>
      <c r="AN331" s="34"/>
      <c r="AO331" s="34"/>
      <c r="AP331" s="34"/>
      <c r="AQ331" s="34"/>
      <c r="AR331" s="34"/>
    </row>
    <row r="332" spans="1:44">
      <c r="A332" s="4"/>
      <c r="B332" s="4"/>
      <c r="C332" s="4"/>
      <c r="D332" s="4"/>
      <c r="E332" s="4"/>
      <c r="F332" s="4"/>
      <c r="G332" s="4"/>
      <c r="H332" s="4"/>
      <c r="I332" s="4"/>
      <c r="J332" s="4"/>
      <c r="K332" s="34"/>
      <c r="L332" s="34"/>
      <c r="M332" s="34"/>
      <c r="N332" s="34"/>
      <c r="O332" s="34"/>
      <c r="P332" s="34"/>
      <c r="Q332" s="34"/>
      <c r="R332" s="34"/>
      <c r="S332" s="34"/>
      <c r="T332" s="34"/>
      <c r="U332" s="34"/>
      <c r="V332" s="34"/>
      <c r="W332" s="34"/>
      <c r="X332" s="34"/>
      <c r="Y332" s="34"/>
      <c r="Z332" s="34"/>
      <c r="AA332" s="34"/>
      <c r="AB332" s="34"/>
      <c r="AC332" s="34"/>
      <c r="AD332" s="34"/>
      <c r="AE332" s="34"/>
      <c r="AF332" s="34"/>
      <c r="AG332" s="34"/>
      <c r="AH332" s="34"/>
      <c r="AI332" s="34"/>
      <c r="AJ332" s="34"/>
      <c r="AK332" s="34"/>
      <c r="AL332" s="34"/>
      <c r="AM332" s="34"/>
      <c r="AN332" s="34"/>
      <c r="AO332" s="34"/>
      <c r="AP332" s="34"/>
      <c r="AQ332" s="34"/>
      <c r="AR332" s="34"/>
    </row>
    <row r="333" spans="1:44">
      <c r="A333" s="4"/>
      <c r="B333" s="4"/>
      <c r="C333" s="4"/>
      <c r="D333" s="4"/>
      <c r="E333" s="4"/>
      <c r="F333" s="4"/>
      <c r="G333" s="4"/>
      <c r="H333" s="4"/>
      <c r="I333" s="4"/>
      <c r="J333" s="4"/>
      <c r="K333" s="34"/>
      <c r="L333" s="34"/>
      <c r="M333" s="34"/>
      <c r="N333" s="34"/>
      <c r="O333" s="34"/>
      <c r="P333" s="34"/>
      <c r="Q333" s="34"/>
      <c r="R333" s="34"/>
      <c r="S333" s="34"/>
      <c r="T333" s="34"/>
      <c r="U333" s="34"/>
      <c r="V333" s="34"/>
      <c r="W333" s="34"/>
      <c r="X333" s="34"/>
      <c r="Y333" s="34"/>
      <c r="Z333" s="34"/>
      <c r="AA333" s="34"/>
      <c r="AB333" s="34"/>
      <c r="AC333" s="34"/>
      <c r="AD333" s="34"/>
      <c r="AE333" s="34"/>
      <c r="AF333" s="34"/>
      <c r="AG333" s="34"/>
      <c r="AH333" s="34"/>
      <c r="AI333" s="34"/>
      <c r="AJ333" s="34"/>
      <c r="AK333" s="34"/>
      <c r="AL333" s="34"/>
      <c r="AM333" s="34"/>
      <c r="AN333" s="34"/>
      <c r="AO333" s="34"/>
      <c r="AP333" s="34"/>
      <c r="AQ333" s="34"/>
      <c r="AR333" s="34"/>
    </row>
    <row r="334" spans="1:44">
      <c r="A334" s="4"/>
      <c r="B334" s="4"/>
      <c r="C334" s="4"/>
      <c r="D334" s="4"/>
      <c r="E334" s="4"/>
      <c r="F334" s="4"/>
      <c r="G334" s="4"/>
      <c r="H334" s="4"/>
      <c r="I334" s="4"/>
      <c r="J334" s="4"/>
      <c r="K334" s="34"/>
      <c r="L334" s="34"/>
      <c r="M334" s="34"/>
      <c r="N334" s="34"/>
      <c r="O334" s="34"/>
      <c r="P334" s="34"/>
      <c r="Q334" s="34"/>
      <c r="R334" s="34"/>
      <c r="S334" s="34"/>
      <c r="T334" s="34"/>
      <c r="U334" s="34"/>
      <c r="V334" s="34"/>
      <c r="W334" s="34"/>
      <c r="X334" s="34"/>
      <c r="Y334" s="34"/>
      <c r="Z334" s="34"/>
      <c r="AA334" s="34"/>
      <c r="AB334" s="34"/>
      <c r="AC334" s="34"/>
      <c r="AD334" s="34"/>
      <c r="AE334" s="34"/>
      <c r="AF334" s="34"/>
      <c r="AG334" s="34"/>
      <c r="AH334" s="34"/>
      <c r="AI334" s="34"/>
      <c r="AJ334" s="34"/>
      <c r="AK334" s="34"/>
      <c r="AL334" s="34"/>
      <c r="AM334" s="34"/>
      <c r="AN334" s="34"/>
      <c r="AO334" s="34"/>
      <c r="AP334" s="34"/>
      <c r="AQ334" s="34"/>
      <c r="AR334" s="34"/>
    </row>
    <row r="335" spans="1:44">
      <c r="A335" s="4"/>
      <c r="B335" s="4"/>
      <c r="C335" s="4"/>
      <c r="D335" s="4"/>
      <c r="E335" s="4"/>
      <c r="F335" s="4"/>
      <c r="G335" s="4"/>
      <c r="H335" s="4"/>
      <c r="I335" s="4"/>
      <c r="J335" s="4"/>
      <c r="K335" s="34"/>
      <c r="L335" s="34"/>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c r="AL335" s="34"/>
      <c r="AM335" s="34"/>
      <c r="AN335" s="34"/>
      <c r="AO335" s="34"/>
      <c r="AP335" s="34"/>
      <c r="AQ335" s="34"/>
      <c r="AR335" s="34"/>
    </row>
    <row r="336" spans="1:44">
      <c r="A336" s="4"/>
      <c r="B336" s="4"/>
      <c r="C336" s="4"/>
      <c r="D336" s="4"/>
      <c r="E336" s="4"/>
      <c r="F336" s="4"/>
      <c r="G336" s="4"/>
      <c r="H336" s="4"/>
      <c r="I336" s="4"/>
      <c r="J336" s="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c r="AL336" s="34"/>
      <c r="AM336" s="34"/>
      <c r="AN336" s="34"/>
      <c r="AO336" s="34"/>
      <c r="AP336" s="34"/>
      <c r="AQ336" s="34"/>
      <c r="AR336" s="34"/>
    </row>
    <row r="337" spans="1:44">
      <c r="A337" s="4"/>
      <c r="B337" s="4"/>
      <c r="C337" s="4"/>
      <c r="D337" s="4"/>
      <c r="E337" s="4"/>
      <c r="F337" s="4"/>
      <c r="G337" s="4"/>
      <c r="H337" s="4"/>
      <c r="I337" s="4"/>
      <c r="J337" s="4"/>
      <c r="K337" s="34"/>
      <c r="L337" s="34"/>
      <c r="M337" s="34"/>
      <c r="N337" s="34"/>
      <c r="O337" s="34"/>
      <c r="P337" s="34"/>
      <c r="Q337" s="34"/>
      <c r="R337" s="34"/>
      <c r="S337" s="34"/>
      <c r="T337" s="34"/>
      <c r="U337" s="34"/>
      <c r="V337" s="34"/>
      <c r="W337" s="34"/>
      <c r="X337" s="34"/>
      <c r="Y337" s="34"/>
      <c r="Z337" s="34"/>
      <c r="AA337" s="34"/>
      <c r="AB337" s="34"/>
      <c r="AC337" s="34"/>
      <c r="AD337" s="34"/>
      <c r="AE337" s="34"/>
      <c r="AF337" s="34"/>
      <c r="AG337" s="34"/>
      <c r="AH337" s="34"/>
      <c r="AI337" s="34"/>
      <c r="AJ337" s="34"/>
      <c r="AK337" s="34"/>
      <c r="AL337" s="34"/>
      <c r="AM337" s="34"/>
      <c r="AN337" s="34"/>
      <c r="AO337" s="34"/>
      <c r="AP337" s="34"/>
      <c r="AQ337" s="34"/>
      <c r="AR337" s="34"/>
    </row>
    <row r="338" spans="1:44">
      <c r="A338" s="4"/>
      <c r="B338" s="4"/>
      <c r="C338" s="4"/>
      <c r="D338" s="4"/>
      <c r="E338" s="4"/>
      <c r="F338" s="4"/>
      <c r="G338" s="4"/>
      <c r="H338" s="4"/>
      <c r="I338" s="4"/>
      <c r="J338" s="4"/>
      <c r="K338" s="34"/>
      <c r="L338" s="34"/>
      <c r="M338" s="34"/>
      <c r="N338" s="34"/>
      <c r="O338" s="34"/>
      <c r="P338" s="34"/>
      <c r="Q338" s="34"/>
      <c r="R338" s="34"/>
      <c r="S338" s="34"/>
      <c r="T338" s="34"/>
      <c r="U338" s="34"/>
      <c r="V338" s="34"/>
      <c r="W338" s="34"/>
      <c r="X338" s="34"/>
      <c r="Y338" s="34"/>
      <c r="Z338" s="34"/>
      <c r="AA338" s="34"/>
      <c r="AB338" s="34"/>
      <c r="AC338" s="34"/>
      <c r="AD338" s="34"/>
      <c r="AE338" s="34"/>
      <c r="AF338" s="34"/>
      <c r="AG338" s="34"/>
      <c r="AH338" s="34"/>
      <c r="AI338" s="34"/>
      <c r="AJ338" s="34"/>
      <c r="AK338" s="34"/>
      <c r="AL338" s="34"/>
      <c r="AM338" s="34"/>
      <c r="AN338" s="34"/>
      <c r="AO338" s="34"/>
      <c r="AP338" s="34"/>
      <c r="AQ338" s="34"/>
      <c r="AR338" s="34"/>
    </row>
    <row r="339" spans="1:44">
      <c r="A339" s="4"/>
      <c r="B339" s="4"/>
      <c r="C339" s="4"/>
      <c r="D339" s="4"/>
      <c r="E339" s="4"/>
      <c r="F339" s="4"/>
      <c r="G339" s="4"/>
      <c r="H339" s="4"/>
      <c r="I339" s="4"/>
      <c r="J339" s="4"/>
      <c r="K339" s="34"/>
      <c r="L339" s="34"/>
      <c r="M339" s="34"/>
      <c r="N339" s="34"/>
      <c r="O339" s="34"/>
      <c r="P339" s="34"/>
      <c r="Q339" s="34"/>
      <c r="R339" s="34"/>
      <c r="S339" s="34"/>
      <c r="T339" s="34"/>
      <c r="U339" s="34"/>
      <c r="V339" s="34"/>
      <c r="W339" s="34"/>
      <c r="X339" s="34"/>
      <c r="Y339" s="34"/>
      <c r="Z339" s="34"/>
      <c r="AA339" s="34"/>
      <c r="AB339" s="34"/>
      <c r="AC339" s="34"/>
      <c r="AD339" s="34"/>
      <c r="AE339" s="34"/>
      <c r="AF339" s="34"/>
      <c r="AG339" s="34"/>
      <c r="AH339" s="34"/>
      <c r="AI339" s="34"/>
      <c r="AJ339" s="34"/>
      <c r="AK339" s="34"/>
      <c r="AL339" s="34"/>
      <c r="AM339" s="34"/>
      <c r="AN339" s="34"/>
      <c r="AO339" s="34"/>
      <c r="AP339" s="34"/>
      <c r="AQ339" s="34"/>
      <c r="AR339" s="34"/>
    </row>
    <row r="340" spans="1:44">
      <c r="A340" s="4"/>
      <c r="B340" s="4"/>
      <c r="C340" s="4"/>
      <c r="D340" s="4"/>
      <c r="E340" s="4"/>
      <c r="F340" s="4"/>
      <c r="G340" s="4"/>
      <c r="H340" s="4"/>
      <c r="I340" s="4"/>
      <c r="J340" s="4"/>
      <c r="K340" s="34"/>
      <c r="L340" s="34"/>
      <c r="M340" s="34"/>
      <c r="N340" s="34"/>
      <c r="O340" s="34"/>
      <c r="P340" s="34"/>
      <c r="Q340" s="34"/>
      <c r="R340" s="34"/>
      <c r="S340" s="34"/>
      <c r="T340" s="34"/>
      <c r="U340" s="34"/>
      <c r="V340" s="34"/>
      <c r="W340" s="34"/>
      <c r="X340" s="34"/>
      <c r="Y340" s="34"/>
      <c r="Z340" s="34"/>
      <c r="AA340" s="34"/>
      <c r="AB340" s="34"/>
      <c r="AC340" s="34"/>
      <c r="AD340" s="34"/>
      <c r="AE340" s="34"/>
      <c r="AF340" s="34"/>
      <c r="AG340" s="34"/>
      <c r="AH340" s="34"/>
      <c r="AI340" s="34"/>
      <c r="AJ340" s="34"/>
      <c r="AK340" s="34"/>
      <c r="AL340" s="34"/>
      <c r="AM340" s="34"/>
      <c r="AN340" s="34"/>
      <c r="AO340" s="34"/>
      <c r="AP340" s="34"/>
      <c r="AQ340" s="34"/>
      <c r="AR340" s="34"/>
    </row>
    <row r="341" spans="1:44">
      <c r="A341" s="4"/>
      <c r="B341" s="4"/>
      <c r="C341" s="4"/>
      <c r="D341" s="4"/>
      <c r="E341" s="4"/>
      <c r="F341" s="4"/>
      <c r="G341" s="4"/>
      <c r="H341" s="4"/>
      <c r="I341" s="4"/>
      <c r="J341" s="4"/>
      <c r="K341" s="34"/>
      <c r="L341" s="34"/>
      <c r="M341" s="34"/>
      <c r="N341" s="34"/>
      <c r="O341" s="34"/>
      <c r="P341" s="34"/>
      <c r="Q341" s="34"/>
      <c r="R341" s="34"/>
      <c r="S341" s="34"/>
      <c r="T341" s="34"/>
      <c r="U341" s="34"/>
      <c r="V341" s="34"/>
      <c r="W341" s="34"/>
      <c r="X341" s="34"/>
      <c r="Y341" s="34"/>
      <c r="Z341" s="34"/>
      <c r="AA341" s="34"/>
      <c r="AB341" s="34"/>
      <c r="AC341" s="34"/>
      <c r="AD341" s="34"/>
      <c r="AE341" s="34"/>
      <c r="AF341" s="34"/>
      <c r="AG341" s="34"/>
      <c r="AH341" s="34"/>
      <c r="AI341" s="34"/>
      <c r="AJ341" s="34"/>
      <c r="AK341" s="34"/>
      <c r="AL341" s="34"/>
      <c r="AM341" s="34"/>
      <c r="AN341" s="34"/>
      <c r="AO341" s="34"/>
      <c r="AP341" s="34"/>
      <c r="AQ341" s="34"/>
      <c r="AR341" s="34"/>
    </row>
    <row r="342" spans="1:44">
      <c r="A342" s="4"/>
      <c r="B342" s="4"/>
      <c r="C342" s="4"/>
      <c r="D342" s="4"/>
      <c r="E342" s="4"/>
      <c r="F342" s="4"/>
      <c r="G342" s="4"/>
      <c r="H342" s="4"/>
      <c r="I342" s="4"/>
      <c r="J342" s="4"/>
      <c r="K342" s="34"/>
      <c r="L342" s="34"/>
      <c r="M342" s="34"/>
      <c r="N342" s="34"/>
      <c r="O342" s="34"/>
      <c r="P342" s="34"/>
      <c r="Q342" s="34"/>
      <c r="R342" s="34"/>
      <c r="S342" s="34"/>
      <c r="T342" s="34"/>
      <c r="U342" s="34"/>
      <c r="V342" s="34"/>
      <c r="W342" s="34"/>
      <c r="X342" s="34"/>
      <c r="Y342" s="34"/>
      <c r="Z342" s="34"/>
      <c r="AA342" s="34"/>
      <c r="AB342" s="34"/>
      <c r="AC342" s="34"/>
      <c r="AD342" s="34"/>
      <c r="AE342" s="34"/>
      <c r="AF342" s="34"/>
      <c r="AG342" s="34"/>
      <c r="AH342" s="34"/>
      <c r="AI342" s="34"/>
      <c r="AJ342" s="34"/>
      <c r="AK342" s="34"/>
      <c r="AL342" s="34"/>
      <c r="AM342" s="34"/>
      <c r="AN342" s="34"/>
      <c r="AO342" s="34"/>
      <c r="AP342" s="34"/>
      <c r="AQ342" s="34"/>
      <c r="AR342" s="34"/>
    </row>
    <row r="343" spans="1:44">
      <c r="A343" s="4"/>
      <c r="B343" s="4"/>
      <c r="C343" s="4"/>
      <c r="D343" s="4"/>
      <c r="E343" s="4"/>
      <c r="F343" s="4"/>
      <c r="G343" s="4"/>
      <c r="H343" s="4"/>
      <c r="I343" s="4"/>
      <c r="J343" s="4"/>
      <c r="K343" s="34"/>
      <c r="L343" s="34"/>
      <c r="M343" s="34"/>
      <c r="N343" s="34"/>
      <c r="O343" s="34"/>
      <c r="P343" s="34"/>
      <c r="Q343" s="34"/>
      <c r="R343" s="34"/>
      <c r="S343" s="34"/>
      <c r="T343" s="34"/>
      <c r="U343" s="34"/>
      <c r="V343" s="34"/>
      <c r="W343" s="34"/>
      <c r="X343" s="34"/>
      <c r="Y343" s="34"/>
      <c r="Z343" s="34"/>
      <c r="AA343" s="34"/>
      <c r="AB343" s="34"/>
      <c r="AC343" s="34"/>
      <c r="AD343" s="34"/>
      <c r="AE343" s="34"/>
      <c r="AF343" s="34"/>
      <c r="AG343" s="34"/>
      <c r="AH343" s="34"/>
      <c r="AI343" s="34"/>
      <c r="AJ343" s="34"/>
      <c r="AK343" s="34"/>
      <c r="AL343" s="34"/>
      <c r="AM343" s="34"/>
      <c r="AN343" s="34"/>
      <c r="AO343" s="34"/>
      <c r="AP343" s="34"/>
      <c r="AQ343" s="34"/>
      <c r="AR343" s="34"/>
    </row>
    <row r="344" spans="1:44">
      <c r="A344" s="4"/>
      <c r="B344" s="4"/>
      <c r="C344" s="4"/>
      <c r="D344" s="4"/>
      <c r="E344" s="4"/>
      <c r="F344" s="4"/>
      <c r="G344" s="4"/>
      <c r="H344" s="4"/>
      <c r="I344" s="4"/>
      <c r="J344" s="4"/>
      <c r="K344" s="34"/>
      <c r="L344" s="34"/>
      <c r="M344" s="34"/>
      <c r="N344" s="34"/>
      <c r="O344" s="34"/>
      <c r="P344" s="34"/>
      <c r="Q344" s="34"/>
      <c r="R344" s="34"/>
      <c r="S344" s="34"/>
      <c r="T344" s="34"/>
      <c r="U344" s="34"/>
      <c r="V344" s="34"/>
      <c r="W344" s="34"/>
      <c r="X344" s="34"/>
      <c r="Y344" s="34"/>
      <c r="Z344" s="34"/>
      <c r="AA344" s="34"/>
      <c r="AB344" s="34"/>
      <c r="AC344" s="34"/>
      <c r="AD344" s="34"/>
      <c r="AE344" s="34"/>
      <c r="AF344" s="34"/>
      <c r="AG344" s="34"/>
      <c r="AH344" s="34"/>
      <c r="AI344" s="34"/>
      <c r="AJ344" s="34"/>
      <c r="AK344" s="34"/>
      <c r="AL344" s="34"/>
      <c r="AM344" s="34"/>
      <c r="AN344" s="34"/>
      <c r="AO344" s="34"/>
      <c r="AP344" s="34"/>
      <c r="AQ344" s="34"/>
      <c r="AR344" s="34"/>
    </row>
    <row r="345" spans="1:44">
      <c r="A345" s="4"/>
      <c r="B345" s="4"/>
      <c r="C345" s="4"/>
      <c r="D345" s="4"/>
      <c r="E345" s="4"/>
      <c r="F345" s="4"/>
      <c r="G345" s="4"/>
      <c r="H345" s="4"/>
      <c r="I345" s="4"/>
      <c r="J345" s="4"/>
      <c r="K345" s="34"/>
      <c r="L345" s="34"/>
      <c r="M345" s="34"/>
      <c r="N345" s="34"/>
      <c r="O345" s="34"/>
      <c r="P345" s="34"/>
      <c r="Q345" s="34"/>
      <c r="R345" s="34"/>
      <c r="S345" s="34"/>
      <c r="T345" s="34"/>
      <c r="U345" s="34"/>
      <c r="V345" s="34"/>
      <c r="W345" s="34"/>
      <c r="X345" s="34"/>
      <c r="Y345" s="34"/>
      <c r="Z345" s="34"/>
      <c r="AA345" s="34"/>
      <c r="AB345" s="34"/>
      <c r="AC345" s="34"/>
      <c r="AD345" s="34"/>
      <c r="AE345" s="34"/>
      <c r="AF345" s="34"/>
      <c r="AG345" s="34"/>
      <c r="AH345" s="34"/>
      <c r="AI345" s="34"/>
      <c r="AJ345" s="34"/>
      <c r="AK345" s="34"/>
      <c r="AL345" s="34"/>
      <c r="AM345" s="34"/>
      <c r="AN345" s="34"/>
      <c r="AO345" s="34"/>
      <c r="AP345" s="34"/>
      <c r="AQ345" s="34"/>
      <c r="AR345" s="34"/>
    </row>
    <row r="346" spans="1:44">
      <c r="A346" s="4"/>
      <c r="B346" s="4"/>
      <c r="C346" s="4"/>
      <c r="D346" s="4"/>
      <c r="E346" s="4"/>
      <c r="F346" s="4"/>
      <c r="G346" s="4"/>
      <c r="H346" s="4"/>
      <c r="I346" s="4"/>
      <c r="J346" s="4"/>
      <c r="K346" s="34"/>
      <c r="L346" s="34"/>
      <c r="M346" s="34"/>
      <c r="N346" s="34"/>
      <c r="O346" s="34"/>
      <c r="P346" s="34"/>
      <c r="Q346" s="34"/>
      <c r="R346" s="34"/>
      <c r="S346" s="34"/>
      <c r="T346" s="34"/>
      <c r="U346" s="34"/>
      <c r="V346" s="34"/>
      <c r="W346" s="34"/>
      <c r="X346" s="34"/>
      <c r="Y346" s="34"/>
      <c r="Z346" s="34"/>
      <c r="AA346" s="34"/>
      <c r="AB346" s="34"/>
      <c r="AC346" s="34"/>
      <c r="AD346" s="34"/>
      <c r="AE346" s="34"/>
      <c r="AF346" s="34"/>
      <c r="AG346" s="34"/>
      <c r="AH346" s="34"/>
      <c r="AI346" s="34"/>
      <c r="AJ346" s="34"/>
      <c r="AK346" s="34"/>
      <c r="AL346" s="34"/>
      <c r="AM346" s="34"/>
      <c r="AN346" s="34"/>
      <c r="AO346" s="34"/>
      <c r="AP346" s="34"/>
      <c r="AQ346" s="34"/>
      <c r="AR346" s="34"/>
    </row>
    <row r="347" spans="1:44">
      <c r="A347" s="4"/>
      <c r="B347" s="4"/>
      <c r="C347" s="4"/>
      <c r="D347" s="4"/>
      <c r="E347" s="4"/>
      <c r="F347" s="4"/>
      <c r="G347" s="4"/>
      <c r="H347" s="4"/>
      <c r="I347" s="4"/>
      <c r="J347" s="4"/>
      <c r="K347" s="34"/>
      <c r="L347" s="34"/>
      <c r="M347" s="34"/>
      <c r="N347" s="34"/>
      <c r="O347" s="34"/>
      <c r="P347" s="34"/>
      <c r="Q347" s="34"/>
      <c r="R347" s="34"/>
      <c r="S347" s="34"/>
      <c r="T347" s="34"/>
      <c r="U347" s="34"/>
      <c r="V347" s="34"/>
      <c r="W347" s="34"/>
      <c r="X347" s="34"/>
      <c r="Y347" s="34"/>
      <c r="Z347" s="34"/>
      <c r="AA347" s="34"/>
      <c r="AB347" s="34"/>
      <c r="AC347" s="34"/>
      <c r="AD347" s="34"/>
      <c r="AE347" s="34"/>
      <c r="AF347" s="34"/>
      <c r="AG347" s="34"/>
      <c r="AH347" s="34"/>
      <c r="AI347" s="34"/>
      <c r="AJ347" s="34"/>
      <c r="AK347" s="34"/>
      <c r="AL347" s="34"/>
      <c r="AM347" s="34"/>
      <c r="AN347" s="34"/>
      <c r="AO347" s="34"/>
      <c r="AP347" s="34"/>
      <c r="AQ347" s="34"/>
      <c r="AR347" s="34"/>
    </row>
    <row r="348" spans="1:44">
      <c r="A348" s="4"/>
      <c r="B348" s="4"/>
      <c r="C348" s="4"/>
      <c r="D348" s="4"/>
      <c r="E348" s="4"/>
      <c r="F348" s="4"/>
      <c r="G348" s="4"/>
      <c r="H348" s="4"/>
      <c r="I348" s="4"/>
      <c r="J348" s="4"/>
      <c r="K348" s="34"/>
      <c r="L348" s="34"/>
      <c r="M348" s="34"/>
      <c r="N348" s="34"/>
      <c r="O348" s="34"/>
      <c r="P348" s="34"/>
      <c r="Q348" s="34"/>
      <c r="R348" s="34"/>
      <c r="S348" s="34"/>
      <c r="T348" s="34"/>
      <c r="U348" s="34"/>
      <c r="V348" s="34"/>
      <c r="W348" s="34"/>
      <c r="X348" s="34"/>
      <c r="Y348" s="34"/>
      <c r="Z348" s="34"/>
      <c r="AA348" s="34"/>
      <c r="AB348" s="34"/>
      <c r="AC348" s="34"/>
      <c r="AD348" s="34"/>
      <c r="AE348" s="34"/>
      <c r="AF348" s="34"/>
      <c r="AG348" s="34"/>
      <c r="AH348" s="34"/>
      <c r="AI348" s="34"/>
      <c r="AJ348" s="34"/>
      <c r="AK348" s="34"/>
      <c r="AL348" s="34"/>
      <c r="AM348" s="34"/>
      <c r="AN348" s="34"/>
      <c r="AO348" s="34"/>
      <c r="AP348" s="34"/>
      <c r="AQ348" s="34"/>
      <c r="AR348" s="34"/>
    </row>
    <row r="349" spans="1:44">
      <c r="A349" s="4"/>
      <c r="B349" s="4"/>
      <c r="C349" s="4"/>
      <c r="D349" s="4"/>
      <c r="E349" s="4"/>
      <c r="F349" s="4"/>
      <c r="G349" s="4"/>
      <c r="H349" s="4"/>
      <c r="I349" s="4"/>
      <c r="J349" s="4"/>
      <c r="K349" s="34"/>
      <c r="L349" s="34"/>
      <c r="M349" s="34"/>
      <c r="N349" s="34"/>
      <c r="O349" s="34"/>
      <c r="P349" s="34"/>
      <c r="Q349" s="34"/>
      <c r="R349" s="34"/>
      <c r="S349" s="34"/>
      <c r="T349" s="34"/>
      <c r="U349" s="34"/>
      <c r="V349" s="34"/>
      <c r="W349" s="34"/>
      <c r="X349" s="34"/>
      <c r="Y349" s="34"/>
      <c r="Z349" s="34"/>
      <c r="AA349" s="34"/>
      <c r="AB349" s="34"/>
      <c r="AC349" s="34"/>
      <c r="AD349" s="34"/>
      <c r="AE349" s="34"/>
      <c r="AF349" s="34"/>
      <c r="AG349" s="34"/>
      <c r="AH349" s="34"/>
      <c r="AI349" s="34"/>
      <c r="AJ349" s="34"/>
      <c r="AK349" s="34"/>
      <c r="AL349" s="34"/>
      <c r="AM349" s="34"/>
      <c r="AN349" s="34"/>
      <c r="AO349" s="34"/>
      <c r="AP349" s="34"/>
      <c r="AQ349" s="34"/>
      <c r="AR349" s="34"/>
    </row>
    <row r="350" spans="1:44">
      <c r="A350" s="4"/>
      <c r="B350" s="4"/>
      <c r="C350" s="4"/>
      <c r="D350" s="4"/>
      <c r="E350" s="4"/>
      <c r="F350" s="4"/>
      <c r="G350" s="4"/>
      <c r="H350" s="4"/>
      <c r="I350" s="4"/>
      <c r="J350" s="4"/>
      <c r="K350" s="34"/>
      <c r="L350" s="34"/>
      <c r="M350" s="34"/>
      <c r="N350" s="34"/>
      <c r="O350" s="34"/>
      <c r="P350" s="34"/>
      <c r="Q350" s="34"/>
      <c r="R350" s="34"/>
      <c r="S350" s="34"/>
      <c r="T350" s="34"/>
      <c r="U350" s="34"/>
      <c r="V350" s="34"/>
      <c r="W350" s="34"/>
      <c r="X350" s="34"/>
      <c r="Y350" s="34"/>
      <c r="Z350" s="34"/>
      <c r="AA350" s="34"/>
      <c r="AB350" s="34"/>
      <c r="AC350" s="34"/>
      <c r="AD350" s="34"/>
      <c r="AE350" s="34"/>
      <c r="AF350" s="34"/>
      <c r="AG350" s="34"/>
      <c r="AH350" s="34"/>
      <c r="AI350" s="34"/>
      <c r="AJ350" s="34"/>
      <c r="AK350" s="34"/>
      <c r="AL350" s="34"/>
      <c r="AM350" s="34"/>
      <c r="AN350" s="34"/>
      <c r="AO350" s="34"/>
      <c r="AP350" s="34"/>
      <c r="AQ350" s="34"/>
      <c r="AR350" s="34"/>
    </row>
    <row r="351" spans="1:44">
      <c r="A351" s="4"/>
      <c r="B351" s="4"/>
      <c r="C351" s="4"/>
      <c r="D351" s="4"/>
      <c r="E351" s="4"/>
      <c r="F351" s="4"/>
      <c r="G351" s="4"/>
      <c r="H351" s="4"/>
      <c r="I351" s="4"/>
      <c r="J351" s="4"/>
      <c r="K351" s="34"/>
      <c r="L351" s="34"/>
      <c r="M351" s="34"/>
      <c r="N351" s="34"/>
      <c r="O351" s="34"/>
      <c r="P351" s="34"/>
      <c r="Q351" s="34"/>
      <c r="R351" s="34"/>
      <c r="S351" s="34"/>
      <c r="T351" s="34"/>
      <c r="U351" s="34"/>
      <c r="V351" s="34"/>
      <c r="W351" s="34"/>
      <c r="X351" s="34"/>
      <c r="Y351" s="34"/>
      <c r="Z351" s="34"/>
      <c r="AA351" s="34"/>
      <c r="AB351" s="34"/>
      <c r="AC351" s="34"/>
      <c r="AD351" s="34"/>
      <c r="AE351" s="34"/>
      <c r="AF351" s="34"/>
      <c r="AG351" s="34"/>
      <c r="AH351" s="34"/>
      <c r="AI351" s="34"/>
      <c r="AJ351" s="34"/>
      <c r="AK351" s="34"/>
      <c r="AL351" s="34"/>
      <c r="AM351" s="34"/>
      <c r="AN351" s="34"/>
      <c r="AO351" s="34"/>
      <c r="AP351" s="34"/>
      <c r="AQ351" s="34"/>
      <c r="AR351" s="34"/>
    </row>
    <row r="352" spans="1:44">
      <c r="A352" s="4"/>
      <c r="B352" s="4"/>
      <c r="C352" s="4"/>
      <c r="D352" s="4"/>
      <c r="E352" s="4"/>
      <c r="F352" s="4"/>
      <c r="G352" s="4"/>
      <c r="H352" s="4"/>
      <c r="I352" s="4"/>
      <c r="J352" s="4"/>
      <c r="K352" s="34"/>
      <c r="L352" s="34"/>
      <c r="M352" s="34"/>
      <c r="N352" s="34"/>
      <c r="O352" s="34"/>
      <c r="P352" s="34"/>
      <c r="Q352" s="34"/>
      <c r="R352" s="34"/>
      <c r="S352" s="34"/>
      <c r="T352" s="34"/>
      <c r="U352" s="34"/>
      <c r="V352" s="34"/>
      <c r="W352" s="34"/>
      <c r="X352" s="34"/>
      <c r="Y352" s="34"/>
      <c r="Z352" s="34"/>
      <c r="AA352" s="34"/>
      <c r="AB352" s="34"/>
      <c r="AC352" s="34"/>
      <c r="AD352" s="34"/>
      <c r="AE352" s="34"/>
      <c r="AF352" s="34"/>
      <c r="AG352" s="34"/>
      <c r="AH352" s="34"/>
      <c r="AI352" s="34"/>
      <c r="AJ352" s="34"/>
      <c r="AK352" s="34"/>
      <c r="AL352" s="34"/>
      <c r="AM352" s="34"/>
      <c r="AN352" s="34"/>
      <c r="AO352" s="34"/>
      <c r="AP352" s="34"/>
      <c r="AQ352" s="34"/>
      <c r="AR352" s="34"/>
    </row>
    <row r="353" spans="1:44">
      <c r="A353" s="4"/>
      <c r="B353" s="4"/>
      <c r="C353" s="4"/>
      <c r="D353" s="4"/>
      <c r="E353" s="4"/>
      <c r="F353" s="4"/>
      <c r="G353" s="4"/>
      <c r="H353" s="4"/>
      <c r="I353" s="4"/>
      <c r="J353" s="4"/>
      <c r="K353" s="34"/>
      <c r="L353" s="34"/>
      <c r="M353" s="34"/>
      <c r="N353" s="34"/>
      <c r="O353" s="34"/>
      <c r="P353" s="34"/>
      <c r="Q353" s="34"/>
      <c r="R353" s="34"/>
      <c r="S353" s="34"/>
      <c r="T353" s="34"/>
      <c r="U353" s="34"/>
      <c r="V353" s="34"/>
      <c r="W353" s="34"/>
      <c r="X353" s="34"/>
      <c r="Y353" s="34"/>
      <c r="Z353" s="34"/>
      <c r="AA353" s="34"/>
      <c r="AB353" s="34"/>
      <c r="AC353" s="34"/>
      <c r="AD353" s="34"/>
      <c r="AE353" s="34"/>
      <c r="AF353" s="34"/>
      <c r="AG353" s="34"/>
      <c r="AH353" s="34"/>
      <c r="AI353" s="34"/>
      <c r="AJ353" s="34"/>
      <c r="AK353" s="34"/>
      <c r="AL353" s="34"/>
      <c r="AM353" s="34"/>
      <c r="AN353" s="34"/>
      <c r="AO353" s="34"/>
      <c r="AP353" s="34"/>
      <c r="AQ353" s="34"/>
      <c r="AR353" s="34"/>
    </row>
    <row r="354" spans="1:44">
      <c r="A354" s="4"/>
      <c r="B354" s="4"/>
      <c r="C354" s="4"/>
      <c r="D354" s="4"/>
      <c r="E354" s="4"/>
      <c r="F354" s="4"/>
      <c r="G354" s="4"/>
      <c r="H354" s="4"/>
      <c r="I354" s="4"/>
      <c r="J354" s="4"/>
      <c r="K354" s="34"/>
      <c r="L354" s="34"/>
      <c r="M354" s="34"/>
      <c r="N354" s="34"/>
      <c r="O354" s="34"/>
      <c r="P354" s="34"/>
      <c r="Q354" s="34"/>
      <c r="R354" s="34"/>
      <c r="S354" s="34"/>
      <c r="T354" s="34"/>
      <c r="U354" s="34"/>
      <c r="V354" s="34"/>
      <c r="W354" s="34"/>
      <c r="X354" s="34"/>
      <c r="Y354" s="34"/>
      <c r="Z354" s="34"/>
      <c r="AA354" s="34"/>
      <c r="AB354" s="34"/>
      <c r="AC354" s="34"/>
      <c r="AD354" s="34"/>
      <c r="AE354" s="34"/>
      <c r="AF354" s="34"/>
      <c r="AG354" s="34"/>
      <c r="AH354" s="34"/>
      <c r="AI354" s="34"/>
      <c r="AJ354" s="34"/>
      <c r="AK354" s="34"/>
      <c r="AL354" s="34"/>
      <c r="AM354" s="34"/>
      <c r="AN354" s="34"/>
      <c r="AO354" s="34"/>
      <c r="AP354" s="34"/>
      <c r="AQ354" s="34"/>
      <c r="AR354" s="34"/>
    </row>
    <row r="355" spans="1:44">
      <c r="A355" s="4"/>
      <c r="B355" s="4"/>
      <c r="C355" s="4"/>
      <c r="D355" s="4"/>
      <c r="E355" s="4"/>
      <c r="F355" s="4"/>
      <c r="G355" s="4"/>
      <c r="H355" s="4"/>
      <c r="I355" s="4"/>
      <c r="J355" s="4"/>
      <c r="K355" s="34"/>
      <c r="L355" s="34"/>
      <c r="M355" s="34"/>
      <c r="N355" s="34"/>
      <c r="O355" s="34"/>
      <c r="P355" s="34"/>
      <c r="Q355" s="34"/>
      <c r="R355" s="34"/>
      <c r="S355" s="34"/>
      <c r="T355" s="34"/>
      <c r="U355" s="34"/>
      <c r="V355" s="34"/>
      <c r="W355" s="34"/>
      <c r="X355" s="34"/>
      <c r="Y355" s="34"/>
      <c r="Z355" s="34"/>
      <c r="AA355" s="34"/>
      <c r="AB355" s="34"/>
      <c r="AC355" s="34"/>
      <c r="AD355" s="34"/>
      <c r="AE355" s="34"/>
      <c r="AF355" s="34"/>
      <c r="AG355" s="34"/>
      <c r="AH355" s="34"/>
      <c r="AI355" s="34"/>
      <c r="AJ355" s="34"/>
      <c r="AK355" s="34"/>
      <c r="AL355" s="34"/>
      <c r="AM355" s="34"/>
      <c r="AN355" s="34"/>
      <c r="AO355" s="34"/>
      <c r="AP355" s="34"/>
      <c r="AQ355" s="34"/>
      <c r="AR355" s="34"/>
    </row>
    <row r="356" spans="1:44">
      <c r="A356" s="4"/>
      <c r="B356" s="4"/>
      <c r="C356" s="4"/>
      <c r="D356" s="4"/>
      <c r="E356" s="4"/>
      <c r="F356" s="4"/>
      <c r="G356" s="4"/>
      <c r="H356" s="4"/>
      <c r="I356" s="4"/>
      <c r="J356" s="4"/>
      <c r="K356" s="34"/>
      <c r="L356" s="34"/>
      <c r="M356" s="34"/>
      <c r="N356" s="34"/>
      <c r="O356" s="34"/>
      <c r="P356" s="34"/>
      <c r="Q356" s="34"/>
      <c r="R356" s="34"/>
      <c r="S356" s="34"/>
      <c r="T356" s="34"/>
      <c r="U356" s="34"/>
      <c r="V356" s="34"/>
      <c r="W356" s="34"/>
      <c r="X356" s="34"/>
      <c r="Y356" s="34"/>
      <c r="Z356" s="34"/>
      <c r="AA356" s="34"/>
      <c r="AB356" s="34"/>
      <c r="AC356" s="34"/>
      <c r="AD356" s="34"/>
      <c r="AE356" s="34"/>
      <c r="AF356" s="34"/>
      <c r="AG356" s="34"/>
      <c r="AH356" s="34"/>
      <c r="AI356" s="34"/>
      <c r="AJ356" s="34"/>
      <c r="AK356" s="34"/>
      <c r="AL356" s="34"/>
      <c r="AM356" s="34"/>
      <c r="AN356" s="34"/>
      <c r="AO356" s="34"/>
      <c r="AP356" s="34"/>
      <c r="AQ356" s="34"/>
      <c r="AR356" s="34"/>
    </row>
    <row r="357" spans="1:44">
      <c r="A357" s="4"/>
      <c r="B357" s="4"/>
      <c r="C357" s="4"/>
      <c r="D357" s="4"/>
      <c r="E357" s="4"/>
      <c r="F357" s="4"/>
      <c r="G357" s="4"/>
      <c r="H357" s="4"/>
      <c r="I357" s="4"/>
      <c r="J357" s="4"/>
      <c r="K357" s="34"/>
      <c r="L357" s="34"/>
      <c r="M357" s="34"/>
      <c r="N357" s="34"/>
      <c r="O357" s="34"/>
      <c r="P357" s="34"/>
      <c r="Q357" s="34"/>
      <c r="R357" s="34"/>
      <c r="S357" s="34"/>
      <c r="T357" s="34"/>
      <c r="U357" s="34"/>
      <c r="V357" s="34"/>
      <c r="W357" s="34"/>
      <c r="X357" s="34"/>
      <c r="Y357" s="34"/>
      <c r="Z357" s="34"/>
      <c r="AA357" s="34"/>
      <c r="AB357" s="34"/>
      <c r="AC357" s="34"/>
      <c r="AD357" s="34"/>
      <c r="AE357" s="34"/>
      <c r="AF357" s="34"/>
      <c r="AG357" s="34"/>
      <c r="AH357" s="34"/>
      <c r="AI357" s="34"/>
      <c r="AJ357" s="34"/>
      <c r="AK357" s="34"/>
      <c r="AL357" s="34"/>
      <c r="AM357" s="34"/>
      <c r="AN357" s="34"/>
      <c r="AO357" s="34"/>
      <c r="AP357" s="34"/>
      <c r="AQ357" s="34"/>
      <c r="AR357" s="34"/>
    </row>
    <row r="358" spans="1:44">
      <c r="A358" s="4"/>
      <c r="B358" s="4"/>
      <c r="C358" s="4"/>
      <c r="D358" s="4"/>
      <c r="E358" s="4"/>
      <c r="F358" s="4"/>
      <c r="G358" s="4"/>
      <c r="H358" s="4"/>
      <c r="I358" s="4"/>
      <c r="J358" s="4"/>
      <c r="K358" s="34"/>
      <c r="L358" s="34"/>
      <c r="M358" s="34"/>
      <c r="N358" s="34"/>
      <c r="O358" s="34"/>
      <c r="P358" s="34"/>
      <c r="Q358" s="34"/>
      <c r="R358" s="34"/>
      <c r="S358" s="34"/>
      <c r="T358" s="34"/>
      <c r="U358" s="34"/>
      <c r="V358" s="34"/>
      <c r="W358" s="34"/>
      <c r="X358" s="34"/>
      <c r="Y358" s="34"/>
      <c r="Z358" s="34"/>
      <c r="AA358" s="34"/>
      <c r="AB358" s="34"/>
      <c r="AC358" s="34"/>
      <c r="AD358" s="34"/>
      <c r="AE358" s="34"/>
      <c r="AF358" s="34"/>
      <c r="AG358" s="34"/>
      <c r="AH358" s="34"/>
      <c r="AI358" s="34"/>
      <c r="AJ358" s="34"/>
      <c r="AK358" s="34"/>
      <c r="AL358" s="34"/>
      <c r="AM358" s="34"/>
      <c r="AN358" s="34"/>
      <c r="AO358" s="34"/>
      <c r="AP358" s="34"/>
      <c r="AQ358" s="34"/>
      <c r="AR358" s="34"/>
    </row>
    <row r="359" spans="1:44">
      <c r="A359" s="4"/>
      <c r="B359" s="4"/>
      <c r="C359" s="4"/>
      <c r="D359" s="4"/>
      <c r="E359" s="4"/>
      <c r="F359" s="4"/>
      <c r="G359" s="4"/>
      <c r="H359" s="4"/>
      <c r="I359" s="4"/>
      <c r="J359" s="4"/>
      <c r="K359" s="34"/>
      <c r="L359" s="34"/>
      <c r="M359" s="34"/>
      <c r="N359" s="34"/>
      <c r="O359" s="34"/>
      <c r="P359" s="34"/>
      <c r="Q359" s="34"/>
      <c r="R359" s="34"/>
      <c r="S359" s="34"/>
      <c r="T359" s="34"/>
      <c r="U359" s="34"/>
      <c r="V359" s="34"/>
      <c r="W359" s="34"/>
      <c r="X359" s="34"/>
      <c r="Y359" s="34"/>
      <c r="Z359" s="34"/>
      <c r="AA359" s="34"/>
      <c r="AB359" s="34"/>
      <c r="AC359" s="34"/>
      <c r="AD359" s="34"/>
      <c r="AE359" s="34"/>
      <c r="AF359" s="34"/>
      <c r="AG359" s="34"/>
      <c r="AH359" s="34"/>
      <c r="AI359" s="34"/>
      <c r="AJ359" s="34"/>
      <c r="AK359" s="34"/>
      <c r="AL359" s="34"/>
      <c r="AM359" s="34"/>
      <c r="AN359" s="34"/>
      <c r="AO359" s="34"/>
      <c r="AP359" s="34"/>
      <c r="AQ359" s="34"/>
      <c r="AR359" s="34"/>
    </row>
    <row r="360" spans="1:44">
      <c r="A360" s="4"/>
      <c r="B360" s="4"/>
      <c r="C360" s="4"/>
      <c r="D360" s="4"/>
      <c r="E360" s="4"/>
      <c r="F360" s="4"/>
      <c r="G360" s="4"/>
      <c r="H360" s="4"/>
      <c r="I360" s="4"/>
      <c r="J360" s="4"/>
      <c r="K360" s="34"/>
      <c r="L360" s="34"/>
      <c r="M360" s="34"/>
      <c r="N360" s="34"/>
      <c r="O360" s="34"/>
      <c r="P360" s="34"/>
      <c r="Q360" s="34"/>
      <c r="R360" s="34"/>
      <c r="S360" s="34"/>
      <c r="T360" s="34"/>
      <c r="U360" s="34"/>
      <c r="V360" s="34"/>
      <c r="W360" s="34"/>
      <c r="X360" s="34"/>
      <c r="Y360" s="34"/>
      <c r="Z360" s="34"/>
      <c r="AA360" s="34"/>
      <c r="AB360" s="34"/>
      <c r="AC360" s="34"/>
      <c r="AD360" s="34"/>
      <c r="AE360" s="34"/>
      <c r="AF360" s="34"/>
      <c r="AG360" s="34"/>
      <c r="AH360" s="34"/>
      <c r="AI360" s="34"/>
      <c r="AJ360" s="34"/>
      <c r="AK360" s="34"/>
      <c r="AL360" s="34"/>
      <c r="AM360" s="34"/>
      <c r="AN360" s="34"/>
      <c r="AO360" s="34"/>
      <c r="AP360" s="34"/>
      <c r="AQ360" s="34"/>
      <c r="AR360" s="34"/>
    </row>
    <row r="361" spans="1:44">
      <c r="A361" s="4"/>
      <c r="B361" s="4"/>
      <c r="C361" s="4"/>
      <c r="D361" s="4"/>
      <c r="E361" s="4"/>
      <c r="F361" s="4"/>
      <c r="G361" s="4"/>
      <c r="H361" s="4"/>
      <c r="I361" s="4"/>
      <c r="J361" s="4"/>
      <c r="K361" s="34"/>
      <c r="L361" s="34"/>
      <c r="M361" s="34"/>
      <c r="N361" s="34"/>
      <c r="O361" s="34"/>
      <c r="P361" s="34"/>
      <c r="Q361" s="34"/>
      <c r="R361" s="34"/>
      <c r="S361" s="34"/>
      <c r="T361" s="34"/>
      <c r="U361" s="34"/>
      <c r="V361" s="34"/>
      <c r="W361" s="34"/>
      <c r="X361" s="34"/>
      <c r="Y361" s="34"/>
      <c r="Z361" s="34"/>
      <c r="AA361" s="34"/>
      <c r="AB361" s="34"/>
      <c r="AC361" s="34"/>
      <c r="AD361" s="34"/>
      <c r="AE361" s="34"/>
      <c r="AF361" s="34"/>
      <c r="AG361" s="34"/>
      <c r="AH361" s="34"/>
      <c r="AI361" s="34"/>
      <c r="AJ361" s="34"/>
      <c r="AK361" s="34"/>
      <c r="AL361" s="34"/>
      <c r="AM361" s="34"/>
      <c r="AN361" s="34"/>
      <c r="AO361" s="34"/>
      <c r="AP361" s="34"/>
      <c r="AQ361" s="34"/>
      <c r="AR361" s="34"/>
    </row>
    <row r="362" spans="1:44">
      <c r="A362" s="4"/>
      <c r="B362" s="4"/>
      <c r="C362" s="4"/>
      <c r="D362" s="4"/>
      <c r="E362" s="4"/>
      <c r="F362" s="4"/>
      <c r="G362" s="4"/>
      <c r="H362" s="4"/>
      <c r="I362" s="4"/>
      <c r="J362" s="4"/>
      <c r="K362" s="34"/>
      <c r="L362" s="34"/>
      <c r="M362" s="34"/>
      <c r="N362" s="34"/>
      <c r="O362" s="34"/>
      <c r="P362" s="34"/>
      <c r="Q362" s="34"/>
      <c r="R362" s="34"/>
      <c r="S362" s="34"/>
      <c r="T362" s="34"/>
      <c r="U362" s="34"/>
      <c r="V362" s="34"/>
      <c r="W362" s="34"/>
      <c r="X362" s="34"/>
      <c r="Y362" s="34"/>
      <c r="Z362" s="34"/>
      <c r="AA362" s="34"/>
      <c r="AB362" s="34"/>
      <c r="AC362" s="34"/>
      <c r="AD362" s="34"/>
      <c r="AE362" s="34"/>
      <c r="AF362" s="34"/>
      <c r="AG362" s="34"/>
      <c r="AH362" s="34"/>
      <c r="AI362" s="34"/>
      <c r="AJ362" s="34"/>
      <c r="AK362" s="34"/>
      <c r="AL362" s="34"/>
      <c r="AM362" s="34"/>
      <c r="AN362" s="34"/>
      <c r="AO362" s="34"/>
      <c r="AP362" s="34"/>
      <c r="AQ362" s="34"/>
      <c r="AR362" s="34"/>
    </row>
    <row r="363" spans="1:44">
      <c r="A363" s="4"/>
      <c r="B363" s="4"/>
      <c r="C363" s="4"/>
      <c r="D363" s="4"/>
      <c r="E363" s="4"/>
      <c r="F363" s="4"/>
      <c r="G363" s="4"/>
      <c r="H363" s="4"/>
      <c r="I363" s="4"/>
      <c r="J363" s="4"/>
      <c r="K363" s="34"/>
      <c r="L363" s="34"/>
      <c r="M363" s="34"/>
      <c r="N363" s="34"/>
      <c r="O363" s="34"/>
      <c r="P363" s="34"/>
      <c r="Q363" s="34"/>
      <c r="R363" s="34"/>
      <c r="S363" s="34"/>
      <c r="T363" s="34"/>
      <c r="U363" s="34"/>
      <c r="V363" s="34"/>
      <c r="W363" s="34"/>
      <c r="X363" s="34"/>
      <c r="Y363" s="34"/>
      <c r="Z363" s="34"/>
      <c r="AA363" s="34"/>
      <c r="AB363" s="34"/>
      <c r="AC363" s="34"/>
      <c r="AD363" s="34"/>
      <c r="AE363" s="34"/>
      <c r="AF363" s="34"/>
      <c r="AG363" s="34"/>
      <c r="AH363" s="34"/>
      <c r="AI363" s="34"/>
      <c r="AJ363" s="34"/>
      <c r="AK363" s="34"/>
      <c r="AL363" s="34"/>
      <c r="AM363" s="34"/>
      <c r="AN363" s="34"/>
      <c r="AO363" s="34"/>
      <c r="AP363" s="34"/>
      <c r="AQ363" s="34"/>
      <c r="AR363" s="34"/>
    </row>
    <row r="364" spans="1:44">
      <c r="A364" s="4"/>
      <c r="B364" s="4"/>
      <c r="C364" s="4"/>
      <c r="D364" s="4"/>
      <c r="E364" s="4"/>
      <c r="F364" s="4"/>
      <c r="G364" s="4"/>
      <c r="H364" s="4"/>
      <c r="I364" s="4"/>
      <c r="J364" s="4"/>
      <c r="K364" s="34"/>
      <c r="L364" s="34"/>
      <c r="M364" s="34"/>
      <c r="N364" s="34"/>
      <c r="O364" s="34"/>
      <c r="P364" s="34"/>
      <c r="Q364" s="34"/>
      <c r="R364" s="34"/>
      <c r="S364" s="34"/>
      <c r="T364" s="34"/>
      <c r="U364" s="34"/>
      <c r="V364" s="34"/>
      <c r="W364" s="34"/>
      <c r="X364" s="34"/>
      <c r="Y364" s="34"/>
      <c r="Z364" s="34"/>
      <c r="AA364" s="34"/>
      <c r="AB364" s="34"/>
      <c r="AC364" s="34"/>
      <c r="AD364" s="34"/>
      <c r="AE364" s="34"/>
      <c r="AF364" s="34"/>
      <c r="AG364" s="34"/>
      <c r="AH364" s="34"/>
      <c r="AI364" s="34"/>
      <c r="AJ364" s="34"/>
      <c r="AK364" s="34"/>
      <c r="AL364" s="34"/>
      <c r="AM364" s="34"/>
      <c r="AN364" s="34"/>
      <c r="AO364" s="34"/>
      <c r="AP364" s="34"/>
      <c r="AQ364" s="34"/>
      <c r="AR364" s="34"/>
    </row>
    <row r="365" spans="1:44">
      <c r="A365" s="4"/>
      <c r="B365" s="4"/>
      <c r="C365" s="4"/>
      <c r="D365" s="4"/>
      <c r="E365" s="4"/>
      <c r="F365" s="4"/>
      <c r="G365" s="4"/>
      <c r="H365" s="4"/>
      <c r="I365" s="4"/>
      <c r="J365" s="4"/>
      <c r="K365" s="34"/>
      <c r="L365" s="34"/>
      <c r="M365" s="34"/>
      <c r="N365" s="34"/>
      <c r="O365" s="34"/>
      <c r="P365" s="34"/>
      <c r="Q365" s="34"/>
      <c r="R365" s="34"/>
      <c r="S365" s="34"/>
      <c r="T365" s="34"/>
      <c r="U365" s="34"/>
      <c r="V365" s="34"/>
      <c r="W365" s="34"/>
      <c r="X365" s="34"/>
      <c r="Y365" s="34"/>
      <c r="Z365" s="34"/>
      <c r="AA365" s="34"/>
      <c r="AB365" s="34"/>
      <c r="AC365" s="34"/>
      <c r="AD365" s="34"/>
      <c r="AE365" s="34"/>
      <c r="AF365" s="34"/>
      <c r="AG365" s="34"/>
      <c r="AH365" s="34"/>
      <c r="AI365" s="34"/>
      <c r="AJ365" s="34"/>
      <c r="AK365" s="34"/>
      <c r="AL365" s="34"/>
      <c r="AM365" s="34"/>
      <c r="AN365" s="34"/>
      <c r="AO365" s="34"/>
      <c r="AP365" s="34"/>
      <c r="AQ365" s="34"/>
      <c r="AR365" s="34"/>
    </row>
    <row r="366" spans="1:44">
      <c r="A366" s="4"/>
      <c r="B366" s="4"/>
      <c r="C366" s="4"/>
      <c r="D366" s="4"/>
      <c r="E366" s="4"/>
      <c r="F366" s="4"/>
      <c r="G366" s="4"/>
      <c r="H366" s="4"/>
      <c r="I366" s="4"/>
      <c r="J366" s="4"/>
      <c r="K366" s="34"/>
      <c r="L366" s="34"/>
      <c r="M366" s="34"/>
      <c r="N366" s="34"/>
      <c r="O366" s="34"/>
      <c r="P366" s="34"/>
      <c r="Q366" s="34"/>
      <c r="R366" s="34"/>
      <c r="S366" s="34"/>
      <c r="T366" s="34"/>
      <c r="U366" s="34"/>
      <c r="V366" s="34"/>
      <c r="W366" s="34"/>
      <c r="X366" s="34"/>
      <c r="Y366" s="34"/>
      <c r="Z366" s="34"/>
      <c r="AA366" s="34"/>
      <c r="AB366" s="34"/>
      <c r="AC366" s="34"/>
      <c r="AD366" s="34"/>
      <c r="AE366" s="34"/>
      <c r="AF366" s="34"/>
      <c r="AG366" s="34"/>
      <c r="AH366" s="34"/>
      <c r="AI366" s="34"/>
      <c r="AJ366" s="34"/>
      <c r="AK366" s="34"/>
      <c r="AL366" s="34"/>
      <c r="AM366" s="34"/>
      <c r="AN366" s="34"/>
      <c r="AO366" s="34"/>
      <c r="AP366" s="34"/>
      <c r="AQ366" s="34"/>
      <c r="AR366" s="34"/>
    </row>
    <row r="367" spans="1:44">
      <c r="A367" s="4"/>
      <c r="B367" s="4"/>
      <c r="C367" s="4"/>
      <c r="D367" s="4"/>
      <c r="E367" s="4"/>
      <c r="F367" s="4"/>
      <c r="G367" s="4"/>
      <c r="H367" s="4"/>
      <c r="I367" s="4"/>
      <c r="J367" s="4"/>
      <c r="K367" s="34"/>
      <c r="L367" s="34"/>
      <c r="M367" s="34"/>
      <c r="N367" s="34"/>
      <c r="O367" s="34"/>
      <c r="P367" s="34"/>
      <c r="Q367" s="34"/>
      <c r="R367" s="34"/>
      <c r="S367" s="34"/>
      <c r="T367" s="34"/>
      <c r="U367" s="34"/>
      <c r="V367" s="34"/>
      <c r="W367" s="34"/>
      <c r="X367" s="34"/>
      <c r="Y367" s="34"/>
      <c r="Z367" s="34"/>
      <c r="AA367" s="34"/>
      <c r="AB367" s="34"/>
      <c r="AC367" s="34"/>
      <c r="AD367" s="34"/>
      <c r="AE367" s="34"/>
      <c r="AF367" s="34"/>
      <c r="AG367" s="34"/>
      <c r="AH367" s="34"/>
      <c r="AI367" s="34"/>
      <c r="AJ367" s="34"/>
      <c r="AK367" s="34"/>
      <c r="AL367" s="34"/>
      <c r="AM367" s="34"/>
      <c r="AN367" s="34"/>
      <c r="AO367" s="34"/>
      <c r="AP367" s="34"/>
      <c r="AQ367" s="34"/>
      <c r="AR367" s="34"/>
    </row>
    <row r="368" spans="1:44">
      <c r="A368" s="4"/>
      <c r="B368" s="4"/>
      <c r="C368" s="4"/>
      <c r="D368" s="4"/>
      <c r="E368" s="4"/>
      <c r="F368" s="4"/>
      <c r="G368" s="4"/>
      <c r="H368" s="4"/>
      <c r="I368" s="4"/>
      <c r="J368" s="4"/>
      <c r="K368" s="34"/>
      <c r="L368" s="34"/>
      <c r="M368" s="34"/>
      <c r="N368" s="34"/>
      <c r="O368" s="34"/>
      <c r="P368" s="34"/>
      <c r="Q368" s="34"/>
      <c r="R368" s="34"/>
      <c r="S368" s="34"/>
      <c r="T368" s="34"/>
      <c r="U368" s="34"/>
      <c r="V368" s="34"/>
      <c r="W368" s="34"/>
      <c r="X368" s="34"/>
      <c r="Y368" s="34"/>
      <c r="Z368" s="34"/>
      <c r="AA368" s="34"/>
      <c r="AB368" s="34"/>
      <c r="AC368" s="34"/>
      <c r="AD368" s="34"/>
      <c r="AE368" s="34"/>
      <c r="AF368" s="34"/>
      <c r="AG368" s="34"/>
      <c r="AH368" s="34"/>
      <c r="AI368" s="34"/>
      <c r="AJ368" s="34"/>
      <c r="AK368" s="34"/>
      <c r="AL368" s="34"/>
      <c r="AM368" s="34"/>
      <c r="AN368" s="34"/>
      <c r="AO368" s="34"/>
      <c r="AP368" s="34"/>
      <c r="AQ368" s="34"/>
      <c r="AR368" s="34"/>
    </row>
    <row r="369" spans="1:44">
      <c r="A369" s="4"/>
      <c r="B369" s="4"/>
      <c r="C369" s="4"/>
      <c r="D369" s="4"/>
      <c r="E369" s="4"/>
      <c r="F369" s="4"/>
      <c r="G369" s="4"/>
      <c r="H369" s="4"/>
      <c r="I369" s="4"/>
      <c r="J369" s="4"/>
      <c r="K369" s="34"/>
      <c r="L369" s="34"/>
      <c r="M369" s="34"/>
      <c r="N369" s="34"/>
      <c r="O369" s="34"/>
      <c r="P369" s="34"/>
      <c r="Q369" s="34"/>
      <c r="R369" s="34"/>
      <c r="S369" s="34"/>
      <c r="T369" s="34"/>
      <c r="U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row>
    <row r="370" spans="1:44">
      <c r="A370" s="4"/>
      <c r="B370" s="4"/>
      <c r="C370" s="4"/>
      <c r="D370" s="4"/>
      <c r="E370" s="4"/>
      <c r="F370" s="4"/>
      <c r="G370" s="4"/>
      <c r="H370" s="4"/>
      <c r="I370" s="4"/>
      <c r="J370" s="4"/>
      <c r="K370" s="34"/>
      <c r="L370" s="34"/>
      <c r="M370" s="34"/>
      <c r="N370" s="34"/>
      <c r="O370" s="34"/>
      <c r="P370" s="34"/>
      <c r="Q370" s="34"/>
      <c r="R370" s="34"/>
      <c r="S370" s="34"/>
      <c r="T370" s="34"/>
      <c r="U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row>
  </sheetData>
  <printOptions horizontalCentered="1"/>
  <pageMargins left="0.75" right="0.75" top="1" bottom="1" header="0.5" footer="0.5"/>
  <pageSetup scale="81" firstPageNumber="18" orientation="portrait" horizontalDpi="4294967292" verticalDpi="4294967292" r:id="rId1"/>
  <headerFooter alignWithMargins="0">
    <oddFooter>&amp;LRichard Bickings
&amp;D&amp;CPage &amp;P&amp;R&amp;F
&amp;A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G125"/>
  <sheetViews>
    <sheetView zoomScale="75" zoomScaleNormal="25" zoomScaleSheetLayoutView="100" workbookViewId="0">
      <selection activeCell="F28" sqref="F28"/>
    </sheetView>
  </sheetViews>
  <sheetFormatPr defaultRowHeight="12.75"/>
  <cols>
    <col min="1" max="1" width="33.140625" customWidth="1"/>
    <col min="2" max="10" width="12.7109375" customWidth="1"/>
    <col min="11" max="11" width="11.5703125" customWidth="1"/>
    <col min="12" max="12" width="11.5703125" bestFit="1" customWidth="1"/>
    <col min="13" max="13" width="13.42578125" customWidth="1"/>
    <col min="20" max="20" width="10.140625" customWidth="1"/>
    <col min="24" max="24" width="11.5703125" bestFit="1" customWidth="1"/>
    <col min="31" max="33" width="0" hidden="1" customWidth="1"/>
  </cols>
  <sheetData>
    <row r="1" spans="1:33" ht="13.5" thickBot="1">
      <c r="A1" s="250" t="str">
        <f>Scope!A1</f>
        <v>Rochester Public Utilities LM6000 PC Power Project</v>
      </c>
      <c r="B1" s="89"/>
      <c r="C1" s="89"/>
      <c r="D1" s="89"/>
      <c r="E1" s="89"/>
      <c r="F1" s="89"/>
      <c r="G1" s="89"/>
      <c r="H1" s="89"/>
      <c r="AE1" s="227"/>
      <c r="AF1" s="227"/>
      <c r="AG1" s="227"/>
    </row>
    <row r="2" spans="1:33" ht="15.75">
      <c r="A2" s="135" t="s">
        <v>643</v>
      </c>
      <c r="B2" s="89"/>
      <c r="C2" s="89"/>
      <c r="D2" s="89"/>
      <c r="E2" s="89"/>
      <c r="F2" s="89"/>
      <c r="G2" s="89"/>
      <c r="H2" s="89"/>
      <c r="AE2" s="731" t="s">
        <v>1094</v>
      </c>
      <c r="AF2" s="732"/>
      <c r="AG2" s="733"/>
    </row>
    <row r="3" spans="1:33" ht="15.75">
      <c r="B3" s="187"/>
      <c r="AE3" s="351" t="s">
        <v>783</v>
      </c>
      <c r="AF3" s="233" t="s">
        <v>1099</v>
      </c>
      <c r="AG3" s="352" t="s">
        <v>1100</v>
      </c>
    </row>
    <row r="4" spans="1:33">
      <c r="B4" s="353" t="s">
        <v>1101</v>
      </c>
      <c r="C4" s="353" t="s">
        <v>1102</v>
      </c>
      <c r="D4" s="353" t="s">
        <v>1102</v>
      </c>
      <c r="E4" s="353" t="s">
        <v>612</v>
      </c>
      <c r="F4" s="353" t="s">
        <v>1518</v>
      </c>
      <c r="G4" s="353" t="s">
        <v>763</v>
      </c>
      <c r="H4" s="354" t="s">
        <v>763</v>
      </c>
      <c r="AE4" s="351"/>
      <c r="AF4" s="233"/>
      <c r="AG4" s="352"/>
    </row>
    <row r="5" spans="1:33">
      <c r="B5" s="359"/>
      <c r="C5" s="359" t="s">
        <v>612</v>
      </c>
      <c r="D5" s="359" t="s">
        <v>1518</v>
      </c>
      <c r="E5" s="359" t="s">
        <v>1105</v>
      </c>
      <c r="F5" s="359" t="s">
        <v>1105</v>
      </c>
      <c r="G5" s="359" t="s">
        <v>1106</v>
      </c>
      <c r="H5" s="223" t="s">
        <v>1106</v>
      </c>
      <c r="AE5" s="351"/>
      <c r="AF5" s="233"/>
      <c r="AG5" s="352"/>
    </row>
    <row r="6" spans="1:33">
      <c r="A6" s="335"/>
      <c r="B6" s="360"/>
      <c r="C6" s="360" t="s">
        <v>1108</v>
      </c>
      <c r="D6" s="360" t="s">
        <v>1108</v>
      </c>
      <c r="E6" s="361" t="s">
        <v>1109</v>
      </c>
      <c r="F6" s="361" t="s">
        <v>1109</v>
      </c>
      <c r="G6" s="362" t="s">
        <v>1110</v>
      </c>
      <c r="H6" s="363" t="s">
        <v>1111</v>
      </c>
      <c r="AE6" s="351"/>
      <c r="AF6" s="233"/>
      <c r="AG6" s="352"/>
    </row>
    <row r="7" spans="1:33" hidden="1">
      <c r="H7" s="354"/>
      <c r="AE7" s="351"/>
      <c r="AF7" s="233"/>
      <c r="AG7" s="352"/>
    </row>
    <row r="8" spans="1:33" hidden="1">
      <c r="H8" s="223"/>
      <c r="AE8" s="368"/>
      <c r="AF8" s="366"/>
      <c r="AG8" s="367"/>
    </row>
    <row r="9" spans="1:33">
      <c r="B9" s="233"/>
      <c r="C9" s="233"/>
      <c r="D9" s="233"/>
      <c r="E9" s="233"/>
      <c r="F9" s="233"/>
      <c r="G9" s="233"/>
      <c r="H9" s="223"/>
    </row>
    <row r="10" spans="1:33">
      <c r="A10" s="374" t="s">
        <v>1172</v>
      </c>
      <c r="B10" s="233"/>
      <c r="C10" s="233"/>
      <c r="D10" s="233"/>
      <c r="E10" s="233"/>
      <c r="F10" s="233"/>
      <c r="G10" s="233"/>
      <c r="H10" s="354"/>
    </row>
    <row r="11" spans="1:33">
      <c r="A11" s="369" t="str">
        <f>MobStaff!$A$46</f>
        <v>PLANT MANAGER</v>
      </c>
      <c r="B11" s="370">
        <v>1</v>
      </c>
      <c r="C11" s="371">
        <f>$I$29</f>
        <v>68.573643923076915</v>
      </c>
      <c r="D11" s="371" t="str">
        <f>$I$48</f>
        <v>n/a</v>
      </c>
      <c r="E11" s="370">
        <v>2080</v>
      </c>
      <c r="F11" s="233"/>
      <c r="G11" s="372">
        <f>B11*C11*E11</f>
        <v>142633.17935999998</v>
      </c>
      <c r="H11" s="223"/>
    </row>
    <row r="12" spans="1:33" hidden="1">
      <c r="A12" s="369" t="str">
        <f>MobStaff!$A$49</f>
        <v>CLERK</v>
      </c>
      <c r="B12" s="370">
        <v>0</v>
      </c>
      <c r="C12" s="371">
        <f>$I$35</f>
        <v>33.611461153846143</v>
      </c>
      <c r="D12" s="371">
        <f>$I$54</f>
        <v>44.94305769230769</v>
      </c>
      <c r="E12" s="233">
        <f>$C$124</f>
        <v>2080</v>
      </c>
      <c r="F12" s="233">
        <v>50</v>
      </c>
      <c r="G12" s="372">
        <f>B12*((C12*E12)+(D12*F12))</f>
        <v>0</v>
      </c>
      <c r="H12" s="223"/>
    </row>
    <row r="13" spans="1:33" hidden="1">
      <c r="A13" s="369" t="str">
        <f>MobStaff!A51</f>
        <v>PLANT SUPERVISOR</v>
      </c>
      <c r="B13" s="370">
        <v>0</v>
      </c>
      <c r="C13" s="371">
        <f>$I$34</f>
        <v>40.51007653846154</v>
      </c>
      <c r="D13" s="371" t="str">
        <f>$I$53</f>
        <v>n/a</v>
      </c>
      <c r="E13" s="370">
        <v>2080</v>
      </c>
      <c r="F13" s="233"/>
      <c r="G13" s="372">
        <f>B13*C13*E13</f>
        <v>0</v>
      </c>
      <c r="H13" s="223"/>
    </row>
    <row r="14" spans="1:33">
      <c r="A14" s="369" t="str">
        <f>MobStaff!A52</f>
        <v>TECHNICIAN III</v>
      </c>
      <c r="B14" s="370">
        <v>2</v>
      </c>
      <c r="C14" s="371">
        <f>$I$35</f>
        <v>33.611461153846143</v>
      </c>
      <c r="D14" s="371">
        <f>$I$54</f>
        <v>44.94305769230769</v>
      </c>
      <c r="E14" s="233">
        <f>$C$124</f>
        <v>2080</v>
      </c>
      <c r="F14" s="233">
        <f>$C$125</f>
        <v>120</v>
      </c>
      <c r="G14" s="372">
        <f>B14*((C14*E14)+(D14*F14))</f>
        <v>150610.01224615378</v>
      </c>
      <c r="H14" s="223"/>
    </row>
    <row r="15" spans="1:33">
      <c r="A15" s="369" t="s">
        <v>1216</v>
      </c>
      <c r="B15" s="370">
        <v>3</v>
      </c>
      <c r="C15" s="371">
        <f>$G$66</f>
        <v>52.222222222222221</v>
      </c>
      <c r="D15" s="371"/>
      <c r="E15" s="370">
        <v>720</v>
      </c>
      <c r="F15" s="233"/>
      <c r="G15" s="372">
        <f>B15*((C15*E15)+(D15*F15))</f>
        <v>112800</v>
      </c>
      <c r="H15" s="373">
        <f>SUM(G11:G15)</f>
        <v>406043.19160615373</v>
      </c>
    </row>
    <row r="16" spans="1:33">
      <c r="A16" s="204"/>
      <c r="B16" s="204"/>
    </row>
    <row r="17" spans="1:11">
      <c r="A17" s="204" t="s">
        <v>1139</v>
      </c>
      <c r="B17" s="233">
        <f>SUM(B11:B15)</f>
        <v>6</v>
      </c>
      <c r="D17" t="s">
        <v>1140</v>
      </c>
      <c r="G17" s="380">
        <f>SUM(G9:G15)</f>
        <v>406043.19160615373</v>
      </c>
      <c r="H17" s="380"/>
    </row>
    <row r="20" spans="1:11" ht="15.75">
      <c r="A20" s="381" t="s">
        <v>1141</v>
      </c>
      <c r="B20" s="185"/>
      <c r="C20" s="185"/>
      <c r="D20" s="185"/>
      <c r="E20" s="3"/>
      <c r="F20" s="185"/>
      <c r="G20" s="185"/>
      <c r="H20" s="3"/>
    </row>
    <row r="21" spans="1:11" ht="15.75">
      <c r="A21" s="381" t="s">
        <v>108</v>
      </c>
      <c r="B21" s="185"/>
      <c r="C21" s="185"/>
      <c r="D21" s="185"/>
      <c r="E21" s="3"/>
      <c r="F21" s="185"/>
      <c r="G21" s="185"/>
      <c r="H21" s="185"/>
    </row>
    <row r="22" spans="1:11">
      <c r="A22" s="382"/>
      <c r="B22" s="382"/>
      <c r="C22" s="382"/>
      <c r="D22" s="382"/>
      <c r="E22" s="383"/>
      <c r="F22" s="382"/>
      <c r="G22" s="186"/>
      <c r="H22" s="186"/>
    </row>
    <row r="23" spans="1:11">
      <c r="A23" s="384"/>
      <c r="B23" s="385"/>
      <c r="C23" s="386"/>
      <c r="D23" s="386"/>
      <c r="E23" s="386"/>
      <c r="F23" s="386"/>
      <c r="G23" s="387"/>
      <c r="H23" s="354"/>
      <c r="I23" s="388"/>
      <c r="J23" s="354"/>
      <c r="K23" t="s">
        <v>1143</v>
      </c>
    </row>
    <row r="24" spans="1:11">
      <c r="A24" s="389"/>
      <c r="B24" s="390" t="s">
        <v>1144</v>
      </c>
      <c r="C24" s="391" t="s">
        <v>1145</v>
      </c>
      <c r="D24" s="391" t="s">
        <v>1146</v>
      </c>
      <c r="E24" s="391"/>
      <c r="F24" s="390" t="s">
        <v>1147</v>
      </c>
      <c r="G24" s="392" t="s">
        <v>1148</v>
      </c>
      <c r="H24" s="223"/>
      <c r="I24" s="393"/>
      <c r="J24" s="223"/>
      <c r="K24" t="s">
        <v>1149</v>
      </c>
    </row>
    <row r="25" spans="1:11">
      <c r="A25" s="389" t="s">
        <v>1150</v>
      </c>
      <c r="B25" s="390" t="s">
        <v>1151</v>
      </c>
      <c r="C25" s="394" t="s">
        <v>1403</v>
      </c>
      <c r="D25" s="394" t="s">
        <v>1152</v>
      </c>
      <c r="E25" s="394" t="s">
        <v>1153</v>
      </c>
      <c r="F25" s="390" t="s">
        <v>1154</v>
      </c>
      <c r="G25" s="395" t="s">
        <v>1155</v>
      </c>
      <c r="H25" s="396" t="s">
        <v>1156</v>
      </c>
      <c r="I25" s="393" t="s">
        <v>1102</v>
      </c>
      <c r="J25" s="435" t="s">
        <v>1157</v>
      </c>
      <c r="K25" t="s">
        <v>1158</v>
      </c>
    </row>
    <row r="26" spans="1:11">
      <c r="A26" s="389" t="s">
        <v>1159</v>
      </c>
      <c r="B26" s="390" t="s">
        <v>1160</v>
      </c>
      <c r="C26" s="390" t="s">
        <v>1161</v>
      </c>
      <c r="D26" s="390" t="s">
        <v>1154</v>
      </c>
      <c r="E26" s="390" t="s">
        <v>1162</v>
      </c>
      <c r="F26" s="390" t="s">
        <v>1163</v>
      </c>
      <c r="G26" s="392" t="s">
        <v>1154</v>
      </c>
      <c r="H26" s="223"/>
      <c r="I26" s="393" t="s">
        <v>763</v>
      </c>
      <c r="J26" s="435" t="s">
        <v>681</v>
      </c>
      <c r="K26" t="s">
        <v>1164</v>
      </c>
    </row>
    <row r="27" spans="1:11">
      <c r="A27" s="389"/>
      <c r="B27" s="390"/>
      <c r="C27" s="397">
        <f>[1]MobStaff!C44</f>
        <v>0.1434</v>
      </c>
      <c r="D27" s="397">
        <f>[1]MobStaff!D44</f>
        <v>7.7799999999999994E-2</v>
      </c>
      <c r="E27" s="397">
        <v>0.15</v>
      </c>
      <c r="F27" s="398">
        <f>[1]MobStaff!F44</f>
        <v>440.66</v>
      </c>
      <c r="G27" s="399">
        <f>[1]MobStaff!G44</f>
        <v>0.01</v>
      </c>
      <c r="H27" s="400">
        <f>[1]MobStaff!H44</f>
        <v>0.05</v>
      </c>
      <c r="I27" s="401"/>
      <c r="J27" s="357" t="s">
        <v>768</v>
      </c>
    </row>
    <row r="28" spans="1:11" ht="15.75">
      <c r="A28" s="402" t="s">
        <v>1513</v>
      </c>
      <c r="B28" s="403"/>
      <c r="C28" s="403"/>
      <c r="D28" s="404"/>
      <c r="E28" s="404"/>
      <c r="F28" s="403"/>
      <c r="G28" s="404"/>
      <c r="H28" s="204"/>
      <c r="I28" s="404"/>
      <c r="J28" s="204"/>
    </row>
    <row r="29" spans="1:11">
      <c r="A29" s="347" t="str">
        <f>MobStaff!A46</f>
        <v>PLANT MANAGER</v>
      </c>
      <c r="B29" s="406">
        <v>46</v>
      </c>
      <c r="C29" s="407">
        <f t="shared" ref="C29:E32" si="0">$B29*C$27</f>
        <v>6.5964</v>
      </c>
      <c r="D29" s="407">
        <f t="shared" si="0"/>
        <v>3.5787999999999998</v>
      </c>
      <c r="E29" s="407">
        <f t="shared" si="0"/>
        <v>6.8999999999999995</v>
      </c>
      <c r="F29" s="407">
        <f>$F$27*12/2080</f>
        <v>2.5422692307692309</v>
      </c>
      <c r="G29" s="407">
        <f>SUM(B29:F29)*G$27</f>
        <v>0.65617469230769232</v>
      </c>
      <c r="H29" s="407">
        <f>$B29*H$27</f>
        <v>2.3000000000000003</v>
      </c>
      <c r="I29" s="407">
        <f>SUM(B29:H29)</f>
        <v>68.573643923076915</v>
      </c>
      <c r="J29" s="408">
        <f>B29*2080</f>
        <v>95680</v>
      </c>
      <c r="K29" s="225">
        <f>I29/B29</f>
        <v>1.4907313896321068</v>
      </c>
    </row>
    <row r="30" spans="1:11" hidden="1">
      <c r="A30" s="347" t="str">
        <f>MobStaff!A47</f>
        <v>MAINTENANCE MANAGER</v>
      </c>
      <c r="B30" s="406">
        <f>[1]MobStaff!B47</f>
        <v>38.46153846153846</v>
      </c>
      <c r="C30" s="407">
        <f t="shared" si="0"/>
        <v>5.5153846153846153</v>
      </c>
      <c r="D30" s="407">
        <f t="shared" si="0"/>
        <v>2.9923076923076919</v>
      </c>
      <c r="E30" s="407">
        <f t="shared" si="0"/>
        <v>5.7692307692307692</v>
      </c>
      <c r="F30" s="407">
        <f>$F$27*12/2080</f>
        <v>2.5422692307692309</v>
      </c>
      <c r="G30" s="407">
        <f>SUM(B30:F30)*G$27</f>
        <v>0.55280730769230757</v>
      </c>
      <c r="H30" s="407">
        <f>$B30*H$27</f>
        <v>1.9230769230769231</v>
      </c>
      <c r="I30" s="407">
        <f>SUM(B30:H30)</f>
        <v>57.756614999999982</v>
      </c>
      <c r="J30" s="408">
        <f>B30*2080</f>
        <v>80000</v>
      </c>
      <c r="K30" s="225"/>
    </row>
    <row r="31" spans="1:11" hidden="1">
      <c r="A31" s="347" t="str">
        <f>MobStaff!A48</f>
        <v xml:space="preserve">PURCHASING / WAREHOUSE </v>
      </c>
      <c r="B31" s="406">
        <f>[1]MobStaff!B48</f>
        <v>25</v>
      </c>
      <c r="C31" s="407">
        <f t="shared" si="0"/>
        <v>3.585</v>
      </c>
      <c r="D31" s="407">
        <f t="shared" si="0"/>
        <v>1.9449999999999998</v>
      </c>
      <c r="E31" s="407">
        <f t="shared" si="0"/>
        <v>3.75</v>
      </c>
      <c r="F31" s="407">
        <f>$F$27*12/2080</f>
        <v>2.5422692307692309</v>
      </c>
      <c r="G31" s="407">
        <f>SUM(B31:F31)*G$27</f>
        <v>0.36822269230769228</v>
      </c>
      <c r="H31" s="407">
        <f>$B31*H$27</f>
        <v>1.25</v>
      </c>
      <c r="I31" s="407">
        <f>SUM(B31:H31)</f>
        <v>38.44049192307692</v>
      </c>
      <c r="J31" s="408">
        <f>B31*2080</f>
        <v>52000</v>
      </c>
      <c r="K31" s="225">
        <f>I31/B31</f>
        <v>1.5376196769230768</v>
      </c>
    </row>
    <row r="32" spans="1:11" hidden="1">
      <c r="A32" s="347" t="str">
        <f>MobStaff!A49</f>
        <v>CLERK</v>
      </c>
      <c r="B32" s="406">
        <f>[1]MobStaff!B49</f>
        <v>12.25</v>
      </c>
      <c r="C32" s="407">
        <f t="shared" si="0"/>
        <v>1.75665</v>
      </c>
      <c r="D32" s="407">
        <f t="shared" si="0"/>
        <v>0.95304999999999995</v>
      </c>
      <c r="E32" s="407">
        <f t="shared" si="0"/>
        <v>1.8374999999999999</v>
      </c>
      <c r="F32" s="407">
        <f>$F$27*12/2080</f>
        <v>2.5422692307692309</v>
      </c>
      <c r="G32" s="407">
        <f>SUM(B32:F32)*G$27</f>
        <v>0.19339469230769232</v>
      </c>
      <c r="H32" s="407">
        <f>$B32*H$27</f>
        <v>0.61250000000000004</v>
      </c>
      <c r="I32" s="407">
        <f>SUM(B32:H32)</f>
        <v>20.145363923076925</v>
      </c>
      <c r="J32" s="408">
        <f>B32*2080</f>
        <v>25480</v>
      </c>
      <c r="K32" s="225">
        <f>I32/B32</f>
        <v>1.644519503924647</v>
      </c>
    </row>
    <row r="33" spans="1:11" ht="15.75">
      <c r="A33" s="402" t="str">
        <f>MobStaff!A50</f>
        <v>Operations &amp; Maint.</v>
      </c>
      <c r="B33" s="409"/>
      <c r="C33" s="243"/>
      <c r="D33" s="243"/>
      <c r="E33" s="243"/>
      <c r="F33" s="243"/>
      <c r="G33" s="243"/>
      <c r="H33" s="243"/>
      <c r="I33" s="243"/>
      <c r="J33" s="243"/>
      <c r="K33" s="225"/>
    </row>
    <row r="34" spans="1:11" ht="12.75" hidden="1" customHeight="1">
      <c r="A34" s="347" t="str">
        <f>MobStaff!A51</f>
        <v>PLANT SUPERVISOR</v>
      </c>
      <c r="B34" s="406">
        <f>[1]MobStaff!B51</f>
        <v>26.442307692307693</v>
      </c>
      <c r="C34" s="407">
        <f t="shared" ref="C34:E36" si="1">$B34*C$27</f>
        <v>3.7918269230769233</v>
      </c>
      <c r="D34" s="407">
        <f t="shared" si="1"/>
        <v>2.0572115384615386</v>
      </c>
      <c r="E34" s="407">
        <f t="shared" si="1"/>
        <v>3.9663461538461537</v>
      </c>
      <c r="F34" s="407">
        <f>$F$27*12/2080</f>
        <v>2.5422692307692309</v>
      </c>
      <c r="G34" s="407">
        <f>SUM(B34:F34)*G$27</f>
        <v>0.38799961538461541</v>
      </c>
      <c r="H34" s="407">
        <f>$B34*H$27</f>
        <v>1.3221153846153848</v>
      </c>
      <c r="I34" s="407">
        <f>SUM(B34:H34)</f>
        <v>40.51007653846154</v>
      </c>
      <c r="J34" s="408">
        <f>B34*2080</f>
        <v>55000</v>
      </c>
      <c r="K34" s="225"/>
    </row>
    <row r="35" spans="1:11">
      <c r="A35" s="347" t="str">
        <f>MobStaff!A52</f>
        <v>TECHNICIAN III</v>
      </c>
      <c r="B35" s="406">
        <f>MobStaff!B52</f>
        <v>21.634615384615383</v>
      </c>
      <c r="C35" s="407">
        <f t="shared" si="1"/>
        <v>3.1024038461538459</v>
      </c>
      <c r="D35" s="407">
        <f t="shared" si="1"/>
        <v>1.6831730769230766</v>
      </c>
      <c r="E35" s="407">
        <f t="shared" si="1"/>
        <v>3.2451923076923075</v>
      </c>
      <c r="F35" s="407">
        <f>$F$27*12/2080</f>
        <v>2.5422692307692309</v>
      </c>
      <c r="G35" s="407">
        <f>SUM(B35:F35)*G$27</f>
        <v>0.32207653846153839</v>
      </c>
      <c r="H35" s="407">
        <f>$B35*H$27</f>
        <v>1.0817307692307692</v>
      </c>
      <c r="I35" s="407">
        <f>SUM(B35:H35)</f>
        <v>33.611461153846143</v>
      </c>
      <c r="J35" s="408">
        <f>B35*2080</f>
        <v>45000</v>
      </c>
      <c r="K35" s="225"/>
    </row>
    <row r="36" spans="1:11" hidden="1">
      <c r="A36" s="347" t="str">
        <f>MobStaff!A53</f>
        <v>TECHNICIAN II</v>
      </c>
      <c r="B36" s="406">
        <f>MobStaff!B53</f>
        <v>16</v>
      </c>
      <c r="C36" s="407">
        <f t="shared" si="1"/>
        <v>2.2944</v>
      </c>
      <c r="D36" s="407">
        <f t="shared" si="1"/>
        <v>1.2447999999999999</v>
      </c>
      <c r="E36" s="407">
        <f t="shared" si="1"/>
        <v>2.4</v>
      </c>
      <c r="F36" s="407">
        <f>$F$27*12/2080</f>
        <v>2.5422692307692309</v>
      </c>
      <c r="G36" s="407">
        <f>SUM(B36:F36)*G$27</f>
        <v>0.24481469230769232</v>
      </c>
      <c r="H36" s="407">
        <f>$B36*H$27</f>
        <v>0.8</v>
      </c>
      <c r="I36" s="407">
        <f>SUM(B36:H36)</f>
        <v>25.526283923076925</v>
      </c>
      <c r="J36" s="408">
        <f>B36*2080</f>
        <v>33280</v>
      </c>
      <c r="K36" s="225">
        <f>I36/B36</f>
        <v>1.5953927451923078</v>
      </c>
    </row>
    <row r="39" spans="1:11" ht="15.75">
      <c r="A39" s="381" t="s">
        <v>1170</v>
      </c>
      <c r="B39" s="185"/>
      <c r="C39" s="185"/>
      <c r="D39" s="185"/>
      <c r="E39" s="3"/>
      <c r="F39" s="185"/>
      <c r="H39" s="185"/>
      <c r="I39" s="3"/>
    </row>
    <row r="40" spans="1:11" ht="15.75">
      <c r="A40" s="381" t="s">
        <v>108</v>
      </c>
      <c r="B40" s="185"/>
      <c r="C40" s="185"/>
      <c r="D40" s="185"/>
      <c r="E40" s="3"/>
      <c r="F40" s="185"/>
      <c r="H40" s="185"/>
      <c r="I40" s="185"/>
    </row>
    <row r="41" spans="1:11">
      <c r="A41" s="382"/>
      <c r="B41" s="382"/>
      <c r="C41" s="382"/>
      <c r="D41" s="382"/>
      <c r="E41" s="383"/>
      <c r="F41" s="382"/>
      <c r="H41" s="186"/>
      <c r="I41" s="186"/>
    </row>
    <row r="42" spans="1:11">
      <c r="A42" s="384"/>
      <c r="B42" s="385"/>
      <c r="C42" s="386"/>
      <c r="D42" s="386"/>
      <c r="E42" s="386"/>
      <c r="F42" s="386"/>
      <c r="G42" s="387"/>
      <c r="H42" s="354"/>
      <c r="I42" s="388"/>
    </row>
    <row r="43" spans="1:11">
      <c r="A43" s="389"/>
      <c r="B43" s="390" t="s">
        <v>1144</v>
      </c>
      <c r="C43" s="391" t="s">
        <v>1145</v>
      </c>
      <c r="D43" s="391" t="s">
        <v>1146</v>
      </c>
      <c r="E43" s="391"/>
      <c r="F43" s="390" t="s">
        <v>1147</v>
      </c>
      <c r="G43" s="392" t="s">
        <v>1148</v>
      </c>
      <c r="H43" s="223"/>
      <c r="I43" s="393"/>
    </row>
    <row r="44" spans="1:11">
      <c r="A44" s="389" t="s">
        <v>1150</v>
      </c>
      <c r="B44" s="390" t="s">
        <v>1151</v>
      </c>
      <c r="C44" s="394" t="s">
        <v>1403</v>
      </c>
      <c r="D44" s="394" t="s">
        <v>1152</v>
      </c>
      <c r="E44" s="394" t="s">
        <v>1153</v>
      </c>
      <c r="F44" s="390" t="s">
        <v>1154</v>
      </c>
      <c r="G44" s="395" t="s">
        <v>1155</v>
      </c>
      <c r="H44" s="396" t="s">
        <v>1156</v>
      </c>
      <c r="I44" s="393" t="s">
        <v>1102</v>
      </c>
    </row>
    <row r="45" spans="1:11">
      <c r="A45" s="389" t="s">
        <v>1159</v>
      </c>
      <c r="B45" s="390" t="s">
        <v>1160</v>
      </c>
      <c r="C45" s="390" t="s">
        <v>1161</v>
      </c>
      <c r="D45" s="390" t="s">
        <v>1154</v>
      </c>
      <c r="E45" s="390" t="s">
        <v>1162</v>
      </c>
      <c r="F45" s="390" t="s">
        <v>1163</v>
      </c>
      <c r="G45" s="392" t="s">
        <v>1154</v>
      </c>
      <c r="H45" s="223"/>
      <c r="I45" s="393" t="s">
        <v>763</v>
      </c>
    </row>
    <row r="46" spans="1:11">
      <c r="A46" s="389"/>
      <c r="B46" s="390"/>
      <c r="C46" s="397">
        <f>C$27</f>
        <v>0.1434</v>
      </c>
      <c r="D46" s="397">
        <f>D$27</f>
        <v>7.7799999999999994E-2</v>
      </c>
      <c r="E46" s="397">
        <f>E$27</f>
        <v>0.15</v>
      </c>
      <c r="F46" s="412">
        <f>[1]MobStaff!F62</f>
        <v>0</v>
      </c>
      <c r="G46" s="397">
        <f>G$27</f>
        <v>0.01</v>
      </c>
      <c r="H46" s="400">
        <f>[1]MobStaff!H62</f>
        <v>0</v>
      </c>
      <c r="I46" s="401"/>
    </row>
    <row r="47" spans="1:11" ht="15.75">
      <c r="A47" s="402" t="s">
        <v>1513</v>
      </c>
      <c r="B47" s="403"/>
      <c r="C47" s="403"/>
      <c r="D47" s="404"/>
      <c r="E47" s="404"/>
      <c r="F47" s="403"/>
      <c r="G47" s="404"/>
      <c r="H47" s="204"/>
      <c r="I47" s="404"/>
    </row>
    <row r="48" spans="1:11">
      <c r="A48" s="347" t="str">
        <f t="shared" ref="A48:A55" si="2">A29</f>
        <v>PLANT MANAGER</v>
      </c>
      <c r="B48" s="406" t="s">
        <v>1171</v>
      </c>
      <c r="C48" s="406" t="s">
        <v>1171</v>
      </c>
      <c r="D48" s="406" t="s">
        <v>1171</v>
      </c>
      <c r="E48" s="406" t="s">
        <v>1171</v>
      </c>
      <c r="F48" s="406" t="s">
        <v>1171</v>
      </c>
      <c r="G48" s="406" t="s">
        <v>1171</v>
      </c>
      <c r="H48" s="406" t="s">
        <v>1171</v>
      </c>
      <c r="I48" s="406" t="s">
        <v>1171</v>
      </c>
    </row>
    <row r="49" spans="1:9" hidden="1">
      <c r="A49" s="347" t="str">
        <f t="shared" si="2"/>
        <v>MAINTENANCE MANAGER</v>
      </c>
      <c r="B49" s="406" t="s">
        <v>1171</v>
      </c>
      <c r="C49" s="406" t="s">
        <v>1171</v>
      </c>
      <c r="D49" s="406" t="s">
        <v>1171</v>
      </c>
      <c r="E49" s="406" t="s">
        <v>1171</v>
      </c>
      <c r="F49" s="406" t="s">
        <v>1171</v>
      </c>
      <c r="G49" s="406" t="s">
        <v>1171</v>
      </c>
      <c r="H49" s="406" t="s">
        <v>1171</v>
      </c>
      <c r="I49" s="406" t="s">
        <v>1171</v>
      </c>
    </row>
    <row r="50" spans="1:9" hidden="1">
      <c r="A50" s="347" t="str">
        <f t="shared" si="2"/>
        <v xml:space="preserve">PURCHASING / WAREHOUSE </v>
      </c>
      <c r="B50" s="406" t="s">
        <v>1171</v>
      </c>
      <c r="C50" s="406" t="s">
        <v>1171</v>
      </c>
      <c r="D50" s="406" t="s">
        <v>1171</v>
      </c>
      <c r="E50" s="406" t="s">
        <v>1171</v>
      </c>
      <c r="F50" s="406" t="s">
        <v>1171</v>
      </c>
      <c r="G50" s="406" t="s">
        <v>1171</v>
      </c>
      <c r="H50" s="406" t="s">
        <v>1171</v>
      </c>
      <c r="I50" s="406" t="s">
        <v>1171</v>
      </c>
    </row>
    <row r="51" spans="1:9" hidden="1">
      <c r="A51" s="347" t="str">
        <f t="shared" si="2"/>
        <v>CLERK</v>
      </c>
      <c r="B51" s="406">
        <f>B32*1.5</f>
        <v>18.375</v>
      </c>
      <c r="C51" s="407">
        <f>$B51*C$46</f>
        <v>2.6349749999999998</v>
      </c>
      <c r="D51" s="407">
        <f>$B51*D$46</f>
        <v>1.4295749999999998</v>
      </c>
      <c r="E51" s="407">
        <f>$B51*E$46</f>
        <v>2.7562500000000001</v>
      </c>
      <c r="F51" s="407">
        <f>$F$46*12/2080</f>
        <v>0</v>
      </c>
      <c r="G51" s="407">
        <f>SUM(B51:F51)*G$46</f>
        <v>0.25195800000000002</v>
      </c>
      <c r="H51" s="407">
        <f>$B51*H$46</f>
        <v>0</v>
      </c>
      <c r="I51" s="407">
        <f>SUM(B51:H51)</f>
        <v>25.447758</v>
      </c>
    </row>
    <row r="52" spans="1:9" ht="15.75">
      <c r="A52" s="402" t="str">
        <f t="shared" si="2"/>
        <v>Operations &amp; Maint.</v>
      </c>
      <c r="B52" s="413"/>
      <c r="C52" s="414"/>
      <c r="D52" s="414"/>
      <c r="E52" s="414"/>
      <c r="F52" s="414"/>
      <c r="G52" s="414"/>
      <c r="H52" s="414"/>
      <c r="I52" s="414"/>
    </row>
    <row r="53" spans="1:9" hidden="1">
      <c r="A53" s="347" t="str">
        <f t="shared" si="2"/>
        <v>PLANT SUPERVISOR</v>
      </c>
      <c r="B53" s="406" t="s">
        <v>1171</v>
      </c>
      <c r="C53" s="406" t="s">
        <v>1171</v>
      </c>
      <c r="D53" s="406" t="s">
        <v>1171</v>
      </c>
      <c r="E53" s="406" t="s">
        <v>1171</v>
      </c>
      <c r="F53" s="406" t="s">
        <v>1171</v>
      </c>
      <c r="G53" s="406" t="s">
        <v>1171</v>
      </c>
      <c r="H53" s="406" t="s">
        <v>1171</v>
      </c>
      <c r="I53" s="406" t="s">
        <v>1171</v>
      </c>
    </row>
    <row r="54" spans="1:9">
      <c r="A54" s="347" t="str">
        <f t="shared" si="2"/>
        <v>TECHNICIAN III</v>
      </c>
      <c r="B54" s="406">
        <f>B35*1.5</f>
        <v>32.451923076923073</v>
      </c>
      <c r="C54" s="407">
        <f t="shared" ref="C54:E55" si="3">$B54*C$46</f>
        <v>4.6536057692307686</v>
      </c>
      <c r="D54" s="407">
        <f t="shared" si="3"/>
        <v>2.5247596153846148</v>
      </c>
      <c r="E54" s="407">
        <f t="shared" si="3"/>
        <v>4.8677884615384608</v>
      </c>
      <c r="F54" s="407">
        <f>$F$46*12/2080</f>
        <v>0</v>
      </c>
      <c r="G54" s="407">
        <f>SUM(B54:F54)*G$46</f>
        <v>0.44498076923076924</v>
      </c>
      <c r="H54" s="407">
        <f>$B54*H$46</f>
        <v>0</v>
      </c>
      <c r="I54" s="407">
        <f>SUM(B54:H54)</f>
        <v>44.94305769230769</v>
      </c>
    </row>
    <row r="55" spans="1:9" hidden="1">
      <c r="A55" s="347" t="str">
        <f t="shared" si="2"/>
        <v>TECHNICIAN II</v>
      </c>
      <c r="B55" s="406">
        <f>B36*1.5</f>
        <v>24</v>
      </c>
      <c r="C55" s="407">
        <f t="shared" si="3"/>
        <v>3.4416000000000002</v>
      </c>
      <c r="D55" s="407">
        <f t="shared" si="3"/>
        <v>1.8672</v>
      </c>
      <c r="E55" s="407">
        <f t="shared" si="3"/>
        <v>3.5999999999999996</v>
      </c>
      <c r="F55" s="407">
        <f>$F$46*12/2080</f>
        <v>0</v>
      </c>
      <c r="G55" s="407">
        <f>SUM(B55:F55)*G$46</f>
        <v>0.32908799999999999</v>
      </c>
      <c r="H55" s="407">
        <f>$B55*H$46</f>
        <v>0</v>
      </c>
      <c r="I55" s="407">
        <f>SUM(B55:H55)</f>
        <v>33.237887999999998</v>
      </c>
    </row>
    <row r="58" spans="1:9" ht="15.75">
      <c r="A58" s="381" t="s">
        <v>109</v>
      </c>
      <c r="B58" s="185"/>
      <c r="C58" s="185"/>
      <c r="D58" s="185"/>
      <c r="E58" s="3"/>
      <c r="F58" s="185"/>
      <c r="H58" s="185"/>
      <c r="I58" s="185"/>
    </row>
    <row r="59" spans="1:9">
      <c r="A59" s="382"/>
      <c r="B59" s="382"/>
      <c r="C59" s="382"/>
      <c r="D59" s="382"/>
      <c r="E59" s="383"/>
      <c r="F59" s="382"/>
      <c r="H59" s="186"/>
      <c r="I59" s="186"/>
    </row>
    <row r="60" spans="1:9">
      <c r="A60" s="384"/>
      <c r="B60" s="385"/>
      <c r="C60" s="386"/>
      <c r="D60" s="386"/>
      <c r="E60" s="386"/>
      <c r="F60" s="386"/>
      <c r="G60" s="569"/>
      <c r="H60" s="166"/>
      <c r="I60" s="395"/>
    </row>
    <row r="61" spans="1:9">
      <c r="A61" s="389"/>
      <c r="B61" s="390" t="s">
        <v>115</v>
      </c>
      <c r="C61" s="391" t="s">
        <v>111</v>
      </c>
      <c r="D61" s="391" t="s">
        <v>114</v>
      </c>
      <c r="E61" s="391"/>
      <c r="F61" s="390"/>
      <c r="G61" s="570"/>
      <c r="H61" s="166"/>
      <c r="I61" s="395"/>
    </row>
    <row r="62" spans="1:9">
      <c r="A62" s="389" t="s">
        <v>1150</v>
      </c>
      <c r="B62" s="390" t="s">
        <v>1151</v>
      </c>
      <c r="C62" s="394" t="s">
        <v>112</v>
      </c>
      <c r="D62" s="394" t="s">
        <v>113</v>
      </c>
      <c r="E62" s="394"/>
      <c r="F62" s="390"/>
      <c r="G62" s="393" t="s">
        <v>1213</v>
      </c>
      <c r="H62" s="565"/>
      <c r="I62" s="166"/>
    </row>
    <row r="63" spans="1:9">
      <c r="A63" s="389" t="s">
        <v>1159</v>
      </c>
      <c r="B63" s="390" t="s">
        <v>1160</v>
      </c>
      <c r="C63" s="390" t="s">
        <v>117</v>
      </c>
      <c r="D63" s="390" t="s">
        <v>1215</v>
      </c>
      <c r="E63" s="390" t="s">
        <v>1214</v>
      </c>
      <c r="F63" s="390" t="s">
        <v>118</v>
      </c>
      <c r="G63" s="393" t="s">
        <v>763</v>
      </c>
      <c r="H63" s="166"/>
      <c r="I63" s="166"/>
    </row>
    <row r="64" spans="1:9">
      <c r="A64" s="389"/>
      <c r="B64" s="390"/>
      <c r="C64" s="397"/>
      <c r="D64" s="390" t="s">
        <v>116</v>
      </c>
      <c r="E64" s="411"/>
      <c r="F64" s="412"/>
      <c r="G64" s="571"/>
      <c r="H64" s="566"/>
      <c r="I64" s="567"/>
    </row>
    <row r="65" spans="1:18" ht="15.75">
      <c r="A65" s="402" t="str">
        <f>$A$52</f>
        <v>Operations &amp; Maint.</v>
      </c>
      <c r="B65" s="403"/>
      <c r="C65" s="403"/>
      <c r="D65" s="404"/>
      <c r="E65" s="404"/>
      <c r="F65" s="403"/>
      <c r="G65" s="404"/>
      <c r="H65" s="166"/>
      <c r="I65" s="567"/>
    </row>
    <row r="66" spans="1:18">
      <c r="A66" s="347" t="s">
        <v>110</v>
      </c>
      <c r="B66" s="406">
        <v>45</v>
      </c>
      <c r="C66" s="406">
        <v>280</v>
      </c>
      <c r="D66" s="406">
        <v>1000</v>
      </c>
      <c r="E66" s="406">
        <v>48</v>
      </c>
      <c r="F66" s="406">
        <v>15</v>
      </c>
      <c r="G66" s="406">
        <f>((B66*E66+C66)*F66+D66)/(E66*F66)</f>
        <v>52.222222222222221</v>
      </c>
      <c r="H66" s="568"/>
      <c r="I66" s="568"/>
    </row>
    <row r="68" spans="1:18" ht="13.5" thickBot="1">
      <c r="B68" s="734" t="s">
        <v>1092</v>
      </c>
      <c r="C68" s="734"/>
      <c r="D68" s="734"/>
      <c r="E68" s="734"/>
      <c r="F68" s="734"/>
      <c r="G68" s="734"/>
      <c r="H68" s="734"/>
      <c r="I68" s="734"/>
      <c r="J68" s="734"/>
      <c r="M68" s="236"/>
      <c r="N68" s="236"/>
      <c r="O68" s="236"/>
      <c r="P68" s="236"/>
      <c r="Q68" s="236"/>
      <c r="R68" s="236"/>
    </row>
    <row r="69" spans="1:18">
      <c r="C69" s="731" t="s">
        <v>1093</v>
      </c>
      <c r="D69" s="732"/>
      <c r="E69" s="732"/>
      <c r="F69" s="732"/>
      <c r="G69" s="733"/>
      <c r="H69" s="731" t="s">
        <v>1094</v>
      </c>
      <c r="I69" s="732"/>
      <c r="J69" s="733"/>
      <c r="L69" s="573"/>
      <c r="M69" s="573"/>
      <c r="N69" s="735"/>
      <c r="O69" s="735"/>
      <c r="P69" s="735"/>
      <c r="Q69" s="735"/>
      <c r="R69" s="735"/>
    </row>
    <row r="70" spans="1:18">
      <c r="A70" s="555" t="s">
        <v>692</v>
      </c>
      <c r="B70" s="350" t="s">
        <v>1095</v>
      </c>
      <c r="C70" s="554" t="s">
        <v>774</v>
      </c>
      <c r="D70" s="555" t="s">
        <v>1096</v>
      </c>
      <c r="E70" s="556" t="s">
        <v>1021</v>
      </c>
      <c r="F70" s="556" t="s">
        <v>1097</v>
      </c>
      <c r="G70" s="557" t="s">
        <v>1098</v>
      </c>
      <c r="H70" s="351" t="s">
        <v>783</v>
      </c>
      <c r="I70" s="233" t="s">
        <v>1099</v>
      </c>
      <c r="J70" s="352" t="s">
        <v>1100</v>
      </c>
      <c r="L70" s="573"/>
      <c r="M70" s="572"/>
      <c r="N70" s="572"/>
      <c r="O70" s="572"/>
      <c r="P70" s="572"/>
      <c r="Q70" s="572"/>
      <c r="R70" s="572"/>
    </row>
    <row r="71" spans="1:18">
      <c r="A71" s="556" t="s">
        <v>1212</v>
      </c>
      <c r="B71" s="355" t="s">
        <v>1103</v>
      </c>
      <c r="C71" s="356" t="s">
        <v>1104</v>
      </c>
      <c r="D71" s="233"/>
      <c r="E71" s="233"/>
      <c r="F71" s="357"/>
      <c r="G71" s="358" t="s">
        <v>1104</v>
      </c>
      <c r="H71" s="351"/>
      <c r="I71" s="233"/>
      <c r="J71" s="352"/>
      <c r="L71" s="573"/>
      <c r="M71" s="574"/>
      <c r="N71" s="575"/>
      <c r="O71" s="572"/>
      <c r="P71" s="572"/>
      <c r="Q71" s="575"/>
      <c r="R71" s="575"/>
    </row>
    <row r="72" spans="1:18">
      <c r="B72" s="355" t="s">
        <v>1107</v>
      </c>
      <c r="C72" s="356" t="s">
        <v>1104</v>
      </c>
      <c r="D72" s="233"/>
      <c r="E72" s="233"/>
      <c r="F72" s="357"/>
      <c r="G72" s="358" t="s">
        <v>1104</v>
      </c>
      <c r="H72" s="351"/>
      <c r="I72" s="233"/>
      <c r="J72" s="352"/>
      <c r="L72" s="573"/>
      <c r="M72" s="574"/>
      <c r="N72" s="575"/>
      <c r="O72" s="572"/>
      <c r="P72" s="572"/>
      <c r="Q72" s="575"/>
      <c r="R72" s="575"/>
    </row>
    <row r="73" spans="1:18">
      <c r="B73" s="355" t="s">
        <v>1112</v>
      </c>
      <c r="C73" s="356" t="s">
        <v>1104</v>
      </c>
      <c r="D73" s="233"/>
      <c r="E73" s="233"/>
      <c r="F73" s="357"/>
      <c r="G73" s="358" t="s">
        <v>1104</v>
      </c>
      <c r="H73" s="351"/>
      <c r="I73" s="233"/>
      <c r="J73" s="352"/>
      <c r="L73" s="573"/>
      <c r="M73" s="574"/>
      <c r="N73" s="575"/>
      <c r="O73" s="572"/>
      <c r="P73" s="572"/>
      <c r="Q73" s="575"/>
      <c r="R73" s="575"/>
    </row>
    <row r="74" spans="1:18" ht="13.5" thickBot="1">
      <c r="A74" s="184" t="s">
        <v>1113</v>
      </c>
      <c r="B74" s="364" t="s">
        <v>1114</v>
      </c>
      <c r="C74" s="356" t="s">
        <v>1104</v>
      </c>
      <c r="D74" s="233"/>
      <c r="E74" s="233"/>
      <c r="F74" s="357"/>
      <c r="G74" s="358" t="s">
        <v>1104</v>
      </c>
      <c r="H74" s="351"/>
      <c r="I74" s="233"/>
      <c r="J74" s="352"/>
      <c r="L74" s="573"/>
      <c r="M74" s="574"/>
      <c r="N74" s="575"/>
      <c r="O74" s="572"/>
      <c r="P74" s="572"/>
      <c r="Q74" s="575"/>
      <c r="R74" s="575"/>
    </row>
    <row r="75" spans="1:18">
      <c r="B75" s="365" t="s">
        <v>1115</v>
      </c>
      <c r="C75" s="356" t="s">
        <v>1104</v>
      </c>
      <c r="D75" s="366"/>
      <c r="E75" s="357" t="s">
        <v>1104</v>
      </c>
      <c r="F75" s="357"/>
      <c r="G75" s="367"/>
      <c r="H75" s="368"/>
      <c r="I75" s="366"/>
      <c r="J75" s="367"/>
      <c r="L75" s="573"/>
      <c r="M75" s="574"/>
      <c r="N75" s="575"/>
      <c r="O75" s="572"/>
      <c r="P75" s="572"/>
      <c r="Q75" s="575"/>
      <c r="R75" s="575"/>
    </row>
    <row r="76" spans="1:18">
      <c r="B76" s="355" t="s">
        <v>1116</v>
      </c>
      <c r="C76" s="356" t="s">
        <v>1104</v>
      </c>
      <c r="D76" s="233"/>
      <c r="E76" s="357" t="s">
        <v>1104</v>
      </c>
      <c r="F76" s="357"/>
      <c r="G76" s="352"/>
      <c r="H76" s="356" t="s">
        <v>1104</v>
      </c>
      <c r="I76" s="233"/>
      <c r="J76" s="352"/>
      <c r="L76" s="573"/>
      <c r="M76" s="574"/>
      <c r="N76" s="575"/>
      <c r="O76" s="572"/>
      <c r="P76" s="572"/>
      <c r="Q76" s="575"/>
      <c r="R76" s="575"/>
    </row>
    <row r="77" spans="1:18">
      <c r="B77" s="355" t="s">
        <v>1117</v>
      </c>
      <c r="C77" s="356" t="s">
        <v>1104</v>
      </c>
      <c r="D77" s="233"/>
      <c r="E77" s="357" t="s">
        <v>1104</v>
      </c>
      <c r="F77" s="357"/>
      <c r="G77" s="352"/>
      <c r="H77" s="351"/>
      <c r="I77" s="357" t="s">
        <v>1104</v>
      </c>
      <c r="J77" s="352"/>
      <c r="L77" s="573"/>
      <c r="M77" s="574"/>
      <c r="N77" s="575"/>
      <c r="O77" s="572"/>
      <c r="P77" s="575"/>
      <c r="Q77" s="575"/>
      <c r="R77" s="572"/>
    </row>
    <row r="78" spans="1:18">
      <c r="B78" s="355" t="s">
        <v>1118</v>
      </c>
      <c r="C78" s="356" t="s">
        <v>1104</v>
      </c>
      <c r="D78" s="233"/>
      <c r="E78" s="357" t="s">
        <v>1104</v>
      </c>
      <c r="F78" s="357"/>
      <c r="G78" s="352"/>
      <c r="H78" s="351"/>
      <c r="I78" s="357" t="s">
        <v>1104</v>
      </c>
      <c r="J78" s="352"/>
      <c r="L78" s="573"/>
      <c r="M78" s="574"/>
      <c r="N78" s="575"/>
      <c r="O78" s="572"/>
      <c r="P78" s="575"/>
      <c r="Q78" s="575"/>
      <c r="R78" s="572"/>
    </row>
    <row r="79" spans="1:18">
      <c r="B79" s="355" t="s">
        <v>1119</v>
      </c>
      <c r="C79" s="356" t="s">
        <v>1104</v>
      </c>
      <c r="D79" s="233"/>
      <c r="E79" s="357" t="s">
        <v>1104</v>
      </c>
      <c r="F79" s="357"/>
      <c r="G79" s="352"/>
      <c r="H79" s="351"/>
      <c r="I79" s="357" t="s">
        <v>1104</v>
      </c>
      <c r="J79" s="352"/>
      <c r="L79" s="573"/>
      <c r="M79" s="574"/>
      <c r="N79" s="575"/>
      <c r="O79" s="572"/>
      <c r="P79" s="575"/>
      <c r="Q79" s="575"/>
      <c r="R79" s="572"/>
    </row>
    <row r="80" spans="1:18">
      <c r="B80" s="355" t="s">
        <v>1120</v>
      </c>
      <c r="C80" s="356" t="s">
        <v>1104</v>
      </c>
      <c r="D80" s="233"/>
      <c r="E80" s="357" t="s">
        <v>1104</v>
      </c>
      <c r="F80" s="357"/>
      <c r="G80" s="352"/>
      <c r="H80" s="351"/>
      <c r="I80" s="357" t="s">
        <v>1104</v>
      </c>
      <c r="J80" s="352"/>
      <c r="L80" s="573"/>
      <c r="M80" s="574"/>
      <c r="N80" s="575"/>
      <c r="O80" s="572"/>
      <c r="P80" s="575"/>
      <c r="Q80" s="575"/>
      <c r="R80" s="572"/>
    </row>
    <row r="81" spans="1:18">
      <c r="B81" s="355" t="s">
        <v>1121</v>
      </c>
      <c r="C81" s="356" t="s">
        <v>1104</v>
      </c>
      <c r="D81" s="233"/>
      <c r="E81" s="357" t="s">
        <v>1104</v>
      </c>
      <c r="F81" s="357"/>
      <c r="G81" s="352"/>
      <c r="H81" s="351"/>
      <c r="I81" s="357" t="s">
        <v>1104</v>
      </c>
      <c r="J81" s="352"/>
      <c r="L81" s="573"/>
      <c r="M81" s="574"/>
      <c r="N81" s="575"/>
      <c r="O81" s="572"/>
      <c r="P81" s="575"/>
      <c r="Q81" s="575"/>
      <c r="R81" s="572"/>
    </row>
    <row r="82" spans="1:18" ht="13.5" thickBot="1">
      <c r="A82" s="184" t="s">
        <v>1113</v>
      </c>
      <c r="B82" s="364" t="s">
        <v>1122</v>
      </c>
      <c r="C82" s="356" t="s">
        <v>1104</v>
      </c>
      <c r="D82" s="233"/>
      <c r="E82" s="357" t="s">
        <v>1104</v>
      </c>
      <c r="F82" s="357"/>
      <c r="G82" s="352"/>
      <c r="H82" s="351"/>
      <c r="I82" s="357" t="s">
        <v>1104</v>
      </c>
      <c r="J82" s="352"/>
      <c r="L82" s="573"/>
      <c r="M82" s="574"/>
      <c r="N82" s="575"/>
      <c r="O82" s="572"/>
      <c r="P82" s="575"/>
      <c r="Q82" s="575"/>
      <c r="R82" s="572"/>
    </row>
    <row r="83" spans="1:18">
      <c r="B83" s="365" t="s">
        <v>1123</v>
      </c>
      <c r="C83" s="356"/>
      <c r="D83" s="357" t="s">
        <v>1104</v>
      </c>
      <c r="E83" s="366"/>
      <c r="F83" s="357" t="s">
        <v>1104</v>
      </c>
      <c r="G83" s="367"/>
      <c r="H83" s="368"/>
      <c r="I83" s="357" t="s">
        <v>1104</v>
      </c>
      <c r="J83" s="367"/>
      <c r="L83" s="573"/>
      <c r="M83" s="574"/>
      <c r="N83" s="575"/>
      <c r="O83" s="572"/>
      <c r="P83" s="575"/>
      <c r="Q83" s="575"/>
      <c r="R83" s="572"/>
    </row>
    <row r="84" spans="1:18">
      <c r="B84" s="355" t="s">
        <v>1124</v>
      </c>
      <c r="C84" s="356"/>
      <c r="D84" s="357" t="s">
        <v>1104</v>
      </c>
      <c r="E84" s="233"/>
      <c r="F84" s="357" t="s">
        <v>1104</v>
      </c>
      <c r="G84" s="352"/>
      <c r="H84" s="351"/>
      <c r="I84" s="357" t="s">
        <v>1104</v>
      </c>
      <c r="J84" s="352"/>
      <c r="L84" s="573"/>
      <c r="M84" s="574"/>
      <c r="N84" s="575"/>
      <c r="O84" s="572"/>
      <c r="P84" s="575"/>
      <c r="Q84" s="575"/>
      <c r="R84" s="572"/>
    </row>
    <row r="85" spans="1:18">
      <c r="B85" s="355" t="s">
        <v>1125</v>
      </c>
      <c r="C85" s="356"/>
      <c r="D85" s="357" t="s">
        <v>1104</v>
      </c>
      <c r="E85" s="233"/>
      <c r="F85" s="357" t="s">
        <v>1104</v>
      </c>
      <c r="G85" s="352"/>
      <c r="H85" s="351"/>
      <c r="I85" s="357" t="s">
        <v>1104</v>
      </c>
      <c r="J85" s="352"/>
      <c r="L85" s="573"/>
      <c r="M85" s="574"/>
      <c r="N85" s="575"/>
      <c r="O85" s="575"/>
      <c r="P85" s="572"/>
      <c r="Q85" s="575"/>
      <c r="R85" s="572"/>
    </row>
    <row r="86" spans="1:18">
      <c r="B86" s="355" t="s">
        <v>1126</v>
      </c>
      <c r="C86" s="356"/>
      <c r="D86" s="357" t="s">
        <v>1104</v>
      </c>
      <c r="E86" s="233"/>
      <c r="F86" s="357" t="s">
        <v>1104</v>
      </c>
      <c r="G86" s="352"/>
      <c r="H86" s="351"/>
      <c r="I86" s="357" t="s">
        <v>1104</v>
      </c>
      <c r="J86" s="352"/>
      <c r="L86" s="573"/>
      <c r="M86" s="574"/>
      <c r="N86" s="575"/>
      <c r="O86" s="575"/>
      <c r="P86" s="572"/>
      <c r="Q86" s="575"/>
      <c r="R86" s="572"/>
    </row>
    <row r="87" spans="1:18">
      <c r="B87" s="355" t="s">
        <v>1127</v>
      </c>
      <c r="C87" s="356"/>
      <c r="D87" s="357" t="s">
        <v>1104</v>
      </c>
      <c r="E87" s="233"/>
      <c r="F87" s="357" t="s">
        <v>1104</v>
      </c>
      <c r="G87" s="352"/>
      <c r="H87" s="351"/>
      <c r="I87" s="357" t="s">
        <v>1104</v>
      </c>
      <c r="J87" s="352"/>
      <c r="L87" s="573"/>
      <c r="M87" s="574"/>
      <c r="N87" s="575"/>
      <c r="O87" s="575"/>
      <c r="P87" s="572"/>
      <c r="Q87" s="575"/>
      <c r="R87" s="572"/>
    </row>
    <row r="88" spans="1:18">
      <c r="B88" s="355" t="s">
        <v>1128</v>
      </c>
      <c r="C88" s="356"/>
      <c r="D88" s="357" t="s">
        <v>1104</v>
      </c>
      <c r="E88" s="233"/>
      <c r="F88" s="357" t="s">
        <v>1104</v>
      </c>
      <c r="G88" s="352"/>
      <c r="H88" s="351"/>
      <c r="I88" s="357" t="s">
        <v>1104</v>
      </c>
      <c r="J88" s="352"/>
      <c r="L88" s="573"/>
      <c r="M88" s="574"/>
      <c r="N88" s="575"/>
      <c r="O88" s="575"/>
      <c r="P88" s="572"/>
      <c r="Q88" s="575"/>
      <c r="R88" s="572"/>
    </row>
    <row r="89" spans="1:18">
      <c r="B89" s="355" t="s">
        <v>1129</v>
      </c>
      <c r="C89" s="356"/>
      <c r="D89" s="357" t="s">
        <v>1104</v>
      </c>
      <c r="E89" s="233"/>
      <c r="F89" s="357" t="s">
        <v>1104</v>
      </c>
      <c r="G89" s="352"/>
      <c r="H89" s="351"/>
      <c r="I89" s="357" t="s">
        <v>1104</v>
      </c>
      <c r="J89" s="352"/>
      <c r="L89" s="573"/>
      <c r="M89" s="574"/>
      <c r="N89" s="575"/>
      <c r="O89" s="575"/>
      <c r="P89" s="572"/>
      <c r="Q89" s="575"/>
      <c r="R89" s="572"/>
    </row>
    <row r="90" spans="1:18" ht="13.5" thickBot="1">
      <c r="A90" s="184" t="s">
        <v>1113</v>
      </c>
      <c r="B90" s="364" t="s">
        <v>1130</v>
      </c>
      <c r="C90" s="356"/>
      <c r="D90" s="357" t="s">
        <v>1104</v>
      </c>
      <c r="E90" s="233"/>
      <c r="F90" s="357" t="s">
        <v>1104</v>
      </c>
      <c r="G90" s="352"/>
      <c r="H90" s="351"/>
      <c r="I90" s="357" t="s">
        <v>1104</v>
      </c>
      <c r="J90" s="352"/>
      <c r="L90" s="573"/>
      <c r="M90" s="574"/>
      <c r="N90" s="575"/>
      <c r="O90" s="575"/>
      <c r="P90" s="572"/>
      <c r="Q90" s="575"/>
      <c r="R90" s="572"/>
    </row>
    <row r="91" spans="1:18">
      <c r="B91" s="365" t="s">
        <v>1131</v>
      </c>
      <c r="C91" s="368"/>
      <c r="D91" s="357" t="s">
        <v>1104</v>
      </c>
      <c r="E91" s="366"/>
      <c r="F91" s="366"/>
      <c r="G91" s="358" t="s">
        <v>1104</v>
      </c>
      <c r="H91" s="368"/>
      <c r="I91" s="357" t="s">
        <v>1104</v>
      </c>
      <c r="J91" s="367"/>
      <c r="L91" s="573"/>
      <c r="M91" s="574"/>
      <c r="N91" s="572"/>
      <c r="O91" s="575"/>
      <c r="P91" s="572"/>
      <c r="Q91" s="575"/>
      <c r="R91" s="575"/>
    </row>
    <row r="92" spans="1:18">
      <c r="B92" s="355" t="s">
        <v>1132</v>
      </c>
      <c r="C92" s="351"/>
      <c r="D92" s="357" t="s">
        <v>1104</v>
      </c>
      <c r="E92" s="233"/>
      <c r="F92" s="233"/>
      <c r="G92" s="358" t="s">
        <v>1104</v>
      </c>
      <c r="H92" s="351"/>
      <c r="I92" s="357" t="s">
        <v>1104</v>
      </c>
      <c r="J92" s="352"/>
      <c r="L92" s="573"/>
      <c r="M92" s="574"/>
      <c r="N92" s="572"/>
      <c r="O92" s="575"/>
      <c r="P92" s="572"/>
      <c r="Q92" s="575"/>
      <c r="R92" s="575"/>
    </row>
    <row r="93" spans="1:18">
      <c r="B93" s="355" t="s">
        <v>1133</v>
      </c>
      <c r="C93" s="351"/>
      <c r="D93" s="357" t="s">
        <v>1104</v>
      </c>
      <c r="E93" s="233"/>
      <c r="F93" s="233"/>
      <c r="G93" s="358" t="s">
        <v>1104</v>
      </c>
      <c r="H93" s="351"/>
      <c r="I93" s="233"/>
      <c r="J93" s="358" t="s">
        <v>1104</v>
      </c>
      <c r="L93" s="573"/>
      <c r="M93" s="574"/>
      <c r="N93" s="572"/>
      <c r="O93" s="575"/>
      <c r="P93" s="572"/>
      <c r="Q93" s="575"/>
      <c r="R93" s="575"/>
    </row>
    <row r="94" spans="1:18" ht="13.5" thickBot="1">
      <c r="B94" s="355" t="s">
        <v>1134</v>
      </c>
      <c r="C94" s="375"/>
      <c r="D94" s="376" t="s">
        <v>1104</v>
      </c>
      <c r="E94" s="377"/>
      <c r="F94" s="377"/>
      <c r="G94" s="378" t="s">
        <v>1104</v>
      </c>
      <c r="H94" s="375"/>
      <c r="I94" s="377"/>
      <c r="J94" s="379"/>
      <c r="L94" s="573"/>
      <c r="M94" s="574"/>
      <c r="N94" s="572"/>
      <c r="O94" s="572"/>
      <c r="P94" s="572"/>
      <c r="Q94" s="572"/>
      <c r="R94" s="575"/>
    </row>
    <row r="95" spans="1:18">
      <c r="A95" t="s">
        <v>1135</v>
      </c>
      <c r="B95" s="143" t="s">
        <v>1136</v>
      </c>
      <c r="C95" s="454">
        <f>IF(COUNTA(C71:C94)&gt;8,8,COUNTA(C71:C94))</f>
        <v>8</v>
      </c>
      <c r="D95" s="454">
        <f>IF(COUNTA(D71:D94)&gt;8,8,COUNTA(D71:D94))</f>
        <v>8</v>
      </c>
      <c r="E95" s="454">
        <f>IF(COUNTA(E71:E94)&gt;8,8,COUNTA(E71:E94))</f>
        <v>8</v>
      </c>
      <c r="F95" s="454">
        <f>IF(COUNTA(F71:F94)&gt;8,8,COUNTA(F71:F94))</f>
        <v>8</v>
      </c>
      <c r="G95" s="454">
        <f>IF(COUNTA(G71:G94)&gt;8,8,COUNTA(G71:G94))</f>
        <v>8</v>
      </c>
      <c r="L95" s="573"/>
      <c r="M95" s="572"/>
      <c r="N95" s="572"/>
      <c r="O95" s="572"/>
      <c r="P95" s="572"/>
      <c r="Q95" s="572"/>
      <c r="R95" s="572"/>
    </row>
    <row r="96" spans="1:18">
      <c r="B96" s="143" t="s">
        <v>1137</v>
      </c>
      <c r="C96" s="454">
        <f>IF(COUNTA(C71:C94)&gt;8,COUNTA(C71:C94)-8,0)</f>
        <v>4</v>
      </c>
      <c r="D96" s="454">
        <f>IF(COUNTA(D71:D94)&gt;8,COUNTA(D71:D94)-8,0)</f>
        <v>4</v>
      </c>
      <c r="E96" s="454">
        <f>IF(COUNTA(E71:E94)&gt;8,COUNTA(E71:E94)-8,0)</f>
        <v>0</v>
      </c>
      <c r="F96" s="454">
        <f>IF(COUNTA(F71:F94)&gt;8,COUNTA(F71:F94)-8,0)</f>
        <v>0</v>
      </c>
      <c r="G96" s="454">
        <f>IF(COUNTA(G71:G94)&gt;8,COUNTA(G71:G94)-8,0)</f>
        <v>0</v>
      </c>
      <c r="L96" s="573"/>
      <c r="M96" s="572"/>
      <c r="N96" s="572"/>
      <c r="O96" s="572"/>
      <c r="P96" s="572"/>
      <c r="Q96" s="572"/>
      <c r="R96" s="572"/>
    </row>
    <row r="97" spans="1:18">
      <c r="L97" s="573"/>
      <c r="M97" s="573"/>
      <c r="N97" s="573"/>
      <c r="O97" s="573"/>
      <c r="P97" s="573"/>
      <c r="Q97" s="573"/>
      <c r="R97" s="573"/>
    </row>
    <row r="98" spans="1:18">
      <c r="C98" s="233" t="s">
        <v>774</v>
      </c>
      <c r="D98" s="233" t="s">
        <v>1096</v>
      </c>
      <c r="E98" s="233" t="s">
        <v>1021</v>
      </c>
      <c r="F98" s="233" t="s">
        <v>1097</v>
      </c>
      <c r="G98" s="233" t="s">
        <v>1098</v>
      </c>
      <c r="L98" s="573"/>
      <c r="M98" s="573"/>
      <c r="N98" s="572"/>
      <c r="O98" s="572"/>
      <c r="P98" s="572"/>
      <c r="Q98" s="572"/>
      <c r="R98" s="572"/>
    </row>
    <row r="99" spans="1:18">
      <c r="A99" s="233" t="s">
        <v>1138</v>
      </c>
      <c r="B99" s="233" t="s">
        <v>1136</v>
      </c>
      <c r="C99" s="454">
        <f>C95*5</f>
        <v>40</v>
      </c>
      <c r="D99" s="454">
        <f>D95*5</f>
        <v>40</v>
      </c>
      <c r="E99" s="454">
        <f>E95*5</f>
        <v>40</v>
      </c>
      <c r="F99" s="454">
        <f>F95*5</f>
        <v>40</v>
      </c>
      <c r="G99" s="454">
        <f>G95*5</f>
        <v>40</v>
      </c>
      <c r="L99" s="572"/>
      <c r="M99" s="572"/>
      <c r="N99" s="572"/>
      <c r="O99" s="572"/>
      <c r="P99" s="572"/>
      <c r="Q99" s="572"/>
      <c r="R99" s="572"/>
    </row>
    <row r="100" spans="1:18">
      <c r="A100" s="233">
        <v>1</v>
      </c>
      <c r="B100" s="233" t="s">
        <v>1137</v>
      </c>
      <c r="C100" s="454">
        <f>C96*5</f>
        <v>20</v>
      </c>
      <c r="D100" s="454">
        <f>D96*5</f>
        <v>20</v>
      </c>
      <c r="E100" s="370">
        <v>0</v>
      </c>
      <c r="F100" s="370">
        <v>0</v>
      </c>
      <c r="G100" s="370">
        <v>0</v>
      </c>
      <c r="L100" s="572"/>
      <c r="M100" s="572"/>
      <c r="N100" s="572"/>
      <c r="O100" s="572"/>
      <c r="P100" s="572"/>
      <c r="Q100" s="572"/>
      <c r="R100" s="572"/>
    </row>
    <row r="101" spans="1:18">
      <c r="A101" s="233"/>
      <c r="B101" s="233"/>
      <c r="C101" s="233"/>
      <c r="D101" s="233"/>
      <c r="E101" s="233"/>
      <c r="F101" s="233"/>
      <c r="G101" s="233"/>
      <c r="L101" s="572"/>
      <c r="M101" s="572"/>
      <c r="N101" s="572"/>
      <c r="O101" s="572"/>
      <c r="P101" s="572"/>
      <c r="Q101" s="572"/>
      <c r="R101" s="572"/>
    </row>
    <row r="102" spans="1:18">
      <c r="A102" s="233" t="s">
        <v>1138</v>
      </c>
      <c r="B102" s="233" t="s">
        <v>1136</v>
      </c>
      <c r="C102" s="454">
        <f>C99</f>
        <v>40</v>
      </c>
      <c r="D102" s="454">
        <f>D99</f>
        <v>40</v>
      </c>
      <c r="E102" s="454">
        <v>60</v>
      </c>
      <c r="F102" s="454">
        <f>F99</f>
        <v>40</v>
      </c>
      <c r="G102" s="454">
        <f>G99</f>
        <v>40</v>
      </c>
      <c r="L102" s="572"/>
      <c r="M102" s="572"/>
      <c r="N102" s="572"/>
      <c r="O102" s="572"/>
      <c r="P102" s="572"/>
      <c r="Q102" s="572"/>
      <c r="R102" s="572"/>
    </row>
    <row r="103" spans="1:18">
      <c r="A103" s="233">
        <v>2</v>
      </c>
      <c r="B103" s="233" t="s">
        <v>1137</v>
      </c>
      <c r="C103" s="370">
        <v>0</v>
      </c>
      <c r="D103" s="454">
        <f>C96*5</f>
        <v>20</v>
      </c>
      <c r="E103" s="454">
        <v>0</v>
      </c>
      <c r="F103" s="370">
        <v>0</v>
      </c>
      <c r="G103" s="370">
        <v>0</v>
      </c>
      <c r="L103" s="572"/>
      <c r="M103" s="572"/>
      <c r="N103" s="572"/>
      <c r="O103" s="572"/>
      <c r="P103" s="572"/>
      <c r="Q103" s="572"/>
      <c r="R103" s="572"/>
    </row>
    <row r="104" spans="1:18">
      <c r="A104" s="233"/>
      <c r="B104" s="233"/>
      <c r="C104" s="233"/>
      <c r="D104" s="233"/>
      <c r="E104" s="233"/>
      <c r="F104" s="233"/>
      <c r="G104" s="233"/>
      <c r="L104" s="572"/>
      <c r="M104" s="572"/>
      <c r="N104" s="572"/>
      <c r="O104" s="572"/>
      <c r="P104" s="572"/>
      <c r="Q104" s="572"/>
      <c r="R104" s="572"/>
    </row>
    <row r="105" spans="1:18">
      <c r="A105" s="233" t="s">
        <v>1138</v>
      </c>
      <c r="B105" s="233" t="s">
        <v>1136</v>
      </c>
      <c r="C105" s="454">
        <f>C99</f>
        <v>40</v>
      </c>
      <c r="D105" s="454">
        <f>D99</f>
        <v>40</v>
      </c>
      <c r="E105" s="454">
        <v>60</v>
      </c>
      <c r="F105" s="454">
        <v>60</v>
      </c>
      <c r="G105" s="454">
        <f>G99</f>
        <v>40</v>
      </c>
      <c r="L105" s="572"/>
      <c r="M105" s="572"/>
      <c r="N105" s="572"/>
      <c r="O105" s="572"/>
      <c r="P105" s="572"/>
      <c r="Q105" s="572"/>
      <c r="R105" s="572"/>
    </row>
    <row r="106" spans="1:18">
      <c r="A106" s="233">
        <v>3</v>
      </c>
      <c r="B106" s="233" t="s">
        <v>1137</v>
      </c>
      <c r="C106" s="370">
        <v>0</v>
      </c>
      <c r="D106" s="370">
        <v>0</v>
      </c>
      <c r="E106" s="454">
        <v>0</v>
      </c>
      <c r="F106" s="454">
        <v>0</v>
      </c>
      <c r="G106" s="370">
        <v>0</v>
      </c>
      <c r="L106" s="572"/>
      <c r="M106" s="572"/>
      <c r="N106" s="572"/>
      <c r="O106" s="572"/>
      <c r="P106" s="572"/>
      <c r="Q106" s="572"/>
      <c r="R106" s="572"/>
    </row>
    <row r="107" spans="1:18">
      <c r="A107" s="233"/>
      <c r="B107" s="233"/>
      <c r="C107" s="233"/>
      <c r="D107" s="233"/>
      <c r="E107" s="233"/>
      <c r="F107" s="233"/>
      <c r="G107" s="233"/>
      <c r="L107" s="572"/>
      <c r="M107" s="572"/>
      <c r="N107" s="572"/>
      <c r="O107" s="572"/>
      <c r="P107" s="572"/>
      <c r="Q107" s="572"/>
      <c r="R107" s="572"/>
    </row>
    <row r="108" spans="1:18">
      <c r="A108" s="233" t="s">
        <v>1138</v>
      </c>
      <c r="B108" s="233" t="s">
        <v>1136</v>
      </c>
      <c r="C108" s="454">
        <f>C99</f>
        <v>40</v>
      </c>
      <c r="D108" s="454">
        <f>D99</f>
        <v>40</v>
      </c>
      <c r="E108" s="454">
        <f>E99</f>
        <v>40</v>
      </c>
      <c r="F108" s="454">
        <v>60</v>
      </c>
      <c r="G108" s="454">
        <v>60</v>
      </c>
      <c r="L108" s="572"/>
      <c r="M108" s="572"/>
      <c r="N108" s="572"/>
      <c r="O108" s="572"/>
      <c r="P108" s="572"/>
      <c r="Q108" s="572"/>
      <c r="R108" s="572"/>
    </row>
    <row r="109" spans="1:18">
      <c r="A109" s="233">
        <v>4</v>
      </c>
      <c r="B109" s="233" t="s">
        <v>1137</v>
      </c>
      <c r="C109" s="370">
        <v>0</v>
      </c>
      <c r="D109" s="370">
        <v>0</v>
      </c>
      <c r="E109" s="370">
        <v>0</v>
      </c>
      <c r="F109" s="454">
        <v>0</v>
      </c>
      <c r="G109" s="454">
        <v>0</v>
      </c>
      <c r="L109" s="572"/>
      <c r="M109" s="572"/>
      <c r="N109" s="572"/>
      <c r="O109" s="572"/>
      <c r="P109" s="572"/>
      <c r="Q109" s="572"/>
      <c r="R109" s="572"/>
    </row>
    <row r="110" spans="1:18">
      <c r="A110" s="233"/>
      <c r="B110" s="233"/>
      <c r="C110" s="233"/>
      <c r="D110" s="233"/>
      <c r="E110" s="233"/>
      <c r="F110" s="233"/>
      <c r="G110" s="233"/>
      <c r="L110" s="572"/>
      <c r="M110" s="572"/>
      <c r="N110" s="572"/>
      <c r="O110" s="572"/>
      <c r="P110" s="572"/>
      <c r="Q110" s="572"/>
      <c r="R110" s="572"/>
    </row>
    <row r="111" spans="1:18">
      <c r="A111" s="233" t="s">
        <v>1138</v>
      </c>
      <c r="B111" s="233" t="s">
        <v>1136</v>
      </c>
      <c r="C111" s="454">
        <f>C99</f>
        <v>40</v>
      </c>
      <c r="D111" s="454">
        <f>D99</f>
        <v>40</v>
      </c>
      <c r="E111" s="454">
        <f>E99</f>
        <v>40</v>
      </c>
      <c r="F111" s="454">
        <f>F99</f>
        <v>40</v>
      </c>
      <c r="G111" s="454">
        <v>60</v>
      </c>
      <c r="L111" s="572"/>
      <c r="M111" s="572"/>
      <c r="N111" s="572"/>
      <c r="O111" s="572"/>
      <c r="P111" s="572"/>
      <c r="Q111" s="572"/>
      <c r="R111" s="572"/>
    </row>
    <row r="112" spans="1:18">
      <c r="A112" s="233">
        <v>5</v>
      </c>
      <c r="B112" s="233" t="s">
        <v>1137</v>
      </c>
      <c r="C112" s="454">
        <f>D96*5</f>
        <v>20</v>
      </c>
      <c r="D112" s="370">
        <v>0</v>
      </c>
      <c r="E112" s="370">
        <v>0</v>
      </c>
      <c r="F112" s="370">
        <v>0</v>
      </c>
      <c r="G112" s="454">
        <v>0</v>
      </c>
      <c r="L112" s="572"/>
      <c r="M112" s="572"/>
      <c r="N112" s="572"/>
      <c r="O112" s="572"/>
      <c r="P112" s="572"/>
      <c r="Q112" s="572"/>
      <c r="R112" s="572"/>
    </row>
    <row r="113" spans="1:18">
      <c r="A113" s="233"/>
      <c r="B113" s="233"/>
      <c r="C113" s="233"/>
      <c r="D113" s="233"/>
      <c r="E113" s="233"/>
      <c r="F113" s="233"/>
      <c r="G113" s="233"/>
      <c r="L113" s="572"/>
      <c r="M113" s="572"/>
      <c r="N113" s="572"/>
      <c r="O113" s="572"/>
      <c r="P113" s="572"/>
      <c r="Q113" s="572"/>
      <c r="R113" s="572"/>
    </row>
    <row r="114" spans="1:18">
      <c r="A114" s="233"/>
      <c r="B114" s="233"/>
      <c r="C114" s="233"/>
      <c r="D114" s="233"/>
      <c r="E114" s="233"/>
      <c r="F114" s="233"/>
      <c r="G114" s="233"/>
      <c r="L114" s="572"/>
      <c r="M114" s="572"/>
      <c r="N114" s="572"/>
      <c r="O114" s="572"/>
      <c r="P114" s="572"/>
      <c r="Q114" s="572"/>
      <c r="R114" s="572"/>
    </row>
    <row r="115" spans="1:18">
      <c r="A115" s="405" t="s">
        <v>1165</v>
      </c>
      <c r="B115" s="405" t="s">
        <v>1136</v>
      </c>
      <c r="C115" s="405">
        <f t="shared" ref="C115:G116" si="4">C99+C102+C105+C108+C111</f>
        <v>200</v>
      </c>
      <c r="D115" s="405">
        <f t="shared" si="4"/>
        <v>200</v>
      </c>
      <c r="E115" s="405">
        <f t="shared" si="4"/>
        <v>240</v>
      </c>
      <c r="F115" s="405">
        <f t="shared" si="4"/>
        <v>240</v>
      </c>
      <c r="G115" s="405">
        <f t="shared" si="4"/>
        <v>240</v>
      </c>
      <c r="L115" s="576"/>
      <c r="M115" s="576"/>
      <c r="N115" s="576"/>
      <c r="O115" s="576"/>
      <c r="P115" s="576"/>
      <c r="Q115" s="576"/>
      <c r="R115" s="576"/>
    </row>
    <row r="116" spans="1:18">
      <c r="A116" s="405" t="s">
        <v>1166</v>
      </c>
      <c r="B116" s="405" t="s">
        <v>1137</v>
      </c>
      <c r="C116" s="405">
        <f t="shared" si="4"/>
        <v>40</v>
      </c>
      <c r="D116" s="405">
        <f t="shared" si="4"/>
        <v>40</v>
      </c>
      <c r="E116" s="405">
        <f t="shared" si="4"/>
        <v>0</v>
      </c>
      <c r="F116" s="405">
        <f t="shared" si="4"/>
        <v>0</v>
      </c>
      <c r="G116" s="405">
        <f t="shared" si="4"/>
        <v>0</v>
      </c>
      <c r="L116" s="576"/>
      <c r="M116" s="576"/>
      <c r="N116" s="576"/>
      <c r="O116" s="576"/>
      <c r="P116" s="576"/>
      <c r="Q116" s="576"/>
      <c r="R116" s="576"/>
    </row>
    <row r="117" spans="1:18">
      <c r="L117" s="573"/>
      <c r="M117" s="573"/>
      <c r="N117" s="573"/>
      <c r="O117" s="573"/>
      <c r="P117" s="573"/>
      <c r="Q117" s="573"/>
      <c r="R117" s="573"/>
    </row>
    <row r="118" spans="1:18">
      <c r="A118" s="405" t="s">
        <v>1167</v>
      </c>
      <c r="B118" s="405" t="s">
        <v>1136</v>
      </c>
      <c r="C118" s="405">
        <f t="shared" ref="C118:G119" si="5">C115*3</f>
        <v>600</v>
      </c>
      <c r="D118" s="405">
        <f t="shared" si="5"/>
        <v>600</v>
      </c>
      <c r="E118" s="405">
        <f t="shared" si="5"/>
        <v>720</v>
      </c>
      <c r="F118" s="405">
        <f t="shared" si="5"/>
        <v>720</v>
      </c>
      <c r="G118" s="405">
        <f t="shared" si="5"/>
        <v>720</v>
      </c>
      <c r="L118" s="573"/>
      <c r="M118" s="573"/>
      <c r="N118" s="573"/>
      <c r="O118" s="573"/>
      <c r="P118" s="573"/>
      <c r="Q118" s="573"/>
      <c r="R118" s="573"/>
    </row>
    <row r="119" spans="1:18">
      <c r="A119" s="405" t="s">
        <v>1166</v>
      </c>
      <c r="B119" s="405" t="s">
        <v>1137</v>
      </c>
      <c r="C119" s="405">
        <f t="shared" si="5"/>
        <v>120</v>
      </c>
      <c r="D119" s="405">
        <f t="shared" si="5"/>
        <v>120</v>
      </c>
      <c r="E119" s="405">
        <f t="shared" si="5"/>
        <v>0</v>
      </c>
      <c r="F119" s="405">
        <f t="shared" si="5"/>
        <v>0</v>
      </c>
      <c r="G119" s="405">
        <f t="shared" si="5"/>
        <v>0</v>
      </c>
    </row>
    <row r="121" spans="1:18">
      <c r="A121" s="204" t="s">
        <v>1168</v>
      </c>
      <c r="B121" s="233" t="s">
        <v>1136</v>
      </c>
      <c r="C121" s="453">
        <f>40*37</f>
        <v>1480</v>
      </c>
      <c r="D121" s="453">
        <f>40*37</f>
        <v>1480</v>
      </c>
      <c r="E121" s="453">
        <v>0</v>
      </c>
      <c r="F121" s="453">
        <v>0</v>
      </c>
      <c r="G121" s="453">
        <v>0</v>
      </c>
    </row>
    <row r="122" spans="1:18">
      <c r="A122" s="204" t="s">
        <v>1169</v>
      </c>
      <c r="B122" s="233" t="s">
        <v>1137</v>
      </c>
      <c r="C122" s="453">
        <f>N116</f>
        <v>0</v>
      </c>
      <c r="D122" s="453">
        <f>O116</f>
        <v>0</v>
      </c>
      <c r="E122" s="453">
        <f>P116</f>
        <v>0</v>
      </c>
      <c r="F122" s="453">
        <f>Q116</f>
        <v>0</v>
      </c>
      <c r="G122" s="453">
        <f>R116</f>
        <v>0</v>
      </c>
    </row>
    <row r="124" spans="1:18">
      <c r="A124" s="410" t="s">
        <v>681</v>
      </c>
      <c r="B124" s="233" t="s">
        <v>1136</v>
      </c>
      <c r="C124" s="410">
        <f t="shared" ref="C124:G125" si="6">C118+C121</f>
        <v>2080</v>
      </c>
      <c r="D124" s="410">
        <f t="shared" si="6"/>
        <v>2080</v>
      </c>
      <c r="E124" s="410">
        <f t="shared" si="6"/>
        <v>720</v>
      </c>
      <c r="F124" s="410">
        <f t="shared" si="6"/>
        <v>720</v>
      </c>
      <c r="G124" s="410">
        <f t="shared" si="6"/>
        <v>720</v>
      </c>
    </row>
    <row r="125" spans="1:18">
      <c r="A125" s="410" t="s">
        <v>1166</v>
      </c>
      <c r="B125" s="233" t="s">
        <v>1137</v>
      </c>
      <c r="C125" s="410">
        <f t="shared" si="6"/>
        <v>120</v>
      </c>
      <c r="D125" s="410">
        <f t="shared" si="6"/>
        <v>120</v>
      </c>
      <c r="E125" s="410">
        <f t="shared" si="6"/>
        <v>0</v>
      </c>
      <c r="F125" s="410">
        <f t="shared" si="6"/>
        <v>0</v>
      </c>
      <c r="G125" s="410">
        <f t="shared" si="6"/>
        <v>0</v>
      </c>
    </row>
  </sheetData>
  <mergeCells count="5">
    <mergeCell ref="AE2:AG2"/>
    <mergeCell ref="B68:J68"/>
    <mergeCell ref="C69:G69"/>
    <mergeCell ref="H69:J69"/>
    <mergeCell ref="N69:R69"/>
  </mergeCells>
  <printOptions horizontalCentered="1"/>
  <pageMargins left="0.75" right="0.75" top="1" bottom="1" header="0.5" footer="0.5"/>
  <pageSetup scale="67" firstPageNumber="17" orientation="portrait" horizontalDpi="4294967292" verticalDpi="4294967292" r:id="rId1"/>
  <headerFooter alignWithMargins="0">
    <oddFooter>&amp;LRichard Bickings
&amp;D&amp;CPage &amp;P&amp;R&amp;F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AO356"/>
  <sheetViews>
    <sheetView zoomScaleNormal="25" zoomScaleSheetLayoutView="100" workbookViewId="0">
      <selection activeCell="B12" sqref="B12"/>
    </sheetView>
  </sheetViews>
  <sheetFormatPr defaultRowHeight="12.75"/>
  <cols>
    <col min="1" max="1" width="37.28515625" customWidth="1"/>
    <col min="2" max="2" width="11.28515625" customWidth="1"/>
    <col min="3" max="3" width="11.42578125" customWidth="1"/>
    <col min="4" max="4" width="16" customWidth="1"/>
    <col min="5" max="5" width="16.140625" customWidth="1"/>
    <col min="6" max="6" width="11.7109375" customWidth="1"/>
    <col min="7" max="7" width="10.28515625" customWidth="1"/>
  </cols>
  <sheetData>
    <row r="1" spans="1:41" ht="15.75">
      <c r="A1" s="1" t="str">
        <f>Scope!A1</f>
        <v>Rochester Public Utilities LM6000 PC Power Project</v>
      </c>
      <c r="B1" s="1"/>
      <c r="C1" s="1"/>
      <c r="D1" s="1"/>
      <c r="E1" s="1"/>
      <c r="F1" s="1"/>
      <c r="G1" s="1"/>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row>
    <row r="2" spans="1:41" ht="15.75">
      <c r="A2" s="295" t="s">
        <v>637</v>
      </c>
      <c r="B2" s="1"/>
      <c r="C2" s="1"/>
      <c r="D2" s="1"/>
      <c r="E2" s="1"/>
      <c r="F2" s="1"/>
      <c r="G2" s="1"/>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row>
    <row r="3" spans="1:41" ht="15.75">
      <c r="A3" s="1" t="s">
        <v>7</v>
      </c>
      <c r="B3" s="1"/>
      <c r="C3" s="1"/>
      <c r="D3" s="1"/>
      <c r="E3" s="1"/>
      <c r="F3" s="1"/>
      <c r="G3" s="1"/>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row>
    <row r="4" spans="1:41" ht="15.75">
      <c r="A4" s="44"/>
      <c r="B4" s="15"/>
      <c r="C4" s="15"/>
      <c r="D4" s="15"/>
      <c r="E4" s="15"/>
      <c r="F4" s="15"/>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row>
    <row r="5" spans="1:41" ht="15.75">
      <c r="A5" s="44"/>
      <c r="B5" s="15"/>
      <c r="C5" s="15"/>
      <c r="D5" s="15"/>
      <c r="E5" s="15"/>
      <c r="F5" s="15"/>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row>
    <row r="6" spans="1:41">
      <c r="A6" s="38" t="s">
        <v>16</v>
      </c>
      <c r="B6" s="15"/>
      <c r="C6" s="15"/>
      <c r="D6" s="15"/>
      <c r="E6" s="15"/>
      <c r="F6" s="15"/>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row>
    <row r="7" spans="1:41" ht="16.5" thickBot="1">
      <c r="A7" s="4"/>
      <c r="B7" s="45"/>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row>
    <row r="8" spans="1:41">
      <c r="A8" s="4"/>
      <c r="B8" s="215"/>
      <c r="C8" s="36"/>
      <c r="D8" s="215" t="s">
        <v>8</v>
      </c>
      <c r="E8" s="8" t="s">
        <v>9</v>
      </c>
      <c r="F8" s="215" t="s">
        <v>1303</v>
      </c>
      <c r="G8" s="36"/>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row>
    <row r="9" spans="1:41" ht="13.5" thickBot="1">
      <c r="A9" s="23"/>
      <c r="B9" s="6" t="s">
        <v>10</v>
      </c>
      <c r="C9" s="7" t="s">
        <v>11</v>
      </c>
      <c r="D9" s="7" t="s">
        <v>12</v>
      </c>
      <c r="E9" s="7" t="s">
        <v>13</v>
      </c>
      <c r="F9" s="7" t="s">
        <v>14</v>
      </c>
      <c r="G9" s="7" t="s">
        <v>1303</v>
      </c>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row>
    <row r="10" spans="1:41">
      <c r="A10" s="4"/>
      <c r="B10" s="216"/>
      <c r="C10" s="37"/>
      <c r="D10" s="37"/>
      <c r="E10" s="37"/>
      <c r="F10" s="37"/>
      <c r="G10" s="37"/>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row>
    <row r="11" spans="1:41">
      <c r="A11" s="23" t="s">
        <v>17</v>
      </c>
      <c r="B11" s="216">
        <v>0</v>
      </c>
      <c r="C11" s="11">
        <v>9</v>
      </c>
      <c r="D11" s="188">
        <f t="shared" ref="D11:D16" si="0">VLOOKUP(C11,SALARY,5)</f>
        <v>45000</v>
      </c>
      <c r="E11" s="189">
        <f t="shared" ref="E11:E16" si="1">B11*D11</f>
        <v>0</v>
      </c>
      <c r="F11" s="188">
        <f>VLOOKUP(C11,SALARY,12)/'SALARY-BENEFITS LOOKUP TABLE'!$E$22*(1+'SALARY-BENEFITS LOOKUP TABLE'!$E$24)*B11</f>
        <v>0</v>
      </c>
      <c r="G11" s="213">
        <f>F11+E11</f>
        <v>0</v>
      </c>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row>
    <row r="12" spans="1:41">
      <c r="A12" s="23" t="s">
        <v>18</v>
      </c>
      <c r="B12" s="216">
        <v>0</v>
      </c>
      <c r="C12" s="11">
        <v>10</v>
      </c>
      <c r="D12" s="188">
        <f t="shared" si="0"/>
        <v>27000</v>
      </c>
      <c r="E12" s="189">
        <f t="shared" si="1"/>
        <v>0</v>
      </c>
      <c r="F12" s="188">
        <f>VLOOKUP(C12,SALARY,12)/'SALARY-BENEFITS LOOKUP TABLE'!$E$22*(1+'SALARY-BENEFITS LOOKUP TABLE'!$E$24)*B12</f>
        <v>0</v>
      </c>
      <c r="G12" s="213">
        <f>F12+E12</f>
        <v>0</v>
      </c>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row>
    <row r="13" spans="1:41">
      <c r="A13" s="23" t="s">
        <v>19</v>
      </c>
      <c r="B13" s="216">
        <v>0</v>
      </c>
      <c r="C13" s="11">
        <v>10</v>
      </c>
      <c r="D13" s="188">
        <f t="shared" si="0"/>
        <v>27000</v>
      </c>
      <c r="E13" s="189">
        <f t="shared" si="1"/>
        <v>0</v>
      </c>
      <c r="F13" s="188">
        <f>VLOOKUP(C13,SALARY,12)/'SALARY-BENEFITS LOOKUP TABLE'!$E$22*(1+'SALARY-BENEFITS LOOKUP TABLE'!$E$24)*B13</f>
        <v>0</v>
      </c>
      <c r="G13" s="213">
        <f>F13+E13</f>
        <v>0</v>
      </c>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spans="1:41">
      <c r="A14" s="23" t="s">
        <v>20</v>
      </c>
      <c r="B14" s="217">
        <v>0</v>
      </c>
      <c r="C14" s="47">
        <v>10</v>
      </c>
      <c r="D14" s="188">
        <f t="shared" si="0"/>
        <v>27000</v>
      </c>
      <c r="E14" s="189">
        <f t="shared" si="1"/>
        <v>0</v>
      </c>
      <c r="F14" s="188">
        <f>VLOOKUP(C14,SALARY,12)/'SALARY-BENEFITS LOOKUP TABLE'!$E$22*(1+'SALARY-BENEFITS LOOKUP TABLE'!$E$24)*B14</f>
        <v>0</v>
      </c>
      <c r="G14" s="213">
        <f>F14+E14</f>
        <v>0</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c r="A15" s="23" t="s">
        <v>21</v>
      </c>
      <c r="B15" s="216">
        <v>0</v>
      </c>
      <c r="C15" s="11">
        <v>10</v>
      </c>
      <c r="D15" s="188">
        <f t="shared" si="0"/>
        <v>27000</v>
      </c>
      <c r="E15" s="189">
        <f t="shared" si="1"/>
        <v>0</v>
      </c>
      <c r="F15" s="188">
        <f>VLOOKUP(C15,SALARY,12)/'SALARY-BENEFITS LOOKUP TABLE'!$E$22*(1+'SALARY-BENEFITS LOOKUP TABLE'!$E$24)*B15</f>
        <v>0</v>
      </c>
      <c r="G15" s="213">
        <f>F15+E15</f>
        <v>0</v>
      </c>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row>
    <row r="16" spans="1:41">
      <c r="A16" s="23" t="s">
        <v>22</v>
      </c>
      <c r="B16" s="216">
        <v>0</v>
      </c>
      <c r="C16" s="11">
        <v>10</v>
      </c>
      <c r="D16" s="188">
        <f t="shared" si="0"/>
        <v>27000</v>
      </c>
      <c r="E16" s="189">
        <f t="shared" si="1"/>
        <v>0</v>
      </c>
      <c r="F16" s="188">
        <f>VLOOKUP(C16,SALARY,12)/'SALARY-BENEFITS LOOKUP TABLE'!$E$22*(1+'SALARY-BENEFITS LOOKUP TABLE'!$E$24)*B16</f>
        <v>0</v>
      </c>
      <c r="G16" s="213"/>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row>
    <row r="17" spans="1:41" ht="13.5" thickBot="1">
      <c r="A17" s="40"/>
      <c r="B17" s="218"/>
      <c r="C17" s="214"/>
      <c r="D17" s="51"/>
      <c r="E17" s="13"/>
      <c r="F17" s="13"/>
      <c r="G17" s="46"/>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row>
    <row r="18" spans="1:41" ht="13.5" thickBot="1">
      <c r="A18" s="38" t="s">
        <v>23</v>
      </c>
      <c r="B18" s="219">
        <f>SUM(B11:B17)</f>
        <v>0</v>
      </c>
      <c r="C18" s="48"/>
      <c r="D18" s="5"/>
      <c r="E18" s="49">
        <f>SUM(E11:E17)</f>
        <v>0</v>
      </c>
      <c r="F18" s="49">
        <f>SUM(F11:F17)</f>
        <v>0</v>
      </c>
      <c r="G18" s="49">
        <f>SUM(G11:G17)</f>
        <v>0</v>
      </c>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row>
    <row r="19" spans="1:41">
      <c r="A19" s="23"/>
      <c r="B19" s="12"/>
      <c r="C19" s="23"/>
      <c r="D19" s="9"/>
      <c r="E19" s="9"/>
      <c r="F19" s="23"/>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row>
    <row r="20" spans="1:41">
      <c r="A20" s="23"/>
      <c r="B20" s="12"/>
      <c r="C20" s="23"/>
      <c r="D20" s="9"/>
      <c r="E20" s="9"/>
      <c r="F20" s="23"/>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row>
    <row r="21" spans="1:41">
      <c r="A21" s="23"/>
      <c r="B21" s="12"/>
      <c r="C21" s="23"/>
      <c r="D21" s="9"/>
      <c r="E21" s="9"/>
      <c r="F21" s="23"/>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row>
    <row r="22" spans="1:41">
      <c r="A22" s="23"/>
      <c r="B22" s="12"/>
      <c r="C22" s="23"/>
      <c r="D22" s="9"/>
      <c r="E22" s="9"/>
      <c r="F22" s="23"/>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row>
    <row r="23" spans="1:41" hidden="1">
      <c r="A23" s="38" t="s">
        <v>24</v>
      </c>
      <c r="B23" s="12"/>
      <c r="C23" s="23"/>
      <c r="D23" s="9"/>
      <c r="E23" s="9"/>
      <c r="F23" s="23"/>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row>
    <row r="24" spans="1:41" ht="13.5" hidden="1" thickBot="1">
      <c r="A24" s="23"/>
      <c r="B24" s="12"/>
      <c r="C24" s="23"/>
      <c r="D24" s="9"/>
      <c r="E24" s="9"/>
      <c r="F24" s="23"/>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row>
    <row r="25" spans="1:41" hidden="1">
      <c r="A25" s="4"/>
      <c r="B25" s="52"/>
      <c r="C25" s="200" t="s">
        <v>25</v>
      </c>
      <c r="D25" s="201"/>
      <c r="E25" s="251" t="s">
        <v>26</v>
      </c>
      <c r="F25" s="53"/>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row>
    <row r="26" spans="1:41" ht="13.5" hidden="1" thickBot="1">
      <c r="A26" s="23"/>
      <c r="B26" s="54" t="s">
        <v>10</v>
      </c>
      <c r="C26" s="56" t="s">
        <v>27</v>
      </c>
      <c r="D26" s="55" t="s">
        <v>28</v>
      </c>
      <c r="E26" s="56" t="s">
        <v>29</v>
      </c>
      <c r="F26" s="57" t="s">
        <v>1303</v>
      </c>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row>
    <row r="27" spans="1:41" hidden="1">
      <c r="A27" s="4"/>
      <c r="B27" s="58"/>
      <c r="C27" s="59"/>
      <c r="D27" s="60"/>
      <c r="E27" s="61"/>
      <c r="F27" s="62"/>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row>
    <row r="28" spans="1:41" hidden="1">
      <c r="A28" s="23" t="s">
        <v>30</v>
      </c>
      <c r="B28" s="11">
        <v>2</v>
      </c>
      <c r="C28" s="59">
        <f>'O&amp;M_Backup'!D111+'O&amp;M_Backup'!D114</f>
        <v>0</v>
      </c>
      <c r="D28" s="63">
        <f>'O&amp;M_Backup'!D112</f>
        <v>0</v>
      </c>
      <c r="E28" s="59">
        <f>'O&amp;M_Backup'!D113</f>
        <v>0</v>
      </c>
      <c r="F28" s="62">
        <f>SUM(C28:E28)</f>
        <v>0</v>
      </c>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row>
    <row r="29" spans="1:41" hidden="1">
      <c r="A29" s="4"/>
      <c r="B29" s="64"/>
      <c r="C29" s="37"/>
      <c r="D29" s="9"/>
      <c r="E29" s="13"/>
      <c r="F29" s="65"/>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row>
    <row r="30" spans="1:41" ht="13.5" hidden="1" thickBot="1">
      <c r="A30" s="23"/>
      <c r="B30" s="29"/>
      <c r="C30" s="66"/>
      <c r="D30" s="24"/>
      <c r="E30" s="25"/>
      <c r="F30" s="67"/>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row>
    <row r="31" spans="1:41" ht="13.5" hidden="1" thickBot="1">
      <c r="A31" s="38" t="s">
        <v>31</v>
      </c>
      <c r="B31" s="48">
        <f>SUM(B27:B30)</f>
        <v>2</v>
      </c>
      <c r="C31" s="50"/>
      <c r="D31" s="49">
        <f>SUM(D27:D30)</f>
        <v>0</v>
      </c>
      <c r="E31" s="49">
        <f>SUM(E27:E30)</f>
        <v>0</v>
      </c>
      <c r="F31" s="49">
        <f>SUM(F27:F30)</f>
        <v>0</v>
      </c>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row>
    <row r="32" spans="1:4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row>
    <row r="33" spans="1:40">
      <c r="A33" s="41"/>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row>
    <row r="34" spans="1:40">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row>
    <row r="35" spans="1:40">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row>
    <row r="36" spans="1:40">
      <c r="A36" s="41"/>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row>
    <row r="37" spans="1:40">
      <c r="A37" s="41"/>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row>
    <row r="38" spans="1:40">
      <c r="A38" s="41"/>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row>
    <row r="39" spans="1:40">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row>
    <row r="40" spans="1:40">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row>
    <row r="41" spans="1:40">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row>
    <row r="42" spans="1:40">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row>
    <row r="43" spans="1:40">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row>
    <row r="44" spans="1:40">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row>
    <row r="45" spans="1:40">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row>
    <row r="46" spans="1:40">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row>
    <row r="47" spans="1:40">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row>
    <row r="48" spans="1:40">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row>
    <row r="49" spans="1:40">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row>
    <row r="50" spans="1:4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row>
    <row r="51" spans="1:40">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row>
    <row r="52" spans="1:40">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row>
    <row r="53" spans="1:40">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row>
    <row r="54" spans="1:40">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row>
    <row r="55" spans="1:40">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row>
    <row r="56" spans="1:40">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row>
    <row r="57" spans="1:40">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row>
    <row r="58" spans="1:40">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row>
    <row r="59" spans="1:40">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row>
    <row r="60" spans="1:4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row>
    <row r="61" spans="1:40">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row>
    <row r="62" spans="1:40">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row>
    <row r="63" spans="1:40">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row>
    <row r="64" spans="1:40">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row>
    <row r="65" spans="1:40">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row>
    <row r="66" spans="1:40">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row>
    <row r="67" spans="1:40">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row>
    <row r="68" spans="1:40">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row>
    <row r="69" spans="1:40">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row>
    <row r="70" spans="1:4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row>
    <row r="71" spans="1:40">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row>
    <row r="72" spans="1:40">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row>
    <row r="73" spans="1:40">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row>
    <row r="74" spans="1:40">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row>
    <row r="75" spans="1:40">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row>
    <row r="76" spans="1:40">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row>
    <row r="77" spans="1:40">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row>
    <row r="78" spans="1:40">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row>
    <row r="79" spans="1:40">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row>
    <row r="80" spans="1:4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row>
    <row r="81" spans="1:40">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row>
    <row r="82" spans="1:40">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row>
    <row r="83" spans="1:40">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row>
    <row r="84" spans="1:40">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row>
    <row r="85" spans="1:40">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row>
    <row r="86" spans="1:40">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row>
    <row r="87" spans="1:40">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row>
    <row r="88" spans="1:40">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row>
    <row r="89" spans="1:40">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row>
    <row r="90" spans="1:4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row>
    <row r="91" spans="1:40">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row>
    <row r="92" spans="1:40">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row>
    <row r="93" spans="1:40">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row>
    <row r="94" spans="1:40">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row>
    <row r="95" spans="1:40">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row>
    <row r="96" spans="1:40">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row>
    <row r="97" spans="1:40">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row>
    <row r="98" spans="1:40">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row>
    <row r="99" spans="1:40">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row>
    <row r="100" spans="1:4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row>
    <row r="101" spans="1:40">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row>
    <row r="102" spans="1:40">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row>
    <row r="103" spans="1:40">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row>
    <row r="104" spans="1:40">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row>
    <row r="105" spans="1:40">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row>
    <row r="106" spans="1:40">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row>
    <row r="107" spans="1:40">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row>
    <row r="108" spans="1:40">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row>
    <row r="109" spans="1:40">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row>
    <row r="110" spans="1:4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row>
    <row r="111" spans="1:40">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row>
    <row r="112" spans="1:40">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row>
    <row r="113" spans="1:40">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row>
    <row r="114" spans="1:40">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row>
    <row r="115" spans="1:40">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row>
    <row r="116" spans="1:40">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row>
    <row r="117" spans="1:40">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row>
    <row r="118" spans="1:40">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row>
    <row r="119" spans="1:40">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row>
    <row r="120" spans="1:4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row>
    <row r="121" spans="1:40">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row>
    <row r="122" spans="1:40">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row>
    <row r="123" spans="1:40">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row>
    <row r="124" spans="1:40">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row>
    <row r="125" spans="1:40">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row>
    <row r="126" spans="1:40">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row>
    <row r="127" spans="1:40">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row>
    <row r="128" spans="1:40">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row>
    <row r="129" spans="1:40">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row>
    <row r="130" spans="1:4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row>
    <row r="131" spans="1:40">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row>
    <row r="132" spans="1:40">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row>
    <row r="133" spans="1:40">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row>
    <row r="134" spans="1:40">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row>
    <row r="135" spans="1:40">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row>
    <row r="136" spans="1:40">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row>
    <row r="137" spans="1:40">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row>
    <row r="138" spans="1:40">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row>
    <row r="139" spans="1:40">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row>
    <row r="140" spans="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row>
    <row r="141" spans="1:40">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row>
    <row r="142" spans="1:40">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row>
    <row r="143" spans="1:40">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row>
    <row r="144" spans="1:40">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row>
    <row r="145" spans="1:40">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row>
    <row r="146" spans="1:40">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row>
    <row r="147" spans="1:40">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row>
    <row r="148" spans="1:40">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row>
    <row r="149" spans="1:40">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row>
    <row r="150" spans="1:4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row>
    <row r="151" spans="1:40">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row>
    <row r="152" spans="1:40">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row>
    <row r="153" spans="1:40">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row>
    <row r="154" spans="1:40">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row>
    <row r="155" spans="1:40">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row>
    <row r="156" spans="1:40">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row>
    <row r="157" spans="1:40">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row>
    <row r="158" spans="1:40">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row>
    <row r="159" spans="1:40">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row>
    <row r="160" spans="1:4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row>
    <row r="161" spans="1:40">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row>
    <row r="162" spans="1:40">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row>
    <row r="163" spans="1:40">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row>
    <row r="164" spans="1:40">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row>
    <row r="165" spans="1:40">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row>
    <row r="166" spans="1:40">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row>
    <row r="167" spans="1:40">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row>
    <row r="168" spans="1:40">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row>
    <row r="169" spans="1:40">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row>
    <row r="170" spans="1:4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row>
    <row r="171" spans="1:40">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row>
    <row r="172" spans="1:40">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row>
    <row r="173" spans="1:40">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row>
    <row r="174" spans="1:40">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row>
    <row r="175" spans="1:40">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row>
    <row r="176" spans="1:40">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row>
    <row r="177" spans="1:40">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row>
    <row r="178" spans="1:40">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row>
    <row r="179" spans="1:40">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row>
    <row r="180" spans="1:4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row>
    <row r="181" spans="1:40">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row>
    <row r="182" spans="1:40">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row>
    <row r="183" spans="1:40">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row>
    <row r="184" spans="1:40">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row>
    <row r="185" spans="1:40">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row>
    <row r="186" spans="1:40">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row>
    <row r="187" spans="1:40">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row>
    <row r="188" spans="1:40">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row>
    <row r="189" spans="1:40">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row>
    <row r="190" spans="1:4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row>
    <row r="191" spans="1:40">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row>
    <row r="192" spans="1:40">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row>
    <row r="193" spans="1:40">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row>
    <row r="194" spans="1:40">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row>
    <row r="195" spans="1:40">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row>
    <row r="196" spans="1:40">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row>
    <row r="197" spans="1:40">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row>
    <row r="198" spans="1:40">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row>
    <row r="199" spans="1:40">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row>
    <row r="200" spans="1:4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row>
    <row r="201" spans="1:40">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row>
    <row r="202" spans="1:40">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row>
    <row r="203" spans="1:40">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row>
    <row r="204" spans="1:40">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row>
    <row r="205" spans="1:40">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row>
    <row r="206" spans="1:40">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row>
    <row r="207" spans="1:40">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row>
    <row r="208" spans="1:40">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row>
    <row r="209" spans="1:40">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row>
    <row r="210" spans="1:4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row>
    <row r="211" spans="1:40">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row>
    <row r="212" spans="1:40">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row>
    <row r="213" spans="1:40">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row>
    <row r="214" spans="1:40">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row>
    <row r="215" spans="1:40">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row>
    <row r="216" spans="1:40">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row>
    <row r="217" spans="1:40">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row>
    <row r="218" spans="1:40">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row>
    <row r="219" spans="1:40">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row>
    <row r="220" spans="1:4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row>
    <row r="221" spans="1:40">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row>
    <row r="222" spans="1:40">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row>
    <row r="223" spans="1:40">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row>
    <row r="224" spans="1:40">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row>
    <row r="225" spans="1:40">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row>
    <row r="226" spans="1:40">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row>
    <row r="227" spans="1:40">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row>
    <row r="228" spans="1:40">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row>
    <row r="229" spans="1:40">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row>
    <row r="230" spans="1:4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row>
    <row r="231" spans="1:40">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row>
    <row r="232" spans="1:40">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row>
    <row r="233" spans="1:40">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row>
    <row r="234" spans="1:40">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row>
    <row r="235" spans="1:40">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row>
    <row r="236" spans="1:40">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row>
    <row r="237" spans="1:40">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row>
    <row r="238" spans="1:40">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row>
    <row r="239" spans="1:40">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row>
    <row r="240" spans="1: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row>
    <row r="241" spans="1:40">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row>
    <row r="242" spans="1:40">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row>
    <row r="243" spans="1:40">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row>
    <row r="244" spans="1:40">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row>
    <row r="245" spans="1:40">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row>
    <row r="246" spans="1:40">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row>
    <row r="247" spans="1:40">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row>
    <row r="248" spans="1:40">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row>
    <row r="249" spans="1:40">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row>
    <row r="250" spans="1:4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row>
    <row r="251" spans="1:40">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row>
    <row r="252" spans="1:40">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row>
    <row r="253" spans="1:40">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row>
    <row r="254" spans="1:40">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row>
    <row r="255" spans="1:40">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row>
    <row r="256" spans="1:40">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row>
    <row r="257" spans="1:40">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row>
    <row r="258" spans="1:40">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row>
    <row r="259" spans="1:40">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row>
    <row r="260" spans="1:4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row>
    <row r="261" spans="1:40">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row>
    <row r="262" spans="1:40">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row>
    <row r="263" spans="1:40">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row>
    <row r="264" spans="1:40">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row>
    <row r="265" spans="1:40">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row>
    <row r="266" spans="1:40">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row>
    <row r="267" spans="1:40">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row>
    <row r="268" spans="1:40">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row>
    <row r="269" spans="1:40">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row>
    <row r="270" spans="1:4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row>
    <row r="271" spans="1:40">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row>
    <row r="272" spans="1:40">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row>
    <row r="273" spans="1:40">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row>
    <row r="274" spans="1:40">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row>
    <row r="275" spans="1:40">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row>
    <row r="276" spans="1:40">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row>
    <row r="277" spans="1:40">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row>
    <row r="278" spans="1:40">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row>
    <row r="279" spans="1:40">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row>
    <row r="280" spans="1:4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row>
    <row r="281" spans="1:40">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row>
    <row r="282" spans="1:40">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row>
    <row r="283" spans="1:40">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row>
    <row r="284" spans="1:40">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row>
    <row r="285" spans="1:40">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row>
    <row r="286" spans="1:40">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row>
    <row r="287" spans="1:40">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row>
    <row r="288" spans="1:40">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row>
    <row r="289" spans="1:40">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row>
    <row r="290" spans="1:4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row>
    <row r="291" spans="1:40">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row>
    <row r="292" spans="1:40">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row>
    <row r="293" spans="1:40">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row>
    <row r="294" spans="1:40">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row>
    <row r="295" spans="1:40">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row>
    <row r="296" spans="1:40">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row>
    <row r="297" spans="1:40">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row>
    <row r="298" spans="1:40">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row>
    <row r="299" spans="1:40">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row>
    <row r="300" spans="1:4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row>
    <row r="301" spans="1:40">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row>
    <row r="302" spans="1:40">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row>
    <row r="303" spans="1:40">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row>
    <row r="304" spans="1:40">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row>
    <row r="305" spans="1:40">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row>
    <row r="306" spans="1:40">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row>
    <row r="307" spans="1:40">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row>
    <row r="308" spans="1:40">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row>
    <row r="309" spans="1:40">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row>
    <row r="310" spans="1:4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row>
    <row r="311" spans="1:40">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row>
    <row r="312" spans="1:40">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row>
    <row r="313" spans="1:40">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row>
    <row r="314" spans="1:40">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row>
    <row r="315" spans="1:40">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row>
    <row r="316" spans="1:40">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row>
    <row r="317" spans="1:40">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row>
    <row r="318" spans="1:40">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row>
    <row r="319" spans="1:40">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row>
    <row r="320" spans="1:4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row>
    <row r="321" spans="1:40">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row>
    <row r="322" spans="1:40">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row>
    <row r="323" spans="1:40">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row>
    <row r="324" spans="1:40">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row>
    <row r="325" spans="1:40">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row>
    <row r="326" spans="1:40">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row>
    <row r="327" spans="1:40">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row>
    <row r="328" spans="1:40">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row>
    <row r="329" spans="1:40">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row>
    <row r="330" spans="1:4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row>
    <row r="331" spans="1:40">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row>
    <row r="332" spans="1:40">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row>
    <row r="333" spans="1:40">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row>
    <row r="334" spans="1:40">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row>
    <row r="335" spans="1:40">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row>
    <row r="336" spans="1:40">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row>
    <row r="337" spans="1:40">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row>
    <row r="338" spans="1:40">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row>
    <row r="339" spans="1:40">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row>
    <row r="340" spans="1: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row>
    <row r="341" spans="1:40">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row>
    <row r="342" spans="1:40">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row>
    <row r="343" spans="1:40">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row>
    <row r="344" spans="1:40">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row>
    <row r="345" spans="1:40">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row>
    <row r="346" spans="1:40">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row>
    <row r="347" spans="1:40">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row>
    <row r="348" spans="1:40">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row>
    <row r="349" spans="1:40">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row>
    <row r="350" spans="1:4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row>
    <row r="351" spans="1:40">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row>
    <row r="352" spans="1:40">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row>
    <row r="353" spans="1:40">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row>
    <row r="354" spans="1:40">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row>
    <row r="355" spans="1:40">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row>
    <row r="356" spans="1:40">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row>
  </sheetData>
  <printOptions horizontalCentered="1"/>
  <pageMargins left="0.75" right="0.75" top="1" bottom="1" header="0.5" footer="0.5"/>
  <pageSetup scale="79" orientation="portrait" horizontalDpi="4294967292" verticalDpi="4294967292" r:id="rId1"/>
  <headerFooter alignWithMargins="0">
    <oddFooter>&amp;LRichard Bickings
&amp;D&amp;CPage &amp;P&amp;R&amp;F
&amp;A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L60"/>
  <sheetViews>
    <sheetView showGridLines="0" tabSelected="1" zoomScaleNormal="25" zoomScaleSheetLayoutView="75" workbookViewId="0"/>
  </sheetViews>
  <sheetFormatPr defaultRowHeight="12.75"/>
  <cols>
    <col min="1" max="1" width="9.7109375" customWidth="1"/>
    <col min="4" max="4" width="4.7109375" customWidth="1"/>
  </cols>
  <sheetData>
    <row r="1" spans="1:12" ht="15.75">
      <c r="A1" s="33" t="s">
        <v>497</v>
      </c>
      <c r="B1" s="33"/>
      <c r="C1" s="33"/>
      <c r="D1" s="33"/>
      <c r="E1" s="33"/>
      <c r="F1" s="33"/>
      <c r="G1" s="33"/>
      <c r="H1" s="33"/>
      <c r="I1" s="33"/>
      <c r="J1" s="33"/>
      <c r="K1" s="33"/>
      <c r="L1" s="33"/>
    </row>
    <row r="2" spans="1:12" ht="15.75">
      <c r="A2" s="1" t="s">
        <v>617</v>
      </c>
      <c r="B2" s="1"/>
      <c r="C2" s="1"/>
      <c r="D2" s="1"/>
      <c r="E2" s="1"/>
      <c r="F2" s="1"/>
      <c r="G2" s="1"/>
      <c r="H2" s="1"/>
      <c r="I2" s="1"/>
      <c r="J2" s="1"/>
      <c r="K2" s="1"/>
      <c r="L2" s="1"/>
    </row>
    <row r="5" spans="1:12">
      <c r="A5" s="192" t="s">
        <v>729</v>
      </c>
      <c r="D5" t="s">
        <v>952</v>
      </c>
    </row>
    <row r="6" spans="1:12">
      <c r="D6" t="s">
        <v>495</v>
      </c>
    </row>
    <row r="7" spans="1:12" hidden="1">
      <c r="D7" t="s">
        <v>891</v>
      </c>
    </row>
    <row r="9" spans="1:12">
      <c r="A9" s="90" t="s">
        <v>1422</v>
      </c>
      <c r="D9" t="s">
        <v>491</v>
      </c>
    </row>
    <row r="10" spans="1:12">
      <c r="A10" s="90"/>
    </row>
    <row r="11" spans="1:12">
      <c r="A11" s="90" t="s">
        <v>1455</v>
      </c>
      <c r="D11" t="s">
        <v>490</v>
      </c>
    </row>
    <row r="12" spans="1:12">
      <c r="A12" s="90"/>
      <c r="D12" t="s">
        <v>496</v>
      </c>
    </row>
    <row r="13" spans="1:12">
      <c r="A13" s="90"/>
    </row>
    <row r="14" spans="1:12">
      <c r="A14" s="90" t="s">
        <v>1423</v>
      </c>
      <c r="D14">
        <f>47*D16</f>
        <v>47</v>
      </c>
      <c r="E14" t="s">
        <v>1456</v>
      </c>
    </row>
    <row r="16" spans="1:12">
      <c r="A16" s="90" t="s">
        <v>644</v>
      </c>
      <c r="D16" s="669">
        <v>1</v>
      </c>
      <c r="E16" t="s">
        <v>1449</v>
      </c>
    </row>
    <row r="17" spans="1:7">
      <c r="D17" t="s">
        <v>962</v>
      </c>
      <c r="G17" t="s">
        <v>492</v>
      </c>
    </row>
    <row r="18" spans="1:7">
      <c r="D18" t="s">
        <v>493</v>
      </c>
    </row>
    <row r="19" spans="1:7">
      <c r="D19" t="s">
        <v>737</v>
      </c>
    </row>
    <row r="20" spans="1:7">
      <c r="D20" t="s">
        <v>736</v>
      </c>
    </row>
    <row r="21" spans="1:7">
      <c r="D21" t="s">
        <v>735</v>
      </c>
    </row>
    <row r="22" spans="1:7">
      <c r="D22" t="s">
        <v>734</v>
      </c>
    </row>
    <row r="23" spans="1:7">
      <c r="D23" s="669">
        <v>0</v>
      </c>
      <c r="E23" t="s">
        <v>1450</v>
      </c>
    </row>
    <row r="24" spans="1:7">
      <c r="D24" s="671" t="s">
        <v>441</v>
      </c>
      <c r="G24" t="s">
        <v>494</v>
      </c>
    </row>
    <row r="25" spans="1:7">
      <c r="D25" t="s">
        <v>730</v>
      </c>
    </row>
    <row r="26" spans="1:7">
      <c r="D26" t="s">
        <v>759</v>
      </c>
    </row>
    <row r="28" spans="1:7">
      <c r="A28" s="90" t="s">
        <v>645</v>
      </c>
      <c r="D28" s="178" t="s">
        <v>1424</v>
      </c>
    </row>
    <row r="29" spans="1:7">
      <c r="D29" t="s">
        <v>1425</v>
      </c>
    </row>
    <row r="31" spans="1:7">
      <c r="A31" s="90" t="s">
        <v>646</v>
      </c>
      <c r="D31" t="s">
        <v>1451</v>
      </c>
      <c r="G31" s="31">
        <v>1200</v>
      </c>
    </row>
    <row r="32" spans="1:7">
      <c r="D32" t="s">
        <v>1452</v>
      </c>
      <c r="G32" s="31">
        <f>IF(ROUND(G31/16,-1)*1.1&lt;100, 100,ROUND(G31/16,-1)*1.05)</f>
        <v>100</v>
      </c>
    </row>
    <row r="33" spans="1:7">
      <c r="D33" t="s">
        <v>1453</v>
      </c>
      <c r="G33" s="673">
        <f>G31/8760</f>
        <v>0.13698630136986301</v>
      </c>
    </row>
    <row r="34" spans="1:7">
      <c r="D34" t="s">
        <v>738</v>
      </c>
    </row>
    <row r="36" spans="1:7">
      <c r="A36" s="192" t="s">
        <v>963</v>
      </c>
      <c r="D36" t="s">
        <v>1454</v>
      </c>
    </row>
    <row r="37" spans="1:7">
      <c r="D37" t="s">
        <v>731</v>
      </c>
    </row>
    <row r="38" spans="1:7">
      <c r="D38" t="s">
        <v>742</v>
      </c>
    </row>
    <row r="39" spans="1:7">
      <c r="D39" t="s">
        <v>732</v>
      </c>
    </row>
    <row r="40" spans="1:7">
      <c r="D40" t="s">
        <v>733</v>
      </c>
    </row>
    <row r="42" spans="1:7">
      <c r="A42" s="90" t="s">
        <v>647</v>
      </c>
      <c r="D42" t="s">
        <v>1468</v>
      </c>
      <c r="F42" s="624">
        <v>20</v>
      </c>
    </row>
    <row r="44" spans="1:7">
      <c r="A44" s="90" t="s">
        <v>648</v>
      </c>
      <c r="D44" t="s">
        <v>964</v>
      </c>
      <c r="G44" s="253"/>
    </row>
    <row r="45" spans="1:7" ht="12" customHeight="1">
      <c r="G45" s="190"/>
    </row>
    <row r="46" spans="1:7" ht="12" customHeight="1">
      <c r="A46" s="90" t="s">
        <v>650</v>
      </c>
      <c r="D46" t="s">
        <v>741</v>
      </c>
    </row>
    <row r="48" spans="1:7">
      <c r="A48" s="192" t="s">
        <v>651</v>
      </c>
      <c r="D48" t="s">
        <v>741</v>
      </c>
    </row>
    <row r="57" spans="1:4">
      <c r="A57" s="90"/>
      <c r="D57" s="178"/>
    </row>
    <row r="60" spans="1:4">
      <c r="A60" s="90"/>
      <c r="D60" s="178"/>
    </row>
  </sheetData>
  <printOptions horizontalCentered="1"/>
  <pageMargins left="0.75" right="0.75" top="1" bottom="1" header="0.5" footer="0.5"/>
  <pageSetup scale="79" orientation="portrait" horizontalDpi="4294967292" verticalDpi="4294967292" r:id="rId1"/>
  <headerFooter alignWithMargins="0">
    <oddFooter>&amp;LScot Chambers
&amp;D&amp;R&amp;F
&amp;A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5"/>
  <sheetViews>
    <sheetView showGridLines="0" zoomScale="75" workbookViewId="0">
      <selection activeCell="F38" sqref="F38"/>
    </sheetView>
  </sheetViews>
  <sheetFormatPr defaultRowHeight="12.75"/>
  <cols>
    <col min="1" max="1" width="27.42578125" customWidth="1"/>
    <col min="3" max="3" width="12.42578125" customWidth="1"/>
    <col min="4" max="4" width="11.85546875" customWidth="1"/>
    <col min="5" max="5" width="11.28515625" customWidth="1"/>
    <col min="7" max="7" width="15.5703125" customWidth="1"/>
    <col min="8" max="8" width="14" customWidth="1"/>
    <col min="9" max="9" width="13.7109375" customWidth="1"/>
    <col min="10" max="11" width="14" customWidth="1"/>
    <col min="12" max="12" width="11.28515625" customWidth="1"/>
    <col min="13" max="13" width="10.28515625" customWidth="1"/>
    <col min="14" max="14" width="10.85546875" customWidth="1"/>
  </cols>
  <sheetData>
    <row r="1" spans="1:14" ht="15.75">
      <c r="A1" s="473" t="str">
        <f>Scope!$A$1</f>
        <v>Rochester Public Utilities LM6000 PC Power Project</v>
      </c>
      <c r="B1" s="89"/>
      <c r="C1" s="89"/>
      <c r="D1" s="89"/>
      <c r="E1" s="89"/>
      <c r="F1" s="89"/>
      <c r="G1" s="89"/>
      <c r="H1" s="89"/>
      <c r="I1" s="89"/>
      <c r="J1" s="89"/>
      <c r="K1" s="89"/>
      <c r="L1" s="89"/>
      <c r="M1" s="89"/>
      <c r="N1" s="89"/>
    </row>
    <row r="2" spans="1:14" ht="15.75">
      <c r="A2" s="295" t="s">
        <v>239</v>
      </c>
      <c r="B2" s="89"/>
      <c r="C2" s="89"/>
      <c r="D2" s="89"/>
      <c r="E2" s="89"/>
      <c r="F2" s="89"/>
      <c r="G2" s="89"/>
      <c r="H2" s="89"/>
      <c r="I2" s="89"/>
      <c r="J2" s="89"/>
      <c r="K2" s="89"/>
      <c r="L2" s="89"/>
      <c r="M2" s="89"/>
      <c r="N2" s="89"/>
    </row>
    <row r="4" spans="1:14" ht="13.5" thickBot="1">
      <c r="N4" s="455"/>
    </row>
    <row r="5" spans="1:14" ht="13.5" thickBot="1">
      <c r="C5" s="456" t="s">
        <v>203</v>
      </c>
      <c r="D5" s="456"/>
      <c r="E5" s="456"/>
      <c r="F5" s="456"/>
      <c r="G5" s="457" t="s">
        <v>14</v>
      </c>
      <c r="H5" s="456"/>
      <c r="I5" s="456"/>
      <c r="J5" s="456"/>
      <c r="K5" s="456"/>
      <c r="L5" s="456"/>
      <c r="M5" s="456"/>
      <c r="N5" t="s">
        <v>1303</v>
      </c>
    </row>
    <row r="6" spans="1:14">
      <c r="C6" t="s">
        <v>204</v>
      </c>
      <c r="D6" t="s">
        <v>204</v>
      </c>
      <c r="E6" t="s">
        <v>204</v>
      </c>
      <c r="F6" t="s">
        <v>205</v>
      </c>
      <c r="G6" s="458" t="s">
        <v>206</v>
      </c>
      <c r="H6" t="s">
        <v>207</v>
      </c>
      <c r="I6" s="459" t="s">
        <v>208</v>
      </c>
      <c r="K6" t="s">
        <v>209</v>
      </c>
      <c r="L6" t="s">
        <v>14</v>
      </c>
      <c r="M6" t="s">
        <v>1303</v>
      </c>
      <c r="N6" t="s">
        <v>210</v>
      </c>
    </row>
    <row r="7" spans="1:14" ht="13.5" thickBot="1">
      <c r="B7" s="455" t="s">
        <v>11</v>
      </c>
      <c r="C7" s="455" t="s">
        <v>211</v>
      </c>
      <c r="D7" s="455" t="s">
        <v>212</v>
      </c>
      <c r="E7" s="455" t="s">
        <v>213</v>
      </c>
      <c r="F7" s="455" t="s">
        <v>213</v>
      </c>
      <c r="G7" s="460" t="s">
        <v>214</v>
      </c>
      <c r="H7" s="455" t="s">
        <v>214</v>
      </c>
      <c r="I7" s="455" t="s">
        <v>215</v>
      </c>
      <c r="J7" s="455" t="s">
        <v>216</v>
      </c>
      <c r="K7" s="455" t="s">
        <v>217</v>
      </c>
      <c r="L7" s="455" t="s">
        <v>218</v>
      </c>
      <c r="M7" s="455" t="s">
        <v>14</v>
      </c>
      <c r="N7" s="455" t="s">
        <v>14</v>
      </c>
    </row>
    <row r="8" spans="1:14">
      <c r="A8" t="s">
        <v>219</v>
      </c>
      <c r="B8">
        <v>1</v>
      </c>
      <c r="C8" s="31">
        <v>55000</v>
      </c>
      <c r="D8" s="31">
        <v>80000</v>
      </c>
      <c r="E8" s="31">
        <f t="shared" ref="E8:E17" si="0">(D8+C8)/2</f>
        <v>67500</v>
      </c>
      <c r="F8" s="31">
        <f t="shared" ref="F8:F17" si="1">12*E8</f>
        <v>810000</v>
      </c>
      <c r="G8" s="31">
        <v>111250</v>
      </c>
      <c r="H8" s="31">
        <v>762600</v>
      </c>
      <c r="I8" s="31">
        <f t="shared" ref="I8:I17" si="2">0.2*F8</f>
        <v>162000</v>
      </c>
      <c r="J8" s="31">
        <v>251100</v>
      </c>
      <c r="K8" s="31">
        <f t="shared" ref="K8:K17" si="3">0.3*F8</f>
        <v>243000</v>
      </c>
      <c r="L8" s="31">
        <v>669800</v>
      </c>
      <c r="M8" s="31">
        <f t="shared" ref="M8:M17" si="4">H8+I8+J8+L8+G8+K8</f>
        <v>2199750</v>
      </c>
      <c r="N8" s="31">
        <f t="shared" ref="N8:N17" si="5">+M8+F8</f>
        <v>3009750</v>
      </c>
    </row>
    <row r="9" spans="1:14">
      <c r="A9" t="s">
        <v>220</v>
      </c>
      <c r="B9">
        <v>2</v>
      </c>
      <c r="C9" s="31">
        <v>40000</v>
      </c>
      <c r="D9" s="31">
        <v>50000</v>
      </c>
      <c r="E9" s="31">
        <f t="shared" si="0"/>
        <v>45000</v>
      </c>
      <c r="F9" s="31">
        <f t="shared" si="1"/>
        <v>540000</v>
      </c>
      <c r="G9" s="31">
        <v>77500</v>
      </c>
      <c r="H9" s="31">
        <v>417600</v>
      </c>
      <c r="I9" s="31">
        <f t="shared" si="2"/>
        <v>108000</v>
      </c>
      <c r="J9" s="31">
        <v>167100</v>
      </c>
      <c r="K9" s="31">
        <f t="shared" si="3"/>
        <v>162000</v>
      </c>
      <c r="L9" s="31">
        <v>491200</v>
      </c>
      <c r="M9" s="31">
        <f t="shared" si="4"/>
        <v>1423400</v>
      </c>
      <c r="N9" s="31">
        <f t="shared" si="5"/>
        <v>1963400</v>
      </c>
    </row>
    <row r="10" spans="1:14">
      <c r="A10" t="s">
        <v>221</v>
      </c>
      <c r="B10">
        <v>3</v>
      </c>
      <c r="C10" s="31">
        <v>23000</v>
      </c>
      <c r="D10" s="31">
        <v>31000</v>
      </c>
      <c r="E10" s="31">
        <f t="shared" si="0"/>
        <v>27000</v>
      </c>
      <c r="F10" s="31">
        <f t="shared" si="1"/>
        <v>324000</v>
      </c>
      <c r="G10" s="31">
        <v>50500</v>
      </c>
      <c r="H10" s="31">
        <v>226200</v>
      </c>
      <c r="I10" s="31">
        <f t="shared" si="2"/>
        <v>64800</v>
      </c>
      <c r="J10" s="31">
        <v>100440</v>
      </c>
      <c r="K10" s="31">
        <f t="shared" si="3"/>
        <v>97200</v>
      </c>
      <c r="L10" s="31">
        <v>346320</v>
      </c>
      <c r="M10" s="31">
        <f t="shared" si="4"/>
        <v>885460</v>
      </c>
      <c r="N10" s="31">
        <f t="shared" si="5"/>
        <v>1209460</v>
      </c>
    </row>
    <row r="11" spans="1:14">
      <c r="A11" t="s">
        <v>222</v>
      </c>
      <c r="B11">
        <v>4</v>
      </c>
      <c r="C11" s="31">
        <v>19000</v>
      </c>
      <c r="D11" s="31">
        <v>22500</v>
      </c>
      <c r="E11" s="31">
        <f t="shared" si="0"/>
        <v>20750</v>
      </c>
      <c r="F11" s="31">
        <f t="shared" si="1"/>
        <v>249000</v>
      </c>
      <c r="G11" s="31">
        <v>41125</v>
      </c>
      <c r="H11" s="31">
        <v>190500</v>
      </c>
      <c r="I11" s="31">
        <f t="shared" si="2"/>
        <v>49800</v>
      </c>
      <c r="J11" s="31">
        <v>77190</v>
      </c>
      <c r="K11" s="31">
        <f t="shared" si="3"/>
        <v>74700</v>
      </c>
      <c r="L11" s="31">
        <v>190320</v>
      </c>
      <c r="M11" s="31">
        <f t="shared" si="4"/>
        <v>623635</v>
      </c>
      <c r="N11" s="31">
        <f t="shared" si="5"/>
        <v>872635</v>
      </c>
    </row>
    <row r="12" spans="1:14">
      <c r="A12" t="s">
        <v>223</v>
      </c>
      <c r="B12">
        <v>5</v>
      </c>
      <c r="C12" s="31">
        <v>14000</v>
      </c>
      <c r="D12" s="31">
        <v>19500</v>
      </c>
      <c r="E12" s="31">
        <f t="shared" si="0"/>
        <v>16750</v>
      </c>
      <c r="F12" s="31">
        <f t="shared" si="1"/>
        <v>201000</v>
      </c>
      <c r="G12" s="31">
        <v>35125</v>
      </c>
      <c r="H12" s="31">
        <v>154500</v>
      </c>
      <c r="I12" s="31">
        <f t="shared" si="2"/>
        <v>40200</v>
      </c>
      <c r="J12" s="31">
        <v>62310</v>
      </c>
      <c r="K12" s="31">
        <f t="shared" si="3"/>
        <v>60300</v>
      </c>
      <c r="L12" s="31">
        <v>160180</v>
      </c>
      <c r="M12" s="31">
        <f t="shared" si="4"/>
        <v>512615</v>
      </c>
      <c r="N12" s="31">
        <f t="shared" si="5"/>
        <v>713615</v>
      </c>
    </row>
    <row r="13" spans="1:14">
      <c r="A13" t="s">
        <v>224</v>
      </c>
      <c r="B13">
        <v>6</v>
      </c>
      <c r="C13" s="31">
        <v>8500</v>
      </c>
      <c r="D13" s="31">
        <v>14350</v>
      </c>
      <c r="E13" s="31">
        <f t="shared" si="0"/>
        <v>11425</v>
      </c>
      <c r="F13" s="31">
        <f t="shared" si="1"/>
        <v>137100</v>
      </c>
      <c r="G13" s="31">
        <v>21425</v>
      </c>
      <c r="H13" s="31">
        <v>97530</v>
      </c>
      <c r="I13" s="31">
        <f t="shared" si="2"/>
        <v>27420</v>
      </c>
      <c r="J13" s="31">
        <v>42501</v>
      </c>
      <c r="K13" s="31">
        <f t="shared" si="3"/>
        <v>41130</v>
      </c>
      <c r="L13" s="31">
        <v>122328</v>
      </c>
      <c r="M13" s="31">
        <f t="shared" si="4"/>
        <v>352334</v>
      </c>
      <c r="N13" s="31">
        <f t="shared" si="5"/>
        <v>489434</v>
      </c>
    </row>
    <row r="14" spans="1:14">
      <c r="A14" t="s">
        <v>225</v>
      </c>
      <c r="B14">
        <v>7</v>
      </c>
      <c r="C14" s="31">
        <v>8500</v>
      </c>
      <c r="D14" s="31">
        <v>10900</v>
      </c>
      <c r="E14" s="31">
        <f t="shared" si="0"/>
        <v>9700</v>
      </c>
      <c r="F14" s="31">
        <f t="shared" si="1"/>
        <v>116400</v>
      </c>
      <c r="G14" s="31">
        <v>19700</v>
      </c>
      <c r="H14" s="31">
        <v>65280</v>
      </c>
      <c r="I14" s="31">
        <f t="shared" si="2"/>
        <v>23280</v>
      </c>
      <c r="J14" s="31">
        <v>36084</v>
      </c>
      <c r="K14" s="31">
        <f t="shared" si="3"/>
        <v>34920</v>
      </c>
      <c r="L14" s="31">
        <v>78052</v>
      </c>
      <c r="M14" s="31">
        <f t="shared" si="4"/>
        <v>257316</v>
      </c>
      <c r="N14" s="31">
        <f t="shared" si="5"/>
        <v>373716</v>
      </c>
    </row>
    <row r="15" spans="1:14">
      <c r="A15" t="s">
        <v>226</v>
      </c>
      <c r="B15">
        <v>8</v>
      </c>
      <c r="C15" s="31">
        <v>3800</v>
      </c>
      <c r="D15" s="31">
        <v>5250</v>
      </c>
      <c r="E15" s="31">
        <f t="shared" si="0"/>
        <v>4525</v>
      </c>
      <c r="F15" s="31">
        <f t="shared" si="1"/>
        <v>54300</v>
      </c>
      <c r="G15" s="31">
        <v>9050</v>
      </c>
      <c r="H15" s="31">
        <v>32860</v>
      </c>
      <c r="I15" s="31">
        <f t="shared" si="2"/>
        <v>10860</v>
      </c>
      <c r="J15" s="31">
        <v>16833</v>
      </c>
      <c r="K15" s="31">
        <f t="shared" si="3"/>
        <v>16290</v>
      </c>
      <c r="L15" s="31">
        <v>7474</v>
      </c>
      <c r="M15" s="31">
        <f t="shared" si="4"/>
        <v>93367</v>
      </c>
      <c r="N15" s="31">
        <f t="shared" si="5"/>
        <v>147667</v>
      </c>
    </row>
    <row r="16" spans="1:14">
      <c r="A16" t="s">
        <v>227</v>
      </c>
      <c r="B16">
        <v>9</v>
      </c>
      <c r="C16" s="31">
        <v>2500</v>
      </c>
      <c r="D16" s="31">
        <v>5000</v>
      </c>
      <c r="E16" s="31">
        <f t="shared" si="0"/>
        <v>3750</v>
      </c>
      <c r="F16" s="31">
        <f t="shared" si="1"/>
        <v>45000</v>
      </c>
      <c r="G16" s="31">
        <v>7500</v>
      </c>
      <c r="H16" s="31">
        <v>24000</v>
      </c>
      <c r="I16" s="31">
        <f t="shared" si="2"/>
        <v>9000</v>
      </c>
      <c r="J16" s="31">
        <v>13950</v>
      </c>
      <c r="K16" s="31">
        <f t="shared" si="3"/>
        <v>13500</v>
      </c>
      <c r="L16" s="31">
        <v>3600</v>
      </c>
      <c r="M16" s="31">
        <f t="shared" si="4"/>
        <v>71550</v>
      </c>
      <c r="N16" s="31">
        <f t="shared" si="5"/>
        <v>116550</v>
      </c>
    </row>
    <row r="17" spans="1:15">
      <c r="A17" t="s">
        <v>228</v>
      </c>
      <c r="B17">
        <v>10</v>
      </c>
      <c r="C17" s="31">
        <v>1500</v>
      </c>
      <c r="D17" s="31">
        <v>3000</v>
      </c>
      <c r="E17" s="31">
        <f t="shared" si="0"/>
        <v>2250</v>
      </c>
      <c r="F17" s="31">
        <f t="shared" si="1"/>
        <v>27000</v>
      </c>
      <c r="G17" s="31">
        <v>4500</v>
      </c>
      <c r="H17" s="31">
        <v>6000</v>
      </c>
      <c r="I17" s="31">
        <f t="shared" si="2"/>
        <v>5400</v>
      </c>
      <c r="J17" s="31">
        <v>8370</v>
      </c>
      <c r="K17" s="31">
        <f t="shared" si="3"/>
        <v>8100</v>
      </c>
      <c r="L17" s="31">
        <v>3360</v>
      </c>
      <c r="M17" s="31">
        <f t="shared" si="4"/>
        <v>35730</v>
      </c>
      <c r="N17" s="31">
        <f t="shared" si="5"/>
        <v>62730</v>
      </c>
    </row>
    <row r="20" spans="1:15">
      <c r="H20" s="225"/>
      <c r="I20" s="225"/>
      <c r="J20" s="225"/>
      <c r="K20" s="225"/>
      <c r="L20" s="225"/>
      <c r="M20" s="225"/>
      <c r="N20" s="225"/>
      <c r="O20" s="225"/>
    </row>
    <row r="21" spans="1:15" ht="13.5" thickBot="1"/>
    <row r="22" spans="1:15" ht="13.5" thickBot="1">
      <c r="B22" s="461" t="s">
        <v>238</v>
      </c>
      <c r="C22" s="462"/>
      <c r="D22" s="462"/>
      <c r="E22" s="463">
        <v>1</v>
      </c>
    </row>
    <row r="23" spans="1:15" ht="13.5" thickBot="1"/>
    <row r="24" spans="1:15" ht="13.5" thickBot="1">
      <c r="B24" s="461" t="s">
        <v>229</v>
      </c>
      <c r="C24" s="462"/>
      <c r="D24" s="462"/>
      <c r="E24" s="452">
        <f>(1+E29)^E28-1</f>
        <v>0</v>
      </c>
    </row>
    <row r="25" spans="1:15" ht="13.5" thickBot="1"/>
    <row r="26" spans="1:15">
      <c r="B26" s="464" t="s">
        <v>230</v>
      </c>
      <c r="C26" s="465"/>
      <c r="D26" s="465"/>
      <c r="E26" s="466">
        <v>2000</v>
      </c>
      <c r="F26" s="467" t="s">
        <v>231</v>
      </c>
    </row>
    <row r="27" spans="1:15">
      <c r="B27" s="468" t="s">
        <v>232</v>
      </c>
      <c r="C27" s="204"/>
      <c r="D27" s="204"/>
      <c r="E27" s="469">
        <v>2000</v>
      </c>
    </row>
    <row r="28" spans="1:15">
      <c r="B28" s="468" t="s">
        <v>233</v>
      </c>
      <c r="C28" s="204"/>
      <c r="D28" s="204"/>
      <c r="E28" s="469">
        <f>E26-E27</f>
        <v>0</v>
      </c>
    </row>
    <row r="29" spans="1:15" ht="13.5" thickBot="1">
      <c r="B29" s="470" t="s">
        <v>234</v>
      </c>
      <c r="C29" s="471"/>
      <c r="D29" s="471"/>
      <c r="E29" s="472">
        <v>0.09</v>
      </c>
      <c r="F29" s="467" t="s">
        <v>235</v>
      </c>
    </row>
    <row r="32" spans="1:15">
      <c r="B32" t="s">
        <v>236</v>
      </c>
    </row>
    <row r="35" spans="2:2">
      <c r="B35" t="s">
        <v>237</v>
      </c>
    </row>
  </sheetData>
  <printOptions horizontalCentered="1"/>
  <pageMargins left="0.75" right="0.75" top="1" bottom="1" header="0.5" footer="0.5"/>
  <pageSetup scale="66" orientation="landscape" r:id="rId1"/>
  <headerFooter alignWithMargins="0">
    <oddFooter>&amp;LName
&amp;D&amp;CPage _____&amp;R&amp;F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F36"/>
  <sheetViews>
    <sheetView zoomScaleNormal="25" zoomScaleSheetLayoutView="100" workbookViewId="0">
      <selection activeCell="AA75" sqref="AA75"/>
    </sheetView>
  </sheetViews>
  <sheetFormatPr defaultRowHeight="12.75"/>
  <cols>
    <col min="2" max="2" width="26.140625" customWidth="1"/>
    <col min="3" max="3" width="5.42578125" customWidth="1"/>
    <col min="4" max="4" width="10.42578125" customWidth="1"/>
    <col min="5" max="5" width="13.85546875" customWidth="1"/>
    <col min="7" max="7" width="12.28515625" customWidth="1"/>
  </cols>
  <sheetData>
    <row r="1" spans="1:6">
      <c r="A1" s="250" t="str">
        <f>Scope!A1</f>
        <v>Rochester Public Utilities LM6000 PC Power Project</v>
      </c>
      <c r="B1" s="236"/>
      <c r="C1" s="236"/>
      <c r="D1" s="236"/>
      <c r="E1" s="236"/>
      <c r="F1" s="236"/>
    </row>
    <row r="2" spans="1:6">
      <c r="A2" s="226" t="s">
        <v>638</v>
      </c>
      <c r="B2" s="236"/>
      <c r="C2" s="236"/>
      <c r="D2" s="236"/>
      <c r="E2" s="236"/>
      <c r="F2" s="236"/>
    </row>
    <row r="3" spans="1:6">
      <c r="A3" s="226"/>
      <c r="B3" s="89"/>
      <c r="C3" s="89"/>
      <c r="D3" s="89"/>
      <c r="E3" s="89"/>
    </row>
    <row r="4" spans="1:6">
      <c r="A4" s="226"/>
      <c r="B4" s="89"/>
      <c r="C4" s="89"/>
      <c r="D4" s="89"/>
      <c r="E4" s="89"/>
    </row>
    <row r="5" spans="1:6">
      <c r="B5" s="143"/>
    </row>
    <row r="6" spans="1:6">
      <c r="B6" s="143"/>
    </row>
    <row r="7" spans="1:6">
      <c r="B7" s="143"/>
      <c r="C7" s="243"/>
      <c r="D7" s="228" t="s">
        <v>769</v>
      </c>
    </row>
    <row r="8" spans="1:6">
      <c r="B8" s="143"/>
      <c r="D8" s="143"/>
    </row>
    <row r="9" spans="1:6" ht="14.25">
      <c r="B9" s="203" t="s">
        <v>34</v>
      </c>
      <c r="D9" s="244">
        <v>0.313</v>
      </c>
      <c r="E9" t="s">
        <v>35</v>
      </c>
    </row>
    <row r="10" spans="1:6">
      <c r="B10" s="245"/>
      <c r="D10" s="246"/>
    </row>
    <row r="11" spans="1:6" ht="14.25">
      <c r="B11" s="203" t="s">
        <v>36</v>
      </c>
      <c r="D11" s="247" t="s">
        <v>37</v>
      </c>
    </row>
    <row r="12" spans="1:6">
      <c r="B12" s="248"/>
      <c r="D12" s="246"/>
    </row>
    <row r="13" spans="1:6">
      <c r="B13" s="203" t="s">
        <v>33</v>
      </c>
      <c r="D13" s="246">
        <v>0.2</v>
      </c>
      <c r="E13" t="s">
        <v>35</v>
      </c>
    </row>
    <row r="14" spans="1:6">
      <c r="B14" s="245"/>
      <c r="D14" s="249"/>
    </row>
    <row r="15" spans="1:6" ht="14.25">
      <c r="B15" s="203" t="s">
        <v>38</v>
      </c>
      <c r="D15" s="247" t="s">
        <v>39</v>
      </c>
    </row>
    <row r="16" spans="1:6">
      <c r="B16" s="203"/>
      <c r="C16" s="136"/>
      <c r="D16" s="136"/>
    </row>
    <row r="17" spans="1:4">
      <c r="B17" s="143"/>
      <c r="C17" s="229"/>
      <c r="D17" s="229"/>
    </row>
    <row r="18" spans="1:4">
      <c r="D18" s="230"/>
    </row>
    <row r="19" spans="1:4">
      <c r="D19" s="229"/>
    </row>
    <row r="20" spans="1:4">
      <c r="A20" s="179" t="s">
        <v>40</v>
      </c>
      <c r="D20" s="229"/>
    </row>
    <row r="21" spans="1:4">
      <c r="A21" t="s">
        <v>41</v>
      </c>
      <c r="D21" s="229"/>
    </row>
    <row r="22" spans="1:4">
      <c r="A22" t="s">
        <v>42</v>
      </c>
      <c r="C22" s="229"/>
      <c r="D22" s="229"/>
    </row>
    <row r="23" spans="1:4">
      <c r="A23" t="s">
        <v>43</v>
      </c>
      <c r="C23" s="229"/>
      <c r="D23" s="229"/>
    </row>
    <row r="24" spans="1:4">
      <c r="A24" t="s">
        <v>44</v>
      </c>
      <c r="C24" s="229"/>
      <c r="D24" s="229"/>
    </row>
    <row r="25" spans="1:4">
      <c r="A25" t="s">
        <v>45</v>
      </c>
      <c r="C25" s="229"/>
      <c r="D25" s="230"/>
    </row>
    <row r="26" spans="1:4">
      <c r="A26" t="s">
        <v>46</v>
      </c>
      <c r="C26" s="229"/>
      <c r="D26" s="229"/>
    </row>
    <row r="27" spans="1:4">
      <c r="A27" t="s">
        <v>47</v>
      </c>
      <c r="C27" s="212"/>
      <c r="D27" s="212"/>
    </row>
    <row r="28" spans="1:4">
      <c r="A28" t="s">
        <v>48</v>
      </c>
      <c r="C28" s="229"/>
    </row>
    <row r="29" spans="1:4">
      <c r="A29" t="s">
        <v>49</v>
      </c>
      <c r="C29" s="230"/>
      <c r="D29" s="136"/>
    </row>
    <row r="30" spans="1:4">
      <c r="A30" t="s">
        <v>50</v>
      </c>
      <c r="C30" s="229"/>
    </row>
    <row r="31" spans="1:4">
      <c r="A31" t="s">
        <v>51</v>
      </c>
    </row>
    <row r="32" spans="1:4">
      <c r="A32" t="s">
        <v>52</v>
      </c>
    </row>
    <row r="33" spans="1:1">
      <c r="A33" t="s">
        <v>53</v>
      </c>
    </row>
    <row r="34" spans="1:1">
      <c r="A34" t="s">
        <v>54</v>
      </c>
    </row>
    <row r="35" spans="1:1">
      <c r="A35" t="s">
        <v>55</v>
      </c>
    </row>
    <row r="36" spans="1:1">
      <c r="A36" t="s">
        <v>56</v>
      </c>
    </row>
  </sheetData>
  <printOptions horizontalCentered="1"/>
  <pageMargins left="0.75" right="0.75" top="1" bottom="1" header="0.5" footer="0.5"/>
  <pageSetup orientation="portrait" horizontalDpi="4294967292" verticalDpi="4294967292" r:id="rId1"/>
  <headerFooter alignWithMargins="0">
    <oddFooter>&amp;LRichard Bickings
&amp;D&amp;CPage &amp;P&amp;R&amp;F
&amp;A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outlinePr applyStyles="1"/>
    <pageSetUpPr fitToPage="1"/>
  </sheetPr>
  <dimension ref="A1:I872"/>
  <sheetViews>
    <sheetView zoomScale="75" zoomScaleNormal="25" zoomScaleSheetLayoutView="100" workbookViewId="0">
      <pane ySplit="2" topLeftCell="A143" activePane="bottomLeft" state="frozen"/>
      <selection activeCell="F28" sqref="F28"/>
      <selection pane="bottomLeft" activeCell="F28" sqref="F28"/>
    </sheetView>
  </sheetViews>
  <sheetFormatPr defaultRowHeight="12.75" outlineLevelRow="2"/>
  <cols>
    <col min="1" max="1" width="31.28515625" style="104" customWidth="1"/>
    <col min="2" max="2" width="41.42578125" style="104" customWidth="1"/>
    <col min="3" max="3" width="19.5703125" style="104" customWidth="1"/>
    <col min="4" max="4" width="15.7109375" style="104" customWidth="1"/>
    <col min="5" max="5" width="14.42578125" style="104" hidden="1" customWidth="1"/>
    <col min="6" max="6" width="12.7109375" style="104" hidden="1" customWidth="1"/>
    <col min="7" max="7" width="2.5703125" style="104" customWidth="1"/>
    <col min="8" max="9" width="9.42578125" style="109" customWidth="1"/>
    <col min="10" max="16384" width="9.140625" style="104"/>
  </cols>
  <sheetData>
    <row r="1" spans="1:9" ht="18" customHeight="1" thickBot="1">
      <c r="A1" s="103"/>
      <c r="H1" s="104"/>
      <c r="I1" s="104"/>
    </row>
    <row r="2" spans="1:9" ht="17.25" customHeight="1" thickBot="1">
      <c r="A2" s="105" t="s">
        <v>1332</v>
      </c>
      <c r="B2" s="106" t="s">
        <v>1333</v>
      </c>
      <c r="C2" s="107"/>
      <c r="D2" s="237" t="s">
        <v>1334</v>
      </c>
      <c r="E2" s="237" t="s">
        <v>1335</v>
      </c>
      <c r="F2" s="237" t="s">
        <v>1336</v>
      </c>
      <c r="H2" s="108" t="s">
        <v>1337</v>
      </c>
    </row>
    <row r="3" spans="1:9" s="113" customFormat="1" ht="20.25" customHeight="1" outlineLevel="1">
      <c r="A3" s="309" t="str">
        <f>Scope!A1</f>
        <v>Rochester Public Utilities LM6000 PC Power Project</v>
      </c>
      <c r="B3" s="110"/>
      <c r="C3" s="111"/>
      <c r="D3" s="78"/>
      <c r="E3" s="78"/>
      <c r="F3" s="78"/>
    </row>
    <row r="4" spans="1:9" s="113" customFormat="1" ht="18.75" outlineLevel="1" thickBot="1">
      <c r="A4" s="114" t="s">
        <v>639</v>
      </c>
      <c r="B4" s="115"/>
      <c r="C4" s="116"/>
      <c r="D4" s="81"/>
      <c r="E4" s="81"/>
      <c r="F4" s="81"/>
    </row>
    <row r="5" spans="1:9" s="113" customFormat="1" ht="13.5" outlineLevel="1" thickBot="1">
      <c r="A5" s="162" t="s">
        <v>57</v>
      </c>
      <c r="B5" s="163"/>
      <c r="C5" s="164"/>
      <c r="D5" s="120"/>
      <c r="E5" s="270">
        <f>E13/D13</f>
        <v>0</v>
      </c>
      <c r="F5" s="270">
        <f>1-E5</f>
        <v>1</v>
      </c>
    </row>
    <row r="6" spans="1:9" ht="13.5" outlineLevel="2" thickBot="1">
      <c r="A6" s="121" t="s">
        <v>919</v>
      </c>
      <c r="B6" s="88"/>
      <c r="C6" s="271"/>
      <c r="D6" s="123">
        <f>Ops_Staff!$G$17</f>
        <v>406043.19160615373</v>
      </c>
      <c r="E6" s="123">
        <v>0</v>
      </c>
      <c r="F6" s="123">
        <f>D6-E6</f>
        <v>406043.19160615373</v>
      </c>
      <c r="H6" s="104"/>
      <c r="I6" s="104"/>
    </row>
    <row r="7" spans="1:9" ht="13.5" hidden="1" outlineLevel="2" thickBot="1">
      <c r="A7" s="121"/>
      <c r="B7" s="88"/>
      <c r="C7" s="272"/>
      <c r="D7" s="123">
        <f>17*C7</f>
        <v>0</v>
      </c>
      <c r="E7" s="123">
        <v>0</v>
      </c>
      <c r="F7" s="123">
        <f>D7-E7</f>
        <v>0</v>
      </c>
      <c r="H7" s="104"/>
      <c r="I7" s="104"/>
    </row>
    <row r="8" spans="1:9" ht="13.5" hidden="1" outlineLevel="2" thickBot="1">
      <c r="A8" s="121"/>
      <c r="B8" s="88"/>
      <c r="C8" s="271"/>
      <c r="D8" s="123">
        <f>C10*C8</f>
        <v>0</v>
      </c>
      <c r="E8" s="123">
        <f>D8</f>
        <v>0</v>
      </c>
      <c r="F8" s="123">
        <f>D8-E8</f>
        <v>0</v>
      </c>
      <c r="H8" s="104"/>
      <c r="I8" s="104"/>
    </row>
    <row r="9" spans="1:9" ht="13.5" hidden="1" outlineLevel="2" thickBot="1">
      <c r="A9" s="121"/>
      <c r="B9" s="88"/>
      <c r="C9" s="271"/>
      <c r="D9" s="123">
        <f>(C11-C10)*C9</f>
        <v>0</v>
      </c>
      <c r="E9" s="123">
        <f>D9</f>
        <v>0</v>
      </c>
      <c r="F9" s="123">
        <f>D9-E9</f>
        <v>0</v>
      </c>
      <c r="H9" s="104"/>
      <c r="I9" s="104"/>
    </row>
    <row r="10" spans="1:9" ht="13.5" hidden="1" outlineLevel="2" thickBot="1">
      <c r="A10" s="121"/>
      <c r="B10" s="88"/>
      <c r="C10" s="122"/>
      <c r="D10" s="123"/>
      <c r="E10" s="123"/>
      <c r="F10" s="123"/>
      <c r="H10" s="104"/>
      <c r="I10" s="104"/>
    </row>
    <row r="11" spans="1:9" ht="13.5" hidden="1" outlineLevel="2" thickBot="1">
      <c r="A11" s="121"/>
      <c r="B11" s="88"/>
      <c r="C11" s="122"/>
      <c r="D11" s="123"/>
      <c r="E11" s="123"/>
      <c r="F11" s="123"/>
      <c r="H11" s="104"/>
      <c r="I11" s="104"/>
    </row>
    <row r="12" spans="1:9" ht="13.5" outlineLevel="2" thickBot="1">
      <c r="A12" s="121"/>
      <c r="B12" s="88"/>
      <c r="C12" s="122"/>
      <c r="D12" s="123"/>
      <c r="E12" s="123"/>
      <c r="F12" s="123"/>
      <c r="H12" s="104"/>
      <c r="I12" s="104"/>
    </row>
    <row r="13" spans="1:9" s="113" customFormat="1" ht="13.5" outlineLevel="1" thickBot="1">
      <c r="A13" s="121" t="s">
        <v>58</v>
      </c>
      <c r="B13" s="88"/>
      <c r="C13" s="124" t="s">
        <v>1360</v>
      </c>
      <c r="D13" s="112">
        <f>SUBTOTAL(9,D6:D10)</f>
        <v>406043.19160615373</v>
      </c>
      <c r="E13" s="112">
        <f>SUBTOTAL(9,E6:E10)</f>
        <v>0</v>
      </c>
      <c r="F13" s="112">
        <f>SUBTOTAL(9,F6:F10)</f>
        <v>406043.19160615373</v>
      </c>
    </row>
    <row r="14" spans="1:9" s="113" customFormat="1" ht="13.5" outlineLevel="1" thickBot="1">
      <c r="A14" s="165" t="s">
        <v>695</v>
      </c>
      <c r="B14" s="125"/>
      <c r="C14" s="148"/>
      <c r="D14" s="120"/>
      <c r="E14" s="270">
        <f>E23/D23</f>
        <v>1</v>
      </c>
      <c r="F14" s="270">
        <f>1-E14</f>
        <v>0</v>
      </c>
    </row>
    <row r="15" spans="1:9" ht="13.5" outlineLevel="2" thickBot="1">
      <c r="A15" s="499" t="s">
        <v>702</v>
      </c>
      <c r="B15" s="500" t="s">
        <v>1217</v>
      </c>
      <c r="C15" s="122"/>
      <c r="D15" s="123">
        <f>2700*2</f>
        <v>5400</v>
      </c>
      <c r="E15" s="123">
        <f>D15</f>
        <v>5400</v>
      </c>
      <c r="F15" s="123">
        <f t="shared" ref="F15:F21" si="0">D15-E15</f>
        <v>0</v>
      </c>
      <c r="H15" s="104"/>
      <c r="I15" s="104"/>
    </row>
    <row r="16" spans="1:9" ht="13.5" outlineLevel="2" thickBot="1">
      <c r="A16" s="499" t="s">
        <v>920</v>
      </c>
      <c r="B16" s="500" t="s">
        <v>927</v>
      </c>
      <c r="C16" s="122"/>
      <c r="D16" s="123">
        <f>3*1000</f>
        <v>3000</v>
      </c>
      <c r="E16" s="123">
        <f t="shared" ref="E16:E21" si="1">D16</f>
        <v>3000</v>
      </c>
      <c r="F16" s="123">
        <f t="shared" si="0"/>
        <v>0</v>
      </c>
      <c r="H16" s="104"/>
      <c r="I16" s="104"/>
    </row>
    <row r="17" spans="1:9" ht="13.5" outlineLevel="2" thickBot="1">
      <c r="A17" s="499" t="s">
        <v>921</v>
      </c>
      <c r="B17" s="500" t="s">
        <v>926</v>
      </c>
      <c r="C17" s="122"/>
      <c r="D17" s="123">
        <f>2*1500</f>
        <v>3000</v>
      </c>
      <c r="E17" s="123">
        <f t="shared" si="1"/>
        <v>3000</v>
      </c>
      <c r="F17" s="123">
        <f t="shared" si="0"/>
        <v>0</v>
      </c>
      <c r="H17" s="104"/>
      <c r="I17" s="104"/>
    </row>
    <row r="18" spans="1:9" ht="13.5" outlineLevel="2" thickBot="1">
      <c r="A18" s="499" t="s">
        <v>922</v>
      </c>
      <c r="B18" s="500" t="s">
        <v>923</v>
      </c>
      <c r="C18" s="122"/>
      <c r="D18" s="123">
        <f>3*1000</f>
        <v>3000</v>
      </c>
      <c r="E18" s="123">
        <f t="shared" si="1"/>
        <v>3000</v>
      </c>
      <c r="F18" s="123">
        <f t="shared" si="0"/>
        <v>0</v>
      </c>
      <c r="H18" s="104"/>
      <c r="I18" s="104"/>
    </row>
    <row r="19" spans="1:9" ht="13.5" outlineLevel="2" thickBot="1">
      <c r="A19" s="499" t="s">
        <v>924</v>
      </c>
      <c r="B19" s="500" t="s">
        <v>925</v>
      </c>
      <c r="C19" s="122"/>
      <c r="D19" s="123">
        <v>10000</v>
      </c>
      <c r="E19" s="123">
        <f t="shared" si="1"/>
        <v>10000</v>
      </c>
      <c r="F19" s="123">
        <f t="shared" si="0"/>
        <v>0</v>
      </c>
      <c r="H19" s="104"/>
      <c r="I19" s="104"/>
    </row>
    <row r="20" spans="1:9" ht="13.5" hidden="1" outlineLevel="2" thickBot="1">
      <c r="A20" s="121"/>
      <c r="B20" s="88"/>
      <c r="C20" s="122"/>
      <c r="D20" s="123">
        <v>0</v>
      </c>
      <c r="E20" s="123">
        <f t="shared" si="1"/>
        <v>0</v>
      </c>
      <c r="F20" s="123">
        <f t="shared" si="0"/>
        <v>0</v>
      </c>
      <c r="H20" s="104"/>
      <c r="I20" s="104"/>
    </row>
    <row r="21" spans="1:9" ht="13.5" hidden="1" outlineLevel="2" thickBot="1">
      <c r="A21" s="121"/>
      <c r="B21" s="88"/>
      <c r="C21" s="122"/>
      <c r="D21" s="123">
        <v>0</v>
      </c>
      <c r="E21" s="123">
        <f t="shared" si="1"/>
        <v>0</v>
      </c>
      <c r="F21" s="123">
        <f t="shared" si="0"/>
        <v>0</v>
      </c>
      <c r="H21" s="104"/>
      <c r="I21" s="104"/>
    </row>
    <row r="22" spans="1:9" ht="13.5" outlineLevel="2" thickBot="1">
      <c r="A22" s="121"/>
      <c r="B22" s="88"/>
      <c r="C22" s="122"/>
      <c r="D22" s="123"/>
      <c r="E22" s="123"/>
      <c r="F22" s="123"/>
      <c r="H22" s="104"/>
      <c r="I22" s="104"/>
    </row>
    <row r="23" spans="1:9" s="113" customFormat="1" ht="13.5" outlineLevel="1" thickBot="1">
      <c r="A23" s="121" t="s">
        <v>877</v>
      </c>
      <c r="B23" s="88"/>
      <c r="C23" s="124" t="s">
        <v>1360</v>
      </c>
      <c r="D23" s="112">
        <f>SUBTOTAL(9,D15:D21)</f>
        <v>24400</v>
      </c>
      <c r="E23" s="112">
        <f>SUBTOTAL(9,E15:E21)</f>
        <v>24400</v>
      </c>
      <c r="F23" s="112">
        <f>SUBTOTAL(9,F15:F21)</f>
        <v>0</v>
      </c>
    </row>
    <row r="24" spans="1:9" s="113" customFormat="1" ht="13.5" outlineLevel="1" thickBot="1">
      <c r="A24" s="165" t="s">
        <v>59</v>
      </c>
      <c r="B24" s="125"/>
      <c r="C24" s="148"/>
      <c r="D24" s="120"/>
      <c r="E24" s="270" t="e">
        <f>E27/D27</f>
        <v>#DIV/0!</v>
      </c>
      <c r="F24" s="270" t="e">
        <f>1-E24</f>
        <v>#DIV/0!</v>
      </c>
    </row>
    <row r="25" spans="1:9" s="113" customFormat="1" ht="13.5" outlineLevel="1" thickBot="1">
      <c r="A25" s="499" t="s">
        <v>1233</v>
      </c>
      <c r="B25" s="500" t="s">
        <v>1234</v>
      </c>
      <c r="C25" s="500" t="s">
        <v>1235</v>
      </c>
      <c r="D25" s="123">
        <v>50000</v>
      </c>
      <c r="E25" s="112">
        <f>D25</f>
        <v>50000</v>
      </c>
      <c r="F25" s="123">
        <f>D25-E25</f>
        <v>0</v>
      </c>
    </row>
    <row r="26" spans="1:9" s="113" customFormat="1" ht="13.5" outlineLevel="1" thickBot="1">
      <c r="A26" s="499"/>
      <c r="B26" s="500" t="s">
        <v>1236</v>
      </c>
      <c r="C26" s="500">
        <f>52*5*12*20</f>
        <v>62400</v>
      </c>
      <c r="D26" s="112"/>
      <c r="E26" s="112"/>
      <c r="F26" s="112"/>
    </row>
    <row r="27" spans="1:9" s="113" customFormat="1" ht="13.5" outlineLevel="1" thickBot="1">
      <c r="A27" s="499" t="s">
        <v>1026</v>
      </c>
      <c r="B27" s="500" t="s">
        <v>1237</v>
      </c>
      <c r="C27" s="500">
        <f>52*48*20</f>
        <v>49920</v>
      </c>
      <c r="D27" s="112"/>
      <c r="E27" s="112">
        <f>SUBTOTAL(9,E25:E26)</f>
        <v>50000</v>
      </c>
      <c r="F27" s="112">
        <f>SUBTOTAL(9,F25:F26)</f>
        <v>0</v>
      </c>
    </row>
    <row r="28" spans="1:9" s="113" customFormat="1" ht="13.5" outlineLevel="1" thickBot="1">
      <c r="A28" s="121" t="s">
        <v>1226</v>
      </c>
      <c r="B28" s="500"/>
      <c r="C28" s="500"/>
      <c r="D28" s="112">
        <f>SUBTOTAL(9,D25:D27)</f>
        <v>50000</v>
      </c>
      <c r="E28" s="112"/>
      <c r="F28" s="112"/>
    </row>
    <row r="29" spans="1:9" s="113" customFormat="1" ht="13.5" outlineLevel="1" thickBot="1">
      <c r="A29" s="165" t="s">
        <v>61</v>
      </c>
      <c r="B29" s="125"/>
      <c r="C29" s="148"/>
      <c r="D29" s="579"/>
      <c r="E29" s="270">
        <f>E39/D39</f>
        <v>0.88461538461538458</v>
      </c>
      <c r="F29" s="270">
        <f>1-E29</f>
        <v>0.11538461538461542</v>
      </c>
    </row>
    <row r="30" spans="1:9" ht="13.5" outlineLevel="2" thickBot="1">
      <c r="A30" s="499" t="s">
        <v>1218</v>
      </c>
      <c r="B30" s="500" t="s">
        <v>1219</v>
      </c>
      <c r="C30" s="88"/>
      <c r="D30" s="254">
        <v>16000</v>
      </c>
      <c r="E30" s="578">
        <f>D30</f>
        <v>16000</v>
      </c>
      <c r="F30" s="123">
        <f>D30-E30</f>
        <v>0</v>
      </c>
      <c r="H30" s="104"/>
      <c r="I30" s="104"/>
    </row>
    <row r="31" spans="1:9" ht="13.5" outlineLevel="2" thickBot="1">
      <c r="A31" s="577" t="s">
        <v>1220</v>
      </c>
      <c r="B31" s="500" t="s">
        <v>1221</v>
      </c>
      <c r="C31" s="88"/>
      <c r="D31" s="254">
        <v>2000</v>
      </c>
      <c r="E31" s="578">
        <f t="shared" ref="E31:E37" si="2">D31</f>
        <v>2000</v>
      </c>
      <c r="F31" s="123">
        <f t="shared" ref="F31:F37" si="3">D31-E31</f>
        <v>0</v>
      </c>
      <c r="H31" s="104"/>
      <c r="I31" s="104"/>
    </row>
    <row r="32" spans="1:9" ht="13.5" outlineLevel="2" thickBot="1">
      <c r="A32" s="577" t="s">
        <v>1222</v>
      </c>
      <c r="B32" s="500" t="s">
        <v>1223</v>
      </c>
      <c r="C32" s="88"/>
      <c r="D32" s="254">
        <v>5000</v>
      </c>
      <c r="E32" s="578">
        <f t="shared" si="2"/>
        <v>5000</v>
      </c>
      <c r="F32" s="123">
        <f t="shared" si="3"/>
        <v>0</v>
      </c>
      <c r="H32" s="104"/>
      <c r="I32" s="104"/>
    </row>
    <row r="33" spans="1:9" ht="13.5" outlineLevel="2" thickBot="1">
      <c r="A33" s="499" t="s">
        <v>1224</v>
      </c>
      <c r="B33" s="500" t="s">
        <v>1225</v>
      </c>
      <c r="C33" s="88"/>
      <c r="D33" s="254">
        <v>3000</v>
      </c>
      <c r="E33" s="578">
        <v>0</v>
      </c>
      <c r="F33" s="123">
        <f t="shared" si="3"/>
        <v>3000</v>
      </c>
      <c r="H33" s="104"/>
      <c r="I33" s="104"/>
    </row>
    <row r="34" spans="1:9" ht="13.5" hidden="1" outlineLevel="2" thickBot="1">
      <c r="A34" s="121"/>
      <c r="B34" s="88"/>
      <c r="C34" s="122"/>
      <c r="D34" s="580"/>
      <c r="E34" s="123">
        <v>0</v>
      </c>
      <c r="F34" s="123">
        <f t="shared" si="3"/>
        <v>0</v>
      </c>
      <c r="H34" s="104"/>
      <c r="I34" s="104"/>
    </row>
    <row r="35" spans="1:9" ht="13.5" hidden="1" outlineLevel="2" thickBot="1">
      <c r="A35" s="121"/>
      <c r="B35" s="88"/>
      <c r="C35" s="122"/>
      <c r="D35" s="123"/>
      <c r="E35" s="123">
        <f t="shared" si="2"/>
        <v>0</v>
      </c>
      <c r="F35" s="123">
        <f t="shared" si="3"/>
        <v>0</v>
      </c>
      <c r="H35" s="104"/>
      <c r="I35" s="104"/>
    </row>
    <row r="36" spans="1:9" ht="13.5" hidden="1" outlineLevel="2" thickBot="1">
      <c r="A36" s="121"/>
      <c r="D36" s="123"/>
      <c r="E36" s="123">
        <f t="shared" si="2"/>
        <v>0</v>
      </c>
      <c r="F36" s="123">
        <f t="shared" si="3"/>
        <v>0</v>
      </c>
      <c r="H36" s="104"/>
      <c r="I36" s="104"/>
    </row>
    <row r="37" spans="1:9" ht="13.5" hidden="1" outlineLevel="2" thickBot="1">
      <c r="A37" s="121"/>
      <c r="B37" s="88"/>
      <c r="C37" s="122"/>
      <c r="D37" s="123"/>
      <c r="E37" s="123">
        <f t="shared" si="2"/>
        <v>0</v>
      </c>
      <c r="F37" s="123">
        <f t="shared" si="3"/>
        <v>0</v>
      </c>
      <c r="H37" s="104"/>
      <c r="I37" s="104"/>
    </row>
    <row r="38" spans="1:9" ht="13.5" outlineLevel="2" thickBot="1">
      <c r="A38" s="121"/>
      <c r="B38" s="88"/>
      <c r="C38" s="122"/>
      <c r="D38" s="123"/>
      <c r="E38" s="123"/>
      <c r="F38" s="123"/>
      <c r="H38" s="104"/>
      <c r="I38" s="104"/>
    </row>
    <row r="39" spans="1:9" s="113" customFormat="1" ht="13.5" outlineLevel="1" thickBot="1">
      <c r="A39" s="121" t="s">
        <v>1226</v>
      </c>
      <c r="B39" s="88"/>
      <c r="C39" s="124" t="s">
        <v>1360</v>
      </c>
      <c r="D39" s="112">
        <f>SUBTOTAL(9,D30:D38)</f>
        <v>26000</v>
      </c>
      <c r="E39" s="112">
        <f>SUBTOTAL(9,E30:E38)</f>
        <v>23000</v>
      </c>
      <c r="F39" s="112">
        <f>SUBTOTAL(9,F30:F38)</f>
        <v>3000</v>
      </c>
    </row>
    <row r="40" spans="1:9" s="113" customFormat="1" ht="13.5" outlineLevel="1" thickBot="1">
      <c r="A40" s="165" t="s">
        <v>63</v>
      </c>
      <c r="B40" s="125"/>
      <c r="C40" s="148"/>
      <c r="D40" s="120"/>
      <c r="E40" s="270">
        <f>E48/D48</f>
        <v>1</v>
      </c>
      <c r="F40" s="270">
        <f>1-E40</f>
        <v>0</v>
      </c>
    </row>
    <row r="41" spans="1:9" ht="13.5" outlineLevel="2" thickBot="1">
      <c r="A41" s="499" t="s">
        <v>1227</v>
      </c>
      <c r="B41" s="500" t="s">
        <v>1228</v>
      </c>
      <c r="C41" s="122"/>
      <c r="D41" s="123">
        <v>3000</v>
      </c>
      <c r="E41" s="123">
        <f>D41</f>
        <v>3000</v>
      </c>
      <c r="F41" s="123">
        <f t="shared" ref="F41:F46" si="4">D41-E41</f>
        <v>0</v>
      </c>
      <c r="H41" s="104"/>
      <c r="I41" s="104"/>
    </row>
    <row r="42" spans="1:9" ht="13.5" outlineLevel="2" thickBot="1">
      <c r="A42" s="499" t="s">
        <v>64</v>
      </c>
      <c r="B42" s="500" t="s">
        <v>1229</v>
      </c>
      <c r="C42" s="122"/>
      <c r="D42" s="123">
        <v>4000</v>
      </c>
      <c r="E42" s="123">
        <f>D42</f>
        <v>4000</v>
      </c>
      <c r="F42" s="123">
        <f t="shared" si="4"/>
        <v>0</v>
      </c>
      <c r="H42" s="104"/>
      <c r="I42" s="104"/>
    </row>
    <row r="43" spans="1:9" ht="13.5" hidden="1" outlineLevel="2" thickBot="1">
      <c r="A43" s="121"/>
      <c r="B43" s="88"/>
      <c r="C43" s="122"/>
      <c r="D43" s="123"/>
      <c r="E43" s="123">
        <f>D43</f>
        <v>0</v>
      </c>
      <c r="F43" s="123">
        <f t="shared" si="4"/>
        <v>0</v>
      </c>
      <c r="H43" s="104"/>
      <c r="I43" s="104"/>
    </row>
    <row r="44" spans="1:9" ht="13.5" hidden="1" outlineLevel="2" thickBot="1">
      <c r="A44" s="121"/>
      <c r="B44" s="88"/>
      <c r="C44" s="122"/>
      <c r="D44" s="123"/>
      <c r="E44" s="123">
        <f>D44</f>
        <v>0</v>
      </c>
      <c r="F44" s="123">
        <f t="shared" si="4"/>
        <v>0</v>
      </c>
      <c r="H44" s="104"/>
      <c r="I44" s="104"/>
    </row>
    <row r="45" spans="1:9" ht="13.5" hidden="1" outlineLevel="2" thickBot="1">
      <c r="A45" s="121"/>
      <c r="B45" s="88"/>
      <c r="C45" s="122"/>
      <c r="D45" s="123"/>
      <c r="E45" s="123">
        <v>0</v>
      </c>
      <c r="F45" s="123">
        <f t="shared" si="4"/>
        <v>0</v>
      </c>
      <c r="H45" s="104"/>
      <c r="I45" s="104"/>
    </row>
    <row r="46" spans="1:9" ht="13.5" hidden="1" outlineLevel="2" thickBot="1">
      <c r="A46" s="121"/>
      <c r="B46" s="88"/>
      <c r="C46" s="122"/>
      <c r="D46" s="123"/>
      <c r="E46" s="123">
        <v>0</v>
      </c>
      <c r="F46" s="123">
        <f t="shared" si="4"/>
        <v>0</v>
      </c>
      <c r="H46" s="104"/>
      <c r="I46" s="104"/>
    </row>
    <row r="47" spans="1:9" ht="13.5" outlineLevel="2" thickBot="1">
      <c r="A47" s="121"/>
      <c r="B47" s="88"/>
      <c r="C47" s="122"/>
      <c r="D47" s="123"/>
      <c r="E47" s="123"/>
      <c r="F47" s="123"/>
      <c r="H47" s="104"/>
      <c r="I47" s="104"/>
    </row>
    <row r="48" spans="1:9" s="113" customFormat="1" ht="13.5" outlineLevel="1" thickBot="1">
      <c r="A48" s="121" t="s">
        <v>1226</v>
      </c>
      <c r="B48" s="88"/>
      <c r="C48" s="124" t="s">
        <v>1360</v>
      </c>
      <c r="D48" s="112">
        <f>SUBTOTAL(9,D41:D47)</f>
        <v>7000</v>
      </c>
      <c r="E48" s="112">
        <f>SUBTOTAL(9,E41:E46)</f>
        <v>7000</v>
      </c>
      <c r="F48" s="112">
        <f>SUBTOTAL(9,F41:F46)</f>
        <v>0</v>
      </c>
    </row>
    <row r="49" spans="1:9" s="113" customFormat="1" ht="13.5" outlineLevel="1" thickBot="1">
      <c r="A49" s="165" t="s">
        <v>65</v>
      </c>
      <c r="B49" s="125"/>
      <c r="C49" s="148"/>
      <c r="D49" s="120"/>
      <c r="E49" s="270">
        <f>E59/D59</f>
        <v>0.81818181818181823</v>
      </c>
      <c r="F49" s="270">
        <f>1-E49</f>
        <v>0.18181818181818177</v>
      </c>
    </row>
    <row r="50" spans="1:9" ht="13.5" outlineLevel="2" thickBot="1">
      <c r="A50" s="499" t="s">
        <v>1230</v>
      </c>
      <c r="B50" s="500" t="s">
        <v>1221</v>
      </c>
      <c r="C50" s="122"/>
      <c r="D50" s="123">
        <v>2000</v>
      </c>
      <c r="E50" s="123">
        <v>0</v>
      </c>
      <c r="F50" s="123">
        <f>D50-E50</f>
        <v>2000</v>
      </c>
      <c r="H50" s="104"/>
      <c r="I50" s="104"/>
    </row>
    <row r="51" spans="1:9" ht="13.5" outlineLevel="2" thickBot="1">
      <c r="A51" s="499" t="s">
        <v>96</v>
      </c>
      <c r="B51" s="500" t="s">
        <v>1231</v>
      </c>
      <c r="C51" s="122"/>
      <c r="D51" s="123">
        <v>6000</v>
      </c>
      <c r="E51" s="123">
        <f>D51</f>
        <v>6000</v>
      </c>
      <c r="F51" s="123">
        <f>D51-E51</f>
        <v>0</v>
      </c>
      <c r="H51" s="104"/>
      <c r="I51" s="104"/>
    </row>
    <row r="52" spans="1:9" ht="13.5" outlineLevel="2" thickBot="1">
      <c r="A52" s="499" t="s">
        <v>1232</v>
      </c>
      <c r="B52" s="500" t="s">
        <v>1225</v>
      </c>
      <c r="C52" s="122"/>
      <c r="D52" s="123">
        <v>3000</v>
      </c>
      <c r="E52" s="123">
        <f>D52</f>
        <v>3000</v>
      </c>
      <c r="F52" s="123">
        <f>D52-E52</f>
        <v>0</v>
      </c>
      <c r="H52" s="104"/>
      <c r="I52" s="104"/>
    </row>
    <row r="53" spans="1:9" ht="13.5" hidden="1" outlineLevel="2" thickBot="1">
      <c r="A53" s="121"/>
      <c r="B53" s="88"/>
      <c r="C53" s="122"/>
      <c r="D53" s="123"/>
      <c r="E53" s="123">
        <v>0</v>
      </c>
      <c r="F53" s="123">
        <f>D53-E53</f>
        <v>0</v>
      </c>
      <c r="H53" s="104"/>
      <c r="I53" s="104"/>
    </row>
    <row r="54" spans="1:9" ht="13.5" hidden="1" outlineLevel="2" thickBot="1">
      <c r="A54" s="121"/>
      <c r="B54" s="88"/>
      <c r="C54" s="122"/>
      <c r="D54" s="123"/>
      <c r="E54" s="123"/>
      <c r="F54" s="123"/>
      <c r="H54" s="104"/>
      <c r="I54" s="104"/>
    </row>
    <row r="55" spans="1:9" ht="13.5" hidden="1" outlineLevel="2" thickBot="1">
      <c r="A55" s="121"/>
      <c r="B55" s="88"/>
      <c r="C55" s="122"/>
      <c r="D55" s="123"/>
      <c r="E55" s="123"/>
      <c r="F55" s="123"/>
      <c r="H55" s="104"/>
      <c r="I55" s="104"/>
    </row>
    <row r="56" spans="1:9" ht="13.5" hidden="1" outlineLevel="2" thickBot="1">
      <c r="A56" s="121"/>
      <c r="B56" s="88"/>
      <c r="C56" s="122"/>
      <c r="D56" s="123"/>
      <c r="E56" s="123"/>
      <c r="F56" s="123"/>
      <c r="H56" s="104"/>
      <c r="I56" s="104"/>
    </row>
    <row r="57" spans="1:9" ht="13.5" hidden="1" outlineLevel="2" thickBot="1">
      <c r="A57" s="121"/>
      <c r="B57" s="88"/>
      <c r="C57" s="122"/>
      <c r="D57" s="123"/>
      <c r="E57" s="123"/>
      <c r="F57" s="123"/>
      <c r="H57" s="104"/>
      <c r="I57" s="104"/>
    </row>
    <row r="58" spans="1:9" ht="13.5" outlineLevel="2" thickBot="1">
      <c r="A58" s="121"/>
      <c r="B58" s="88"/>
      <c r="C58" s="122"/>
      <c r="D58" s="123"/>
      <c r="E58" s="123"/>
      <c r="F58" s="123"/>
      <c r="H58" s="104"/>
      <c r="I58" s="104"/>
    </row>
    <row r="59" spans="1:9" s="113" customFormat="1" ht="13.5" outlineLevel="1" thickBot="1">
      <c r="A59" s="121" t="s">
        <v>1226</v>
      </c>
      <c r="B59" s="88"/>
      <c r="C59" s="124" t="s">
        <v>1360</v>
      </c>
      <c r="D59" s="112">
        <f>SUBTOTAL(9,D50:D58)</f>
        <v>11000</v>
      </c>
      <c r="E59" s="112">
        <f>SUBTOTAL(9,E50:E56)</f>
        <v>9000</v>
      </c>
      <c r="F59" s="112">
        <f>SUBTOTAL(9,F50:F56)</f>
        <v>2000</v>
      </c>
    </row>
    <row r="60" spans="1:9" s="113" customFormat="1" ht="13.5" outlineLevel="1" thickBot="1">
      <c r="A60" s="165" t="s">
        <v>699</v>
      </c>
      <c r="B60" s="125"/>
      <c r="C60" s="148"/>
      <c r="D60" s="579"/>
      <c r="E60" s="270">
        <f>E89/D89</f>
        <v>0.92</v>
      </c>
      <c r="F60" s="270">
        <f>1-E60</f>
        <v>7.999999999999996E-2</v>
      </c>
    </row>
    <row r="61" spans="1:9" ht="13.5" outlineLevel="2" thickBot="1">
      <c r="A61" s="499" t="s">
        <v>67</v>
      </c>
      <c r="B61" s="581"/>
      <c r="C61" s="88"/>
      <c r="D61" s="254">
        <v>5000</v>
      </c>
      <c r="E61" s="578">
        <f t="shared" ref="E61:E86" si="5">D61</f>
        <v>5000</v>
      </c>
      <c r="F61" s="123">
        <f>D61-E61</f>
        <v>0</v>
      </c>
      <c r="H61" s="104"/>
      <c r="I61" s="104"/>
    </row>
    <row r="62" spans="1:9" ht="13.5" outlineLevel="2" thickBot="1">
      <c r="A62" s="499" t="s">
        <v>1238</v>
      </c>
      <c r="B62" s="500" t="s">
        <v>1026</v>
      </c>
      <c r="C62" s="88"/>
      <c r="D62" s="254">
        <v>1250</v>
      </c>
      <c r="E62" s="578">
        <f t="shared" si="5"/>
        <v>1250</v>
      </c>
      <c r="F62" s="123">
        <f t="shared" ref="F62:F86" si="6">D62-E62</f>
        <v>0</v>
      </c>
      <c r="H62" s="104"/>
      <c r="I62" s="104"/>
    </row>
    <row r="63" spans="1:9" ht="13.5" outlineLevel="2" thickBot="1">
      <c r="A63" s="499" t="s">
        <v>1239</v>
      </c>
      <c r="B63" s="500" t="s">
        <v>1240</v>
      </c>
      <c r="C63" s="88"/>
      <c r="D63" s="254">
        <v>2000</v>
      </c>
      <c r="E63" s="578">
        <f t="shared" si="5"/>
        <v>2000</v>
      </c>
      <c r="F63" s="123">
        <f t="shared" si="6"/>
        <v>0</v>
      </c>
      <c r="H63" s="104"/>
      <c r="I63" s="104"/>
    </row>
    <row r="64" spans="1:9" ht="13.5" outlineLevel="2" thickBot="1">
      <c r="A64" s="499" t="s">
        <v>1241</v>
      </c>
      <c r="B64" s="582"/>
      <c r="C64" s="88"/>
      <c r="D64" s="254">
        <v>2000</v>
      </c>
      <c r="E64" s="578">
        <f t="shared" si="5"/>
        <v>2000</v>
      </c>
      <c r="F64" s="123">
        <f t="shared" si="6"/>
        <v>0</v>
      </c>
      <c r="H64" s="104"/>
      <c r="I64" s="104"/>
    </row>
    <row r="65" spans="1:9" ht="13.5" outlineLevel="2" thickBot="1">
      <c r="A65" s="499" t="s">
        <v>68</v>
      </c>
      <c r="B65" s="500"/>
      <c r="C65" s="88"/>
      <c r="D65" s="254">
        <v>1250</v>
      </c>
      <c r="E65" s="578">
        <v>0</v>
      </c>
      <c r="F65" s="123">
        <f t="shared" si="6"/>
        <v>1250</v>
      </c>
      <c r="H65" s="104"/>
      <c r="I65" s="104"/>
    </row>
    <row r="66" spans="1:9" ht="13.5" outlineLevel="2" thickBot="1">
      <c r="A66" s="499" t="s">
        <v>66</v>
      </c>
      <c r="B66" s="500"/>
      <c r="C66" s="88"/>
      <c r="D66" s="254">
        <v>375</v>
      </c>
      <c r="E66" s="578">
        <v>0</v>
      </c>
      <c r="F66" s="123">
        <f t="shared" si="6"/>
        <v>375</v>
      </c>
      <c r="H66" s="104"/>
      <c r="I66" s="104"/>
    </row>
    <row r="67" spans="1:9" ht="13.5" outlineLevel="2" thickBot="1">
      <c r="A67" s="499" t="s">
        <v>1242</v>
      </c>
      <c r="B67" s="500"/>
      <c r="C67" s="88"/>
      <c r="D67" s="254">
        <v>750</v>
      </c>
      <c r="E67" s="578">
        <f t="shared" si="5"/>
        <v>750</v>
      </c>
      <c r="F67" s="123">
        <f t="shared" si="6"/>
        <v>0</v>
      </c>
      <c r="H67" s="104"/>
      <c r="I67" s="104"/>
    </row>
    <row r="68" spans="1:9" ht="13.5" outlineLevel="2" thickBot="1">
      <c r="A68" s="499" t="s">
        <v>69</v>
      </c>
      <c r="B68" s="500"/>
      <c r="C68" s="88"/>
      <c r="D68" s="254">
        <v>375</v>
      </c>
      <c r="E68" s="578">
        <v>0</v>
      </c>
      <c r="F68" s="123">
        <f t="shared" si="6"/>
        <v>375</v>
      </c>
      <c r="H68" s="104"/>
      <c r="I68" s="104"/>
    </row>
    <row r="69" spans="1:9" ht="13.5" outlineLevel="2" thickBot="1">
      <c r="A69" s="499" t="s">
        <v>1243</v>
      </c>
      <c r="B69" s="500"/>
      <c r="C69" s="88"/>
      <c r="D69" s="254">
        <v>1200</v>
      </c>
      <c r="E69" s="578">
        <v>0</v>
      </c>
      <c r="F69" s="123">
        <f t="shared" si="6"/>
        <v>1200</v>
      </c>
      <c r="H69" s="104"/>
      <c r="I69" s="104"/>
    </row>
    <row r="70" spans="1:9" ht="13.5" outlineLevel="2" thickBot="1">
      <c r="A70" s="499" t="s">
        <v>1244</v>
      </c>
      <c r="B70" s="500"/>
      <c r="C70" s="88"/>
      <c r="D70" s="254">
        <v>1200</v>
      </c>
      <c r="E70" s="578">
        <f t="shared" si="5"/>
        <v>1200</v>
      </c>
      <c r="F70" s="123">
        <f t="shared" si="6"/>
        <v>0</v>
      </c>
      <c r="H70" s="104"/>
      <c r="I70" s="104"/>
    </row>
    <row r="71" spans="1:9" ht="13.5" outlineLevel="2" thickBot="1">
      <c r="A71" s="499" t="s">
        <v>70</v>
      </c>
      <c r="B71" s="500"/>
      <c r="C71" s="88"/>
      <c r="D71" s="254">
        <v>2000</v>
      </c>
      <c r="E71" s="578">
        <f t="shared" si="5"/>
        <v>2000</v>
      </c>
      <c r="F71" s="123">
        <f t="shared" si="6"/>
        <v>0</v>
      </c>
      <c r="H71" s="104"/>
      <c r="I71" s="104"/>
    </row>
    <row r="72" spans="1:9" ht="13.5" hidden="1" outlineLevel="2" thickBot="1">
      <c r="A72" s="499"/>
      <c r="B72" s="500"/>
      <c r="C72" s="122"/>
      <c r="D72" s="580"/>
      <c r="E72" s="123">
        <f t="shared" si="5"/>
        <v>0</v>
      </c>
      <c r="F72" s="123">
        <f t="shared" si="6"/>
        <v>0</v>
      </c>
      <c r="H72" s="104"/>
      <c r="I72" s="104"/>
    </row>
    <row r="73" spans="1:9" ht="13.5" hidden="1" outlineLevel="2" thickBot="1">
      <c r="A73" s="121"/>
      <c r="B73" s="88"/>
      <c r="C73" s="122"/>
      <c r="D73" s="123">
        <v>2000</v>
      </c>
      <c r="E73" s="123">
        <f t="shared" si="5"/>
        <v>2000</v>
      </c>
      <c r="F73" s="123">
        <f t="shared" si="6"/>
        <v>0</v>
      </c>
      <c r="H73" s="104"/>
      <c r="I73" s="104"/>
    </row>
    <row r="74" spans="1:9" ht="13.5" hidden="1" outlineLevel="2" thickBot="1">
      <c r="A74" s="121"/>
      <c r="B74" s="88"/>
      <c r="C74" s="122"/>
      <c r="D74" s="123">
        <v>2400</v>
      </c>
      <c r="E74" s="123">
        <f t="shared" si="5"/>
        <v>2400</v>
      </c>
      <c r="F74" s="123">
        <f t="shared" si="6"/>
        <v>0</v>
      </c>
      <c r="H74" s="104"/>
      <c r="I74" s="104"/>
    </row>
    <row r="75" spans="1:9" ht="13.5" hidden="1" outlineLevel="2" thickBot="1">
      <c r="A75" s="121"/>
      <c r="B75" s="88"/>
      <c r="C75" s="122"/>
      <c r="D75" s="123"/>
      <c r="E75" s="123">
        <f t="shared" si="5"/>
        <v>0</v>
      </c>
      <c r="F75" s="123">
        <f t="shared" si="6"/>
        <v>0</v>
      </c>
      <c r="H75" s="104"/>
      <c r="I75" s="104"/>
    </row>
    <row r="76" spans="1:9" ht="13.5" hidden="1" outlineLevel="2" thickBot="1">
      <c r="A76" s="121"/>
      <c r="B76" s="88"/>
      <c r="C76" s="122"/>
      <c r="D76" s="123">
        <v>1800</v>
      </c>
      <c r="E76" s="123">
        <f t="shared" si="5"/>
        <v>1800</v>
      </c>
      <c r="F76" s="123">
        <f t="shared" si="6"/>
        <v>0</v>
      </c>
      <c r="H76" s="104"/>
      <c r="I76" s="104"/>
    </row>
    <row r="77" spans="1:9" ht="13.5" hidden="1" outlineLevel="2" thickBot="1">
      <c r="A77" s="121"/>
      <c r="B77" s="88"/>
      <c r="C77" s="122"/>
      <c r="D77" s="123">
        <v>3000</v>
      </c>
      <c r="E77" s="123">
        <f t="shared" si="5"/>
        <v>3000</v>
      </c>
      <c r="F77" s="123">
        <f t="shared" si="6"/>
        <v>0</v>
      </c>
      <c r="H77" s="104"/>
      <c r="I77" s="104"/>
    </row>
    <row r="78" spans="1:9" ht="13.5" hidden="1" outlineLevel="2" thickBot="1">
      <c r="A78" s="121"/>
      <c r="B78" s="88"/>
      <c r="C78" s="122"/>
      <c r="D78" s="123">
        <v>2000</v>
      </c>
      <c r="E78" s="123">
        <f t="shared" si="5"/>
        <v>2000</v>
      </c>
      <c r="F78" s="123">
        <f t="shared" si="6"/>
        <v>0</v>
      </c>
      <c r="H78" s="104"/>
      <c r="I78" s="104"/>
    </row>
    <row r="79" spans="1:9" ht="13.5" hidden="1" outlineLevel="2" thickBot="1">
      <c r="A79" s="121"/>
      <c r="B79" s="88"/>
      <c r="C79" s="122"/>
      <c r="D79" s="123"/>
      <c r="E79" s="123">
        <f t="shared" si="5"/>
        <v>0</v>
      </c>
      <c r="F79" s="123">
        <f t="shared" si="6"/>
        <v>0</v>
      </c>
      <c r="H79" s="104"/>
      <c r="I79" s="104"/>
    </row>
    <row r="80" spans="1:9" ht="13.5" hidden="1" outlineLevel="2" thickBot="1">
      <c r="A80" s="121"/>
      <c r="B80" s="88"/>
      <c r="C80" s="122"/>
      <c r="D80" s="123">
        <v>4000</v>
      </c>
      <c r="E80" s="123">
        <f t="shared" si="5"/>
        <v>4000</v>
      </c>
      <c r="F80" s="123">
        <f t="shared" si="6"/>
        <v>0</v>
      </c>
      <c r="H80" s="104"/>
      <c r="I80" s="104"/>
    </row>
    <row r="81" spans="1:9" ht="13.5" hidden="1" outlineLevel="2" thickBot="1">
      <c r="A81" s="121"/>
      <c r="B81" s="88"/>
      <c r="C81" s="122"/>
      <c r="D81" s="123">
        <v>2400</v>
      </c>
      <c r="E81" s="123">
        <f t="shared" si="5"/>
        <v>2400</v>
      </c>
      <c r="F81" s="123">
        <f t="shared" si="6"/>
        <v>0</v>
      </c>
      <c r="H81" s="104"/>
      <c r="I81" s="104"/>
    </row>
    <row r="82" spans="1:9" ht="13.5" hidden="1" outlineLevel="2" thickBot="1">
      <c r="A82" s="121"/>
      <c r="B82" s="88"/>
      <c r="C82" s="122"/>
      <c r="D82" s="123">
        <v>0</v>
      </c>
      <c r="E82" s="123">
        <f t="shared" si="5"/>
        <v>0</v>
      </c>
      <c r="F82" s="123">
        <f t="shared" si="6"/>
        <v>0</v>
      </c>
      <c r="H82" s="104"/>
      <c r="I82" s="104"/>
    </row>
    <row r="83" spans="1:9" ht="13.5" hidden="1" outlineLevel="2" thickBot="1">
      <c r="A83" s="121"/>
      <c r="B83" s="88"/>
      <c r="C83" s="122"/>
      <c r="D83" s="123">
        <v>0</v>
      </c>
      <c r="E83" s="123">
        <f t="shared" si="5"/>
        <v>0</v>
      </c>
      <c r="F83" s="123">
        <f t="shared" si="6"/>
        <v>0</v>
      </c>
      <c r="H83" s="104"/>
      <c r="I83" s="104"/>
    </row>
    <row r="84" spans="1:9" ht="13.5" hidden="1" outlineLevel="2" thickBot="1">
      <c r="A84" s="121"/>
      <c r="B84" s="88"/>
      <c r="C84" s="122"/>
      <c r="D84" s="123">
        <v>0</v>
      </c>
      <c r="E84" s="123">
        <f t="shared" si="5"/>
        <v>0</v>
      </c>
      <c r="F84" s="123">
        <f t="shared" si="6"/>
        <v>0</v>
      </c>
      <c r="H84" s="104"/>
      <c r="I84" s="104"/>
    </row>
    <row r="85" spans="1:9" ht="13.5" hidden="1" outlineLevel="2" thickBot="1">
      <c r="A85" s="121"/>
      <c r="B85" s="88"/>
      <c r="C85" s="122"/>
      <c r="D85" s="123">
        <v>5000</v>
      </c>
      <c r="E85" s="123">
        <f t="shared" si="5"/>
        <v>5000</v>
      </c>
      <c r="F85" s="123">
        <f t="shared" si="6"/>
        <v>0</v>
      </c>
      <c r="H85" s="104"/>
      <c r="I85" s="104"/>
    </row>
    <row r="86" spans="1:9" ht="13.5" hidden="1" outlineLevel="2" thickBot="1">
      <c r="A86" s="121"/>
      <c r="B86" s="88"/>
      <c r="C86" s="122"/>
      <c r="D86" s="123">
        <f>SUM(D284:D290)</f>
        <v>0</v>
      </c>
      <c r="E86" s="123">
        <f t="shared" si="5"/>
        <v>0</v>
      </c>
      <c r="F86" s="123">
        <f t="shared" si="6"/>
        <v>0</v>
      </c>
      <c r="H86" s="104"/>
      <c r="I86" s="104"/>
    </row>
    <row r="87" spans="1:9" ht="13.5" hidden="1" outlineLevel="2" thickBot="1">
      <c r="A87" s="121"/>
      <c r="B87" s="88"/>
      <c r="C87" s="122"/>
      <c r="D87" s="123">
        <f>D292</f>
        <v>0</v>
      </c>
      <c r="E87" s="123"/>
      <c r="F87" s="123"/>
      <c r="H87" s="104"/>
      <c r="I87" s="104"/>
    </row>
    <row r="88" spans="1:9" ht="13.5" outlineLevel="2" thickBot="1">
      <c r="A88" s="121"/>
      <c r="B88" s="88"/>
      <c r="C88" s="122"/>
      <c r="D88" s="123"/>
      <c r="E88" s="123"/>
      <c r="F88" s="123"/>
      <c r="H88" s="104"/>
      <c r="I88" s="104"/>
    </row>
    <row r="89" spans="1:9" s="113" customFormat="1" ht="13.5" outlineLevel="1" thickBot="1">
      <c r="A89" s="121" t="s">
        <v>1226</v>
      </c>
      <c r="B89" s="88"/>
      <c r="C89" s="124" t="s">
        <v>1360</v>
      </c>
      <c r="D89" s="112">
        <f>SUBTOTAL(9,D61:D88)</f>
        <v>40000</v>
      </c>
      <c r="E89" s="112">
        <f>SUBTOTAL(9,E61:E88)</f>
        <v>36800</v>
      </c>
      <c r="F89" s="112">
        <f>SUBTOTAL(9,F61:F88)</f>
        <v>3200</v>
      </c>
    </row>
    <row r="90" spans="1:9" s="113" customFormat="1" ht="13.5" outlineLevel="1" thickBot="1">
      <c r="A90" s="165" t="s">
        <v>700</v>
      </c>
      <c r="B90" s="125"/>
      <c r="C90" s="148"/>
      <c r="D90" s="120"/>
      <c r="E90" s="270">
        <f>E95/D95</f>
        <v>0.91428571428571426</v>
      </c>
      <c r="F90" s="270">
        <f>1-E90</f>
        <v>8.5714285714285743E-2</v>
      </c>
    </row>
    <row r="91" spans="1:9" ht="13.5" outlineLevel="2" thickBot="1">
      <c r="A91" s="499" t="s">
        <v>1245</v>
      </c>
      <c r="B91" s="500" t="s">
        <v>1246</v>
      </c>
      <c r="C91" s="122"/>
      <c r="D91" s="123">
        <f>18000+1200</f>
        <v>19200</v>
      </c>
      <c r="E91" s="123">
        <f>D91</f>
        <v>19200</v>
      </c>
      <c r="F91" s="123">
        <f>D91-E91</f>
        <v>0</v>
      </c>
      <c r="H91" s="104"/>
      <c r="I91" s="104"/>
    </row>
    <row r="92" spans="1:9" ht="13.5" hidden="1" outlineLevel="2" thickBot="1">
      <c r="A92" s="499" t="s">
        <v>1247</v>
      </c>
      <c r="B92" s="500" t="s">
        <v>1248</v>
      </c>
      <c r="C92" s="122"/>
      <c r="D92" s="123"/>
      <c r="E92" s="123">
        <f>D92</f>
        <v>0</v>
      </c>
      <c r="F92" s="123">
        <f>D92-E92</f>
        <v>0</v>
      </c>
      <c r="H92" s="104"/>
      <c r="I92" s="104"/>
    </row>
    <row r="93" spans="1:9" ht="13.5" outlineLevel="2" thickBot="1">
      <c r="A93" s="499" t="s">
        <v>1249</v>
      </c>
      <c r="B93" s="500" t="s">
        <v>1250</v>
      </c>
      <c r="C93" s="122"/>
      <c r="D93" s="123">
        <f>1*150*12</f>
        <v>1800</v>
      </c>
      <c r="E93" s="123"/>
      <c r="F93" s="123"/>
      <c r="H93" s="104"/>
      <c r="I93" s="104"/>
    </row>
    <row r="94" spans="1:9" ht="13.5" outlineLevel="2" thickBot="1">
      <c r="A94" s="499"/>
      <c r="B94" s="500"/>
      <c r="C94" s="122"/>
      <c r="D94" s="123"/>
      <c r="E94" s="123"/>
      <c r="F94" s="123"/>
      <c r="H94" s="104"/>
      <c r="I94" s="104"/>
    </row>
    <row r="95" spans="1:9" s="113" customFormat="1" ht="13.5" outlineLevel="1" thickBot="1">
      <c r="A95" s="121" t="s">
        <v>1226</v>
      </c>
      <c r="B95" s="88"/>
      <c r="C95" s="124" t="s">
        <v>1360</v>
      </c>
      <c r="D95" s="112">
        <f>SUBTOTAL(9,D91:D93)</f>
        <v>21000</v>
      </c>
      <c r="E95" s="112">
        <f>SUBTOTAL(9,E91:E93)</f>
        <v>19200</v>
      </c>
      <c r="F95" s="112">
        <f>SUBTOTAL(9,F91:F93)</f>
        <v>0</v>
      </c>
    </row>
    <row r="96" spans="1:9" s="113" customFormat="1" ht="13.5" hidden="1" outlineLevel="1" thickBot="1">
      <c r="A96" s="165" t="s">
        <v>71</v>
      </c>
      <c r="B96" s="125"/>
      <c r="C96" s="148"/>
      <c r="D96" s="120"/>
      <c r="E96" s="120"/>
      <c r="F96" s="120"/>
    </row>
    <row r="97" spans="1:9" ht="13.5" hidden="1" outlineLevel="2" thickBot="1">
      <c r="A97" s="121" t="s">
        <v>71</v>
      </c>
      <c r="B97" s="88" t="s">
        <v>72</v>
      </c>
      <c r="C97" s="122"/>
      <c r="D97" s="123"/>
      <c r="E97" s="123"/>
      <c r="F97" s="123">
        <f>D97-E97</f>
        <v>0</v>
      </c>
      <c r="H97" s="104"/>
      <c r="I97" s="104"/>
    </row>
    <row r="98" spans="1:9" ht="13.5" hidden="1" outlineLevel="2" thickBot="1">
      <c r="A98" s="121"/>
      <c r="B98" s="88" t="s">
        <v>73</v>
      </c>
      <c r="C98" s="122"/>
      <c r="D98" s="123"/>
      <c r="E98" s="123"/>
      <c r="F98" s="123"/>
      <c r="H98" s="104"/>
      <c r="I98" s="104"/>
    </row>
    <row r="99" spans="1:9" s="113" customFormat="1" ht="13.5" hidden="1" outlineLevel="1" thickBot="1">
      <c r="A99" s="121" t="s">
        <v>60</v>
      </c>
      <c r="B99" s="88"/>
      <c r="C99" s="124" t="s">
        <v>1360</v>
      </c>
      <c r="D99" s="112">
        <f>SUBTOTAL(9,D97:D98)</f>
        <v>0</v>
      </c>
      <c r="E99" s="112">
        <f>SUBTOTAL(9,E97:E98)</f>
        <v>0</v>
      </c>
      <c r="F99" s="112">
        <f>SUBTOTAL(9,F97:F98)</f>
        <v>0</v>
      </c>
    </row>
    <row r="100" spans="1:9" s="113" customFormat="1" ht="13.5" outlineLevel="1" thickBot="1">
      <c r="A100" s="165" t="s">
        <v>74</v>
      </c>
      <c r="B100" s="125"/>
      <c r="C100" s="148"/>
      <c r="D100" s="120"/>
      <c r="E100" s="270">
        <f>E109/D109</f>
        <v>0.5</v>
      </c>
      <c r="F100" s="270">
        <f>1-E100</f>
        <v>0.5</v>
      </c>
    </row>
    <row r="101" spans="1:9" ht="13.5" outlineLevel="2" thickBot="1">
      <c r="A101" s="499" t="s">
        <v>1251</v>
      </c>
      <c r="B101" s="581"/>
      <c r="C101" s="122"/>
      <c r="D101" s="123">
        <v>1000</v>
      </c>
      <c r="E101" s="123">
        <f>D101*0.5</f>
        <v>500</v>
      </c>
      <c r="F101" s="123">
        <f>D101-E101</f>
        <v>500</v>
      </c>
      <c r="H101" s="104"/>
      <c r="I101" s="104"/>
    </row>
    <row r="102" spans="1:9" ht="13.5" hidden="1" outlineLevel="2" thickBot="1">
      <c r="A102" s="121"/>
      <c r="B102" s="88"/>
      <c r="C102" s="122"/>
      <c r="D102" s="123"/>
      <c r="E102" s="123">
        <f t="shared" ref="E102:E108" si="7">D102</f>
        <v>0</v>
      </c>
      <c r="F102" s="123">
        <f t="shared" ref="F102:F108" si="8">D102-E102</f>
        <v>0</v>
      </c>
      <c r="H102" s="104"/>
      <c r="I102" s="104"/>
    </row>
    <row r="103" spans="1:9" ht="13.5" hidden="1" outlineLevel="2" thickBot="1">
      <c r="A103" s="121"/>
      <c r="B103" s="88"/>
      <c r="C103" s="122"/>
      <c r="D103" s="123"/>
      <c r="E103" s="123">
        <f t="shared" si="7"/>
        <v>0</v>
      </c>
      <c r="F103" s="123">
        <f t="shared" si="8"/>
        <v>0</v>
      </c>
      <c r="H103" s="104"/>
      <c r="I103" s="104"/>
    </row>
    <row r="104" spans="1:9" ht="13.5" hidden="1" outlineLevel="2" thickBot="1">
      <c r="A104" s="121"/>
      <c r="B104" s="88"/>
      <c r="C104" s="122"/>
      <c r="D104" s="123"/>
      <c r="E104" s="123">
        <f t="shared" si="7"/>
        <v>0</v>
      </c>
      <c r="F104" s="123">
        <f t="shared" si="8"/>
        <v>0</v>
      </c>
      <c r="H104" s="104"/>
      <c r="I104" s="104"/>
    </row>
    <row r="105" spans="1:9" ht="13.5" hidden="1" outlineLevel="2" thickBot="1">
      <c r="A105" s="121"/>
      <c r="B105" s="88"/>
      <c r="C105" s="122"/>
      <c r="D105" s="123"/>
      <c r="E105" s="123">
        <f t="shared" si="7"/>
        <v>0</v>
      </c>
      <c r="F105" s="123">
        <f t="shared" si="8"/>
        <v>0</v>
      </c>
      <c r="H105" s="104"/>
      <c r="I105" s="104"/>
    </row>
    <row r="106" spans="1:9" ht="13.5" hidden="1" outlineLevel="2" thickBot="1">
      <c r="A106" s="121"/>
      <c r="B106" s="88"/>
      <c r="C106" s="122"/>
      <c r="D106" s="123"/>
      <c r="E106" s="123">
        <f t="shared" si="7"/>
        <v>0</v>
      </c>
      <c r="F106" s="123">
        <f t="shared" si="8"/>
        <v>0</v>
      </c>
      <c r="H106" s="104"/>
      <c r="I106" s="104"/>
    </row>
    <row r="107" spans="1:9" ht="13.5" hidden="1" outlineLevel="2" thickBot="1">
      <c r="A107" s="121"/>
      <c r="B107" s="88"/>
      <c r="C107" s="122"/>
      <c r="D107" s="123"/>
      <c r="E107" s="123">
        <f t="shared" si="7"/>
        <v>0</v>
      </c>
      <c r="F107" s="123">
        <f t="shared" si="8"/>
        <v>0</v>
      </c>
      <c r="H107" s="104"/>
      <c r="I107" s="104"/>
    </row>
    <row r="108" spans="1:9" ht="13.5" outlineLevel="2" thickBot="1">
      <c r="A108" s="121"/>
      <c r="B108" s="88"/>
      <c r="C108" s="122"/>
      <c r="D108" s="123"/>
      <c r="E108" s="123">
        <f t="shared" si="7"/>
        <v>0</v>
      </c>
      <c r="F108" s="123">
        <f t="shared" si="8"/>
        <v>0</v>
      </c>
      <c r="H108" s="104"/>
      <c r="I108" s="104"/>
    </row>
    <row r="109" spans="1:9" s="113" customFormat="1" ht="13.5" outlineLevel="1" thickBot="1">
      <c r="A109" s="121" t="s">
        <v>1226</v>
      </c>
      <c r="B109" s="88"/>
      <c r="C109" s="124" t="s">
        <v>1360</v>
      </c>
      <c r="D109" s="112">
        <f>SUBTOTAL(9,D101:D108)</f>
        <v>1000</v>
      </c>
      <c r="E109" s="112">
        <f>SUBTOTAL(9,E101:E108)</f>
        <v>500</v>
      </c>
      <c r="F109" s="112">
        <f>SUBTOTAL(9,F101:F108)</f>
        <v>500</v>
      </c>
    </row>
    <row r="110" spans="1:9" s="113" customFormat="1" ht="13.5" hidden="1" outlineLevel="1" thickBot="1">
      <c r="A110" s="165" t="s">
        <v>76</v>
      </c>
      <c r="B110" s="125"/>
      <c r="C110" s="148"/>
      <c r="D110" s="120"/>
      <c r="E110" s="270" t="e">
        <f>E116/D116</f>
        <v>#DIV/0!</v>
      </c>
      <c r="F110" s="270" t="e">
        <f>1-E110</f>
        <v>#DIV/0!</v>
      </c>
    </row>
    <row r="111" spans="1:9" ht="13.5" hidden="1" outlineLevel="2" thickBot="1">
      <c r="A111" s="121" t="s">
        <v>706</v>
      </c>
      <c r="B111" s="88" t="s">
        <v>77</v>
      </c>
      <c r="C111" s="122"/>
      <c r="D111" s="123"/>
      <c r="E111" s="123">
        <v>0</v>
      </c>
      <c r="F111" s="123">
        <f>D111-E111</f>
        <v>0</v>
      </c>
      <c r="H111" s="104"/>
      <c r="I111" s="104"/>
    </row>
    <row r="112" spans="1:9" ht="13.5" hidden="1" outlineLevel="2" thickBot="1">
      <c r="A112" s="121" t="s">
        <v>184</v>
      </c>
      <c r="B112" s="88" t="s">
        <v>185</v>
      </c>
      <c r="C112" s="122"/>
      <c r="D112" s="123"/>
      <c r="E112" s="123">
        <f>D112</f>
        <v>0</v>
      </c>
      <c r="F112" s="123">
        <f>D112-E112</f>
        <v>0</v>
      </c>
      <c r="H112" s="104"/>
      <c r="I112" s="104"/>
    </row>
    <row r="113" spans="1:9" ht="13.5" hidden="1" outlineLevel="2" thickBot="1">
      <c r="A113" s="121" t="s">
        <v>186</v>
      </c>
      <c r="B113" s="88" t="s">
        <v>78</v>
      </c>
      <c r="C113" s="122"/>
      <c r="D113" s="123"/>
      <c r="E113" s="123">
        <f>D113</f>
        <v>0</v>
      </c>
      <c r="F113" s="123">
        <f>D113-E113</f>
        <v>0</v>
      </c>
      <c r="H113" s="104"/>
      <c r="I113" s="104"/>
    </row>
    <row r="114" spans="1:9" ht="13.5" hidden="1" outlineLevel="2" thickBot="1">
      <c r="A114" s="121" t="s">
        <v>188</v>
      </c>
      <c r="B114" s="88" t="s">
        <v>189</v>
      </c>
      <c r="C114" s="122"/>
      <c r="D114" s="123"/>
      <c r="E114" s="123">
        <f>D114</f>
        <v>0</v>
      </c>
      <c r="F114" s="123">
        <f>D114-E114</f>
        <v>0</v>
      </c>
      <c r="H114" s="104"/>
      <c r="I114" s="104"/>
    </row>
    <row r="115" spans="1:9" ht="13.5" hidden="1" outlineLevel="2" thickBot="1">
      <c r="A115" s="121"/>
      <c r="B115" s="88"/>
      <c r="C115" s="122"/>
      <c r="D115" s="123"/>
      <c r="E115" s="123"/>
      <c r="F115" s="123"/>
      <c r="H115" s="104"/>
      <c r="I115" s="104"/>
    </row>
    <row r="116" spans="1:9" s="113" customFormat="1" ht="13.5" hidden="1" outlineLevel="1" thickBot="1">
      <c r="A116" s="121" t="s">
        <v>79</v>
      </c>
      <c r="B116" s="88"/>
      <c r="C116" s="124" t="s">
        <v>1360</v>
      </c>
      <c r="D116" s="112">
        <f>SUBTOTAL(9,D111:D114)</f>
        <v>0</v>
      </c>
      <c r="E116" s="112">
        <f>SUBTOTAL(9,E111:E114)</f>
        <v>0</v>
      </c>
      <c r="F116" s="112">
        <f>SUBTOTAL(9,F111:F114)</f>
        <v>0</v>
      </c>
    </row>
    <row r="117" spans="1:9" s="113" customFormat="1" ht="13.5" outlineLevel="1" thickBot="1">
      <c r="A117" s="165" t="s">
        <v>80</v>
      </c>
      <c r="B117" s="125"/>
      <c r="C117" s="148"/>
      <c r="D117" s="120"/>
      <c r="E117" s="270">
        <f>E131/D131</f>
        <v>1</v>
      </c>
      <c r="F117" s="270">
        <f>1-E117</f>
        <v>0</v>
      </c>
    </row>
    <row r="118" spans="1:9" ht="13.5" hidden="1" outlineLevel="2" thickBot="1">
      <c r="A118" s="121" t="s">
        <v>62</v>
      </c>
      <c r="B118" s="88" t="s">
        <v>81</v>
      </c>
      <c r="C118" s="122"/>
      <c r="D118" s="123">
        <v>0</v>
      </c>
      <c r="E118" s="123">
        <f>0</f>
        <v>0</v>
      </c>
      <c r="F118" s="123">
        <f>D118-E118</f>
        <v>0</v>
      </c>
      <c r="H118" s="104"/>
      <c r="I118" s="104"/>
    </row>
    <row r="119" spans="1:9" ht="13.5" hidden="1" outlineLevel="2" thickBot="1">
      <c r="A119" s="121" t="s">
        <v>82</v>
      </c>
      <c r="B119" s="88" t="s">
        <v>83</v>
      </c>
      <c r="C119" s="206">
        <v>0.8</v>
      </c>
      <c r="D119" s="123">
        <v>0</v>
      </c>
      <c r="E119" s="123">
        <f>0.25*D119</f>
        <v>0</v>
      </c>
      <c r="F119" s="123">
        <f>D119-E119</f>
        <v>0</v>
      </c>
      <c r="H119" s="128"/>
      <c r="I119" s="104"/>
    </row>
    <row r="120" spans="1:9" ht="13.5" outlineLevel="2" thickBot="1">
      <c r="A120" s="121" t="s">
        <v>918</v>
      </c>
      <c r="B120" s="88" t="s">
        <v>1261</v>
      </c>
      <c r="C120" s="196"/>
      <c r="D120" s="123">
        <f>8.8/1000*500*15*6</f>
        <v>396</v>
      </c>
      <c r="E120" s="123">
        <f t="shared" ref="E120:E130" si="9">D120</f>
        <v>396</v>
      </c>
      <c r="F120" s="123">
        <f>D120-E120</f>
        <v>0</v>
      </c>
      <c r="H120" s="104"/>
      <c r="I120" s="104"/>
    </row>
    <row r="121" spans="1:9" ht="13.5" hidden="1" outlineLevel="2" thickBot="1">
      <c r="A121" s="121" t="s">
        <v>84</v>
      </c>
      <c r="B121" s="207" t="s">
        <v>85</v>
      </c>
      <c r="C121" s="196">
        <v>0.8</v>
      </c>
      <c r="D121" s="123">
        <v>0</v>
      </c>
      <c r="E121" s="123">
        <f t="shared" si="9"/>
        <v>0</v>
      </c>
      <c r="F121" s="123">
        <f t="shared" ref="F121:F129" si="10">D121-E121</f>
        <v>0</v>
      </c>
      <c r="H121" s="104"/>
      <c r="I121" s="104"/>
    </row>
    <row r="122" spans="1:9" ht="13.5" outlineLevel="2" thickBot="1">
      <c r="A122" s="499" t="s">
        <v>917</v>
      </c>
      <c r="B122" s="500" t="s">
        <v>1260</v>
      </c>
      <c r="C122" s="196"/>
      <c r="D122" s="123">
        <f>500*6*15</f>
        <v>45000</v>
      </c>
      <c r="E122" s="123">
        <f t="shared" si="9"/>
        <v>45000</v>
      </c>
      <c r="F122" s="123">
        <f t="shared" si="10"/>
        <v>0</v>
      </c>
      <c r="H122" s="104"/>
      <c r="I122" s="104"/>
    </row>
    <row r="123" spans="1:9" ht="13.5" hidden="1" outlineLevel="2" thickBot="1">
      <c r="A123" s="121" t="s">
        <v>86</v>
      </c>
      <c r="B123" s="88"/>
      <c r="C123" s="196"/>
      <c r="D123" s="123">
        <v>0</v>
      </c>
      <c r="E123" s="123">
        <f>0.1*D123</f>
        <v>0</v>
      </c>
      <c r="F123" s="123">
        <f t="shared" si="10"/>
        <v>0</v>
      </c>
      <c r="H123" s="104"/>
      <c r="I123" s="104"/>
    </row>
    <row r="124" spans="1:9" ht="13.5" hidden="1" outlineLevel="2" thickBot="1">
      <c r="A124" s="121" t="s">
        <v>87</v>
      </c>
      <c r="B124" s="88"/>
      <c r="C124" s="122"/>
      <c r="D124" s="123">
        <v>0</v>
      </c>
      <c r="E124" s="123">
        <f>0.1*D124</f>
        <v>0</v>
      </c>
      <c r="F124" s="123">
        <f t="shared" si="10"/>
        <v>0</v>
      </c>
      <c r="H124" s="104"/>
      <c r="I124" s="104"/>
    </row>
    <row r="125" spans="1:9" ht="13.5" hidden="1" outlineLevel="2" thickBot="1">
      <c r="A125" s="121" t="s">
        <v>88</v>
      </c>
      <c r="B125" s="88"/>
      <c r="C125" s="122"/>
      <c r="D125" s="123">
        <v>0</v>
      </c>
      <c r="E125" s="123">
        <f t="shared" si="9"/>
        <v>0</v>
      </c>
      <c r="F125" s="123">
        <f t="shared" si="10"/>
        <v>0</v>
      </c>
      <c r="H125" s="104"/>
      <c r="I125" s="104"/>
    </row>
    <row r="126" spans="1:9" ht="13.5" hidden="1" outlineLevel="2" thickBot="1">
      <c r="A126" s="121" t="s">
        <v>89</v>
      </c>
      <c r="B126" s="88" t="s">
        <v>90</v>
      </c>
      <c r="C126" s="122"/>
      <c r="D126" s="123">
        <v>0</v>
      </c>
      <c r="E126" s="123">
        <f t="shared" si="9"/>
        <v>0</v>
      </c>
      <c r="F126" s="123">
        <f t="shared" si="10"/>
        <v>0</v>
      </c>
      <c r="H126" s="104"/>
      <c r="I126" s="104"/>
    </row>
    <row r="127" spans="1:9" ht="13.5" hidden="1" outlineLevel="2" thickBot="1">
      <c r="A127" s="121" t="s">
        <v>91</v>
      </c>
      <c r="B127" s="88"/>
      <c r="C127" s="122"/>
      <c r="D127" s="123">
        <v>0</v>
      </c>
      <c r="E127" s="123">
        <f t="shared" si="9"/>
        <v>0</v>
      </c>
      <c r="F127" s="123">
        <f t="shared" si="10"/>
        <v>0</v>
      </c>
      <c r="H127" s="104"/>
      <c r="I127" s="104"/>
    </row>
    <row r="128" spans="1:9" ht="13.5" hidden="1" outlineLevel="2" thickBot="1">
      <c r="A128" s="121" t="s">
        <v>92</v>
      </c>
      <c r="B128" s="88" t="s">
        <v>93</v>
      </c>
      <c r="C128" s="122"/>
      <c r="D128" s="123">
        <v>0</v>
      </c>
      <c r="E128" s="123">
        <f t="shared" si="9"/>
        <v>0</v>
      </c>
      <c r="F128" s="123">
        <f t="shared" si="10"/>
        <v>0</v>
      </c>
      <c r="H128" s="104"/>
      <c r="I128" s="104"/>
    </row>
    <row r="129" spans="1:9" ht="13.5" outlineLevel="2" thickBot="1">
      <c r="A129" s="121" t="s">
        <v>94</v>
      </c>
      <c r="B129" s="88" t="s">
        <v>95</v>
      </c>
      <c r="C129" s="122"/>
      <c r="D129" s="123">
        <f>0.1*SUM(D119:D127)</f>
        <v>4539.6000000000004</v>
      </c>
      <c r="E129" s="123">
        <f t="shared" si="9"/>
        <v>4539.6000000000004</v>
      </c>
      <c r="F129" s="123">
        <f t="shared" si="10"/>
        <v>0</v>
      </c>
      <c r="H129" s="104"/>
      <c r="I129" s="104"/>
    </row>
    <row r="130" spans="1:9" ht="13.5" outlineLevel="2" thickBot="1">
      <c r="A130" s="121"/>
      <c r="B130" s="88"/>
      <c r="C130" s="122"/>
      <c r="D130" s="123"/>
      <c r="E130" s="123">
        <f t="shared" si="9"/>
        <v>0</v>
      </c>
      <c r="F130" s="123">
        <f>D130-E130</f>
        <v>0</v>
      </c>
      <c r="H130" s="104"/>
      <c r="I130" s="104"/>
    </row>
    <row r="131" spans="1:9" s="113" customFormat="1" ht="13.5" outlineLevel="1" thickBot="1">
      <c r="A131" s="121" t="s">
        <v>1226</v>
      </c>
      <c r="B131" s="88"/>
      <c r="C131" s="124" t="s">
        <v>1360</v>
      </c>
      <c r="D131" s="112">
        <f>SUBTOTAL(9,D118:D130)</f>
        <v>49935.6</v>
      </c>
      <c r="E131" s="112">
        <f>SUBTOTAL(9,E118:E130)</f>
        <v>49935.6</v>
      </c>
      <c r="F131" s="112">
        <f>SUBTOTAL(9,F118:F130)</f>
        <v>0</v>
      </c>
    </row>
    <row r="132" spans="1:9" s="113" customFormat="1" ht="13.5" outlineLevel="1" thickBot="1">
      <c r="A132" s="165" t="s">
        <v>96</v>
      </c>
      <c r="B132" s="125"/>
      <c r="C132" s="148"/>
      <c r="D132" s="120"/>
      <c r="E132" s="270">
        <f>E139/D139</f>
        <v>1</v>
      </c>
      <c r="F132" s="270">
        <f>1-E132</f>
        <v>0</v>
      </c>
    </row>
    <row r="133" spans="1:9" ht="13.5" outlineLevel="2" thickBot="1">
      <c r="A133" s="121" t="s">
        <v>97</v>
      </c>
      <c r="B133" s="88" t="s">
        <v>98</v>
      </c>
      <c r="C133" s="122"/>
      <c r="D133" s="123">
        <f>70000*(500/414)^0.6*0.75</f>
        <v>58795.095664265558</v>
      </c>
      <c r="E133" s="123">
        <f>D133</f>
        <v>58795.095664265558</v>
      </c>
      <c r="F133" s="123">
        <f>D133-E133</f>
        <v>0</v>
      </c>
      <c r="H133" s="104"/>
      <c r="I133" s="104"/>
    </row>
    <row r="134" spans="1:9" ht="13.5" hidden="1" outlineLevel="2" thickBot="1">
      <c r="A134" s="121"/>
      <c r="B134" s="88"/>
      <c r="C134" s="122"/>
      <c r="D134" s="123"/>
      <c r="E134" s="123"/>
      <c r="F134" s="123"/>
      <c r="H134" s="104"/>
      <c r="I134" s="104"/>
    </row>
    <row r="135" spans="1:9" ht="13.5" hidden="1" outlineLevel="2" thickBot="1">
      <c r="A135" s="121"/>
      <c r="B135" s="166"/>
      <c r="C135" s="122"/>
      <c r="D135" s="123"/>
      <c r="E135" s="123"/>
      <c r="F135" s="123"/>
      <c r="H135" s="104"/>
      <c r="I135" s="104"/>
    </row>
    <row r="136" spans="1:9" ht="13.5" hidden="1" outlineLevel="2" thickBot="1">
      <c r="A136" s="121"/>
      <c r="B136" s="88"/>
      <c r="C136" s="122"/>
      <c r="D136" s="123"/>
      <c r="E136" s="123"/>
      <c r="F136" s="123"/>
      <c r="I136" s="104"/>
    </row>
    <row r="137" spans="1:9" ht="13.5" hidden="1" outlineLevel="2" thickBot="1">
      <c r="A137" s="121"/>
      <c r="B137" s="88"/>
      <c r="C137" s="122"/>
      <c r="D137" s="123"/>
      <c r="E137" s="123"/>
      <c r="F137" s="123"/>
      <c r="H137" s="104"/>
      <c r="I137" s="104"/>
    </row>
    <row r="138" spans="1:9" ht="13.5" outlineLevel="2" thickBot="1">
      <c r="A138" s="121"/>
      <c r="B138" s="88"/>
      <c r="C138" s="122"/>
      <c r="D138" s="123"/>
      <c r="E138" s="123"/>
      <c r="F138" s="123"/>
      <c r="H138" s="104"/>
      <c r="I138" s="104"/>
    </row>
    <row r="139" spans="1:9" s="113" customFormat="1" ht="13.5" outlineLevel="1" thickBot="1">
      <c r="A139" s="121" t="s">
        <v>101</v>
      </c>
      <c r="B139" s="88"/>
      <c r="C139" s="124" t="s">
        <v>1360</v>
      </c>
      <c r="D139" s="112">
        <f>SUBTOTAL(9,D133:D138)</f>
        <v>58795.095664265558</v>
      </c>
      <c r="E139" s="112">
        <f>SUBTOTAL(9,E133:E137)</f>
        <v>58795.095664265558</v>
      </c>
      <c r="F139" s="112">
        <f>SUBTOTAL(9,F133:F137)</f>
        <v>0</v>
      </c>
      <c r="H139" s="104"/>
    </row>
    <row r="140" spans="1:9" s="113" customFormat="1" ht="13.5" outlineLevel="1" thickBot="1">
      <c r="A140" s="165" t="s">
        <v>102</v>
      </c>
      <c r="B140" s="125"/>
      <c r="C140" s="148"/>
      <c r="D140" s="120"/>
      <c r="E140" s="270">
        <f>E149/D149</f>
        <v>0.4</v>
      </c>
      <c r="F140" s="270">
        <f>1-E140</f>
        <v>0.6</v>
      </c>
    </row>
    <row r="141" spans="1:9" ht="13.5" outlineLevel="2" thickBot="1">
      <c r="A141" s="499" t="s">
        <v>1262</v>
      </c>
      <c r="B141" s="500" t="s">
        <v>1263</v>
      </c>
      <c r="C141" s="122"/>
      <c r="D141" s="254">
        <v>8000</v>
      </c>
      <c r="E141" s="123">
        <f>D141*0.15</f>
        <v>1200</v>
      </c>
      <c r="F141" s="123">
        <f>D141-E141</f>
        <v>6800</v>
      </c>
      <c r="H141" s="104"/>
      <c r="I141" s="104"/>
    </row>
    <row r="142" spans="1:9" ht="13.5" outlineLevel="2" thickBot="1">
      <c r="A142" s="499" t="s">
        <v>1264</v>
      </c>
      <c r="B142" s="500" t="s">
        <v>1265</v>
      </c>
      <c r="C142" s="122"/>
      <c r="D142" s="254">
        <v>7000</v>
      </c>
      <c r="E142" s="123">
        <f t="shared" ref="E142:E147" si="11">D142*0.5</f>
        <v>3500</v>
      </c>
      <c r="F142" s="123">
        <f t="shared" ref="F142:F147" si="12">D142-E142</f>
        <v>3500</v>
      </c>
      <c r="H142" s="104"/>
      <c r="I142" s="104"/>
    </row>
    <row r="143" spans="1:9" ht="13.5" outlineLevel="2" thickBot="1">
      <c r="A143" s="499" t="s">
        <v>1266</v>
      </c>
      <c r="B143" s="500" t="s">
        <v>1267</v>
      </c>
      <c r="C143" s="122"/>
      <c r="D143" s="254">
        <v>9000</v>
      </c>
      <c r="E143" s="123">
        <f t="shared" si="11"/>
        <v>4500</v>
      </c>
      <c r="F143" s="123">
        <f t="shared" si="12"/>
        <v>4500</v>
      </c>
      <c r="H143" s="104"/>
      <c r="I143" s="104"/>
    </row>
    <row r="144" spans="1:9" ht="13.5" outlineLevel="2" thickBot="1">
      <c r="A144" s="499" t="s">
        <v>1268</v>
      </c>
      <c r="B144" s="500" t="s">
        <v>1269</v>
      </c>
      <c r="C144" s="122"/>
      <c r="D144" s="254">
        <v>2000</v>
      </c>
      <c r="E144" s="123">
        <f t="shared" si="11"/>
        <v>1000</v>
      </c>
      <c r="F144" s="123">
        <f t="shared" si="12"/>
        <v>1000</v>
      </c>
      <c r="H144" s="104"/>
      <c r="I144" s="104"/>
    </row>
    <row r="145" spans="1:9" ht="13.5" outlineLevel="2" thickBot="1">
      <c r="A145" s="499" t="s">
        <v>1270</v>
      </c>
      <c r="B145" s="500" t="s">
        <v>1269</v>
      </c>
      <c r="C145" s="122"/>
      <c r="D145" s="254">
        <v>2000</v>
      </c>
      <c r="E145" s="123">
        <f t="shared" si="11"/>
        <v>1000</v>
      </c>
      <c r="F145" s="123">
        <f t="shared" si="12"/>
        <v>1000</v>
      </c>
      <c r="H145" s="104"/>
      <c r="I145" s="104"/>
    </row>
    <row r="146" spans="1:9" ht="13.5" hidden="1" outlineLevel="2" thickBot="1">
      <c r="A146" s="121"/>
      <c r="B146" s="88"/>
      <c r="C146" s="122"/>
      <c r="D146" s="123"/>
      <c r="E146" s="123">
        <f t="shared" si="11"/>
        <v>0</v>
      </c>
      <c r="F146" s="123">
        <f t="shared" si="12"/>
        <v>0</v>
      </c>
      <c r="H146" s="104"/>
      <c r="I146" s="104"/>
    </row>
    <row r="147" spans="1:9" ht="13.5" hidden="1" outlineLevel="2" thickBot="1">
      <c r="A147" s="121"/>
      <c r="B147" s="88"/>
      <c r="C147" s="122"/>
      <c r="D147" s="123"/>
      <c r="E147" s="123">
        <f t="shared" si="11"/>
        <v>0</v>
      </c>
      <c r="F147" s="123">
        <f t="shared" si="12"/>
        <v>0</v>
      </c>
      <c r="H147" s="104"/>
      <c r="I147" s="104"/>
    </row>
    <row r="148" spans="1:9" ht="13.5" outlineLevel="2" thickBot="1">
      <c r="A148" s="121"/>
      <c r="B148" s="88"/>
      <c r="C148" s="122"/>
      <c r="D148" s="123"/>
      <c r="E148" s="123"/>
      <c r="F148" s="123"/>
      <c r="H148" s="104"/>
      <c r="I148" s="104"/>
    </row>
    <row r="149" spans="1:9" s="113" customFormat="1" ht="13.5" outlineLevel="1" thickBot="1">
      <c r="A149" s="121" t="s">
        <v>1226</v>
      </c>
      <c r="B149" s="88"/>
      <c r="C149" s="124" t="s">
        <v>1360</v>
      </c>
      <c r="D149" s="112">
        <f>SUBTOTAL(9,D141:D148)</f>
        <v>28000</v>
      </c>
      <c r="E149" s="112">
        <f>SUBTOTAL(9,E141:E148)</f>
        <v>11200</v>
      </c>
      <c r="F149" s="112">
        <f>SUBTOTAL(9,F141:F148)</f>
        <v>16800</v>
      </c>
    </row>
    <row r="150" spans="1:9" s="113" customFormat="1" ht="13.5" hidden="1" outlineLevel="1" thickBot="1">
      <c r="A150" s="165" t="s">
        <v>105</v>
      </c>
      <c r="B150" s="125"/>
      <c r="C150" s="148"/>
      <c r="D150" s="120"/>
      <c r="E150" s="270" t="e">
        <f>E158/D158</f>
        <v>#DIV/0!</v>
      </c>
      <c r="F150" s="270" t="e">
        <f>1-E150</f>
        <v>#DIV/0!</v>
      </c>
    </row>
    <row r="151" spans="1:9" ht="13.5" hidden="1" outlineLevel="2" thickBot="1">
      <c r="A151" s="121" t="s">
        <v>103</v>
      </c>
      <c r="B151" s="88" t="s">
        <v>106</v>
      </c>
      <c r="C151" s="122"/>
      <c r="D151" s="123"/>
      <c r="E151" s="123">
        <f>D151*0.25</f>
        <v>0</v>
      </c>
      <c r="F151" s="123">
        <f>D151-E151</f>
        <v>0</v>
      </c>
      <c r="H151" s="104"/>
      <c r="I151" s="104"/>
    </row>
    <row r="152" spans="1:9" ht="13.5" hidden="1" outlineLevel="2" thickBot="1">
      <c r="A152" s="121" t="s">
        <v>104</v>
      </c>
      <c r="B152" s="88" t="s">
        <v>107</v>
      </c>
      <c r="C152" s="122"/>
      <c r="D152" s="123"/>
      <c r="E152" s="123">
        <f t="shared" ref="E152:E157" si="13">D152*0.5</f>
        <v>0</v>
      </c>
      <c r="F152" s="123">
        <f t="shared" ref="F152:F157" si="14">D152-E152</f>
        <v>0</v>
      </c>
      <c r="H152" s="104"/>
      <c r="I152" s="104"/>
    </row>
    <row r="153" spans="1:9" ht="13.5" hidden="1" outlineLevel="2" thickBot="1">
      <c r="A153" s="121" t="s">
        <v>62</v>
      </c>
      <c r="B153" s="166" t="s">
        <v>99</v>
      </c>
      <c r="C153" s="122"/>
      <c r="D153" s="123"/>
      <c r="E153" s="123">
        <f t="shared" si="13"/>
        <v>0</v>
      </c>
      <c r="F153" s="123">
        <f t="shared" si="14"/>
        <v>0</v>
      </c>
      <c r="H153" s="104"/>
      <c r="I153" s="104"/>
    </row>
    <row r="154" spans="1:9" ht="13.5" hidden="1" outlineLevel="2" thickBot="1">
      <c r="A154" s="121" t="s">
        <v>119</v>
      </c>
      <c r="B154" s="88"/>
      <c r="C154" s="122"/>
      <c r="D154" s="123"/>
      <c r="E154" s="123">
        <f t="shared" si="13"/>
        <v>0</v>
      </c>
      <c r="F154" s="123">
        <f t="shared" si="14"/>
        <v>0</v>
      </c>
      <c r="H154" s="104"/>
      <c r="I154" s="104"/>
    </row>
    <row r="155" spans="1:9" ht="13.5" hidden="1" outlineLevel="2" thickBot="1">
      <c r="A155" s="121" t="s">
        <v>100</v>
      </c>
      <c r="B155" s="88"/>
      <c r="C155" s="122"/>
      <c r="D155" s="123"/>
      <c r="E155" s="123">
        <f t="shared" si="13"/>
        <v>0</v>
      </c>
      <c r="F155" s="123">
        <f t="shared" si="14"/>
        <v>0</v>
      </c>
      <c r="H155" s="104"/>
      <c r="I155" s="104"/>
    </row>
    <row r="156" spans="1:9" ht="13.5" hidden="1" outlineLevel="2" thickBot="1">
      <c r="A156" s="121" t="s">
        <v>1507</v>
      </c>
      <c r="B156" s="88"/>
      <c r="C156" s="122"/>
      <c r="D156" s="123"/>
      <c r="E156" s="123">
        <f t="shared" si="13"/>
        <v>0</v>
      </c>
      <c r="F156" s="123">
        <f t="shared" si="14"/>
        <v>0</v>
      </c>
      <c r="H156" s="104"/>
      <c r="I156" s="104"/>
    </row>
    <row r="157" spans="1:9" ht="13.5" hidden="1" outlineLevel="2" thickBot="1">
      <c r="A157" s="121" t="s">
        <v>175</v>
      </c>
      <c r="B157" s="88" t="s">
        <v>75</v>
      </c>
      <c r="C157" s="122"/>
      <c r="D157" s="123"/>
      <c r="E157" s="123">
        <f t="shared" si="13"/>
        <v>0</v>
      </c>
      <c r="F157" s="123">
        <f t="shared" si="14"/>
        <v>0</v>
      </c>
      <c r="H157" s="104"/>
      <c r="I157" s="104"/>
    </row>
    <row r="158" spans="1:9" s="113" customFormat="1" ht="13.5" hidden="1" outlineLevel="1" thickBot="1">
      <c r="A158" s="121" t="s">
        <v>120</v>
      </c>
      <c r="B158" s="88"/>
      <c r="C158" s="124" t="s">
        <v>1360</v>
      </c>
      <c r="D158" s="112">
        <f>SUBTOTAL(9,D151:D157)</f>
        <v>0</v>
      </c>
      <c r="E158" s="112">
        <f>SUBTOTAL(9,E151:E157)</f>
        <v>0</v>
      </c>
      <c r="F158" s="112">
        <f>SUBTOTAL(9,F151:F157)</f>
        <v>0</v>
      </c>
    </row>
    <row r="159" spans="1:9" s="113" customFormat="1" ht="13.5" hidden="1" outlineLevel="1" thickBot="1">
      <c r="A159" s="165" t="s">
        <v>121</v>
      </c>
      <c r="B159" s="125"/>
      <c r="C159" s="148"/>
      <c r="D159" s="120"/>
      <c r="E159" s="270" t="e">
        <f>E168/D168</f>
        <v>#DIV/0!</v>
      </c>
      <c r="F159" s="270" t="e">
        <f>1-E159</f>
        <v>#DIV/0!</v>
      </c>
    </row>
    <row r="160" spans="1:9" ht="13.5" hidden="1" outlineLevel="2" thickBot="1">
      <c r="A160" s="121" t="s">
        <v>103</v>
      </c>
      <c r="B160" s="88" t="s">
        <v>98</v>
      </c>
      <c r="C160" s="122"/>
      <c r="D160" s="123"/>
      <c r="E160" s="123">
        <f>D160*0.5</f>
        <v>0</v>
      </c>
      <c r="F160" s="123">
        <f>D160-E160</f>
        <v>0</v>
      </c>
      <c r="H160" s="104"/>
      <c r="I160" s="104"/>
    </row>
    <row r="161" spans="1:9" ht="13.5" hidden="1" outlineLevel="2" thickBot="1">
      <c r="A161" s="121" t="s">
        <v>104</v>
      </c>
      <c r="B161" s="88" t="s">
        <v>122</v>
      </c>
      <c r="C161" s="122"/>
      <c r="D161" s="123"/>
      <c r="E161" s="123">
        <f t="shared" ref="E161:E166" si="15">D161*0.5</f>
        <v>0</v>
      </c>
      <c r="F161" s="123">
        <f t="shared" ref="F161:F166" si="16">D161-E161</f>
        <v>0</v>
      </c>
      <c r="H161" s="104"/>
      <c r="I161" s="104"/>
    </row>
    <row r="162" spans="1:9" ht="13.5" hidden="1" outlineLevel="2" thickBot="1">
      <c r="A162" s="121" t="s">
        <v>62</v>
      </c>
      <c r="B162" s="166" t="s">
        <v>99</v>
      </c>
      <c r="C162" s="122"/>
      <c r="D162" s="123"/>
      <c r="E162" s="123">
        <f t="shared" si="15"/>
        <v>0</v>
      </c>
      <c r="F162" s="123">
        <f t="shared" si="16"/>
        <v>0</v>
      </c>
      <c r="H162" s="104"/>
      <c r="I162" s="104"/>
    </row>
    <row r="163" spans="1:9" ht="13.5" hidden="1" outlineLevel="2" thickBot="1">
      <c r="A163" s="121" t="s">
        <v>119</v>
      </c>
      <c r="B163" s="88"/>
      <c r="C163" s="122"/>
      <c r="D163" s="123"/>
      <c r="E163" s="123">
        <f t="shared" si="15"/>
        <v>0</v>
      </c>
      <c r="F163" s="123">
        <f t="shared" si="16"/>
        <v>0</v>
      </c>
      <c r="H163" s="104"/>
      <c r="I163" s="104"/>
    </row>
    <row r="164" spans="1:9" ht="13.5" hidden="1" outlineLevel="2" thickBot="1">
      <c r="A164" s="121" t="s">
        <v>100</v>
      </c>
      <c r="B164" s="88"/>
      <c r="C164" s="122"/>
      <c r="D164" s="123"/>
      <c r="E164" s="123">
        <f t="shared" si="15"/>
        <v>0</v>
      </c>
      <c r="F164" s="123">
        <f t="shared" si="16"/>
        <v>0</v>
      </c>
      <c r="H164" s="104"/>
      <c r="I164" s="104"/>
    </row>
    <row r="165" spans="1:9" ht="13.5" hidden="1" outlineLevel="2" thickBot="1">
      <c r="A165" s="121" t="s">
        <v>1507</v>
      </c>
      <c r="B165" s="88"/>
      <c r="C165" s="122"/>
      <c r="D165" s="123"/>
      <c r="E165" s="123">
        <f t="shared" si="15"/>
        <v>0</v>
      </c>
      <c r="F165" s="123">
        <f t="shared" si="16"/>
        <v>0</v>
      </c>
      <c r="H165" s="104"/>
      <c r="I165" s="104"/>
    </row>
    <row r="166" spans="1:9" ht="13.5" hidden="1" outlineLevel="2" thickBot="1">
      <c r="A166" s="121" t="s">
        <v>175</v>
      </c>
      <c r="B166" s="88" t="s">
        <v>75</v>
      </c>
      <c r="C166" s="122"/>
      <c r="D166" s="123"/>
      <c r="E166" s="123">
        <f t="shared" si="15"/>
        <v>0</v>
      </c>
      <c r="F166" s="123">
        <f t="shared" si="16"/>
        <v>0</v>
      </c>
      <c r="H166" s="104"/>
      <c r="I166" s="104"/>
    </row>
    <row r="167" spans="1:9" ht="13.5" hidden="1" outlineLevel="2" thickBot="1">
      <c r="A167" s="121"/>
      <c r="B167" s="88"/>
      <c r="C167" s="122"/>
      <c r="D167" s="123"/>
      <c r="E167" s="123"/>
      <c r="F167" s="123"/>
      <c r="H167" s="104"/>
      <c r="I167" s="104"/>
    </row>
    <row r="168" spans="1:9" s="113" customFormat="1" ht="13.5" hidden="1" outlineLevel="1" thickBot="1">
      <c r="A168" s="121" t="s">
        <v>101</v>
      </c>
      <c r="B168" s="88"/>
      <c r="C168" s="124" t="s">
        <v>1360</v>
      </c>
      <c r="D168" s="112">
        <f>SUBTOTAL(9,D160:D167)</f>
        <v>0</v>
      </c>
      <c r="E168" s="112">
        <f>SUBTOTAL(9,E160:E167)</f>
        <v>0</v>
      </c>
      <c r="F168" s="112">
        <f>SUBTOTAL(9,F160:F167)</f>
        <v>0</v>
      </c>
    </row>
    <row r="169" spans="1:9" s="113" customFormat="1" ht="13.5" hidden="1" outlineLevel="1" thickBot="1">
      <c r="A169" s="165" t="s">
        <v>123</v>
      </c>
      <c r="B169" s="125"/>
      <c r="C169" s="148"/>
      <c r="D169" s="120"/>
      <c r="E169" s="270" t="e">
        <f>E179/D179</f>
        <v>#DIV/0!</v>
      </c>
      <c r="F169" s="270" t="e">
        <f>1-E169</f>
        <v>#DIV/0!</v>
      </c>
    </row>
    <row r="170" spans="1:9" ht="13.5" hidden="1" outlineLevel="2" thickBot="1">
      <c r="A170" s="121" t="s">
        <v>103</v>
      </c>
      <c r="B170" s="88" t="s">
        <v>124</v>
      </c>
      <c r="C170" s="122"/>
      <c r="D170" s="123"/>
      <c r="E170" s="123">
        <f>D170*0.5</f>
        <v>0</v>
      </c>
      <c r="F170" s="123">
        <f>D170-E170</f>
        <v>0</v>
      </c>
      <c r="H170" s="104"/>
      <c r="I170" s="104"/>
    </row>
    <row r="171" spans="1:9" ht="13.5" hidden="1" outlineLevel="2" thickBot="1">
      <c r="A171" s="121" t="s">
        <v>125</v>
      </c>
      <c r="B171" s="88" t="s">
        <v>126</v>
      </c>
      <c r="C171" s="122"/>
      <c r="D171" s="123"/>
      <c r="E171" s="123">
        <f t="shared" ref="E171:E177" si="17">D171*0.5</f>
        <v>0</v>
      </c>
      <c r="F171" s="123">
        <f t="shared" ref="F171:F177" si="18">D171-E171</f>
        <v>0</v>
      </c>
      <c r="H171" s="104"/>
      <c r="I171" s="104"/>
    </row>
    <row r="172" spans="1:9" ht="13.5" hidden="1" outlineLevel="2" thickBot="1">
      <c r="A172" s="121" t="s">
        <v>104</v>
      </c>
      <c r="B172" s="88" t="s">
        <v>127</v>
      </c>
      <c r="C172" s="122"/>
      <c r="D172" s="123"/>
      <c r="E172" s="123">
        <f t="shared" si="17"/>
        <v>0</v>
      </c>
      <c r="F172" s="123">
        <f t="shared" si="18"/>
        <v>0</v>
      </c>
      <c r="H172" s="104"/>
      <c r="I172" s="104"/>
    </row>
    <row r="173" spans="1:9" ht="13.5" hidden="1" outlineLevel="2" thickBot="1">
      <c r="A173" s="121" t="s">
        <v>62</v>
      </c>
      <c r="B173" s="88" t="s">
        <v>128</v>
      </c>
      <c r="C173" s="122"/>
      <c r="D173" s="123"/>
      <c r="E173" s="123">
        <f t="shared" si="17"/>
        <v>0</v>
      </c>
      <c r="F173" s="123">
        <f t="shared" si="18"/>
        <v>0</v>
      </c>
      <c r="H173" s="104"/>
      <c r="I173" s="104"/>
    </row>
    <row r="174" spans="1:9" ht="13.5" hidden="1" outlineLevel="2" thickBot="1">
      <c r="A174" s="121" t="s">
        <v>119</v>
      </c>
      <c r="B174" s="88" t="s">
        <v>129</v>
      </c>
      <c r="C174" s="122"/>
      <c r="D174" s="123"/>
      <c r="E174" s="123">
        <f t="shared" si="17"/>
        <v>0</v>
      </c>
      <c r="F174" s="123">
        <f t="shared" si="18"/>
        <v>0</v>
      </c>
      <c r="H174" s="104"/>
      <c r="I174" s="104"/>
    </row>
    <row r="175" spans="1:9" ht="13.5" hidden="1" outlineLevel="2" thickBot="1">
      <c r="A175" s="121" t="s">
        <v>100</v>
      </c>
      <c r="B175" s="88"/>
      <c r="C175" s="122"/>
      <c r="D175" s="123"/>
      <c r="E175" s="123">
        <f t="shared" si="17"/>
        <v>0</v>
      </c>
      <c r="F175" s="123">
        <f t="shared" si="18"/>
        <v>0</v>
      </c>
      <c r="H175" s="104"/>
      <c r="I175" s="104"/>
    </row>
    <row r="176" spans="1:9" ht="13.5" hidden="1" outlineLevel="2" thickBot="1">
      <c r="A176" s="121" t="s">
        <v>1507</v>
      </c>
      <c r="B176" s="88"/>
      <c r="C176" s="122"/>
      <c r="D176" s="123"/>
      <c r="E176" s="123">
        <f t="shared" si="17"/>
        <v>0</v>
      </c>
      <c r="F176" s="123">
        <f t="shared" si="18"/>
        <v>0</v>
      </c>
      <c r="H176" s="104"/>
      <c r="I176" s="104"/>
    </row>
    <row r="177" spans="1:9" ht="13.5" hidden="1" outlineLevel="2" thickBot="1">
      <c r="A177" s="121" t="s">
        <v>175</v>
      </c>
      <c r="B177" s="88" t="s">
        <v>130</v>
      </c>
      <c r="C177" s="122"/>
      <c r="D177" s="123"/>
      <c r="E177" s="123">
        <f t="shared" si="17"/>
        <v>0</v>
      </c>
      <c r="F177" s="123">
        <f t="shared" si="18"/>
        <v>0</v>
      </c>
      <c r="H177" s="104"/>
      <c r="I177" s="104"/>
    </row>
    <row r="178" spans="1:9" ht="13.5" hidden="1" outlineLevel="2" thickBot="1">
      <c r="A178" s="121"/>
      <c r="B178" s="88"/>
      <c r="C178" s="122"/>
      <c r="D178" s="123"/>
      <c r="E178" s="123"/>
      <c r="F178" s="123"/>
      <c r="H178" s="104"/>
      <c r="I178" s="104"/>
    </row>
    <row r="179" spans="1:9" s="113" customFormat="1" ht="13.5" hidden="1" outlineLevel="1" thickBot="1">
      <c r="A179" s="121" t="s">
        <v>131</v>
      </c>
      <c r="B179" s="88"/>
      <c r="C179" s="124" t="s">
        <v>1360</v>
      </c>
      <c r="D179" s="112">
        <f>SUBTOTAL(9,D170:D178)</f>
        <v>0</v>
      </c>
      <c r="E179" s="112">
        <f>SUBTOTAL(9,E170:E178)</f>
        <v>0</v>
      </c>
      <c r="F179" s="112">
        <f>SUBTOTAL(9,F170:F178)</f>
        <v>0</v>
      </c>
    </row>
    <row r="180" spans="1:9" s="113" customFormat="1" ht="13.5" outlineLevel="1" thickBot="1">
      <c r="A180" s="165" t="s">
        <v>132</v>
      </c>
      <c r="B180" s="125"/>
      <c r="C180" s="148"/>
      <c r="D180" s="120"/>
      <c r="E180" s="270">
        <f>E189/D189</f>
        <v>0.36</v>
      </c>
      <c r="F180" s="270">
        <f>1-E180</f>
        <v>0.64</v>
      </c>
    </row>
    <row r="181" spans="1:9" ht="13.5" hidden="1" outlineLevel="2" thickBot="1">
      <c r="A181" s="121" t="s">
        <v>103</v>
      </c>
      <c r="B181" s="88" t="s">
        <v>133</v>
      </c>
      <c r="C181" s="122"/>
      <c r="D181" s="123"/>
      <c r="E181" s="123">
        <f>D181*0.15</f>
        <v>0</v>
      </c>
      <c r="F181" s="123">
        <f>D181-E181</f>
        <v>0</v>
      </c>
      <c r="H181" s="104"/>
      <c r="I181" s="104"/>
    </row>
    <row r="182" spans="1:9" ht="13.5" outlineLevel="2" thickBot="1">
      <c r="A182" s="499" t="s">
        <v>1278</v>
      </c>
      <c r="B182" s="582" t="s">
        <v>1271</v>
      </c>
      <c r="C182" s="122"/>
      <c r="D182" s="254">
        <v>180000</v>
      </c>
      <c r="E182" s="123">
        <f t="shared" ref="E182:E187" si="19">D182*0.25</f>
        <v>45000</v>
      </c>
      <c r="F182" s="123">
        <f t="shared" ref="F182:F187" si="20">D182-E182</f>
        <v>135000</v>
      </c>
      <c r="H182" s="104"/>
      <c r="I182" s="104"/>
    </row>
    <row r="183" spans="1:9" ht="13.5" outlineLevel="2" thickBot="1">
      <c r="A183" s="499" t="s">
        <v>1272</v>
      </c>
      <c r="B183" s="582" t="s">
        <v>1273</v>
      </c>
      <c r="C183" s="122"/>
      <c r="D183" s="254">
        <v>36000</v>
      </c>
      <c r="E183" s="123">
        <f t="shared" si="19"/>
        <v>9000</v>
      </c>
      <c r="F183" s="123">
        <f t="shared" si="20"/>
        <v>27000</v>
      </c>
      <c r="H183" s="104"/>
      <c r="I183" s="104"/>
    </row>
    <row r="184" spans="1:9" ht="13.5" outlineLevel="2" thickBot="1">
      <c r="A184" s="499" t="s">
        <v>1274</v>
      </c>
      <c r="B184" s="582" t="s">
        <v>1275</v>
      </c>
      <c r="C184" s="122"/>
      <c r="D184" s="254">
        <v>78000</v>
      </c>
      <c r="E184" s="123">
        <f t="shared" si="19"/>
        <v>19500</v>
      </c>
      <c r="F184" s="123">
        <f t="shared" si="20"/>
        <v>58500</v>
      </c>
      <c r="H184" s="104"/>
      <c r="I184" s="104"/>
    </row>
    <row r="185" spans="1:9" ht="13.5" outlineLevel="2" thickBot="1">
      <c r="A185" s="499" t="s">
        <v>1276</v>
      </c>
      <c r="B185" s="582" t="s">
        <v>1277</v>
      </c>
      <c r="C185" s="122"/>
      <c r="D185" s="254">
        <v>30000</v>
      </c>
      <c r="E185" s="123">
        <f t="shared" si="19"/>
        <v>7500</v>
      </c>
      <c r="F185" s="123">
        <f t="shared" si="20"/>
        <v>22500</v>
      </c>
      <c r="H185" s="104"/>
      <c r="I185" s="104"/>
    </row>
    <row r="186" spans="1:9" ht="13.5" hidden="1" outlineLevel="2" thickBot="1">
      <c r="A186" s="121"/>
      <c r="B186" s="88"/>
      <c r="C186" s="122"/>
      <c r="D186" s="123"/>
      <c r="E186" s="123">
        <f t="shared" si="19"/>
        <v>0</v>
      </c>
      <c r="F186" s="123">
        <f t="shared" si="20"/>
        <v>0</v>
      </c>
      <c r="H186" s="104"/>
      <c r="I186" s="104"/>
    </row>
    <row r="187" spans="1:9" ht="13.5" hidden="1" outlineLevel="2" thickBot="1">
      <c r="A187" s="121" t="s">
        <v>175</v>
      </c>
      <c r="B187" s="88" t="s">
        <v>75</v>
      </c>
      <c r="C187" s="122"/>
      <c r="D187" s="123">
        <f>0.05*0.75*D181</f>
        <v>0</v>
      </c>
      <c r="E187" s="123">
        <f t="shared" si="19"/>
        <v>0</v>
      </c>
      <c r="F187" s="123">
        <f t="shared" si="20"/>
        <v>0</v>
      </c>
      <c r="H187" s="104"/>
      <c r="I187" s="104"/>
    </row>
    <row r="188" spans="1:9" ht="13.5" outlineLevel="2" thickBot="1">
      <c r="A188" s="121"/>
      <c r="B188" s="88"/>
      <c r="C188" s="122"/>
      <c r="D188" s="123"/>
      <c r="E188" s="123"/>
      <c r="F188" s="123"/>
      <c r="H188" s="104"/>
      <c r="I188" s="104"/>
    </row>
    <row r="189" spans="1:9" s="113" customFormat="1" ht="13.5" outlineLevel="1" thickBot="1">
      <c r="A189" s="121" t="s">
        <v>1226</v>
      </c>
      <c r="B189" s="88"/>
      <c r="C189" s="124" t="s">
        <v>1360</v>
      </c>
      <c r="D189" s="112">
        <v>225000</v>
      </c>
      <c r="E189" s="112">
        <f>SUBTOTAL(9,E181:E188)</f>
        <v>81000</v>
      </c>
      <c r="F189" s="112">
        <f>SUBTOTAL(9,F181:F188)</f>
        <v>243000</v>
      </c>
    </row>
    <row r="190" spans="1:9" s="113" customFormat="1" ht="13.5" hidden="1" outlineLevel="1" thickBot="1">
      <c r="A190" s="165" t="s">
        <v>134</v>
      </c>
      <c r="B190" s="125"/>
      <c r="C190" s="148"/>
      <c r="D190" s="120"/>
      <c r="E190" s="270">
        <v>0.25</v>
      </c>
      <c r="F190" s="270">
        <f>1-E190</f>
        <v>0.75</v>
      </c>
    </row>
    <row r="191" spans="1:9" ht="13.5" hidden="1" outlineLevel="2" thickBot="1">
      <c r="A191" s="121" t="s">
        <v>103</v>
      </c>
      <c r="B191" s="88" t="s">
        <v>135</v>
      </c>
      <c r="C191" s="122"/>
      <c r="D191" s="123"/>
      <c r="E191" s="123">
        <f>D191*0.75</f>
        <v>0</v>
      </c>
      <c r="F191" s="123">
        <f>D191-E191</f>
        <v>0</v>
      </c>
      <c r="H191" s="104"/>
      <c r="I191" s="104"/>
    </row>
    <row r="192" spans="1:9" ht="13.5" hidden="1" outlineLevel="2" thickBot="1">
      <c r="A192" s="121" t="s">
        <v>104</v>
      </c>
      <c r="B192" s="88" t="s">
        <v>136</v>
      </c>
      <c r="C192" s="122"/>
      <c r="D192" s="123"/>
      <c r="E192" s="123">
        <f t="shared" ref="E192:E197" si="21">D192*0.75</f>
        <v>0</v>
      </c>
      <c r="F192" s="123">
        <f t="shared" ref="F192:F197" si="22">D192-E192</f>
        <v>0</v>
      </c>
      <c r="H192" s="104"/>
      <c r="I192" s="104"/>
    </row>
    <row r="193" spans="1:9" ht="13.5" hidden="1" outlineLevel="2" thickBot="1">
      <c r="A193" s="121" t="s">
        <v>62</v>
      </c>
      <c r="B193" s="88" t="s">
        <v>137</v>
      </c>
      <c r="C193" s="122"/>
      <c r="D193" s="123"/>
      <c r="E193" s="123">
        <f t="shared" si="21"/>
        <v>0</v>
      </c>
      <c r="F193" s="123">
        <f t="shared" si="22"/>
        <v>0</v>
      </c>
      <c r="H193" s="104"/>
      <c r="I193" s="104"/>
    </row>
    <row r="194" spans="1:9" ht="13.5" hidden="1" outlineLevel="2" thickBot="1">
      <c r="A194" s="121" t="s">
        <v>119</v>
      </c>
      <c r="B194" s="166" t="s">
        <v>99</v>
      </c>
      <c r="C194" s="122"/>
      <c r="D194" s="123"/>
      <c r="E194" s="123">
        <f t="shared" si="21"/>
        <v>0</v>
      </c>
      <c r="F194" s="123">
        <f t="shared" si="22"/>
        <v>0</v>
      </c>
      <c r="H194" s="104"/>
      <c r="I194" s="104"/>
    </row>
    <row r="195" spans="1:9" ht="13.5" hidden="1" outlineLevel="2" thickBot="1">
      <c r="A195" s="121" t="s">
        <v>100</v>
      </c>
      <c r="B195" s="88" t="s">
        <v>138</v>
      </c>
      <c r="C195" s="122"/>
      <c r="D195" s="123"/>
      <c r="E195" s="123">
        <f t="shared" si="21"/>
        <v>0</v>
      </c>
      <c r="F195" s="123">
        <f t="shared" si="22"/>
        <v>0</v>
      </c>
      <c r="H195" s="104"/>
      <c r="I195" s="104"/>
    </row>
    <row r="196" spans="1:9" ht="13.5" hidden="1" outlineLevel="2" thickBot="1">
      <c r="A196" s="121" t="s">
        <v>1507</v>
      </c>
      <c r="B196" s="88"/>
      <c r="C196" s="122"/>
      <c r="D196" s="123"/>
      <c r="E196" s="123">
        <f t="shared" si="21"/>
        <v>0</v>
      </c>
      <c r="F196" s="123">
        <f t="shared" si="22"/>
        <v>0</v>
      </c>
      <c r="H196" s="104"/>
      <c r="I196" s="104"/>
    </row>
    <row r="197" spans="1:9" ht="13.5" hidden="1" outlineLevel="2" thickBot="1">
      <c r="A197" s="121" t="s">
        <v>175</v>
      </c>
      <c r="B197" s="88" t="s">
        <v>75</v>
      </c>
      <c r="C197" s="122"/>
      <c r="D197" s="123"/>
      <c r="E197" s="123">
        <f t="shared" si="21"/>
        <v>0</v>
      </c>
      <c r="F197" s="123">
        <f t="shared" si="22"/>
        <v>0</v>
      </c>
      <c r="H197" s="104"/>
      <c r="I197" s="104"/>
    </row>
    <row r="198" spans="1:9" ht="13.5" hidden="1" outlineLevel="2" thickBot="1">
      <c r="A198" s="121"/>
      <c r="B198" s="88" t="s">
        <v>139</v>
      </c>
      <c r="C198" s="122"/>
      <c r="D198" s="123"/>
      <c r="E198" s="123"/>
      <c r="F198" s="123"/>
      <c r="H198" s="104"/>
      <c r="I198" s="104"/>
    </row>
    <row r="199" spans="1:9" s="113" customFormat="1" ht="13.5" hidden="1" outlineLevel="1" thickBot="1">
      <c r="A199" s="121" t="s">
        <v>101</v>
      </c>
      <c r="B199" s="88"/>
      <c r="C199" s="124" t="s">
        <v>1360</v>
      </c>
      <c r="D199" s="112">
        <f>SUBTOTAL(9,D191:D198)</f>
        <v>0</v>
      </c>
      <c r="E199" s="112">
        <f>SUBTOTAL(9,E191:E198)</f>
        <v>0</v>
      </c>
      <c r="F199" s="112">
        <f>SUBTOTAL(9,F191:F198)</f>
        <v>0</v>
      </c>
    </row>
    <row r="200" spans="1:9" s="113" customFormat="1" ht="13.5" hidden="1" outlineLevel="1" thickBot="1">
      <c r="A200" s="165" t="s">
        <v>140</v>
      </c>
      <c r="B200" s="125"/>
      <c r="C200" s="148"/>
      <c r="D200" s="120"/>
      <c r="E200" s="270" t="e">
        <f>E210/D210</f>
        <v>#DIV/0!</v>
      </c>
      <c r="F200" s="270" t="e">
        <f>1-E200</f>
        <v>#DIV/0!</v>
      </c>
    </row>
    <row r="201" spans="1:9" ht="13.5" hidden="1" outlineLevel="2" thickBot="1">
      <c r="A201" s="121" t="s">
        <v>141</v>
      </c>
      <c r="B201" s="88" t="s">
        <v>106</v>
      </c>
      <c r="C201" s="122"/>
      <c r="D201" s="123"/>
      <c r="E201" s="123">
        <f>D201*0.2</f>
        <v>0</v>
      </c>
      <c r="F201" s="123">
        <f>D201-E201</f>
        <v>0</v>
      </c>
      <c r="H201" s="104"/>
      <c r="I201" s="104"/>
    </row>
    <row r="202" spans="1:9" ht="13.5" hidden="1" outlineLevel="2" thickBot="1">
      <c r="A202" s="121" t="s">
        <v>104</v>
      </c>
      <c r="B202" s="88" t="s">
        <v>142</v>
      </c>
      <c r="C202" s="122"/>
      <c r="D202" s="123"/>
      <c r="E202" s="123">
        <f t="shared" ref="E202:E208" si="23">D202*0.25</f>
        <v>0</v>
      </c>
      <c r="F202" s="123">
        <f t="shared" ref="F202:F208" si="24">D202-E202</f>
        <v>0</v>
      </c>
      <c r="H202" s="104"/>
      <c r="I202" s="104"/>
    </row>
    <row r="203" spans="1:9" ht="13.5" hidden="1" outlineLevel="2" thickBot="1">
      <c r="A203" s="121" t="s">
        <v>62</v>
      </c>
      <c r="B203" s="166" t="s">
        <v>99</v>
      </c>
      <c r="C203" s="122"/>
      <c r="D203" s="123"/>
      <c r="E203" s="123">
        <f t="shared" si="23"/>
        <v>0</v>
      </c>
      <c r="F203" s="123">
        <f t="shared" si="24"/>
        <v>0</v>
      </c>
      <c r="H203" s="104"/>
      <c r="I203" s="104"/>
    </row>
    <row r="204" spans="1:9" ht="13.5" hidden="1" outlineLevel="2" thickBot="1">
      <c r="A204" s="121" t="s">
        <v>143</v>
      </c>
      <c r="B204" s="88"/>
      <c r="C204" s="122"/>
      <c r="D204" s="123"/>
      <c r="E204" s="123">
        <f t="shared" si="23"/>
        <v>0</v>
      </c>
      <c r="F204" s="123">
        <f t="shared" si="24"/>
        <v>0</v>
      </c>
      <c r="H204" s="104"/>
      <c r="I204" s="104"/>
    </row>
    <row r="205" spans="1:9" ht="13.5" hidden="1" outlineLevel="2" thickBot="1">
      <c r="A205" s="121" t="s">
        <v>100</v>
      </c>
      <c r="B205" s="88" t="s">
        <v>144</v>
      </c>
      <c r="C205" s="122"/>
      <c r="D205" s="123"/>
      <c r="E205" s="123">
        <f t="shared" si="23"/>
        <v>0</v>
      </c>
      <c r="F205" s="123">
        <f t="shared" si="24"/>
        <v>0</v>
      </c>
      <c r="H205" s="104"/>
      <c r="I205" s="104"/>
    </row>
    <row r="206" spans="1:9" ht="13.5" hidden="1" outlineLevel="2" thickBot="1">
      <c r="A206" s="121" t="s">
        <v>1507</v>
      </c>
      <c r="B206" s="88" t="s">
        <v>145</v>
      </c>
      <c r="C206" s="122"/>
      <c r="D206" s="123"/>
      <c r="E206" s="123">
        <f t="shared" si="23"/>
        <v>0</v>
      </c>
      <c r="F206" s="123">
        <f t="shared" si="24"/>
        <v>0</v>
      </c>
      <c r="H206" s="104"/>
      <c r="I206" s="104"/>
    </row>
    <row r="207" spans="1:9" ht="13.5" hidden="1" outlineLevel="2" thickBot="1">
      <c r="A207" s="121" t="s">
        <v>146</v>
      </c>
      <c r="B207" s="88"/>
      <c r="C207" s="122"/>
      <c r="D207" s="123"/>
      <c r="E207" s="123">
        <f t="shared" si="23"/>
        <v>0</v>
      </c>
      <c r="F207" s="123">
        <f t="shared" si="24"/>
        <v>0</v>
      </c>
      <c r="H207" s="104"/>
      <c r="I207" s="104"/>
    </row>
    <row r="208" spans="1:9" ht="13.5" hidden="1" outlineLevel="2" thickBot="1">
      <c r="A208" s="121" t="s">
        <v>175</v>
      </c>
      <c r="B208" s="88" t="s">
        <v>147</v>
      </c>
      <c r="C208" s="122"/>
      <c r="D208" s="123">
        <f>0.01*0.75*D201</f>
        <v>0</v>
      </c>
      <c r="E208" s="123">
        <f t="shared" si="23"/>
        <v>0</v>
      </c>
      <c r="F208" s="123">
        <f t="shared" si="24"/>
        <v>0</v>
      </c>
      <c r="H208" s="104"/>
      <c r="I208" s="104"/>
    </row>
    <row r="209" spans="1:9" ht="13.5" hidden="1" outlineLevel="2" thickBot="1">
      <c r="A209" s="121"/>
      <c r="B209" s="88"/>
      <c r="C209" s="122"/>
      <c r="D209" s="123"/>
      <c r="E209" s="123"/>
      <c r="F209" s="123"/>
      <c r="H209" s="104"/>
      <c r="I209" s="104"/>
    </row>
    <row r="210" spans="1:9" s="113" customFormat="1" ht="13.5" hidden="1" outlineLevel="1" thickBot="1">
      <c r="A210" s="121" t="s">
        <v>148</v>
      </c>
      <c r="B210" s="88"/>
      <c r="C210" s="124" t="s">
        <v>1360</v>
      </c>
      <c r="D210" s="112">
        <f>SUBTOTAL(9,D201:D209)</f>
        <v>0</v>
      </c>
      <c r="E210" s="112">
        <f>SUBTOTAL(9,E201:E209)</f>
        <v>0</v>
      </c>
      <c r="F210" s="112">
        <f>SUBTOTAL(9,F201:F209)</f>
        <v>0</v>
      </c>
    </row>
    <row r="211" spans="1:9" s="113" customFormat="1" ht="13.5" hidden="1" outlineLevel="1" thickBot="1">
      <c r="A211" s="165" t="s">
        <v>149</v>
      </c>
      <c r="B211" s="125"/>
      <c r="C211" s="148"/>
      <c r="D211" s="120"/>
      <c r="E211" s="270">
        <v>0</v>
      </c>
      <c r="F211" s="270">
        <f>1-E211</f>
        <v>1</v>
      </c>
    </row>
    <row r="212" spans="1:9" ht="13.5" hidden="1" outlineLevel="2" thickBot="1">
      <c r="A212" s="121" t="s">
        <v>103</v>
      </c>
      <c r="B212" s="88" t="s">
        <v>150</v>
      </c>
      <c r="C212" s="122"/>
      <c r="D212" s="123">
        <v>0</v>
      </c>
      <c r="E212" s="123">
        <f>D212</f>
        <v>0</v>
      </c>
      <c r="F212" s="123">
        <f>D212-E212</f>
        <v>0</v>
      </c>
      <c r="H212" s="104"/>
      <c r="I212" s="104"/>
    </row>
    <row r="213" spans="1:9" ht="13.5" hidden="1" outlineLevel="2" thickBot="1">
      <c r="A213" s="121" t="s">
        <v>104</v>
      </c>
      <c r="B213" s="88" t="s">
        <v>151</v>
      </c>
      <c r="C213" s="122"/>
      <c r="D213" s="123"/>
      <c r="E213" s="123"/>
      <c r="F213" s="123"/>
      <c r="H213" s="104"/>
      <c r="I213" s="104"/>
    </row>
    <row r="214" spans="1:9" ht="13.5" hidden="1" outlineLevel="2" thickBot="1">
      <c r="A214" s="121" t="s">
        <v>62</v>
      </c>
      <c r="B214" s="88" t="s">
        <v>152</v>
      </c>
      <c r="C214" s="122"/>
      <c r="D214" s="123"/>
      <c r="E214" s="123"/>
      <c r="F214" s="123"/>
      <c r="H214" s="104"/>
      <c r="I214" s="104"/>
    </row>
    <row r="215" spans="1:9" ht="13.5" hidden="1" outlineLevel="2" thickBot="1">
      <c r="A215" s="121" t="s">
        <v>119</v>
      </c>
      <c r="B215" s="88"/>
      <c r="C215" s="122"/>
      <c r="D215" s="123"/>
      <c r="E215" s="123"/>
      <c r="F215" s="123"/>
      <c r="H215" s="104"/>
      <c r="I215" s="104"/>
    </row>
    <row r="216" spans="1:9" ht="13.5" hidden="1" outlineLevel="2" thickBot="1">
      <c r="A216" s="121" t="s">
        <v>100</v>
      </c>
      <c r="B216" s="220" t="s">
        <v>153</v>
      </c>
      <c r="C216" s="122"/>
      <c r="D216" s="123"/>
      <c r="E216" s="123"/>
      <c r="F216" s="123"/>
      <c r="H216" s="104"/>
      <c r="I216" s="104"/>
    </row>
    <row r="217" spans="1:9" ht="13.5" hidden="1" outlineLevel="2" thickBot="1">
      <c r="A217" s="121" t="s">
        <v>1507</v>
      </c>
      <c r="B217" s="88"/>
      <c r="C217" s="122"/>
      <c r="D217" s="123"/>
      <c r="E217" s="123"/>
      <c r="F217" s="123"/>
      <c r="H217" s="104"/>
      <c r="I217" s="104"/>
    </row>
    <row r="218" spans="1:9" ht="13.5" hidden="1" outlineLevel="2" thickBot="1">
      <c r="A218" s="121" t="s">
        <v>175</v>
      </c>
      <c r="B218" s="88"/>
      <c r="C218" s="122"/>
      <c r="D218" s="123"/>
      <c r="E218" s="123"/>
      <c r="F218" s="123"/>
      <c r="H218" s="104"/>
      <c r="I218" s="104"/>
    </row>
    <row r="219" spans="1:9" ht="13.5" hidden="1" outlineLevel="2" thickBot="1">
      <c r="A219" s="121"/>
      <c r="B219" s="88"/>
      <c r="C219" s="122"/>
      <c r="D219" s="123"/>
      <c r="E219" s="123"/>
      <c r="F219" s="123"/>
      <c r="H219" s="104"/>
      <c r="I219" s="104"/>
    </row>
    <row r="220" spans="1:9" s="113" customFormat="1" ht="13.5" hidden="1" outlineLevel="1" thickBot="1">
      <c r="A220" s="121"/>
      <c r="B220" s="88"/>
      <c r="C220" s="124" t="s">
        <v>1360</v>
      </c>
      <c r="D220" s="112">
        <f>SUBTOTAL(9,D212:D219)</f>
        <v>0</v>
      </c>
      <c r="E220" s="112">
        <f>SUBTOTAL(9,E212:E217)</f>
        <v>0</v>
      </c>
      <c r="F220" s="112">
        <f>SUBTOTAL(9,F212:F217)</f>
        <v>0</v>
      </c>
    </row>
    <row r="221" spans="1:9" s="113" customFormat="1" ht="13.5" hidden="1" outlineLevel="1" thickBot="1">
      <c r="A221" s="165" t="s">
        <v>154</v>
      </c>
      <c r="B221" s="125"/>
      <c r="C221" s="148"/>
      <c r="D221" s="120"/>
      <c r="E221" s="270">
        <v>0</v>
      </c>
      <c r="F221" s="270">
        <f>1-E221</f>
        <v>1</v>
      </c>
    </row>
    <row r="222" spans="1:9" ht="13.5" hidden="1" outlineLevel="2" thickBot="1">
      <c r="A222" s="121" t="s">
        <v>103</v>
      </c>
      <c r="B222" s="88" t="s">
        <v>155</v>
      </c>
      <c r="C222" s="122"/>
      <c r="D222" s="123">
        <v>0</v>
      </c>
      <c r="E222" s="123">
        <f>D222</f>
        <v>0</v>
      </c>
      <c r="F222" s="123">
        <f>D222-E222</f>
        <v>0</v>
      </c>
      <c r="H222" s="104"/>
      <c r="I222" s="104"/>
    </row>
    <row r="223" spans="1:9" ht="13.5" hidden="1" outlineLevel="2" thickBot="1">
      <c r="A223" s="121" t="s">
        <v>104</v>
      </c>
      <c r="B223" s="88" t="s">
        <v>156</v>
      </c>
      <c r="C223" s="122"/>
      <c r="D223" s="123">
        <v>0</v>
      </c>
      <c r="E223" s="123">
        <f>D223</f>
        <v>0</v>
      </c>
      <c r="F223" s="123">
        <f>D223-E223</f>
        <v>0</v>
      </c>
      <c r="H223" s="104"/>
      <c r="I223" s="104"/>
    </row>
    <row r="224" spans="1:9" ht="13.5" hidden="1" outlineLevel="2" thickBot="1">
      <c r="A224" s="121" t="s">
        <v>62</v>
      </c>
      <c r="B224" s="88"/>
      <c r="C224" s="122"/>
      <c r="D224" s="123"/>
      <c r="E224" s="123">
        <f>D224</f>
        <v>0</v>
      </c>
      <c r="F224" s="123">
        <f>D224-E224</f>
        <v>0</v>
      </c>
      <c r="H224" s="104"/>
      <c r="I224" s="104"/>
    </row>
    <row r="225" spans="1:9" ht="13.5" hidden="1" outlineLevel="2" thickBot="1">
      <c r="A225" s="121" t="s">
        <v>119</v>
      </c>
      <c r="B225" s="88"/>
      <c r="C225" s="122"/>
      <c r="D225" s="123"/>
      <c r="E225" s="123">
        <f>D225</f>
        <v>0</v>
      </c>
      <c r="F225" s="123">
        <f>D225-E225</f>
        <v>0</v>
      </c>
      <c r="H225" s="104"/>
      <c r="I225" s="104"/>
    </row>
    <row r="226" spans="1:9" ht="13.5" hidden="1" outlineLevel="2" thickBot="1">
      <c r="A226" s="121" t="s">
        <v>100</v>
      </c>
      <c r="B226" s="88"/>
      <c r="C226" s="122"/>
      <c r="D226" s="123"/>
      <c r="E226" s="123">
        <f>D226</f>
        <v>0</v>
      </c>
      <c r="F226" s="123">
        <f>D226-E226</f>
        <v>0</v>
      </c>
      <c r="H226" s="104"/>
      <c r="I226" s="104"/>
    </row>
    <row r="227" spans="1:9" ht="13.5" hidden="1" outlineLevel="2" thickBot="1">
      <c r="A227" s="121" t="s">
        <v>1507</v>
      </c>
      <c r="B227" s="220" t="s">
        <v>157</v>
      </c>
      <c r="C227" s="122"/>
      <c r="D227" s="123"/>
      <c r="E227" s="123"/>
      <c r="F227" s="123"/>
      <c r="H227" s="104"/>
      <c r="I227" s="104"/>
    </row>
    <row r="228" spans="1:9" ht="13.5" hidden="1" outlineLevel="2" thickBot="1">
      <c r="A228" s="121" t="s">
        <v>175</v>
      </c>
      <c r="B228" s="88"/>
      <c r="C228" s="122"/>
      <c r="D228" s="123"/>
      <c r="E228" s="123"/>
      <c r="F228" s="123"/>
      <c r="H228" s="104"/>
      <c r="I228" s="104"/>
    </row>
    <row r="229" spans="1:9" ht="13.5" hidden="1" outlineLevel="2" thickBot="1">
      <c r="A229" s="121"/>
      <c r="B229" s="88"/>
      <c r="C229" s="122"/>
      <c r="D229" s="123"/>
      <c r="E229" s="123"/>
      <c r="F229" s="123"/>
      <c r="H229" s="104"/>
      <c r="I229" s="104"/>
    </row>
    <row r="230" spans="1:9" s="113" customFormat="1" ht="13.5" hidden="1" outlineLevel="1" thickBot="1">
      <c r="A230" s="121"/>
      <c r="B230" s="88"/>
      <c r="C230" s="124" t="s">
        <v>1360</v>
      </c>
      <c r="D230" s="112">
        <f>SUBTOTAL(9,D222:D229)</f>
        <v>0</v>
      </c>
      <c r="E230" s="112">
        <f>SUBTOTAL(9,E222:E229)</f>
        <v>0</v>
      </c>
      <c r="F230" s="112">
        <f>SUBTOTAL(9,F222:F229)</f>
        <v>0</v>
      </c>
    </row>
    <row r="231" spans="1:9" s="113" customFormat="1" ht="13.5" outlineLevel="1" thickBot="1">
      <c r="A231" s="165" t="s">
        <v>158</v>
      </c>
      <c r="B231" s="125"/>
      <c r="C231" s="148"/>
      <c r="D231" s="120"/>
      <c r="E231" s="270">
        <f>E249/D249</f>
        <v>0.69505494505494503</v>
      </c>
      <c r="F231" s="270">
        <f>1-E231</f>
        <v>0.30494505494505497</v>
      </c>
    </row>
    <row r="232" spans="1:9" ht="13.5" outlineLevel="2" thickBot="1">
      <c r="A232" s="499" t="s">
        <v>1279</v>
      </c>
      <c r="B232" s="582" t="s">
        <v>1280</v>
      </c>
      <c r="C232" s="122"/>
      <c r="D232" s="254">
        <v>7000</v>
      </c>
      <c r="E232" s="123">
        <f>D232*0.5</f>
        <v>3500</v>
      </c>
      <c r="F232" s="123">
        <f>D232-E232</f>
        <v>3500</v>
      </c>
      <c r="H232" s="104"/>
      <c r="I232" s="104"/>
    </row>
    <row r="233" spans="1:9" ht="13.5" outlineLevel="2" thickBot="1">
      <c r="A233" s="499" t="s">
        <v>1281</v>
      </c>
      <c r="B233" s="582"/>
      <c r="C233" s="122"/>
      <c r="D233" s="254"/>
      <c r="E233" s="123">
        <f t="shared" ref="E233:E247" si="25">D233*0.75</f>
        <v>0</v>
      </c>
      <c r="F233" s="123">
        <f t="shared" ref="F233:F247" si="26">D233-E233</f>
        <v>0</v>
      </c>
      <c r="H233" s="104"/>
      <c r="I233" s="104"/>
    </row>
    <row r="234" spans="1:9" ht="13.5" outlineLevel="2" thickBot="1">
      <c r="A234" s="499" t="s">
        <v>1282</v>
      </c>
      <c r="B234" s="500"/>
      <c r="C234" s="122"/>
      <c r="D234" s="254">
        <f>600*12</f>
        <v>7200</v>
      </c>
      <c r="E234" s="123">
        <f t="shared" si="25"/>
        <v>5400</v>
      </c>
      <c r="F234" s="123">
        <f t="shared" si="26"/>
        <v>1800</v>
      </c>
      <c r="H234" s="104"/>
      <c r="I234" s="104"/>
    </row>
    <row r="235" spans="1:9" ht="13.5" outlineLevel="2" thickBot="1">
      <c r="A235" s="499" t="s">
        <v>1283</v>
      </c>
      <c r="B235" s="500" t="s">
        <v>1284</v>
      </c>
      <c r="C235" s="122"/>
      <c r="D235" s="254">
        <f>450*12</f>
        <v>5400</v>
      </c>
      <c r="E235" s="123">
        <f t="shared" si="25"/>
        <v>4050</v>
      </c>
      <c r="F235" s="123">
        <f t="shared" si="26"/>
        <v>1350</v>
      </c>
      <c r="H235" s="104"/>
      <c r="I235" s="104"/>
    </row>
    <row r="236" spans="1:9" ht="13.5" outlineLevel="2" thickBot="1">
      <c r="A236" s="499" t="s">
        <v>1285</v>
      </c>
      <c r="B236" s="500"/>
      <c r="C236" s="122"/>
      <c r="D236" s="254">
        <v>2000</v>
      </c>
      <c r="E236" s="123">
        <f t="shared" si="25"/>
        <v>1500</v>
      </c>
      <c r="F236" s="123">
        <f t="shared" si="26"/>
        <v>500</v>
      </c>
      <c r="H236" s="104"/>
      <c r="I236" s="104"/>
    </row>
    <row r="237" spans="1:9" ht="13.5" outlineLevel="2" thickBot="1">
      <c r="A237" s="499" t="s">
        <v>1286</v>
      </c>
      <c r="B237" s="500" t="s">
        <v>1026</v>
      </c>
      <c r="C237" s="122"/>
      <c r="D237" s="254"/>
      <c r="E237" s="123">
        <f t="shared" si="25"/>
        <v>0</v>
      </c>
      <c r="F237" s="123">
        <f t="shared" si="26"/>
        <v>0</v>
      </c>
      <c r="H237" s="104"/>
      <c r="I237" s="104"/>
    </row>
    <row r="238" spans="1:9" ht="13.5" outlineLevel="2" thickBot="1">
      <c r="A238" s="499" t="s">
        <v>1287</v>
      </c>
      <c r="B238" s="500" t="s">
        <v>1288</v>
      </c>
      <c r="C238" s="122"/>
      <c r="D238" s="254">
        <v>500</v>
      </c>
      <c r="E238" s="123">
        <f t="shared" si="25"/>
        <v>375</v>
      </c>
      <c r="F238" s="123">
        <f t="shared" si="26"/>
        <v>125</v>
      </c>
      <c r="H238" s="104"/>
      <c r="I238" s="104"/>
    </row>
    <row r="239" spans="1:9" ht="13.5" outlineLevel="2" thickBot="1">
      <c r="A239" s="499" t="s">
        <v>1289</v>
      </c>
      <c r="B239" s="500" t="s">
        <v>1290</v>
      </c>
      <c r="C239" s="122"/>
      <c r="D239" s="254">
        <v>250</v>
      </c>
      <c r="E239" s="123">
        <f t="shared" si="25"/>
        <v>187.5</v>
      </c>
      <c r="F239" s="123">
        <f t="shared" si="26"/>
        <v>62.5</v>
      </c>
      <c r="H239" s="104"/>
      <c r="I239" s="104"/>
    </row>
    <row r="240" spans="1:9" ht="13.5" outlineLevel="2" thickBot="1">
      <c r="A240" s="499" t="s">
        <v>985</v>
      </c>
      <c r="B240" s="500" t="s">
        <v>1288</v>
      </c>
      <c r="C240" s="122"/>
      <c r="D240" s="254">
        <v>500</v>
      </c>
      <c r="E240" s="123">
        <f t="shared" si="25"/>
        <v>375</v>
      </c>
      <c r="F240" s="123">
        <f t="shared" si="26"/>
        <v>125</v>
      </c>
      <c r="H240" s="104"/>
      <c r="I240" s="104"/>
    </row>
    <row r="241" spans="1:9" ht="13.5" outlineLevel="2" thickBot="1">
      <c r="A241" s="499" t="s">
        <v>1291</v>
      </c>
      <c r="B241" s="500"/>
      <c r="C241" s="122"/>
      <c r="D241" s="254"/>
      <c r="E241" s="123">
        <f t="shared" si="25"/>
        <v>0</v>
      </c>
      <c r="F241" s="123">
        <f t="shared" si="26"/>
        <v>0</v>
      </c>
      <c r="H241" s="104"/>
      <c r="I241" s="104"/>
    </row>
    <row r="242" spans="1:9" ht="13.5" outlineLevel="2" thickBot="1">
      <c r="A242" s="499" t="s">
        <v>1292</v>
      </c>
      <c r="B242" s="500" t="s">
        <v>1229</v>
      </c>
      <c r="C242" s="122"/>
      <c r="D242" s="254">
        <v>4000</v>
      </c>
      <c r="E242" s="123">
        <f t="shared" si="25"/>
        <v>3000</v>
      </c>
      <c r="F242" s="123">
        <f t="shared" si="26"/>
        <v>1000</v>
      </c>
      <c r="H242" s="104"/>
      <c r="I242" s="104"/>
    </row>
    <row r="243" spans="1:9" ht="13.5" outlineLevel="2" thickBot="1">
      <c r="A243" s="499" t="s">
        <v>1293</v>
      </c>
      <c r="B243" s="581" t="s">
        <v>1294</v>
      </c>
      <c r="C243" s="122"/>
      <c r="D243" s="254">
        <v>5000</v>
      </c>
      <c r="E243" s="123">
        <f t="shared" si="25"/>
        <v>3750</v>
      </c>
      <c r="F243" s="123">
        <f t="shared" si="26"/>
        <v>1250</v>
      </c>
      <c r="H243" s="104"/>
      <c r="I243" s="104"/>
    </row>
    <row r="244" spans="1:9" ht="13.5" hidden="1" outlineLevel="2" thickBot="1">
      <c r="A244" s="121"/>
      <c r="B244" s="88"/>
      <c r="C244" s="122"/>
      <c r="D244" s="123"/>
      <c r="E244" s="123">
        <f t="shared" si="25"/>
        <v>0</v>
      </c>
      <c r="F244" s="123">
        <f t="shared" si="26"/>
        <v>0</v>
      </c>
      <c r="H244" s="104"/>
      <c r="I244" s="104"/>
    </row>
    <row r="245" spans="1:9" ht="13.5" hidden="1" outlineLevel="2" thickBot="1">
      <c r="A245" s="121"/>
      <c r="B245" s="88"/>
      <c r="C245" s="122"/>
      <c r="D245" s="123"/>
      <c r="E245" s="123">
        <f t="shared" si="25"/>
        <v>0</v>
      </c>
      <c r="F245" s="123">
        <f t="shared" si="26"/>
        <v>0</v>
      </c>
      <c r="H245" s="104"/>
      <c r="I245" s="104"/>
    </row>
    <row r="246" spans="1:9" ht="13.5" hidden="1" outlineLevel="2" thickBot="1">
      <c r="A246" s="121"/>
      <c r="B246" s="88"/>
      <c r="C246" s="122"/>
      <c r="D246" s="123"/>
      <c r="E246" s="123">
        <f t="shared" si="25"/>
        <v>0</v>
      </c>
      <c r="F246" s="123">
        <f t="shared" si="26"/>
        <v>0</v>
      </c>
      <c r="H246" s="104"/>
      <c r="I246" s="104"/>
    </row>
    <row r="247" spans="1:9" ht="13.5" hidden="1" outlineLevel="2" thickBot="1">
      <c r="A247" s="121"/>
      <c r="B247" s="88"/>
      <c r="C247" s="122"/>
      <c r="D247" s="123"/>
      <c r="E247" s="123">
        <f t="shared" si="25"/>
        <v>0</v>
      </c>
      <c r="F247" s="123">
        <f t="shared" si="26"/>
        <v>0</v>
      </c>
      <c r="H247" s="104"/>
      <c r="I247" s="104"/>
    </row>
    <row r="248" spans="1:9" ht="13.5" outlineLevel="2" thickBot="1">
      <c r="A248" s="121"/>
      <c r="B248" s="88"/>
      <c r="C248" s="122"/>
      <c r="D248" s="123"/>
      <c r="E248" s="123"/>
      <c r="F248" s="123"/>
      <c r="H248" s="104"/>
      <c r="I248" s="104"/>
    </row>
    <row r="249" spans="1:9" s="113" customFormat="1" ht="13.5" outlineLevel="1" thickBot="1">
      <c r="A249" s="121" t="s">
        <v>1226</v>
      </c>
      <c r="B249" s="88"/>
      <c r="C249" s="124" t="s">
        <v>1360</v>
      </c>
      <c r="D249" s="112">
        <f>SUBTOTAL(9,D232:D248)</f>
        <v>31850</v>
      </c>
      <c r="E249" s="112">
        <f>SUBTOTAL(9,E232:E248)</f>
        <v>22137.5</v>
      </c>
      <c r="F249" s="112">
        <f>SUBTOTAL(9,F232:F248)</f>
        <v>9712.5</v>
      </c>
    </row>
    <row r="250" spans="1:9" s="113" customFormat="1" ht="13.5" outlineLevel="1" thickBot="1">
      <c r="A250" s="165" t="s">
        <v>986</v>
      </c>
      <c r="B250" s="125"/>
      <c r="C250" s="148"/>
      <c r="D250" s="120"/>
      <c r="E250" s="270">
        <f>E258/D258</f>
        <v>0</v>
      </c>
      <c r="F250" s="270">
        <f>1-E250</f>
        <v>1</v>
      </c>
    </row>
    <row r="251" spans="1:9" ht="13.5" outlineLevel="2" thickBot="1">
      <c r="A251" s="121" t="s">
        <v>599</v>
      </c>
      <c r="B251" s="88" t="s">
        <v>987</v>
      </c>
      <c r="C251" s="122" t="s">
        <v>988</v>
      </c>
      <c r="D251" s="123">
        <f>'O&amp;M_Estimate'!D63</f>
        <v>160000</v>
      </c>
      <c r="E251" s="123">
        <v>0</v>
      </c>
      <c r="F251" s="123">
        <f>D251-E251</f>
        <v>160000</v>
      </c>
      <c r="H251" s="104"/>
      <c r="I251" s="104"/>
    </row>
    <row r="252" spans="1:9" ht="13.5" outlineLevel="2" thickBot="1">
      <c r="A252" s="121"/>
      <c r="B252" s="88" t="s">
        <v>989</v>
      </c>
      <c r="C252" s="122" t="s">
        <v>990</v>
      </c>
      <c r="D252" s="123"/>
      <c r="E252" s="123"/>
      <c r="F252" s="123"/>
      <c r="H252" s="104"/>
      <c r="I252" s="104"/>
    </row>
    <row r="253" spans="1:9" ht="13.5" outlineLevel="2" thickBot="1">
      <c r="A253" s="121" t="s">
        <v>991</v>
      </c>
      <c r="B253" s="88" t="s">
        <v>992</v>
      </c>
      <c r="C253" s="122" t="s">
        <v>993</v>
      </c>
      <c r="D253" s="123"/>
      <c r="E253" s="123"/>
      <c r="F253" s="123"/>
      <c r="H253" s="104"/>
      <c r="I253" s="104"/>
    </row>
    <row r="254" spans="1:9" ht="13.5" outlineLevel="2" thickBot="1">
      <c r="A254" s="121" t="s">
        <v>994</v>
      </c>
      <c r="B254" s="88" t="s">
        <v>995</v>
      </c>
      <c r="C254" s="122" t="s">
        <v>996</v>
      </c>
      <c r="D254" s="123"/>
      <c r="E254" s="123"/>
      <c r="F254" s="123"/>
      <c r="H254" s="104"/>
      <c r="I254" s="104"/>
    </row>
    <row r="255" spans="1:9" ht="13.5" outlineLevel="2" thickBot="1">
      <c r="A255" s="121" t="s">
        <v>143</v>
      </c>
      <c r="B255" s="88" t="s">
        <v>997</v>
      </c>
      <c r="C255" s="122" t="s">
        <v>998</v>
      </c>
      <c r="D255" s="123"/>
      <c r="E255" s="123"/>
      <c r="F255" s="123"/>
      <c r="H255" s="104"/>
      <c r="I255" s="104"/>
    </row>
    <row r="256" spans="1:9" ht="13.5" outlineLevel="2" thickBot="1">
      <c r="A256" s="121"/>
      <c r="B256" s="88" t="s">
        <v>999</v>
      </c>
      <c r="C256" s="122" t="s">
        <v>1000</v>
      </c>
      <c r="D256" s="123"/>
      <c r="E256" s="123"/>
      <c r="F256" s="123"/>
      <c r="H256" s="104"/>
      <c r="I256" s="104"/>
    </row>
    <row r="257" spans="1:9" ht="13.5" outlineLevel="2" thickBot="1">
      <c r="A257" s="121"/>
      <c r="B257" s="88" t="s">
        <v>1001</v>
      </c>
      <c r="C257" s="122" t="s">
        <v>1002</v>
      </c>
      <c r="D257" s="123"/>
      <c r="E257" s="123"/>
      <c r="F257" s="123"/>
      <c r="H257" s="104"/>
      <c r="I257" s="104"/>
    </row>
    <row r="258" spans="1:9" s="113" customFormat="1" ht="13.5" outlineLevel="1" thickBot="1">
      <c r="A258" s="121"/>
      <c r="B258" s="88"/>
      <c r="C258" s="124" t="s">
        <v>1360</v>
      </c>
      <c r="D258" s="112">
        <f>SUBTOTAL(9,D251:D253)</f>
        <v>160000</v>
      </c>
      <c r="E258" s="112">
        <f>SUBTOTAL(9,E251:E251)</f>
        <v>0</v>
      </c>
      <c r="F258" s="112">
        <f>SUBTOTAL(9,F251:F251)</f>
        <v>160000</v>
      </c>
    </row>
    <row r="259" spans="1:9" s="113" customFormat="1" ht="13.5" outlineLevel="1" thickBot="1">
      <c r="A259" s="117" t="s">
        <v>679</v>
      </c>
      <c r="B259" s="118"/>
      <c r="C259" s="119"/>
      <c r="D259" s="120"/>
      <c r="E259" s="270">
        <f>E264/D264</f>
        <v>0</v>
      </c>
      <c r="F259" s="270">
        <f>1-E259</f>
        <v>1</v>
      </c>
    </row>
    <row r="260" spans="1:9" ht="13.5" outlineLevel="2" thickBot="1">
      <c r="A260" s="83" t="s">
        <v>599</v>
      </c>
      <c r="B260" s="23" t="s">
        <v>602</v>
      </c>
      <c r="C260" s="296">
        <v>0.1</v>
      </c>
      <c r="D260" s="297"/>
      <c r="E260" s="123">
        <v>0</v>
      </c>
      <c r="F260" s="123">
        <f>D260-E260</f>
        <v>0</v>
      </c>
      <c r="H260" s="104"/>
      <c r="I260" s="104"/>
    </row>
    <row r="261" spans="1:9" ht="13.5" outlineLevel="2" thickBot="1">
      <c r="A261" s="83" t="s">
        <v>603</v>
      </c>
      <c r="B261" s="23" t="s">
        <v>604</v>
      </c>
      <c r="C261" s="296">
        <v>0.15</v>
      </c>
      <c r="D261" s="297">
        <f>C261</f>
        <v>0.15</v>
      </c>
      <c r="E261" s="123"/>
      <c r="F261" s="123"/>
      <c r="H261" s="104"/>
      <c r="I261" s="104"/>
    </row>
    <row r="262" spans="1:9" ht="13.5" outlineLevel="2" thickBot="1">
      <c r="A262" s="83" t="s">
        <v>605</v>
      </c>
      <c r="B262" s="23" t="s">
        <v>606</v>
      </c>
      <c r="C262" s="296">
        <v>0.2</v>
      </c>
      <c r="D262" s="297"/>
      <c r="E262" s="123"/>
      <c r="F262" s="123"/>
      <c r="H262" s="104"/>
      <c r="I262" s="104"/>
    </row>
    <row r="263" spans="1:9" ht="13.5" outlineLevel="2" thickBot="1">
      <c r="A263" s="83"/>
      <c r="B263" s="23"/>
      <c r="C263" s="65"/>
      <c r="D263" s="19"/>
      <c r="E263" s="123"/>
      <c r="F263" s="123"/>
      <c r="H263" s="104"/>
      <c r="I263" s="104"/>
    </row>
    <row r="264" spans="1:9" s="113" customFormat="1" ht="13.5" outlineLevel="1" thickBot="1">
      <c r="A264" s="83" t="s">
        <v>607</v>
      </c>
      <c r="B264" s="23"/>
      <c r="C264" s="85" t="s">
        <v>1360</v>
      </c>
      <c r="D264" s="298">
        <f>SUBTOTAL(9,D260:D263)</f>
        <v>0.15</v>
      </c>
      <c r="E264" s="112">
        <f>SUBTOTAL(9,E260:E263)</f>
        <v>0</v>
      </c>
      <c r="F264" s="112">
        <f>SUBTOTAL(9,F260:F263)</f>
        <v>0</v>
      </c>
    </row>
    <row r="265" spans="1:9" s="113" customFormat="1" ht="13.5" outlineLevel="1" thickBot="1">
      <c r="A265" s="165" t="s">
        <v>1003</v>
      </c>
      <c r="B265" s="125"/>
      <c r="C265" s="148"/>
      <c r="D265" s="120"/>
      <c r="E265" s="270">
        <f>E272/D272</f>
        <v>0.20000000000000004</v>
      </c>
      <c r="F265" s="270">
        <f>1-E265</f>
        <v>0.79999999999999993</v>
      </c>
    </row>
    <row r="266" spans="1:9" ht="13.5" outlineLevel="2" thickBot="1">
      <c r="A266" s="121" t="s">
        <v>1004</v>
      </c>
      <c r="B266" s="88"/>
      <c r="C266" s="122"/>
      <c r="D266" s="123">
        <f>GE7EA!$W$36*1000*6</f>
        <v>11090544</v>
      </c>
      <c r="E266" s="123">
        <f>0.2*D266</f>
        <v>2218108.8000000003</v>
      </c>
      <c r="F266" s="123">
        <f>D266-E266</f>
        <v>8872435.1999999993</v>
      </c>
      <c r="H266" s="104"/>
      <c r="I266" s="104"/>
    </row>
    <row r="267" spans="1:9" ht="13.5" hidden="1" outlineLevel="2" thickBot="1">
      <c r="A267" s="121"/>
      <c r="B267" s="88"/>
      <c r="C267" s="122"/>
      <c r="D267" s="123"/>
      <c r="E267" s="123">
        <f>0.05*D267</f>
        <v>0</v>
      </c>
      <c r="F267" s="123">
        <f>D267-E267</f>
        <v>0</v>
      </c>
      <c r="H267" s="104"/>
      <c r="I267" s="104"/>
    </row>
    <row r="268" spans="1:9" ht="13.5" hidden="1" outlineLevel="2" thickBot="1">
      <c r="A268" s="121"/>
      <c r="B268" s="88"/>
      <c r="C268" s="122"/>
      <c r="D268" s="123"/>
      <c r="E268" s="123">
        <f>0.05*D268</f>
        <v>0</v>
      </c>
      <c r="F268" s="123">
        <f>D268-E268</f>
        <v>0</v>
      </c>
      <c r="H268" s="104"/>
      <c r="I268" s="104"/>
    </row>
    <row r="269" spans="1:9" ht="13.5" hidden="1" outlineLevel="2" thickBot="1">
      <c r="A269" s="121"/>
      <c r="B269" s="88"/>
      <c r="C269" s="122"/>
      <c r="D269" s="123"/>
      <c r="E269" s="123"/>
      <c r="F269" s="123"/>
      <c r="H269" s="104"/>
      <c r="I269" s="104"/>
    </row>
    <row r="270" spans="1:9" ht="13.5" hidden="1" outlineLevel="2" thickBot="1">
      <c r="A270" s="121"/>
      <c r="B270" s="88"/>
      <c r="C270" s="122"/>
      <c r="D270" s="123"/>
      <c r="E270" s="123"/>
      <c r="F270" s="123"/>
      <c r="H270" s="104"/>
      <c r="I270" s="104"/>
    </row>
    <row r="271" spans="1:9" ht="13.5" outlineLevel="2" thickBot="1">
      <c r="A271" s="121"/>
      <c r="B271" s="88"/>
      <c r="C271" s="122"/>
      <c r="D271" s="123"/>
      <c r="E271" s="123"/>
      <c r="F271" s="123"/>
      <c r="H271" s="104"/>
      <c r="I271" s="104"/>
    </row>
    <row r="272" spans="1:9" s="113" customFormat="1" ht="13.5" outlineLevel="1" thickBot="1">
      <c r="A272" s="121"/>
      <c r="B272" s="88"/>
      <c r="C272" s="124" t="s">
        <v>1360</v>
      </c>
      <c r="D272" s="112">
        <f>SUBTOTAL(9,D266:D271)</f>
        <v>11090544</v>
      </c>
      <c r="E272" s="112">
        <f>SUBTOTAL(9,E266:E271)</f>
        <v>2218108.8000000003</v>
      </c>
      <c r="F272" s="112">
        <f>SUBTOTAL(9,F266:F271)</f>
        <v>8872435.1999999993</v>
      </c>
    </row>
    <row r="273" spans="1:9" s="113" customFormat="1" ht="13.5" hidden="1" outlineLevel="1" thickBot="1">
      <c r="A273" s="165" t="s">
        <v>690</v>
      </c>
      <c r="B273" s="125"/>
      <c r="C273" s="148"/>
      <c r="D273" s="120"/>
      <c r="E273" s="270" t="e">
        <f>E276/D276</f>
        <v>#DIV/0!</v>
      </c>
      <c r="F273" s="270" t="e">
        <f>1-E273</f>
        <v>#DIV/0!</v>
      </c>
    </row>
    <row r="274" spans="1:9" ht="13.5" hidden="1" outlineLevel="2" thickBot="1">
      <c r="A274" s="121" t="s">
        <v>1005</v>
      </c>
      <c r="B274" s="88"/>
      <c r="C274" s="122"/>
      <c r="D274" s="123"/>
      <c r="E274" s="123">
        <f>D274</f>
        <v>0</v>
      </c>
      <c r="F274" s="123">
        <f>D274-E274</f>
        <v>0</v>
      </c>
      <c r="H274" s="104"/>
      <c r="I274" s="104"/>
    </row>
    <row r="275" spans="1:9" ht="13.5" hidden="1" outlineLevel="2" thickBot="1">
      <c r="A275" s="121"/>
      <c r="B275" s="88"/>
      <c r="C275" s="122"/>
      <c r="D275" s="123"/>
      <c r="E275" s="123"/>
      <c r="F275" s="123"/>
      <c r="H275" s="104"/>
      <c r="I275" s="104"/>
    </row>
    <row r="276" spans="1:9" s="113" customFormat="1" ht="13.5" hidden="1" outlineLevel="1" thickBot="1">
      <c r="A276" s="121" t="s">
        <v>60</v>
      </c>
      <c r="B276" s="88"/>
      <c r="C276" s="124" t="s">
        <v>1360</v>
      </c>
      <c r="D276" s="112">
        <f>SUBTOTAL(9,D274:D274)</f>
        <v>0</v>
      </c>
      <c r="E276" s="112">
        <f>SUBTOTAL(9,E274:E274)</f>
        <v>0</v>
      </c>
      <c r="F276" s="112">
        <f>SUBTOTAL(9,F274:F274)</f>
        <v>0</v>
      </c>
    </row>
    <row r="277" spans="1:9" s="113" customFormat="1" ht="13.5" outlineLevel="1" thickBot="1">
      <c r="A277" s="165" t="s">
        <v>32</v>
      </c>
      <c r="B277" s="125"/>
      <c r="C277" s="148"/>
      <c r="D277" s="120"/>
      <c r="E277" s="270">
        <f>E281/D281</f>
        <v>0.75</v>
      </c>
      <c r="F277" s="270">
        <f>1-E277</f>
        <v>0.25</v>
      </c>
    </row>
    <row r="278" spans="1:9" ht="13.5" outlineLevel="2" thickBot="1">
      <c r="A278" s="121"/>
      <c r="B278" s="88" t="s">
        <v>1006</v>
      </c>
      <c r="C278" s="171"/>
      <c r="D278" s="123">
        <f>0.1*Mob_Estimate!D36</f>
        <v>25552.080000000002</v>
      </c>
      <c r="E278" s="123">
        <f>0.75*D278</f>
        <v>19164.060000000001</v>
      </c>
      <c r="F278" s="123">
        <f>D278-E278</f>
        <v>6388.02</v>
      </c>
      <c r="H278" s="104"/>
      <c r="I278" s="104"/>
    </row>
    <row r="279" spans="1:9" ht="13.5" outlineLevel="2" thickBot="1">
      <c r="A279" s="88"/>
      <c r="B279" s="88"/>
      <c r="C279" s="122"/>
      <c r="D279" s="123"/>
      <c r="E279" s="123">
        <f>D279</f>
        <v>0</v>
      </c>
      <c r="F279" s="123">
        <f>D279-E279</f>
        <v>0</v>
      </c>
      <c r="H279" s="104"/>
      <c r="I279" s="104"/>
    </row>
    <row r="280" spans="1:9" ht="13.5" outlineLevel="2" thickBot="1">
      <c r="A280" s="121"/>
      <c r="B280" s="88"/>
      <c r="C280" s="122"/>
      <c r="D280" s="123"/>
      <c r="E280" s="123"/>
      <c r="F280" s="123"/>
      <c r="H280" s="104"/>
      <c r="I280" s="104"/>
    </row>
    <row r="281" spans="1:9" s="113" customFormat="1" ht="13.5" outlineLevel="1" thickBot="1">
      <c r="A281" s="88" t="s">
        <v>607</v>
      </c>
      <c r="C281" s="174" t="s">
        <v>1360</v>
      </c>
      <c r="D281" s="112">
        <f>SUBTOTAL(9,D278:D280)</f>
        <v>25552.080000000002</v>
      </c>
      <c r="E281" s="112">
        <f>SUBTOTAL(9,E278:E280)</f>
        <v>19164.060000000001</v>
      </c>
      <c r="F281" s="112">
        <f>SUBTOTAL(9,F278:F280)</f>
        <v>6388.02</v>
      </c>
    </row>
    <row r="282" spans="1:9" ht="13.5" hidden="1" thickBot="1">
      <c r="A282" s="165" t="s">
        <v>1007</v>
      </c>
      <c r="B282" s="125"/>
      <c r="C282" s="148"/>
      <c r="D282" s="120"/>
      <c r="E282" s="270" t="e">
        <f>E295/D295</f>
        <v>#DIV/0!</v>
      </c>
      <c r="F282" s="270" t="e">
        <f>1-E282</f>
        <v>#DIV/0!</v>
      </c>
      <c r="H282" s="104"/>
      <c r="I282" s="104"/>
    </row>
    <row r="283" spans="1:9" ht="13.5" hidden="1" thickBot="1">
      <c r="A283" s="121" t="s">
        <v>1008</v>
      </c>
      <c r="B283" s="88"/>
      <c r="C283" s="122"/>
      <c r="D283" s="123"/>
      <c r="E283" s="123"/>
      <c r="F283" s="123"/>
      <c r="H283" s="104"/>
      <c r="I283" s="104"/>
    </row>
    <row r="284" spans="1:9" ht="13.5" hidden="1" thickBot="1">
      <c r="A284" s="121" t="s">
        <v>1009</v>
      </c>
      <c r="B284" s="88"/>
      <c r="C284" s="122"/>
      <c r="D284" s="123"/>
      <c r="E284" s="123">
        <f>D284</f>
        <v>0</v>
      </c>
      <c r="F284" s="123">
        <f t="shared" ref="F284:F292" si="27">D284-E284</f>
        <v>0</v>
      </c>
      <c r="H284" s="104"/>
      <c r="I284" s="104"/>
    </row>
    <row r="285" spans="1:9" ht="13.5" hidden="1" thickBot="1">
      <c r="A285" s="121" t="s">
        <v>1010</v>
      </c>
      <c r="B285" s="88"/>
      <c r="C285" s="122"/>
      <c r="D285" s="123"/>
      <c r="E285" s="123"/>
      <c r="F285" s="123">
        <f t="shared" si="27"/>
        <v>0</v>
      </c>
    </row>
    <row r="286" spans="1:9" ht="13.5" hidden="1" thickBot="1">
      <c r="A286" s="121" t="s">
        <v>1011</v>
      </c>
      <c r="B286" s="88"/>
      <c r="C286" s="122"/>
      <c r="D286" s="123"/>
      <c r="E286" s="123">
        <f>D286</f>
        <v>0</v>
      </c>
      <c r="F286" s="123">
        <f t="shared" si="27"/>
        <v>0</v>
      </c>
    </row>
    <row r="287" spans="1:9" ht="13.5" hidden="1" thickBot="1">
      <c r="A287" s="121" t="s">
        <v>1012</v>
      </c>
      <c r="B287" s="88"/>
      <c r="C287" s="122"/>
      <c r="D287" s="123"/>
      <c r="E287" s="123"/>
      <c r="F287" s="123">
        <f t="shared" si="27"/>
        <v>0</v>
      </c>
    </row>
    <row r="288" spans="1:9" ht="13.5" hidden="1" thickBot="1">
      <c r="A288" s="121" t="s">
        <v>1013</v>
      </c>
      <c r="B288" s="88"/>
      <c r="C288" s="122"/>
      <c r="D288" s="123"/>
      <c r="E288" s="123">
        <f>D288</f>
        <v>0</v>
      </c>
      <c r="F288" s="123">
        <f t="shared" si="27"/>
        <v>0</v>
      </c>
    </row>
    <row r="289" spans="1:6" ht="13.5" hidden="1" thickBot="1">
      <c r="A289" s="121" t="s">
        <v>1014</v>
      </c>
      <c r="B289" s="88"/>
      <c r="C289" s="122"/>
      <c r="D289" s="123"/>
      <c r="E289" s="123"/>
      <c r="F289" s="123">
        <f t="shared" si="27"/>
        <v>0</v>
      </c>
    </row>
    <row r="290" spans="1:6" ht="13.5" hidden="1" thickBot="1">
      <c r="A290" s="121" t="s">
        <v>1015</v>
      </c>
      <c r="B290" s="88"/>
      <c r="C290" s="122"/>
      <c r="D290" s="123"/>
      <c r="E290" s="123">
        <f>D290</f>
        <v>0</v>
      </c>
      <c r="F290" s="123">
        <f t="shared" si="27"/>
        <v>0</v>
      </c>
    </row>
    <row r="291" spans="1:6" ht="13.5" hidden="1" thickBot="1">
      <c r="A291" s="121" t="s">
        <v>1016</v>
      </c>
      <c r="B291" s="88"/>
      <c r="C291" s="122"/>
      <c r="D291" s="123"/>
      <c r="E291" s="123"/>
      <c r="F291" s="123">
        <f t="shared" si="27"/>
        <v>0</v>
      </c>
    </row>
    <row r="292" spans="1:6" ht="13.5" hidden="1" thickBot="1">
      <c r="A292" s="121" t="s">
        <v>1017</v>
      </c>
      <c r="B292" s="88"/>
      <c r="C292" s="122"/>
      <c r="D292" s="123"/>
      <c r="E292" s="123">
        <f>D292</f>
        <v>0</v>
      </c>
      <c r="F292" s="123">
        <f t="shared" si="27"/>
        <v>0</v>
      </c>
    </row>
    <row r="293" spans="1:6" ht="13.5" hidden="1" thickBot="1">
      <c r="A293" s="121"/>
      <c r="B293" s="88"/>
      <c r="C293" s="171"/>
      <c r="D293" s="123"/>
      <c r="E293" s="123"/>
      <c r="F293" s="123"/>
    </row>
    <row r="294" spans="1:6" ht="13.5" hidden="1" thickBot="1">
      <c r="A294" s="252" t="s">
        <v>1018</v>
      </c>
      <c r="B294" s="88"/>
      <c r="C294" s="122"/>
      <c r="D294" s="123"/>
      <c r="E294" s="123"/>
      <c r="F294" s="123"/>
    </row>
    <row r="295" spans="1:6" ht="13.5" hidden="1" thickBot="1">
      <c r="A295" s="172" t="s">
        <v>1019</v>
      </c>
      <c r="B295" s="173"/>
      <c r="C295" s="174" t="s">
        <v>1360</v>
      </c>
      <c r="D295" s="112">
        <f>SUM(D284:D293)</f>
        <v>0</v>
      </c>
      <c r="E295" s="112">
        <f>SUM(E284:E293)</f>
        <v>0</v>
      </c>
      <c r="F295" s="112">
        <f>SUM(F284:F293)</f>
        <v>0</v>
      </c>
    </row>
    <row r="296" spans="1:6" ht="13.5" thickBot="1">
      <c r="A296" s="165"/>
      <c r="B296" s="125"/>
      <c r="C296" s="148"/>
      <c r="D296" s="120"/>
      <c r="E296" s="120"/>
      <c r="F296" s="120"/>
    </row>
    <row r="297" spans="1:6">
      <c r="D297" s="129"/>
    </row>
    <row r="298" spans="1:6">
      <c r="D298" s="128"/>
    </row>
    <row r="871" spans="1:6">
      <c r="A871" s="126"/>
    </row>
    <row r="872" spans="1:6">
      <c r="B872" s="126"/>
      <c r="C872" s="126"/>
      <c r="D872" s="126"/>
      <c r="E872" s="126"/>
      <c r="F872" s="126"/>
    </row>
  </sheetData>
  <dataConsolidate/>
  <printOptions horizontalCentered="1"/>
  <pageMargins left="0.75" right="0.75" top="1" bottom="1" header="0.5" footer="0.5"/>
  <pageSetup scale="84" firstPageNumber="26" fitToHeight="5" orientation="portrait" horizontalDpi="4294967292" verticalDpi="4294967292" r:id="rId1"/>
  <headerFooter alignWithMargins="0">
    <oddFooter>&amp;LRichard Bickings
&amp;D&amp;CPage &amp;P&amp;R&amp;F
&amp;A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E30"/>
  <sheetViews>
    <sheetView workbookViewId="0">
      <selection activeCell="F28" sqref="F28"/>
    </sheetView>
  </sheetViews>
  <sheetFormatPr defaultRowHeight="12.75"/>
  <cols>
    <col min="1" max="1" width="4.7109375" style="3" customWidth="1"/>
    <col min="2" max="2" width="39.28515625" style="3" customWidth="1"/>
    <col min="3" max="3" width="11.5703125" style="3" customWidth="1"/>
    <col min="4" max="4" width="11.140625" style="3" hidden="1" customWidth="1"/>
    <col min="5" max="5" width="9.140625" style="3"/>
    <col min="6" max="16384" width="9.140625" style="2"/>
  </cols>
  <sheetData>
    <row r="1" spans="1:5" ht="15.75">
      <c r="A1" s="33" t="str">
        <f>Scope!$A$1</f>
        <v>Rochester Public Utilities LM6000 PC Power Project</v>
      </c>
      <c r="B1" s="33"/>
      <c r="C1" s="477"/>
      <c r="D1" s="2"/>
      <c r="E1" s="2"/>
    </row>
    <row r="2" spans="1:5" ht="15.75">
      <c r="A2" s="1" t="s">
        <v>457</v>
      </c>
      <c r="B2" s="1"/>
      <c r="C2" s="477"/>
      <c r="D2" s="2"/>
      <c r="E2" s="2"/>
    </row>
    <row r="3" spans="1:5">
      <c r="A3" s="478" t="s">
        <v>1026</v>
      </c>
      <c r="B3" s="477"/>
      <c r="C3" s="477"/>
      <c r="D3" s="2"/>
      <c r="E3" s="2"/>
    </row>
    <row r="4" spans="1:5">
      <c r="A4" s="479" t="s">
        <v>908</v>
      </c>
      <c r="B4" s="480"/>
      <c r="C4" s="481" t="s">
        <v>763</v>
      </c>
      <c r="D4" s="482" t="s">
        <v>456</v>
      </c>
      <c r="E4" s="2"/>
    </row>
    <row r="5" spans="1:5">
      <c r="A5" s="2"/>
      <c r="B5" s="479" t="s">
        <v>1026</v>
      </c>
      <c r="C5" s="483"/>
      <c r="D5" s="484"/>
      <c r="E5" s="2"/>
    </row>
    <row r="6" spans="1:5">
      <c r="B6" s="3" t="s">
        <v>909</v>
      </c>
      <c r="C6" s="564">
        <f>GE7EA!$C$125*1000</f>
        <v>461760</v>
      </c>
      <c r="D6" s="496">
        <v>310000</v>
      </c>
      <c r="E6" s="2"/>
    </row>
    <row r="7" spans="1:5">
      <c r="A7" s="2"/>
      <c r="B7" t="s">
        <v>910</v>
      </c>
      <c r="C7" s="564">
        <v>168000</v>
      </c>
      <c r="D7" s="497">
        <v>160000</v>
      </c>
      <c r="E7" s="2"/>
    </row>
    <row r="8" spans="1:5">
      <c r="A8" s="2"/>
      <c r="B8" s="486" t="s">
        <v>911</v>
      </c>
      <c r="C8" s="564">
        <f>SUM(D8:D8)</f>
        <v>40000</v>
      </c>
      <c r="D8" s="497">
        <v>40000</v>
      </c>
      <c r="E8" s="2"/>
    </row>
    <row r="9" spans="1:5">
      <c r="A9" s="487"/>
      <c r="B9" s="488" t="s">
        <v>912</v>
      </c>
      <c r="C9" s="564">
        <v>205000</v>
      </c>
      <c r="D9" s="497">
        <v>180000</v>
      </c>
      <c r="E9" s="2"/>
    </row>
    <row r="10" spans="1:5">
      <c r="A10" s="2"/>
      <c r="B10" s="486" t="s">
        <v>913</v>
      </c>
      <c r="C10" s="564">
        <f>SUM(D10:D10)</f>
        <v>75000</v>
      </c>
      <c r="D10" s="497">
        <v>75000</v>
      </c>
      <c r="E10" s="2"/>
    </row>
    <row r="11" spans="1:5">
      <c r="A11" s="475"/>
      <c r="B11" s="488" t="s">
        <v>914</v>
      </c>
      <c r="C11" s="564">
        <f>SUM(D11:D11)</f>
        <v>15000</v>
      </c>
      <c r="D11" s="498">
        <v>15000</v>
      </c>
      <c r="E11" s="2"/>
    </row>
    <row r="12" spans="1:5">
      <c r="A12"/>
      <c r="B12"/>
      <c r="C12" s="485"/>
      <c r="D12" s="489"/>
      <c r="E12" s="2"/>
    </row>
    <row r="13" spans="1:5">
      <c r="A13" s="185"/>
      <c r="B13"/>
      <c r="C13" s="485"/>
      <c r="D13" s="489"/>
      <c r="E13" s="2"/>
    </row>
    <row r="14" spans="1:5">
      <c r="A14"/>
      <c r="B14" s="479"/>
      <c r="C14" s="485"/>
      <c r="D14" s="489"/>
      <c r="E14" s="2"/>
    </row>
    <row r="15" spans="1:5" ht="12.75" customHeight="1">
      <c r="B15"/>
      <c r="C15" s="490"/>
      <c r="D15" s="491"/>
    </row>
    <row r="16" spans="1:5">
      <c r="A16" s="185" t="s">
        <v>915</v>
      </c>
      <c r="B16" s="178"/>
      <c r="C16" s="492">
        <f>SUM(C6:C14)</f>
        <v>964760</v>
      </c>
      <c r="D16" s="482">
        <f>SUM(D6:D15)</f>
        <v>780000</v>
      </c>
    </row>
    <row r="17" spans="1:4">
      <c r="A17" s="185" t="s">
        <v>175</v>
      </c>
      <c r="B17" s="178"/>
      <c r="C17" s="492">
        <f>C16*0.01</f>
        <v>9647.6</v>
      </c>
      <c r="D17" s="482">
        <f>D16*0.01</f>
        <v>7800</v>
      </c>
    </row>
    <row r="18" spans="1:4">
      <c r="A18" s="185" t="s">
        <v>916</v>
      </c>
      <c r="B18" s="178"/>
      <c r="C18" s="493">
        <f>SUM(C16:C17)</f>
        <v>974407.6</v>
      </c>
      <c r="D18" s="494">
        <f>D16+D17</f>
        <v>787800</v>
      </c>
    </row>
    <row r="19" spans="1:4">
      <c r="B19" s="495"/>
      <c r="C19" s="488"/>
    </row>
    <row r="20" spans="1:4">
      <c r="A20"/>
      <c r="B20" s="180"/>
      <c r="C20" s="488" t="s">
        <v>1026</v>
      </c>
    </row>
    <row r="21" spans="1:4">
      <c r="A21" s="475"/>
    </row>
    <row r="22" spans="1:4">
      <c r="A22" s="475"/>
    </row>
    <row r="25" spans="1:4">
      <c r="A25"/>
    </row>
    <row r="28" spans="1:4">
      <c r="A28"/>
      <c r="B28"/>
    </row>
    <row r="29" spans="1:4">
      <c r="A29"/>
      <c r="B29"/>
    </row>
    <row r="30" spans="1:4">
      <c r="A30"/>
      <c r="B30"/>
    </row>
  </sheetData>
  <printOptions horizontalCentered="1"/>
  <pageMargins left="0.5" right="0.5" top="1" bottom="1" header="0.5" footer="0.5"/>
  <pageSetup firstPageNumber="10" orientation="portrait" useFirstPageNumber="1" horizontalDpi="4294967292" verticalDpi="300" r:id="rId1"/>
  <headerFooter alignWithMargins="0">
    <oddFooter xml:space="preserve">&amp;LDREhler&amp;C&amp;D&amp;R&amp;F
Page &amp;P
</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C151"/>
  <sheetViews>
    <sheetView topLeftCell="D24" zoomScale="75" zoomScaleNormal="25" zoomScaleSheetLayoutView="100" workbookViewId="0">
      <selection activeCell="F28" sqref="F28"/>
    </sheetView>
  </sheetViews>
  <sheetFormatPr defaultRowHeight="12.75"/>
  <cols>
    <col min="1" max="1" width="27" customWidth="1"/>
    <col min="4" max="4" width="10.28515625" bestFit="1" customWidth="1"/>
    <col min="23" max="23" width="10.5703125" customWidth="1"/>
    <col min="27" max="27" width="11.85546875" customWidth="1"/>
  </cols>
  <sheetData>
    <row r="1" spans="1:23">
      <c r="A1" s="326" t="s">
        <v>1027</v>
      </c>
      <c r="B1" s="326"/>
      <c r="C1" s="327">
        <v>2001</v>
      </c>
      <c r="D1" s="328">
        <f t="shared" ref="D1:V1" si="0">C1+1</f>
        <v>2002</v>
      </c>
      <c r="E1" s="328">
        <f t="shared" si="0"/>
        <v>2003</v>
      </c>
      <c r="F1" s="328">
        <f t="shared" si="0"/>
        <v>2004</v>
      </c>
      <c r="G1" s="328">
        <f t="shared" si="0"/>
        <v>2005</v>
      </c>
      <c r="H1" s="328">
        <f t="shared" si="0"/>
        <v>2006</v>
      </c>
      <c r="I1" s="328">
        <f t="shared" si="0"/>
        <v>2007</v>
      </c>
      <c r="J1" s="328">
        <f t="shared" si="0"/>
        <v>2008</v>
      </c>
      <c r="K1" s="328">
        <f t="shared" si="0"/>
        <v>2009</v>
      </c>
      <c r="L1" s="328">
        <f t="shared" si="0"/>
        <v>2010</v>
      </c>
      <c r="M1" s="328">
        <f t="shared" si="0"/>
        <v>2011</v>
      </c>
      <c r="N1" s="328">
        <f t="shared" si="0"/>
        <v>2012</v>
      </c>
      <c r="O1" s="328">
        <f t="shared" si="0"/>
        <v>2013</v>
      </c>
      <c r="P1" s="328">
        <f t="shared" si="0"/>
        <v>2014</v>
      </c>
      <c r="Q1" s="328">
        <f t="shared" si="0"/>
        <v>2015</v>
      </c>
      <c r="R1" s="328">
        <f t="shared" si="0"/>
        <v>2016</v>
      </c>
      <c r="S1" s="328">
        <f t="shared" si="0"/>
        <v>2017</v>
      </c>
      <c r="T1" s="328">
        <f t="shared" si="0"/>
        <v>2018</v>
      </c>
      <c r="U1" s="328">
        <f t="shared" si="0"/>
        <v>2019</v>
      </c>
      <c r="V1" s="328">
        <f t="shared" si="0"/>
        <v>2020</v>
      </c>
    </row>
    <row r="2" spans="1:23">
      <c r="A2" s="326" t="s">
        <v>1020</v>
      </c>
      <c r="B2" s="204">
        <v>0</v>
      </c>
      <c r="C2" s="204">
        <v>1</v>
      </c>
      <c r="D2" s="204">
        <v>2</v>
      </c>
      <c r="E2" s="204">
        <v>3</v>
      </c>
      <c r="F2" s="204">
        <v>4</v>
      </c>
      <c r="G2" s="204">
        <v>5</v>
      </c>
      <c r="H2" s="204">
        <v>6</v>
      </c>
      <c r="I2" s="204">
        <v>7</v>
      </c>
      <c r="J2" s="204">
        <v>8</v>
      </c>
      <c r="K2" s="204">
        <v>9</v>
      </c>
      <c r="L2" s="204">
        <v>10</v>
      </c>
      <c r="M2" s="204">
        <v>11</v>
      </c>
      <c r="N2" s="204">
        <v>12</v>
      </c>
      <c r="O2" s="204">
        <v>13</v>
      </c>
      <c r="P2" s="204">
        <v>14</v>
      </c>
      <c r="Q2" s="204">
        <v>15</v>
      </c>
      <c r="R2" s="204">
        <v>16</v>
      </c>
      <c r="S2" s="204">
        <v>17</v>
      </c>
      <c r="T2" s="204">
        <v>18</v>
      </c>
      <c r="U2" s="204">
        <v>19</v>
      </c>
      <c r="V2" s="204">
        <v>20</v>
      </c>
    </row>
    <row r="3" spans="1:23">
      <c r="A3" s="329" t="s">
        <v>1028</v>
      </c>
      <c r="B3" s="204"/>
      <c r="C3" s="233"/>
      <c r="D3" s="233"/>
      <c r="E3" s="233"/>
      <c r="F3" s="233" t="s">
        <v>1021</v>
      </c>
      <c r="G3" s="233"/>
      <c r="H3" s="233"/>
      <c r="I3" s="233"/>
      <c r="J3" s="233" t="s">
        <v>1021</v>
      </c>
      <c r="K3" s="233"/>
      <c r="L3" s="233"/>
      <c r="M3" s="233"/>
      <c r="N3" s="233" t="s">
        <v>1022</v>
      </c>
      <c r="O3" s="233"/>
      <c r="P3" s="233"/>
      <c r="Q3" s="233"/>
      <c r="R3" s="233" t="s">
        <v>1021</v>
      </c>
      <c r="S3" s="233"/>
      <c r="T3" s="233"/>
      <c r="U3" s="233"/>
      <c r="V3" s="233" t="s">
        <v>1021</v>
      </c>
    </row>
    <row r="4" spans="1:23">
      <c r="A4" s="326" t="s">
        <v>1029</v>
      </c>
      <c r="B4" s="330"/>
      <c r="C4" s="204">
        <v>1200</v>
      </c>
      <c r="D4" s="204">
        <f t="shared" ref="D4:V4" si="1">+($C4*D2)</f>
        <v>2400</v>
      </c>
      <c r="E4" s="204">
        <f t="shared" si="1"/>
        <v>3600</v>
      </c>
      <c r="F4" s="204">
        <f t="shared" si="1"/>
        <v>4800</v>
      </c>
      <c r="G4" s="204">
        <f t="shared" si="1"/>
        <v>6000</v>
      </c>
      <c r="H4" s="204">
        <f t="shared" si="1"/>
        <v>7200</v>
      </c>
      <c r="I4" s="204">
        <f t="shared" si="1"/>
        <v>8400</v>
      </c>
      <c r="J4" s="204">
        <f t="shared" si="1"/>
        <v>9600</v>
      </c>
      <c r="K4" s="204">
        <f t="shared" si="1"/>
        <v>10800</v>
      </c>
      <c r="L4" s="204">
        <f t="shared" si="1"/>
        <v>12000</v>
      </c>
      <c r="M4" s="204">
        <f t="shared" si="1"/>
        <v>13200</v>
      </c>
      <c r="N4" s="204">
        <f t="shared" si="1"/>
        <v>14400</v>
      </c>
      <c r="O4" s="204">
        <f t="shared" si="1"/>
        <v>15600</v>
      </c>
      <c r="P4" s="204">
        <f t="shared" si="1"/>
        <v>16800</v>
      </c>
      <c r="Q4" s="204">
        <f t="shared" si="1"/>
        <v>18000</v>
      </c>
      <c r="R4" s="204">
        <f t="shared" si="1"/>
        <v>19200</v>
      </c>
      <c r="S4" s="204">
        <f t="shared" si="1"/>
        <v>20400</v>
      </c>
      <c r="T4" s="204">
        <f t="shared" si="1"/>
        <v>21600</v>
      </c>
      <c r="U4" s="204">
        <f t="shared" si="1"/>
        <v>22800</v>
      </c>
      <c r="V4" s="204">
        <f t="shared" si="1"/>
        <v>24000</v>
      </c>
    </row>
    <row r="5" spans="1:23">
      <c r="A5" s="329" t="s">
        <v>1030</v>
      </c>
      <c r="B5" s="204"/>
      <c r="C5" s="204">
        <v>100</v>
      </c>
      <c r="D5" s="204">
        <f t="shared" ref="D5:V5" si="2">+($C5*D2)</f>
        <v>200</v>
      </c>
      <c r="E5" s="204">
        <f t="shared" si="2"/>
        <v>300</v>
      </c>
      <c r="F5" s="204">
        <f t="shared" si="2"/>
        <v>400</v>
      </c>
      <c r="G5" s="204">
        <f t="shared" si="2"/>
        <v>500</v>
      </c>
      <c r="H5" s="204">
        <f t="shared" si="2"/>
        <v>600</v>
      </c>
      <c r="I5" s="204">
        <f t="shared" si="2"/>
        <v>700</v>
      </c>
      <c r="J5" s="204">
        <f t="shared" si="2"/>
        <v>800</v>
      </c>
      <c r="K5" s="204">
        <f t="shared" si="2"/>
        <v>900</v>
      </c>
      <c r="L5" s="204">
        <f t="shared" si="2"/>
        <v>1000</v>
      </c>
      <c r="M5" s="204">
        <f t="shared" si="2"/>
        <v>1100</v>
      </c>
      <c r="N5" s="204">
        <f t="shared" si="2"/>
        <v>1200</v>
      </c>
      <c r="O5" s="204">
        <f t="shared" si="2"/>
        <v>1300</v>
      </c>
      <c r="P5" s="204">
        <f t="shared" si="2"/>
        <v>1400</v>
      </c>
      <c r="Q5" s="204">
        <f t="shared" si="2"/>
        <v>1500</v>
      </c>
      <c r="R5" s="204">
        <f t="shared" si="2"/>
        <v>1600</v>
      </c>
      <c r="S5" s="204">
        <f t="shared" si="2"/>
        <v>1700</v>
      </c>
      <c r="T5" s="204">
        <f t="shared" si="2"/>
        <v>1800</v>
      </c>
      <c r="U5" s="204">
        <f t="shared" si="2"/>
        <v>1900</v>
      </c>
      <c r="V5" s="204">
        <f t="shared" si="2"/>
        <v>2000</v>
      </c>
    </row>
    <row r="6" spans="1:23">
      <c r="A6" s="331"/>
      <c r="B6" s="166"/>
      <c r="C6" s="166"/>
      <c r="D6" s="166"/>
      <c r="E6" s="166"/>
      <c r="F6" s="166"/>
      <c r="G6" s="166"/>
      <c r="H6" s="166"/>
      <c r="I6" s="166"/>
      <c r="J6" s="166"/>
      <c r="K6" s="166"/>
      <c r="L6" s="166"/>
      <c r="M6" s="166"/>
      <c r="N6" s="166"/>
      <c r="O6" s="166"/>
      <c r="P6" s="166"/>
      <c r="Q6" s="166"/>
      <c r="R6" s="166"/>
      <c r="S6" s="166"/>
      <c r="T6" s="166"/>
      <c r="U6" s="166"/>
      <c r="V6" s="166"/>
    </row>
    <row r="7" spans="1:23">
      <c r="A7" s="331" t="s">
        <v>1023</v>
      </c>
      <c r="B7" s="332"/>
      <c r="C7" s="332"/>
      <c r="D7" s="332"/>
      <c r="E7" s="332"/>
      <c r="F7" s="332"/>
      <c r="G7" s="332"/>
      <c r="H7" s="332"/>
      <c r="I7" s="332"/>
      <c r="J7" s="332"/>
      <c r="K7" s="332"/>
      <c r="L7" s="332"/>
      <c r="M7" s="332"/>
      <c r="N7" s="332"/>
      <c r="O7" s="332"/>
      <c r="P7" s="332"/>
      <c r="Q7" s="332"/>
      <c r="R7" s="332"/>
      <c r="S7" s="332"/>
      <c r="T7" s="332"/>
      <c r="U7" s="332"/>
      <c r="V7" s="332"/>
      <c r="W7" s="192" t="s">
        <v>763</v>
      </c>
    </row>
    <row r="8" spans="1:23">
      <c r="A8" s="329" t="s">
        <v>1031</v>
      </c>
      <c r="B8" s="333">
        <f t="shared" ref="B8:B29" si="3">C122</f>
        <v>1198.8</v>
      </c>
      <c r="C8" s="334"/>
      <c r="D8" s="334"/>
      <c r="E8" s="334"/>
      <c r="F8" s="334"/>
      <c r="G8" s="326"/>
      <c r="H8" s="326"/>
      <c r="I8" s="334"/>
      <c r="J8" s="334"/>
      <c r="K8" s="334"/>
      <c r="L8" s="334"/>
      <c r="M8" s="334"/>
      <c r="N8" s="334"/>
      <c r="O8" s="334"/>
      <c r="P8" s="334"/>
      <c r="Q8" s="334"/>
      <c r="R8" s="204"/>
      <c r="S8" s="326"/>
      <c r="T8" s="326"/>
      <c r="U8" s="334"/>
      <c r="V8" s="333"/>
      <c r="W8" s="335">
        <f t="shared" ref="W8:W30" si="4">+SUM(C8:V8)</f>
        <v>0</v>
      </c>
    </row>
    <row r="9" spans="1:23">
      <c r="A9" s="326" t="s">
        <v>1025</v>
      </c>
      <c r="B9" s="333">
        <f t="shared" si="3"/>
        <v>436.85199999999998</v>
      </c>
      <c r="C9" s="326"/>
      <c r="D9" s="326"/>
      <c r="E9" s="326"/>
      <c r="F9" s="326"/>
      <c r="G9" s="326"/>
      <c r="H9" s="326"/>
      <c r="I9" s="326"/>
      <c r="J9" s="326"/>
      <c r="K9" s="326"/>
      <c r="L9" s="326"/>
      <c r="M9" s="326"/>
      <c r="N9" s="326"/>
      <c r="O9" s="326"/>
      <c r="P9" s="326"/>
      <c r="Q9" s="326"/>
      <c r="R9" s="334"/>
      <c r="S9" s="326"/>
      <c r="T9" s="326"/>
      <c r="U9" s="326"/>
      <c r="V9" s="326"/>
      <c r="W9" s="335">
        <f t="shared" si="4"/>
        <v>0</v>
      </c>
    </row>
    <row r="10" spans="1:23">
      <c r="A10" s="326" t="s">
        <v>1032</v>
      </c>
      <c r="B10" s="333" t="str">
        <f t="shared" si="3"/>
        <v>NA</v>
      </c>
      <c r="C10" s="326"/>
      <c r="D10" s="326"/>
      <c r="E10" s="326"/>
      <c r="F10" s="334"/>
      <c r="G10" s="326"/>
      <c r="H10" s="326"/>
      <c r="I10" s="326"/>
      <c r="J10" s="333"/>
      <c r="K10" s="326"/>
      <c r="L10" s="326"/>
      <c r="M10" s="326"/>
      <c r="N10" s="333" t="str">
        <f>$B10</f>
        <v>NA</v>
      </c>
      <c r="O10" s="326"/>
      <c r="P10" s="326"/>
      <c r="Q10" s="326"/>
      <c r="R10" s="334"/>
      <c r="S10" s="326"/>
      <c r="T10" s="326"/>
      <c r="U10" s="326"/>
      <c r="V10" s="333"/>
      <c r="W10" s="335">
        <f t="shared" si="4"/>
        <v>0</v>
      </c>
    </row>
    <row r="11" spans="1:23">
      <c r="A11" s="326" t="s">
        <v>1033</v>
      </c>
      <c r="B11" s="333">
        <f t="shared" si="3"/>
        <v>461.76</v>
      </c>
      <c r="C11" s="326"/>
      <c r="D11" s="326"/>
      <c r="E11" s="326"/>
      <c r="F11" s="326"/>
      <c r="G11" s="326"/>
      <c r="H11" s="326"/>
      <c r="I11" s="326"/>
      <c r="J11" s="334"/>
      <c r="K11" s="326"/>
      <c r="L11" s="326"/>
      <c r="M11" s="326"/>
      <c r="N11" s="333">
        <f>$B11</f>
        <v>461.76</v>
      </c>
      <c r="O11" s="326"/>
      <c r="P11" s="326"/>
      <c r="Q11" s="326"/>
      <c r="R11" s="334"/>
      <c r="S11" s="326"/>
      <c r="T11" s="326"/>
      <c r="U11" s="326"/>
      <c r="V11" s="326"/>
      <c r="W11" s="335">
        <f t="shared" si="4"/>
        <v>461.76</v>
      </c>
    </row>
    <row r="12" spans="1:23">
      <c r="A12" s="326" t="s">
        <v>1034</v>
      </c>
      <c r="B12" s="333">
        <f t="shared" si="3"/>
        <v>859.00005999999996</v>
      </c>
      <c r="C12" s="326"/>
      <c r="D12" s="326"/>
      <c r="E12" s="326"/>
      <c r="F12" s="326"/>
      <c r="G12" s="326"/>
      <c r="H12" s="326"/>
      <c r="I12" s="326"/>
      <c r="J12" s="326"/>
      <c r="K12" s="326"/>
      <c r="L12" s="326"/>
      <c r="M12" s="326"/>
      <c r="N12" s="333"/>
      <c r="O12" s="326"/>
      <c r="P12" s="326"/>
      <c r="Q12" s="326"/>
      <c r="R12" s="326"/>
      <c r="S12" s="326"/>
      <c r="T12" s="326"/>
      <c r="U12" s="326"/>
      <c r="V12" s="326"/>
      <c r="W12" s="335">
        <f t="shared" si="4"/>
        <v>0</v>
      </c>
    </row>
    <row r="13" spans="1:23">
      <c r="A13" s="326" t="s">
        <v>1035</v>
      </c>
      <c r="B13" s="333">
        <f t="shared" si="3"/>
        <v>850.91075000000001</v>
      </c>
      <c r="C13" s="326"/>
      <c r="D13" s="326"/>
      <c r="E13" s="326"/>
      <c r="F13" s="326"/>
      <c r="G13" s="326"/>
      <c r="H13" s="326"/>
      <c r="I13" s="326"/>
      <c r="J13" s="326"/>
      <c r="K13" s="326"/>
      <c r="L13" s="326"/>
      <c r="M13" s="326"/>
      <c r="N13" s="326"/>
      <c r="O13" s="326"/>
      <c r="P13" s="326"/>
      <c r="Q13" s="326"/>
      <c r="R13" s="326"/>
      <c r="S13" s="326"/>
      <c r="T13" s="326"/>
      <c r="U13" s="326"/>
      <c r="V13" s="326"/>
      <c r="W13" s="335">
        <f t="shared" si="4"/>
        <v>0</v>
      </c>
    </row>
    <row r="14" spans="1:23">
      <c r="A14" s="326" t="s">
        <v>1036</v>
      </c>
      <c r="B14" s="333">
        <f t="shared" si="3"/>
        <v>746.46681000000001</v>
      </c>
      <c r="C14" s="326"/>
      <c r="D14" s="326"/>
      <c r="E14" s="326"/>
      <c r="F14" s="326"/>
      <c r="G14" s="326"/>
      <c r="H14" s="326"/>
      <c r="I14" s="326"/>
      <c r="J14" s="326"/>
      <c r="K14" s="326"/>
      <c r="L14" s="326"/>
      <c r="M14" s="326"/>
      <c r="N14" s="326"/>
      <c r="O14" s="326"/>
      <c r="P14" s="326"/>
      <c r="Q14" s="326"/>
      <c r="R14" s="326"/>
      <c r="S14" s="326"/>
      <c r="T14" s="326"/>
      <c r="U14" s="326"/>
      <c r="V14" s="326"/>
      <c r="W14" s="335">
        <f t="shared" si="4"/>
        <v>0</v>
      </c>
    </row>
    <row r="15" spans="1:23">
      <c r="A15" s="329" t="s">
        <v>1037</v>
      </c>
      <c r="B15" s="333">
        <f t="shared" si="3"/>
        <v>848.57299999999998</v>
      </c>
      <c r="C15" s="326"/>
      <c r="D15" s="204"/>
      <c r="E15" s="326"/>
      <c r="F15" s="326"/>
      <c r="G15" s="326"/>
      <c r="H15" s="326"/>
      <c r="I15" s="326"/>
      <c r="J15" s="326"/>
      <c r="K15" s="326"/>
      <c r="L15" s="326"/>
      <c r="M15" s="326"/>
      <c r="N15" s="326"/>
      <c r="O15" s="326"/>
      <c r="P15" s="326"/>
      <c r="Q15" s="326"/>
      <c r="R15" s="334"/>
      <c r="S15" s="326"/>
      <c r="T15" s="326"/>
      <c r="U15" s="326"/>
      <c r="V15" s="326"/>
      <c r="W15" s="335">
        <f t="shared" si="4"/>
        <v>0</v>
      </c>
    </row>
    <row r="16" spans="1:23">
      <c r="A16" s="329" t="s">
        <v>1038</v>
      </c>
      <c r="B16" s="333">
        <f t="shared" si="3"/>
        <v>874.50081</v>
      </c>
      <c r="C16" s="326"/>
      <c r="D16" s="204"/>
      <c r="E16" s="326"/>
      <c r="F16" s="326"/>
      <c r="G16" s="326"/>
      <c r="H16" s="326"/>
      <c r="I16" s="326"/>
      <c r="J16" s="326"/>
      <c r="K16" s="326"/>
      <c r="L16" s="326"/>
      <c r="M16" s="326"/>
      <c r="N16" s="326"/>
      <c r="O16" s="326"/>
      <c r="P16" s="326"/>
      <c r="Q16" s="326"/>
      <c r="R16" s="334"/>
      <c r="S16" s="326"/>
      <c r="T16" s="326"/>
      <c r="U16" s="326"/>
      <c r="V16" s="326"/>
      <c r="W16" s="335">
        <f t="shared" si="4"/>
        <v>0</v>
      </c>
    </row>
    <row r="17" spans="1:23">
      <c r="A17" s="329" t="s">
        <v>1039</v>
      </c>
      <c r="B17" s="333">
        <f t="shared" si="3"/>
        <v>930.72500000000002</v>
      </c>
      <c r="C17" s="326"/>
      <c r="D17" s="204"/>
      <c r="E17" s="326"/>
      <c r="F17" s="326"/>
      <c r="G17" s="326"/>
      <c r="H17" s="326"/>
      <c r="I17" s="326"/>
      <c r="J17" s="326"/>
      <c r="K17" s="326"/>
      <c r="L17" s="326"/>
      <c r="M17" s="326"/>
      <c r="N17" s="326"/>
      <c r="O17" s="326"/>
      <c r="P17" s="326"/>
      <c r="Q17" s="326"/>
      <c r="R17" s="334"/>
      <c r="S17" s="326"/>
      <c r="T17" s="326"/>
      <c r="U17" s="326"/>
      <c r="V17" s="326"/>
      <c r="W17" s="335">
        <f t="shared" si="4"/>
        <v>0</v>
      </c>
    </row>
    <row r="18" spans="1:23">
      <c r="A18" s="329" t="s">
        <v>1040</v>
      </c>
      <c r="B18" s="333">
        <f t="shared" si="3"/>
        <v>36.558900000000001</v>
      </c>
      <c r="C18" s="326"/>
      <c r="D18" s="326"/>
      <c r="E18" s="326"/>
      <c r="F18" s="326"/>
      <c r="G18" s="326"/>
      <c r="H18" s="326"/>
      <c r="I18" s="326"/>
      <c r="J18" s="204"/>
      <c r="K18" s="204"/>
      <c r="L18" s="326"/>
      <c r="M18" s="204"/>
      <c r="N18" s="326"/>
      <c r="O18" s="326"/>
      <c r="P18" s="326"/>
      <c r="Q18" s="326"/>
      <c r="R18" s="326"/>
      <c r="S18" s="326"/>
      <c r="T18" s="326"/>
      <c r="U18" s="326"/>
      <c r="V18" s="326"/>
      <c r="W18" s="335">
        <f t="shared" si="4"/>
        <v>0</v>
      </c>
    </row>
    <row r="19" spans="1:23">
      <c r="A19" s="204" t="s">
        <v>1041</v>
      </c>
      <c r="B19" s="333">
        <f t="shared" si="3"/>
        <v>172.54839000000001</v>
      </c>
      <c r="C19" s="326"/>
      <c r="D19" s="326"/>
      <c r="E19" s="326"/>
      <c r="F19" s="326"/>
      <c r="G19" s="326"/>
      <c r="H19" s="326"/>
      <c r="I19" s="326"/>
      <c r="J19" s="204"/>
      <c r="K19" s="204"/>
      <c r="L19" s="326"/>
      <c r="M19" s="204"/>
      <c r="N19" s="326"/>
      <c r="O19" s="326"/>
      <c r="P19" s="326"/>
      <c r="Q19" s="326"/>
      <c r="R19" s="326"/>
      <c r="S19" s="326"/>
      <c r="T19" s="326"/>
      <c r="U19" s="326"/>
      <c r="V19" s="326"/>
      <c r="W19" s="335">
        <f t="shared" si="4"/>
        <v>0</v>
      </c>
    </row>
    <row r="20" spans="1:23">
      <c r="A20" s="204" t="s">
        <v>1042</v>
      </c>
      <c r="B20" s="333">
        <f t="shared" si="3"/>
        <v>200.16615999999999</v>
      </c>
      <c r="C20" s="326"/>
      <c r="D20" s="326"/>
      <c r="E20" s="326"/>
      <c r="F20" s="326"/>
      <c r="G20" s="326"/>
      <c r="H20" s="326"/>
      <c r="I20" s="326"/>
      <c r="J20" s="204"/>
      <c r="K20" s="204"/>
      <c r="L20" s="326"/>
      <c r="M20" s="204"/>
      <c r="N20" s="326"/>
      <c r="O20" s="326"/>
      <c r="P20" s="326"/>
      <c r="Q20" s="326"/>
      <c r="R20" s="326"/>
      <c r="S20" s="326"/>
      <c r="T20" s="326"/>
      <c r="U20" s="326"/>
      <c r="V20" s="326"/>
      <c r="W20" s="335">
        <f t="shared" si="4"/>
        <v>0</v>
      </c>
    </row>
    <row r="21" spans="1:23">
      <c r="A21" s="326" t="s">
        <v>1043</v>
      </c>
      <c r="B21" s="333">
        <f t="shared" si="3"/>
        <v>798</v>
      </c>
      <c r="C21" s="326"/>
      <c r="D21" s="326"/>
      <c r="E21" s="326"/>
      <c r="F21" s="326"/>
      <c r="G21" s="326"/>
      <c r="H21" s="326"/>
      <c r="I21" s="326"/>
      <c r="J21" s="326"/>
      <c r="K21" s="326"/>
      <c r="L21" s="326"/>
      <c r="M21" s="326"/>
      <c r="N21" s="326"/>
      <c r="O21" s="326"/>
      <c r="P21" s="326"/>
      <c r="Q21" s="326"/>
      <c r="R21" s="326"/>
      <c r="S21" s="326"/>
      <c r="T21" s="326"/>
      <c r="U21" s="326"/>
      <c r="V21" s="326"/>
      <c r="W21" s="335">
        <f t="shared" si="4"/>
        <v>0</v>
      </c>
    </row>
    <row r="22" spans="1:23">
      <c r="A22" s="326" t="s">
        <v>1044</v>
      </c>
      <c r="B22" s="333">
        <f t="shared" si="3"/>
        <v>765.46574999999996</v>
      </c>
      <c r="C22" s="326"/>
      <c r="D22" s="326"/>
      <c r="E22" s="326"/>
      <c r="F22" s="326"/>
      <c r="G22" s="326"/>
      <c r="H22" s="326"/>
      <c r="I22" s="326"/>
      <c r="J22" s="204"/>
      <c r="K22" s="326"/>
      <c r="L22" s="326"/>
      <c r="M22" s="326"/>
      <c r="N22" s="326"/>
      <c r="O22" s="326"/>
      <c r="P22" s="326"/>
      <c r="Q22" s="326"/>
      <c r="R22" s="326"/>
      <c r="S22" s="326"/>
      <c r="T22" s="326"/>
      <c r="U22" s="326"/>
      <c r="V22" s="326"/>
      <c r="W22" s="335">
        <f t="shared" si="4"/>
        <v>0</v>
      </c>
    </row>
    <row r="23" spans="1:23">
      <c r="A23" s="326" t="s">
        <v>1045</v>
      </c>
      <c r="B23" s="333">
        <f t="shared" si="3"/>
        <v>1042</v>
      </c>
      <c r="C23" s="326"/>
      <c r="D23" s="326"/>
      <c r="E23" s="326"/>
      <c r="F23" s="326"/>
      <c r="G23" s="326"/>
      <c r="H23" s="326"/>
      <c r="I23" s="326"/>
      <c r="J23" s="204"/>
      <c r="K23" s="326"/>
      <c r="L23" s="326"/>
      <c r="M23" s="326"/>
      <c r="N23" s="326"/>
      <c r="O23" s="326"/>
      <c r="P23" s="326"/>
      <c r="Q23" s="326"/>
      <c r="R23" s="326"/>
      <c r="S23" s="326"/>
      <c r="T23" s="326"/>
      <c r="U23" s="326"/>
      <c r="V23" s="326"/>
      <c r="W23" s="335">
        <f t="shared" si="4"/>
        <v>0</v>
      </c>
    </row>
    <row r="24" spans="1:23">
      <c r="A24" s="326" t="s">
        <v>1046</v>
      </c>
      <c r="B24" s="333" t="str">
        <f t="shared" si="3"/>
        <v>NA</v>
      </c>
      <c r="C24" s="326"/>
      <c r="D24" s="326"/>
      <c r="E24" s="326"/>
      <c r="F24" s="326"/>
      <c r="G24" s="326"/>
      <c r="H24" s="326"/>
      <c r="I24" s="326"/>
      <c r="J24" s="326"/>
      <c r="K24" s="326"/>
      <c r="L24" s="326"/>
      <c r="M24" s="326"/>
      <c r="N24" s="326"/>
      <c r="O24" s="326"/>
      <c r="P24" s="326"/>
      <c r="Q24" s="326"/>
      <c r="R24" s="326"/>
      <c r="S24" s="326"/>
      <c r="T24" s="326"/>
      <c r="U24" s="326"/>
      <c r="V24" s="326"/>
      <c r="W24" s="335">
        <f t="shared" si="4"/>
        <v>0</v>
      </c>
    </row>
    <row r="25" spans="1:23">
      <c r="A25" s="326" t="s">
        <v>1047</v>
      </c>
      <c r="B25" s="333">
        <f t="shared" si="3"/>
        <v>19.882000000000001</v>
      </c>
      <c r="C25" s="326"/>
      <c r="D25" s="326"/>
      <c r="E25" s="326"/>
      <c r="F25" s="333">
        <f>$B25</f>
        <v>19.882000000000001</v>
      </c>
      <c r="G25" s="326"/>
      <c r="H25" s="326"/>
      <c r="I25" s="333"/>
      <c r="J25" s="333">
        <f>$B25</f>
        <v>19.882000000000001</v>
      </c>
      <c r="K25" s="326"/>
      <c r="L25" s="326"/>
      <c r="M25" s="326"/>
      <c r="N25" s="334"/>
      <c r="O25" s="326"/>
      <c r="P25" s="326"/>
      <c r="Q25" s="326"/>
      <c r="R25" s="333">
        <f>$B25</f>
        <v>19.882000000000001</v>
      </c>
      <c r="S25" s="326"/>
      <c r="T25" s="326"/>
      <c r="U25" s="326"/>
      <c r="V25" s="333"/>
      <c r="W25" s="335">
        <f t="shared" si="4"/>
        <v>59.646000000000001</v>
      </c>
    </row>
    <row r="26" spans="1:23">
      <c r="A26" s="326" t="s">
        <v>1048</v>
      </c>
      <c r="B26" s="333">
        <f t="shared" si="3"/>
        <v>12.018000000000001</v>
      </c>
      <c r="C26" s="326"/>
      <c r="D26" s="326"/>
      <c r="E26" s="326"/>
      <c r="F26" s="326"/>
      <c r="G26" s="326"/>
      <c r="H26" s="326"/>
      <c r="I26" s="326"/>
      <c r="J26" s="334"/>
      <c r="K26" s="326"/>
      <c r="L26" s="326"/>
      <c r="M26" s="333"/>
      <c r="N26" s="333">
        <f>$B26</f>
        <v>12.018000000000001</v>
      </c>
      <c r="O26" s="326"/>
      <c r="P26" s="326"/>
      <c r="Q26" s="326"/>
      <c r="R26" s="326"/>
      <c r="S26" s="326"/>
      <c r="T26" s="326"/>
      <c r="U26" s="326"/>
      <c r="V26" s="326"/>
      <c r="W26" s="335">
        <f t="shared" si="4"/>
        <v>12.018000000000001</v>
      </c>
    </row>
    <row r="27" spans="1:23">
      <c r="A27" s="326" t="s">
        <v>1049</v>
      </c>
      <c r="B27" s="333">
        <f t="shared" si="3"/>
        <v>122.319</v>
      </c>
      <c r="C27" s="326"/>
      <c r="D27" s="326"/>
      <c r="E27" s="326"/>
      <c r="F27" s="326"/>
      <c r="G27" s="326"/>
      <c r="H27" s="326"/>
      <c r="I27" s="326"/>
      <c r="J27" s="326"/>
      <c r="K27" s="326"/>
      <c r="L27" s="326"/>
      <c r="M27" s="326"/>
      <c r="N27" s="326"/>
      <c r="O27" s="326"/>
      <c r="P27" s="326"/>
      <c r="Q27" s="326"/>
      <c r="R27" s="334"/>
      <c r="S27" s="326"/>
      <c r="T27" s="326"/>
      <c r="U27" s="326"/>
      <c r="V27" s="326"/>
      <c r="W27" s="335">
        <f t="shared" si="4"/>
        <v>0</v>
      </c>
    </row>
    <row r="28" spans="1:23">
      <c r="A28" s="326" t="s">
        <v>1050</v>
      </c>
      <c r="B28" s="333" t="str">
        <f t="shared" si="3"/>
        <v>NA</v>
      </c>
      <c r="C28" s="326"/>
      <c r="D28" s="326"/>
      <c r="E28" s="326"/>
      <c r="F28" s="326"/>
      <c r="G28" s="326"/>
      <c r="H28" s="326"/>
      <c r="I28" s="326"/>
      <c r="J28" s="326"/>
      <c r="K28" s="326"/>
      <c r="L28" s="326"/>
      <c r="M28" s="326"/>
      <c r="N28" s="326"/>
      <c r="O28" s="326"/>
      <c r="P28" s="326"/>
      <c r="Q28" s="326"/>
      <c r="R28" s="326"/>
      <c r="S28" s="326"/>
      <c r="T28" s="326"/>
      <c r="U28" s="326"/>
      <c r="V28" s="326"/>
      <c r="W28" s="335">
        <f t="shared" si="4"/>
        <v>0</v>
      </c>
    </row>
    <row r="29" spans="1:23">
      <c r="A29" s="326" t="s">
        <v>1051</v>
      </c>
      <c r="B29" s="333" t="str">
        <f t="shared" si="3"/>
        <v>NA</v>
      </c>
      <c r="C29" s="326"/>
      <c r="D29" s="326"/>
      <c r="E29" s="326"/>
      <c r="F29" s="326"/>
      <c r="G29" s="326"/>
      <c r="H29" s="326"/>
      <c r="I29" s="326"/>
      <c r="J29" s="326"/>
      <c r="K29" s="326"/>
      <c r="L29" s="326"/>
      <c r="M29" s="326"/>
      <c r="N29" s="326"/>
      <c r="O29" s="326"/>
      <c r="P29" s="326"/>
      <c r="Q29" s="326"/>
      <c r="R29" s="326"/>
      <c r="S29" s="326"/>
      <c r="T29" s="326"/>
      <c r="U29" s="326"/>
      <c r="V29" s="326"/>
      <c r="W29" s="335">
        <f t="shared" si="4"/>
        <v>0</v>
      </c>
    </row>
    <row r="30" spans="1:23">
      <c r="A30" s="326"/>
      <c r="B30" s="334"/>
      <c r="C30" s="326"/>
      <c r="D30" s="326"/>
      <c r="E30" s="326"/>
      <c r="F30" s="326"/>
      <c r="G30" s="326"/>
      <c r="H30" s="326"/>
      <c r="I30" s="326"/>
      <c r="J30" s="326"/>
      <c r="K30" s="326"/>
      <c r="L30" s="326"/>
      <c r="M30" s="326"/>
      <c r="N30" s="326"/>
      <c r="O30" s="326"/>
      <c r="P30" s="326"/>
      <c r="Q30" s="326"/>
      <c r="R30" s="326"/>
      <c r="S30" s="326"/>
      <c r="T30" s="326"/>
      <c r="U30" s="326"/>
      <c r="V30" s="326"/>
      <c r="W30" s="335">
        <f t="shared" si="4"/>
        <v>0</v>
      </c>
    </row>
    <row r="31" spans="1:23">
      <c r="A31" s="205"/>
      <c r="B31" s="205"/>
      <c r="C31" s="205"/>
      <c r="D31" s="205"/>
      <c r="E31" s="205"/>
      <c r="F31" s="205"/>
      <c r="G31" s="205"/>
      <c r="H31" s="205"/>
      <c r="I31" s="205"/>
      <c r="J31" s="205"/>
      <c r="K31" s="205"/>
      <c r="L31" s="205"/>
      <c r="M31" s="205"/>
      <c r="N31" s="205"/>
      <c r="O31" s="205"/>
      <c r="P31" s="205"/>
      <c r="Q31" s="205"/>
      <c r="R31" s="205"/>
      <c r="S31" s="205"/>
      <c r="T31" s="205"/>
      <c r="U31" s="205"/>
      <c r="V31" s="205"/>
    </row>
    <row r="32" spans="1:23">
      <c r="A32" s="275" t="s">
        <v>1052</v>
      </c>
      <c r="B32" s="275"/>
      <c r="C32" s="275">
        <f t="shared" ref="C32:W32" si="5">+SUM(C8:C30)</f>
        <v>0</v>
      </c>
      <c r="D32" s="275">
        <f t="shared" si="5"/>
        <v>0</v>
      </c>
      <c r="E32" s="275">
        <f t="shared" si="5"/>
        <v>0</v>
      </c>
      <c r="F32" s="275">
        <f t="shared" si="5"/>
        <v>19.882000000000001</v>
      </c>
      <c r="G32" s="275">
        <f t="shared" si="5"/>
        <v>0</v>
      </c>
      <c r="H32" s="275">
        <f t="shared" si="5"/>
        <v>0</v>
      </c>
      <c r="I32" s="275">
        <f t="shared" si="5"/>
        <v>0</v>
      </c>
      <c r="J32" s="275">
        <f t="shared" si="5"/>
        <v>19.882000000000001</v>
      </c>
      <c r="K32" s="275">
        <f t="shared" si="5"/>
        <v>0</v>
      </c>
      <c r="L32" s="275">
        <f t="shared" si="5"/>
        <v>0</v>
      </c>
      <c r="M32" s="275">
        <f t="shared" si="5"/>
        <v>0</v>
      </c>
      <c r="N32" s="275">
        <f t="shared" si="5"/>
        <v>473.77800000000002</v>
      </c>
      <c r="O32" s="275">
        <f t="shared" si="5"/>
        <v>0</v>
      </c>
      <c r="P32" s="275">
        <f t="shared" si="5"/>
        <v>0</v>
      </c>
      <c r="Q32" s="275">
        <f t="shared" si="5"/>
        <v>0</v>
      </c>
      <c r="R32" s="275">
        <f t="shared" si="5"/>
        <v>19.882000000000001</v>
      </c>
      <c r="S32" s="275">
        <f t="shared" si="5"/>
        <v>0</v>
      </c>
      <c r="T32" s="275">
        <f t="shared" si="5"/>
        <v>0</v>
      </c>
      <c r="U32" s="275">
        <f t="shared" si="5"/>
        <v>0</v>
      </c>
      <c r="V32" s="275">
        <f t="shared" si="5"/>
        <v>0</v>
      </c>
      <c r="W32" s="275">
        <f t="shared" si="5"/>
        <v>533.42399999999998</v>
      </c>
    </row>
    <row r="33" spans="1:29">
      <c r="A33" s="275"/>
      <c r="B33" s="275"/>
      <c r="C33" s="275"/>
      <c r="D33" s="275"/>
      <c r="E33" s="275"/>
      <c r="F33" s="275"/>
      <c r="G33" s="275"/>
      <c r="H33" s="275"/>
      <c r="I33" s="275"/>
      <c r="J33" s="275"/>
      <c r="K33" s="275"/>
      <c r="L33" s="275"/>
      <c r="M33" s="275"/>
      <c r="N33" s="275"/>
      <c r="O33" s="275"/>
      <c r="P33" s="275"/>
      <c r="Q33" s="275"/>
      <c r="R33" s="275"/>
      <c r="S33" s="275"/>
      <c r="T33" s="275"/>
      <c r="U33" s="275"/>
      <c r="V33" s="275"/>
    </row>
    <row r="34" spans="1:29">
      <c r="A34" s="275" t="s">
        <v>1053</v>
      </c>
      <c r="B34" s="275"/>
      <c r="C34" s="275">
        <f t="shared" ref="C34:W34" si="6">C74</f>
        <v>0</v>
      </c>
      <c r="D34" s="275">
        <f t="shared" si="6"/>
        <v>0</v>
      </c>
      <c r="E34" s="275">
        <f t="shared" si="6"/>
        <v>0</v>
      </c>
      <c r="F34" s="275">
        <f t="shared" si="6"/>
        <v>180</v>
      </c>
      <c r="G34" s="275">
        <f t="shared" si="6"/>
        <v>0</v>
      </c>
      <c r="H34" s="275">
        <f t="shared" si="6"/>
        <v>0</v>
      </c>
      <c r="I34" s="275">
        <f t="shared" si="6"/>
        <v>0</v>
      </c>
      <c r="J34" s="275">
        <f t="shared" si="6"/>
        <v>180</v>
      </c>
      <c r="K34" s="275">
        <f t="shared" si="6"/>
        <v>0</v>
      </c>
      <c r="L34" s="275">
        <f t="shared" si="6"/>
        <v>0</v>
      </c>
      <c r="M34" s="275">
        <f t="shared" si="6"/>
        <v>0</v>
      </c>
      <c r="N34" s="275">
        <f t="shared" si="6"/>
        <v>775</v>
      </c>
      <c r="O34" s="275">
        <f t="shared" si="6"/>
        <v>0</v>
      </c>
      <c r="P34" s="275">
        <f t="shared" si="6"/>
        <v>0</v>
      </c>
      <c r="Q34" s="275">
        <f t="shared" si="6"/>
        <v>0</v>
      </c>
      <c r="R34" s="275">
        <f t="shared" si="6"/>
        <v>180</v>
      </c>
      <c r="S34" s="275">
        <f t="shared" si="6"/>
        <v>0</v>
      </c>
      <c r="T34" s="275">
        <f t="shared" si="6"/>
        <v>0</v>
      </c>
      <c r="U34" s="275">
        <f t="shared" si="6"/>
        <v>0</v>
      </c>
      <c r="V34" s="275">
        <f t="shared" si="6"/>
        <v>0</v>
      </c>
      <c r="W34" s="275">
        <f t="shared" si="6"/>
        <v>1315</v>
      </c>
      <c r="AC34" s="143" t="s">
        <v>1054</v>
      </c>
    </row>
    <row r="35" spans="1:29">
      <c r="A35" s="275"/>
      <c r="B35" s="275"/>
      <c r="C35" s="275"/>
      <c r="D35" s="275"/>
      <c r="E35" s="275"/>
      <c r="F35" s="275"/>
      <c r="G35" s="275"/>
      <c r="H35" s="275"/>
      <c r="I35" s="275"/>
      <c r="J35" s="275"/>
      <c r="K35" s="275"/>
      <c r="L35" s="275"/>
      <c r="M35" s="275"/>
      <c r="N35" s="275"/>
      <c r="O35" s="275"/>
      <c r="P35" s="275"/>
      <c r="Q35" s="275"/>
      <c r="R35" s="275"/>
      <c r="S35" s="275"/>
      <c r="T35" s="275"/>
      <c r="U35" s="275"/>
      <c r="V35" s="275"/>
      <c r="AC35" s="143" t="s">
        <v>1055</v>
      </c>
    </row>
    <row r="36" spans="1:29">
      <c r="A36" s="275" t="s">
        <v>1056</v>
      </c>
      <c r="B36" s="275"/>
      <c r="C36" s="275">
        <f t="shared" ref="C36:W36" si="7">+(C32+C34)</f>
        <v>0</v>
      </c>
      <c r="D36" s="275">
        <f t="shared" si="7"/>
        <v>0</v>
      </c>
      <c r="E36" s="275">
        <f t="shared" si="7"/>
        <v>0</v>
      </c>
      <c r="F36" s="275">
        <f t="shared" si="7"/>
        <v>199.88200000000001</v>
      </c>
      <c r="G36" s="275">
        <f t="shared" si="7"/>
        <v>0</v>
      </c>
      <c r="H36" s="275">
        <f t="shared" si="7"/>
        <v>0</v>
      </c>
      <c r="I36" s="275">
        <f t="shared" si="7"/>
        <v>0</v>
      </c>
      <c r="J36" s="275">
        <f t="shared" si="7"/>
        <v>199.88200000000001</v>
      </c>
      <c r="K36" s="275">
        <f t="shared" si="7"/>
        <v>0</v>
      </c>
      <c r="L36" s="275">
        <f t="shared" si="7"/>
        <v>0</v>
      </c>
      <c r="M36" s="275">
        <f t="shared" si="7"/>
        <v>0</v>
      </c>
      <c r="N36" s="275">
        <f t="shared" si="7"/>
        <v>1248.778</v>
      </c>
      <c r="O36" s="275">
        <f t="shared" si="7"/>
        <v>0</v>
      </c>
      <c r="P36" s="275">
        <f t="shared" si="7"/>
        <v>0</v>
      </c>
      <c r="Q36" s="275">
        <f t="shared" si="7"/>
        <v>0</v>
      </c>
      <c r="R36" s="275">
        <f t="shared" si="7"/>
        <v>199.88200000000001</v>
      </c>
      <c r="S36" s="275">
        <f t="shared" si="7"/>
        <v>0</v>
      </c>
      <c r="T36" s="275">
        <f t="shared" si="7"/>
        <v>0</v>
      </c>
      <c r="U36" s="275">
        <f t="shared" si="7"/>
        <v>0</v>
      </c>
      <c r="V36" s="275">
        <f t="shared" si="7"/>
        <v>0</v>
      </c>
      <c r="W36" s="336">
        <f t="shared" si="7"/>
        <v>1848.424</v>
      </c>
      <c r="AC36" s="337">
        <f>(W36*1000)/2400</f>
        <v>770.17666666666662</v>
      </c>
    </row>
    <row r="39" spans="1:29">
      <c r="A39" s="326" t="s">
        <v>1027</v>
      </c>
      <c r="B39" s="326"/>
      <c r="C39" s="327">
        <f t="shared" ref="C39:V39" si="8">C1</f>
        <v>2001</v>
      </c>
      <c r="D39" s="328">
        <f t="shared" si="8"/>
        <v>2002</v>
      </c>
      <c r="E39" s="328">
        <f t="shared" si="8"/>
        <v>2003</v>
      </c>
      <c r="F39" s="328">
        <f t="shared" si="8"/>
        <v>2004</v>
      </c>
      <c r="G39" s="328">
        <f t="shared" si="8"/>
        <v>2005</v>
      </c>
      <c r="H39" s="328">
        <f t="shared" si="8"/>
        <v>2006</v>
      </c>
      <c r="I39" s="328">
        <f t="shared" si="8"/>
        <v>2007</v>
      </c>
      <c r="J39" s="328">
        <f t="shared" si="8"/>
        <v>2008</v>
      </c>
      <c r="K39" s="328">
        <f t="shared" si="8"/>
        <v>2009</v>
      </c>
      <c r="L39" s="328">
        <f t="shared" si="8"/>
        <v>2010</v>
      </c>
      <c r="M39" s="328">
        <f t="shared" si="8"/>
        <v>2011</v>
      </c>
      <c r="N39" s="328">
        <f t="shared" si="8"/>
        <v>2012</v>
      </c>
      <c r="O39" s="328">
        <f t="shared" si="8"/>
        <v>2013</v>
      </c>
      <c r="P39" s="328">
        <f t="shared" si="8"/>
        <v>2014</v>
      </c>
      <c r="Q39" s="328">
        <f t="shared" si="8"/>
        <v>2015</v>
      </c>
      <c r="R39" s="328">
        <f t="shared" si="8"/>
        <v>2016</v>
      </c>
      <c r="S39" s="328">
        <f t="shared" si="8"/>
        <v>2017</v>
      </c>
      <c r="T39" s="328">
        <f t="shared" si="8"/>
        <v>2018</v>
      </c>
      <c r="U39" s="328">
        <f t="shared" si="8"/>
        <v>2019</v>
      </c>
      <c r="V39" s="328">
        <f t="shared" si="8"/>
        <v>2020</v>
      </c>
    </row>
    <row r="40" spans="1:29">
      <c r="A40" s="326" t="s">
        <v>1020</v>
      </c>
      <c r="B40" s="204">
        <v>0</v>
      </c>
      <c r="C40" s="204">
        <f t="shared" ref="C40:V40" si="9">C2</f>
        <v>1</v>
      </c>
      <c r="D40" s="204">
        <f t="shared" si="9"/>
        <v>2</v>
      </c>
      <c r="E40" s="204">
        <f t="shared" si="9"/>
        <v>3</v>
      </c>
      <c r="F40" s="204">
        <f t="shared" si="9"/>
        <v>4</v>
      </c>
      <c r="G40" s="204">
        <f t="shared" si="9"/>
        <v>5</v>
      </c>
      <c r="H40" s="204">
        <f t="shared" si="9"/>
        <v>6</v>
      </c>
      <c r="I40" s="204">
        <f t="shared" si="9"/>
        <v>7</v>
      </c>
      <c r="J40" s="204">
        <f t="shared" si="9"/>
        <v>8</v>
      </c>
      <c r="K40" s="204">
        <f t="shared" si="9"/>
        <v>9</v>
      </c>
      <c r="L40" s="204">
        <f t="shared" si="9"/>
        <v>10</v>
      </c>
      <c r="M40" s="204">
        <f t="shared" si="9"/>
        <v>11</v>
      </c>
      <c r="N40" s="204">
        <f t="shared" si="9"/>
        <v>12</v>
      </c>
      <c r="O40" s="204">
        <f t="shared" si="9"/>
        <v>13</v>
      </c>
      <c r="P40" s="204">
        <f t="shared" si="9"/>
        <v>14</v>
      </c>
      <c r="Q40" s="204">
        <f t="shared" si="9"/>
        <v>15</v>
      </c>
      <c r="R40" s="204">
        <f t="shared" si="9"/>
        <v>16</v>
      </c>
      <c r="S40" s="204">
        <f t="shared" si="9"/>
        <v>17</v>
      </c>
      <c r="T40" s="204">
        <f t="shared" si="9"/>
        <v>18</v>
      </c>
      <c r="U40" s="204">
        <f t="shared" si="9"/>
        <v>19</v>
      </c>
      <c r="V40" s="204">
        <f t="shared" si="9"/>
        <v>20</v>
      </c>
    </row>
    <row r="41" spans="1:29">
      <c r="A41" s="329" t="s">
        <v>1028</v>
      </c>
      <c r="B41" s="204"/>
      <c r="C41" s="233">
        <f t="shared" ref="C41:V41" si="10">C3</f>
        <v>0</v>
      </c>
      <c r="D41" s="233">
        <f t="shared" si="10"/>
        <v>0</v>
      </c>
      <c r="E41" s="233">
        <f t="shared" si="10"/>
        <v>0</v>
      </c>
      <c r="F41" s="233" t="str">
        <f t="shared" si="10"/>
        <v>C</v>
      </c>
      <c r="G41" s="233">
        <f t="shared" si="10"/>
        <v>0</v>
      </c>
      <c r="H41" s="233">
        <f t="shared" si="10"/>
        <v>0</v>
      </c>
      <c r="I41" s="233">
        <f t="shared" si="10"/>
        <v>0</v>
      </c>
      <c r="J41" s="233" t="str">
        <f t="shared" si="10"/>
        <v>C</v>
      </c>
      <c r="K41" s="233">
        <f t="shared" si="10"/>
        <v>0</v>
      </c>
      <c r="L41" s="233">
        <f t="shared" si="10"/>
        <v>0</v>
      </c>
      <c r="M41" s="233">
        <f t="shared" si="10"/>
        <v>0</v>
      </c>
      <c r="N41" s="233" t="str">
        <f t="shared" si="10"/>
        <v>H</v>
      </c>
      <c r="O41" s="233">
        <f t="shared" si="10"/>
        <v>0</v>
      </c>
      <c r="P41" s="233">
        <f t="shared" si="10"/>
        <v>0</v>
      </c>
      <c r="Q41" s="233">
        <f t="shared" si="10"/>
        <v>0</v>
      </c>
      <c r="R41" s="233" t="str">
        <f t="shared" si="10"/>
        <v>C</v>
      </c>
      <c r="S41" s="233">
        <f t="shared" si="10"/>
        <v>0</v>
      </c>
      <c r="T41" s="233">
        <f t="shared" si="10"/>
        <v>0</v>
      </c>
      <c r="U41" s="233">
        <f t="shared" si="10"/>
        <v>0</v>
      </c>
      <c r="V41" s="233" t="str">
        <f t="shared" si="10"/>
        <v>C</v>
      </c>
    </row>
    <row r="42" spans="1:29">
      <c r="A42" s="326" t="s">
        <v>1029</v>
      </c>
      <c r="B42" s="330"/>
      <c r="C42" s="204">
        <f t="shared" ref="C42:V42" si="11">C4</f>
        <v>1200</v>
      </c>
      <c r="D42" s="204">
        <f t="shared" si="11"/>
        <v>2400</v>
      </c>
      <c r="E42" s="204">
        <f t="shared" si="11"/>
        <v>3600</v>
      </c>
      <c r="F42" s="204">
        <f t="shared" si="11"/>
        <v>4800</v>
      </c>
      <c r="G42" s="204">
        <f t="shared" si="11"/>
        <v>6000</v>
      </c>
      <c r="H42" s="204">
        <f t="shared" si="11"/>
        <v>7200</v>
      </c>
      <c r="I42" s="204">
        <f t="shared" si="11"/>
        <v>8400</v>
      </c>
      <c r="J42" s="204">
        <f t="shared" si="11"/>
        <v>9600</v>
      </c>
      <c r="K42" s="204">
        <f t="shared" si="11"/>
        <v>10800</v>
      </c>
      <c r="L42" s="204">
        <f t="shared" si="11"/>
        <v>12000</v>
      </c>
      <c r="M42" s="204">
        <f t="shared" si="11"/>
        <v>13200</v>
      </c>
      <c r="N42" s="204">
        <f t="shared" si="11"/>
        <v>14400</v>
      </c>
      <c r="O42" s="204">
        <f t="shared" si="11"/>
        <v>15600</v>
      </c>
      <c r="P42" s="204">
        <f t="shared" si="11"/>
        <v>16800</v>
      </c>
      <c r="Q42" s="204">
        <f t="shared" si="11"/>
        <v>18000</v>
      </c>
      <c r="R42" s="204">
        <f t="shared" si="11"/>
        <v>19200</v>
      </c>
      <c r="S42" s="204">
        <f t="shared" si="11"/>
        <v>20400</v>
      </c>
      <c r="T42" s="204">
        <f t="shared" si="11"/>
        <v>21600</v>
      </c>
      <c r="U42" s="204">
        <f t="shared" si="11"/>
        <v>22800</v>
      </c>
      <c r="V42" s="204">
        <f t="shared" si="11"/>
        <v>24000</v>
      </c>
    </row>
    <row r="43" spans="1:29">
      <c r="A43" s="329" t="s">
        <v>1030</v>
      </c>
      <c r="B43" s="204"/>
      <c r="C43" s="204">
        <f t="shared" ref="C43:V43" si="12">C5</f>
        <v>100</v>
      </c>
      <c r="D43" s="204">
        <f t="shared" si="12"/>
        <v>200</v>
      </c>
      <c r="E43" s="204">
        <f t="shared" si="12"/>
        <v>300</v>
      </c>
      <c r="F43" s="204">
        <f t="shared" si="12"/>
        <v>400</v>
      </c>
      <c r="G43" s="204">
        <f t="shared" si="12"/>
        <v>500</v>
      </c>
      <c r="H43" s="204">
        <f t="shared" si="12"/>
        <v>600</v>
      </c>
      <c r="I43" s="204">
        <f t="shared" si="12"/>
        <v>700</v>
      </c>
      <c r="J43" s="204">
        <f t="shared" si="12"/>
        <v>800</v>
      </c>
      <c r="K43" s="204">
        <f t="shared" si="12"/>
        <v>900</v>
      </c>
      <c r="L43" s="204">
        <f t="shared" si="12"/>
        <v>1000</v>
      </c>
      <c r="M43" s="204">
        <f t="shared" si="12"/>
        <v>1100</v>
      </c>
      <c r="N43" s="204">
        <f t="shared" si="12"/>
        <v>1200</v>
      </c>
      <c r="O43" s="204">
        <f t="shared" si="12"/>
        <v>1300</v>
      </c>
      <c r="P43" s="204">
        <f t="shared" si="12"/>
        <v>1400</v>
      </c>
      <c r="Q43" s="204">
        <f t="shared" si="12"/>
        <v>1500</v>
      </c>
      <c r="R43" s="204">
        <f t="shared" si="12"/>
        <v>1600</v>
      </c>
      <c r="S43" s="204">
        <f t="shared" si="12"/>
        <v>1700</v>
      </c>
      <c r="T43" s="204">
        <f t="shared" si="12"/>
        <v>1800</v>
      </c>
      <c r="U43" s="204">
        <f t="shared" si="12"/>
        <v>1900</v>
      </c>
      <c r="V43" s="204">
        <f t="shared" si="12"/>
        <v>2000</v>
      </c>
      <c r="W43" s="335" t="s">
        <v>763</v>
      </c>
    </row>
    <row r="44" spans="1:29">
      <c r="A44" s="338"/>
      <c r="B44" s="339"/>
      <c r="C44" s="339"/>
      <c r="D44" s="339"/>
      <c r="E44" s="339"/>
      <c r="F44" s="339"/>
      <c r="G44" s="339"/>
      <c r="H44" s="339"/>
      <c r="I44" s="339"/>
      <c r="J44" s="339"/>
      <c r="K44" s="339"/>
      <c r="L44" s="339"/>
      <c r="M44" s="339"/>
      <c r="N44" s="339"/>
      <c r="O44" s="339"/>
      <c r="P44" s="339"/>
      <c r="Q44" s="339"/>
      <c r="R44" s="339"/>
      <c r="S44" s="339"/>
      <c r="T44" s="339"/>
      <c r="U44" s="339"/>
      <c r="V44" s="339"/>
    </row>
    <row r="45" spans="1:29">
      <c r="A45" s="335" t="s">
        <v>1057</v>
      </c>
      <c r="B45" s="340"/>
      <c r="C45" s="204"/>
      <c r="D45" s="340"/>
      <c r="E45" s="341"/>
      <c r="F45" s="340">
        <f>$G$146</f>
        <v>25</v>
      </c>
      <c r="G45" s="340"/>
      <c r="H45" s="341"/>
      <c r="I45" s="340"/>
      <c r="J45" s="340">
        <f>$G$146</f>
        <v>25</v>
      </c>
      <c r="K45" s="341"/>
      <c r="L45" s="340"/>
      <c r="M45" s="340"/>
      <c r="N45" s="340">
        <f>$G$147</f>
        <v>100</v>
      </c>
      <c r="O45" s="340"/>
      <c r="P45" s="340"/>
      <c r="Q45" s="341"/>
      <c r="R45" s="340">
        <f>$G$146</f>
        <v>25</v>
      </c>
      <c r="S45" s="204"/>
      <c r="T45" s="341"/>
      <c r="U45" s="340"/>
      <c r="V45" s="340"/>
      <c r="W45" s="335">
        <f>+SUM(C45:V45)</f>
        <v>175</v>
      </c>
    </row>
    <row r="46" spans="1:29">
      <c r="A46" s="166"/>
      <c r="B46" s="166"/>
      <c r="C46" s="166"/>
      <c r="D46" s="166"/>
      <c r="E46" s="166"/>
      <c r="F46" s="166"/>
      <c r="G46" s="166"/>
      <c r="H46" s="166"/>
      <c r="I46" s="166"/>
      <c r="J46" s="166"/>
      <c r="K46" s="166"/>
      <c r="L46" s="166"/>
      <c r="N46" s="166"/>
      <c r="O46" s="166"/>
      <c r="P46" s="166"/>
      <c r="Q46" s="166"/>
      <c r="S46" s="166"/>
      <c r="T46" s="342"/>
      <c r="W46" s="192"/>
    </row>
    <row r="47" spans="1:29">
      <c r="A47" s="335" t="s">
        <v>1024</v>
      </c>
      <c r="K47" s="136"/>
      <c r="T47" s="275"/>
      <c r="W47" s="192"/>
    </row>
    <row r="48" spans="1:29">
      <c r="A48" s="204" t="s">
        <v>1031</v>
      </c>
      <c r="B48" s="204">
        <f t="shared" ref="B48:B69" si="13">G122</f>
        <v>50</v>
      </c>
      <c r="C48" s="204"/>
      <c r="D48" s="204"/>
      <c r="E48" s="204"/>
      <c r="F48" s="204">
        <f>$B48</f>
        <v>50</v>
      </c>
      <c r="G48" s="204"/>
      <c r="H48" s="204"/>
      <c r="I48" s="204"/>
      <c r="J48" s="204">
        <f>$B48</f>
        <v>50</v>
      </c>
      <c r="K48" s="204"/>
      <c r="L48" s="204"/>
      <c r="M48" s="204"/>
      <c r="N48" s="204">
        <f>$B48</f>
        <v>50</v>
      </c>
      <c r="O48" s="204"/>
      <c r="P48" s="204"/>
      <c r="Q48" s="204"/>
      <c r="R48" s="204">
        <f>$B48</f>
        <v>50</v>
      </c>
      <c r="S48" s="204"/>
      <c r="T48" s="204"/>
      <c r="U48" s="204"/>
      <c r="V48" s="204"/>
      <c r="W48" s="335">
        <f t="shared" ref="W48:W70" si="14">+SUM(C48:V48)</f>
        <v>200</v>
      </c>
    </row>
    <row r="49" spans="1:23">
      <c r="A49" s="204" t="s">
        <v>1025</v>
      </c>
      <c r="B49" s="334">
        <f t="shared" si="13"/>
        <v>30</v>
      </c>
      <c r="C49" s="204"/>
      <c r="D49" s="204"/>
      <c r="E49" s="204"/>
      <c r="F49" s="204">
        <f>$B49</f>
        <v>30</v>
      </c>
      <c r="G49" s="204"/>
      <c r="H49" s="204"/>
      <c r="I49" s="204"/>
      <c r="J49" s="204">
        <f>$B49</f>
        <v>30</v>
      </c>
      <c r="K49" s="204"/>
      <c r="L49" s="204"/>
      <c r="M49" s="204"/>
      <c r="N49" s="204">
        <f>$B49</f>
        <v>30</v>
      </c>
      <c r="O49" s="204"/>
      <c r="P49" s="204"/>
      <c r="Q49" s="204"/>
      <c r="R49" s="204">
        <f>$B49</f>
        <v>30</v>
      </c>
      <c r="S49" s="204"/>
      <c r="T49" s="204"/>
      <c r="U49" s="204"/>
      <c r="V49" s="204"/>
      <c r="W49" s="335">
        <f t="shared" si="14"/>
        <v>120</v>
      </c>
    </row>
    <row r="50" spans="1:23">
      <c r="A50" s="204" t="s">
        <v>1032</v>
      </c>
      <c r="B50" s="334" t="str">
        <f t="shared" si="13"/>
        <v>NA</v>
      </c>
      <c r="C50" s="204"/>
      <c r="D50" s="204"/>
      <c r="E50" s="204"/>
      <c r="F50" s="204"/>
      <c r="G50" s="204"/>
      <c r="H50" s="204"/>
      <c r="I50" s="204"/>
      <c r="J50" s="204"/>
      <c r="K50" s="204"/>
      <c r="L50" s="204"/>
      <c r="M50" s="204"/>
      <c r="N50" s="204"/>
      <c r="O50" s="204"/>
      <c r="P50" s="204"/>
      <c r="Q50" s="204"/>
      <c r="R50" s="204"/>
      <c r="S50" s="204"/>
      <c r="T50" s="204"/>
      <c r="U50" s="204"/>
      <c r="V50" s="204"/>
      <c r="W50" s="335">
        <f t="shared" si="14"/>
        <v>0</v>
      </c>
    </row>
    <row r="51" spans="1:23">
      <c r="A51" s="204" t="s">
        <v>1033</v>
      </c>
      <c r="B51" s="334">
        <f t="shared" si="13"/>
        <v>75</v>
      </c>
      <c r="C51" s="204"/>
      <c r="D51" s="204"/>
      <c r="E51" s="204"/>
      <c r="F51" s="204">
        <f>$B51</f>
        <v>75</v>
      </c>
      <c r="G51" s="204"/>
      <c r="H51" s="204"/>
      <c r="I51" s="204"/>
      <c r="J51" s="204">
        <f>$B51</f>
        <v>75</v>
      </c>
      <c r="K51" s="204"/>
      <c r="L51" s="204"/>
      <c r="M51" s="204"/>
      <c r="N51" s="204"/>
      <c r="O51" s="204"/>
      <c r="P51" s="204"/>
      <c r="Q51" s="204"/>
      <c r="R51" s="204">
        <f>$B51</f>
        <v>75</v>
      </c>
      <c r="S51" s="204"/>
      <c r="T51" s="204"/>
      <c r="U51" s="204"/>
      <c r="V51" s="204"/>
      <c r="W51" s="335">
        <f t="shared" si="14"/>
        <v>225</v>
      </c>
    </row>
    <row r="52" spans="1:23">
      <c r="A52" s="204" t="s">
        <v>1034</v>
      </c>
      <c r="B52" s="334">
        <f t="shared" si="13"/>
        <v>75</v>
      </c>
      <c r="C52" s="334"/>
      <c r="D52" s="204"/>
      <c r="E52" s="204"/>
      <c r="F52" s="204"/>
      <c r="G52" s="204"/>
      <c r="H52" s="204"/>
      <c r="I52" s="204"/>
      <c r="J52" s="204"/>
      <c r="K52" s="334"/>
      <c r="L52" s="204"/>
      <c r="M52" s="204"/>
      <c r="N52" s="204">
        <f t="shared" ref="N52:N60" si="15">$B52</f>
        <v>75</v>
      </c>
      <c r="O52" s="204"/>
      <c r="P52" s="204"/>
      <c r="Q52" s="204"/>
      <c r="R52" s="204"/>
      <c r="S52" s="204"/>
      <c r="T52" s="204"/>
      <c r="U52" s="204"/>
      <c r="V52" s="204"/>
      <c r="W52" s="335">
        <f t="shared" si="14"/>
        <v>75</v>
      </c>
    </row>
    <row r="53" spans="1:23">
      <c r="A53" s="204" t="s">
        <v>1035</v>
      </c>
      <c r="B53" s="334">
        <f t="shared" si="13"/>
        <v>75</v>
      </c>
      <c r="C53" s="334"/>
      <c r="D53" s="204"/>
      <c r="E53" s="334"/>
      <c r="F53" s="204"/>
      <c r="G53" s="204"/>
      <c r="H53" s="204"/>
      <c r="I53" s="204"/>
      <c r="J53" s="204"/>
      <c r="K53" s="334"/>
      <c r="L53" s="204"/>
      <c r="M53" s="204"/>
      <c r="N53" s="204">
        <f t="shared" si="15"/>
        <v>75</v>
      </c>
      <c r="O53" s="204"/>
      <c r="P53" s="204"/>
      <c r="Q53" s="334"/>
      <c r="R53" s="204"/>
      <c r="S53" s="204"/>
      <c r="T53" s="204"/>
      <c r="U53" s="204"/>
      <c r="V53" s="204"/>
      <c r="W53" s="335">
        <f t="shared" si="14"/>
        <v>75</v>
      </c>
    </row>
    <row r="54" spans="1:23">
      <c r="A54" s="204" t="s">
        <v>1036</v>
      </c>
      <c r="B54" s="334">
        <f t="shared" si="13"/>
        <v>75</v>
      </c>
      <c r="C54" s="334"/>
      <c r="D54" s="204"/>
      <c r="E54" s="334"/>
      <c r="F54" s="204"/>
      <c r="G54" s="204"/>
      <c r="H54" s="204"/>
      <c r="I54" s="204"/>
      <c r="J54" s="204"/>
      <c r="K54" s="334"/>
      <c r="L54" s="204"/>
      <c r="M54" s="204"/>
      <c r="N54" s="204">
        <f t="shared" si="15"/>
        <v>75</v>
      </c>
      <c r="O54" s="204"/>
      <c r="P54" s="204"/>
      <c r="Q54" s="334"/>
      <c r="R54" s="204"/>
      <c r="S54" s="204"/>
      <c r="T54" s="204"/>
      <c r="U54" s="204"/>
      <c r="V54" s="204"/>
      <c r="W54" s="335">
        <f t="shared" si="14"/>
        <v>75</v>
      </c>
    </row>
    <row r="55" spans="1:23">
      <c r="A55" s="204" t="s">
        <v>1037</v>
      </c>
      <c r="B55" s="334">
        <f t="shared" si="13"/>
        <v>100</v>
      </c>
      <c r="C55" s="204"/>
      <c r="D55" s="204"/>
      <c r="E55" s="204"/>
      <c r="F55" s="204"/>
      <c r="G55" s="204"/>
      <c r="H55" s="204"/>
      <c r="I55" s="204"/>
      <c r="J55" s="204"/>
      <c r="K55" s="334"/>
      <c r="L55" s="204"/>
      <c r="M55" s="204"/>
      <c r="N55" s="204">
        <f t="shared" si="15"/>
        <v>100</v>
      </c>
      <c r="O55" s="204"/>
      <c r="P55" s="334"/>
      <c r="Q55" s="204"/>
      <c r="R55" s="204"/>
      <c r="S55" s="204"/>
      <c r="T55" s="204"/>
      <c r="U55" s="204"/>
      <c r="V55" s="204"/>
      <c r="W55" s="335">
        <f t="shared" si="14"/>
        <v>100</v>
      </c>
    </row>
    <row r="56" spans="1:23">
      <c r="A56" s="204" t="s">
        <v>1038</v>
      </c>
      <c r="B56" s="334">
        <f t="shared" si="13"/>
        <v>75</v>
      </c>
      <c r="C56" s="204"/>
      <c r="D56" s="204"/>
      <c r="E56" s="334"/>
      <c r="F56" s="204"/>
      <c r="G56" s="204"/>
      <c r="H56" s="204"/>
      <c r="I56" s="204"/>
      <c r="J56" s="204"/>
      <c r="K56" s="334"/>
      <c r="L56" s="204"/>
      <c r="M56" s="204"/>
      <c r="N56" s="204">
        <f t="shared" si="15"/>
        <v>75</v>
      </c>
      <c r="O56" s="204"/>
      <c r="P56" s="334"/>
      <c r="Q56" s="334"/>
      <c r="R56" s="204"/>
      <c r="S56" s="204"/>
      <c r="T56" s="204"/>
      <c r="U56" s="204"/>
      <c r="V56" s="204"/>
      <c r="W56" s="335">
        <f t="shared" si="14"/>
        <v>75</v>
      </c>
    </row>
    <row r="57" spans="1:23">
      <c r="A57" s="204" t="s">
        <v>1039</v>
      </c>
      <c r="B57" s="334">
        <f t="shared" si="13"/>
        <v>75</v>
      </c>
      <c r="C57" s="204"/>
      <c r="D57" s="204"/>
      <c r="E57" s="334"/>
      <c r="F57" s="204"/>
      <c r="G57" s="204"/>
      <c r="H57" s="204"/>
      <c r="I57" s="204"/>
      <c r="J57" s="204"/>
      <c r="K57" s="334"/>
      <c r="L57" s="204"/>
      <c r="M57" s="204"/>
      <c r="N57" s="204">
        <f t="shared" si="15"/>
        <v>75</v>
      </c>
      <c r="O57" s="204"/>
      <c r="P57" s="334"/>
      <c r="Q57" s="334"/>
      <c r="R57" s="204"/>
      <c r="S57" s="204"/>
      <c r="T57" s="204"/>
      <c r="U57" s="204"/>
      <c r="V57" s="204"/>
      <c r="W57" s="335">
        <f t="shared" si="14"/>
        <v>75</v>
      </c>
    </row>
    <row r="58" spans="1:23">
      <c r="A58" s="204" t="s">
        <v>1058</v>
      </c>
      <c r="B58" s="334">
        <f t="shared" si="13"/>
        <v>30</v>
      </c>
      <c r="C58" s="204"/>
      <c r="D58" s="204"/>
      <c r="E58" s="204"/>
      <c r="F58" s="204"/>
      <c r="G58" s="204"/>
      <c r="H58" s="204"/>
      <c r="I58" s="204"/>
      <c r="J58" s="204"/>
      <c r="K58" s="204"/>
      <c r="L58" s="204"/>
      <c r="M58" s="204"/>
      <c r="N58" s="204">
        <f t="shared" si="15"/>
        <v>30</v>
      </c>
      <c r="O58" s="204"/>
      <c r="P58" s="204"/>
      <c r="Q58" s="204"/>
      <c r="R58" s="204"/>
      <c r="S58" s="204"/>
      <c r="T58" s="204"/>
      <c r="U58" s="204"/>
      <c r="V58" s="204"/>
      <c r="W58" s="335">
        <f t="shared" si="14"/>
        <v>30</v>
      </c>
    </row>
    <row r="59" spans="1:23">
      <c r="A59" s="204" t="s">
        <v>1041</v>
      </c>
      <c r="B59" s="334">
        <f t="shared" si="13"/>
        <v>30</v>
      </c>
      <c r="C59" s="204"/>
      <c r="D59" s="204"/>
      <c r="E59" s="204"/>
      <c r="F59" s="204"/>
      <c r="G59" s="204"/>
      <c r="H59" s="204"/>
      <c r="I59" s="204"/>
      <c r="J59" s="204"/>
      <c r="K59" s="204"/>
      <c r="L59" s="204"/>
      <c r="M59" s="204"/>
      <c r="N59" s="204">
        <f t="shared" si="15"/>
        <v>30</v>
      </c>
      <c r="O59" s="204"/>
      <c r="P59" s="204"/>
      <c r="Q59" s="204"/>
      <c r="R59" s="204"/>
      <c r="S59" s="204"/>
      <c r="T59" s="204"/>
      <c r="U59" s="204"/>
      <c r="V59" s="204"/>
      <c r="W59" s="335">
        <f t="shared" si="14"/>
        <v>30</v>
      </c>
    </row>
    <row r="60" spans="1:23">
      <c r="A60" s="204" t="s">
        <v>1042</v>
      </c>
      <c r="B60" s="334">
        <f t="shared" si="13"/>
        <v>60</v>
      </c>
      <c r="C60" s="204"/>
      <c r="D60" s="204"/>
      <c r="E60" s="204"/>
      <c r="F60" s="204"/>
      <c r="G60" s="204"/>
      <c r="H60" s="204"/>
      <c r="I60" s="204"/>
      <c r="J60" s="204"/>
      <c r="K60" s="204"/>
      <c r="L60" s="204"/>
      <c r="M60" s="204"/>
      <c r="N60" s="204">
        <f t="shared" si="15"/>
        <v>60</v>
      </c>
      <c r="O60" s="204"/>
      <c r="P60" s="204"/>
      <c r="Q60" s="204"/>
      <c r="R60" s="204"/>
      <c r="S60" s="204"/>
      <c r="T60" s="204"/>
      <c r="U60" s="204"/>
      <c r="V60" s="204"/>
      <c r="W60" s="335">
        <f t="shared" si="14"/>
        <v>60</v>
      </c>
    </row>
    <row r="61" spans="1:23">
      <c r="A61" s="204" t="s">
        <v>1043</v>
      </c>
      <c r="B61" s="334" t="str">
        <f t="shared" si="13"/>
        <v>NA</v>
      </c>
      <c r="C61" s="204"/>
      <c r="D61" s="204"/>
      <c r="E61" s="204"/>
      <c r="F61" s="204"/>
      <c r="G61" s="204"/>
      <c r="H61" s="204"/>
      <c r="I61" s="204"/>
      <c r="J61" s="204"/>
      <c r="K61" s="204"/>
      <c r="L61" s="204"/>
      <c r="M61" s="204"/>
      <c r="N61" s="204"/>
      <c r="O61" s="204"/>
      <c r="P61" s="204"/>
      <c r="Q61" s="204"/>
      <c r="R61" s="204"/>
      <c r="S61" s="204"/>
      <c r="T61" s="343"/>
      <c r="U61" s="204"/>
      <c r="V61" s="204"/>
      <c r="W61" s="335">
        <f t="shared" si="14"/>
        <v>0</v>
      </c>
    </row>
    <row r="62" spans="1:23">
      <c r="A62" s="204" t="s">
        <v>1044</v>
      </c>
      <c r="B62" s="334">
        <f t="shared" si="13"/>
        <v>40</v>
      </c>
      <c r="C62" s="204"/>
      <c r="D62" s="204"/>
      <c r="E62" s="204"/>
      <c r="F62" s="204"/>
      <c r="G62" s="204"/>
      <c r="H62" s="204"/>
      <c r="I62" s="204"/>
      <c r="J62" s="204"/>
      <c r="K62" s="204"/>
      <c r="L62" s="204"/>
      <c r="M62" s="204"/>
      <c r="N62" s="204"/>
      <c r="O62" s="204"/>
      <c r="P62" s="204"/>
      <c r="Q62" s="204"/>
      <c r="R62" s="204"/>
      <c r="S62" s="204"/>
      <c r="T62" s="204"/>
      <c r="U62" s="204"/>
      <c r="V62" s="204"/>
      <c r="W62" s="335">
        <f t="shared" si="14"/>
        <v>0</v>
      </c>
    </row>
    <row r="63" spans="1:23">
      <c r="A63" s="204" t="s">
        <v>1045</v>
      </c>
      <c r="B63" s="334">
        <f t="shared" si="13"/>
        <v>40</v>
      </c>
      <c r="C63" s="204"/>
      <c r="D63" s="204"/>
      <c r="E63" s="204"/>
      <c r="F63" s="204"/>
      <c r="G63" s="204"/>
      <c r="H63" s="204"/>
      <c r="I63" s="204"/>
      <c r="J63" s="204"/>
      <c r="K63" s="204"/>
      <c r="L63" s="204"/>
      <c r="M63" s="204"/>
      <c r="N63" s="204"/>
      <c r="O63" s="204"/>
      <c r="P63" s="204"/>
      <c r="Q63" s="204"/>
      <c r="R63" s="204"/>
      <c r="S63" s="204"/>
      <c r="T63" s="204"/>
      <c r="U63" s="341"/>
      <c r="V63" s="341"/>
      <c r="W63" s="335">
        <f t="shared" si="14"/>
        <v>0</v>
      </c>
    </row>
    <row r="64" spans="1:23">
      <c r="A64" s="204" t="s">
        <v>1046</v>
      </c>
      <c r="B64" s="334">
        <f t="shared" si="13"/>
        <v>25</v>
      </c>
      <c r="C64" s="204"/>
      <c r="D64" s="204"/>
      <c r="E64" s="204"/>
      <c r="F64" s="204"/>
      <c r="G64" s="204"/>
      <c r="H64" s="204"/>
      <c r="I64" s="204"/>
      <c r="J64" s="204"/>
      <c r="K64" s="204"/>
      <c r="L64" s="204"/>
      <c r="M64" s="204"/>
      <c r="N64" s="204"/>
      <c r="O64" s="204"/>
      <c r="P64" s="204"/>
      <c r="Q64" s="204"/>
      <c r="R64" s="204"/>
      <c r="S64" s="204"/>
      <c r="T64" s="204"/>
      <c r="U64" s="204"/>
      <c r="V64" s="204"/>
      <c r="W64" s="335">
        <f t="shared" si="14"/>
        <v>0</v>
      </c>
    </row>
    <row r="65" spans="1:25">
      <c r="A65" s="204" t="s">
        <v>1047</v>
      </c>
      <c r="B65" s="334" t="str">
        <f t="shared" si="13"/>
        <v>NA</v>
      </c>
      <c r="C65" s="204"/>
      <c r="D65" s="204"/>
      <c r="E65" s="204"/>
      <c r="F65" s="204"/>
      <c r="G65" s="204"/>
      <c r="H65" s="204"/>
      <c r="I65" s="204"/>
      <c r="J65" s="204"/>
      <c r="K65" s="204"/>
      <c r="L65" s="204"/>
      <c r="M65" s="204"/>
      <c r="N65" s="204"/>
      <c r="O65" s="204"/>
      <c r="P65" s="204"/>
      <c r="Q65" s="204"/>
      <c r="R65" s="204"/>
      <c r="S65" s="204"/>
      <c r="T65" s="343"/>
      <c r="U65" s="204"/>
      <c r="V65" s="204"/>
      <c r="W65" s="335">
        <f t="shared" si="14"/>
        <v>0</v>
      </c>
    </row>
    <row r="66" spans="1:25">
      <c r="A66" s="204" t="s">
        <v>1048</v>
      </c>
      <c r="B66" s="334" t="str">
        <f t="shared" si="13"/>
        <v>NA</v>
      </c>
      <c r="C66" s="204"/>
      <c r="D66" s="204"/>
      <c r="E66" s="204"/>
      <c r="F66" s="204"/>
      <c r="G66" s="204"/>
      <c r="H66" s="204"/>
      <c r="I66" s="204"/>
      <c r="J66" s="204"/>
      <c r="K66" s="204"/>
      <c r="L66" s="204"/>
      <c r="M66" s="204"/>
      <c r="N66" s="204"/>
      <c r="O66" s="204"/>
      <c r="P66" s="204"/>
      <c r="Q66" s="204"/>
      <c r="R66" s="204"/>
      <c r="S66" s="204"/>
      <c r="T66" s="343"/>
      <c r="U66" s="204"/>
      <c r="V66" s="204"/>
      <c r="W66" s="335">
        <f t="shared" si="14"/>
        <v>0</v>
      </c>
    </row>
    <row r="67" spans="1:25">
      <c r="A67" s="204" t="s">
        <v>1049</v>
      </c>
      <c r="B67" s="334" t="str">
        <f t="shared" si="13"/>
        <v>NA</v>
      </c>
      <c r="C67" s="204"/>
      <c r="D67" s="204"/>
      <c r="E67" s="204"/>
      <c r="F67" s="204"/>
      <c r="G67" s="204"/>
      <c r="H67" s="204"/>
      <c r="I67" s="204"/>
      <c r="J67" s="204"/>
      <c r="K67" s="204"/>
      <c r="L67" s="204"/>
      <c r="M67" s="204"/>
      <c r="N67" s="204"/>
      <c r="O67" s="204"/>
      <c r="P67" s="204"/>
      <c r="Q67" s="204"/>
      <c r="R67" s="204"/>
      <c r="S67" s="204"/>
      <c r="T67" s="204"/>
      <c r="U67" s="204"/>
      <c r="V67" s="204"/>
      <c r="W67" s="335">
        <f t="shared" si="14"/>
        <v>0</v>
      </c>
    </row>
    <row r="68" spans="1:25">
      <c r="A68" s="204" t="s">
        <v>1050</v>
      </c>
      <c r="B68" s="334">
        <f t="shared" si="13"/>
        <v>75</v>
      </c>
      <c r="C68" s="204"/>
      <c r="D68" s="204"/>
      <c r="E68" s="204"/>
      <c r="F68" s="204"/>
      <c r="G68" s="204"/>
      <c r="H68" s="204"/>
      <c r="I68" s="204"/>
      <c r="J68" s="204"/>
      <c r="K68" s="204"/>
      <c r="L68" s="204"/>
      <c r="M68" s="204"/>
      <c r="N68" s="204"/>
      <c r="O68" s="204"/>
      <c r="P68" s="204"/>
      <c r="Q68" s="204"/>
      <c r="R68" s="204"/>
      <c r="S68" s="204"/>
      <c r="T68" s="204"/>
      <c r="U68" s="204"/>
      <c r="V68" s="204"/>
      <c r="W68" s="335">
        <f t="shared" si="14"/>
        <v>0</v>
      </c>
    </row>
    <row r="69" spans="1:25">
      <c r="A69" s="204" t="s">
        <v>1051</v>
      </c>
      <c r="B69" s="334">
        <f t="shared" si="13"/>
        <v>50</v>
      </c>
      <c r="C69" s="204"/>
      <c r="D69" s="204"/>
      <c r="E69" s="204"/>
      <c r="F69" s="204"/>
      <c r="G69" s="204"/>
      <c r="H69" s="204"/>
      <c r="I69" s="204"/>
      <c r="J69" s="204"/>
      <c r="K69" s="204"/>
      <c r="L69" s="204"/>
      <c r="M69" s="204"/>
      <c r="N69" s="204"/>
      <c r="O69" s="204"/>
      <c r="P69" s="204"/>
      <c r="Q69" s="204"/>
      <c r="R69" s="204"/>
      <c r="S69" s="204"/>
      <c r="T69" s="204"/>
      <c r="U69" s="204"/>
      <c r="V69" s="204"/>
      <c r="W69" s="335">
        <f t="shared" si="14"/>
        <v>0</v>
      </c>
    </row>
    <row r="70" spans="1:25">
      <c r="A70" s="204"/>
      <c r="B70" s="204"/>
      <c r="C70" s="204"/>
      <c r="D70" s="204"/>
      <c r="E70" s="204"/>
      <c r="F70" s="204"/>
      <c r="G70" s="204"/>
      <c r="H70" s="204"/>
      <c r="I70" s="204"/>
      <c r="J70" s="204"/>
      <c r="K70" s="204"/>
      <c r="L70" s="204"/>
      <c r="M70" s="204"/>
      <c r="N70" s="204"/>
      <c r="O70" s="204"/>
      <c r="P70" s="204"/>
      <c r="Q70" s="204"/>
      <c r="R70" s="204"/>
      <c r="S70" s="204"/>
      <c r="T70" s="343"/>
      <c r="U70" s="204"/>
      <c r="V70" s="204"/>
      <c r="W70" s="335">
        <f t="shared" si="14"/>
        <v>0</v>
      </c>
    </row>
    <row r="71" spans="1:25">
      <c r="A71" s="166"/>
      <c r="B71" s="166"/>
      <c r="C71" s="166"/>
      <c r="D71" s="166"/>
      <c r="E71" s="166"/>
      <c r="F71" s="166"/>
      <c r="G71" s="166"/>
      <c r="H71" s="166"/>
      <c r="I71" s="166"/>
      <c r="J71" s="166"/>
      <c r="K71" s="166"/>
      <c r="L71" s="166"/>
      <c r="M71" s="166"/>
      <c r="N71" s="166"/>
      <c r="O71" s="166"/>
      <c r="P71" s="166"/>
      <c r="Q71" s="166"/>
      <c r="R71" s="166"/>
      <c r="S71" s="166"/>
      <c r="T71" s="342"/>
    </row>
    <row r="72" spans="1:25">
      <c r="A72" s="221" t="s">
        <v>1059</v>
      </c>
      <c r="B72" s="221"/>
      <c r="C72" s="342">
        <f t="shared" ref="C72:W72" si="16">+SUM(C48:C70)</f>
        <v>0</v>
      </c>
      <c r="D72" s="342">
        <f t="shared" si="16"/>
        <v>0</v>
      </c>
      <c r="E72" s="342">
        <f t="shared" si="16"/>
        <v>0</v>
      </c>
      <c r="F72" s="342">
        <f t="shared" si="16"/>
        <v>155</v>
      </c>
      <c r="G72" s="342">
        <f t="shared" si="16"/>
        <v>0</v>
      </c>
      <c r="H72" s="342">
        <f t="shared" si="16"/>
        <v>0</v>
      </c>
      <c r="I72" s="342">
        <f t="shared" si="16"/>
        <v>0</v>
      </c>
      <c r="J72" s="342">
        <f t="shared" si="16"/>
        <v>155</v>
      </c>
      <c r="K72" s="342">
        <f t="shared" si="16"/>
        <v>0</v>
      </c>
      <c r="L72" s="342">
        <f t="shared" si="16"/>
        <v>0</v>
      </c>
      <c r="M72" s="342">
        <f t="shared" si="16"/>
        <v>0</v>
      </c>
      <c r="N72" s="342">
        <f t="shared" si="16"/>
        <v>675</v>
      </c>
      <c r="O72" s="342">
        <f t="shared" si="16"/>
        <v>0</v>
      </c>
      <c r="P72" s="342">
        <f t="shared" si="16"/>
        <v>0</v>
      </c>
      <c r="Q72" s="342">
        <f t="shared" si="16"/>
        <v>0</v>
      </c>
      <c r="R72" s="342">
        <f t="shared" si="16"/>
        <v>155</v>
      </c>
      <c r="S72" s="342">
        <f t="shared" si="16"/>
        <v>0</v>
      </c>
      <c r="T72" s="342">
        <f t="shared" si="16"/>
        <v>0</v>
      </c>
      <c r="U72" s="342">
        <f t="shared" si="16"/>
        <v>0</v>
      </c>
      <c r="V72" s="342">
        <f t="shared" si="16"/>
        <v>0</v>
      </c>
      <c r="W72" s="342">
        <f t="shared" si="16"/>
        <v>1140</v>
      </c>
    </row>
    <row r="73" spans="1:25">
      <c r="A73" s="221"/>
      <c r="B73" s="221"/>
      <c r="C73" s="342"/>
      <c r="D73" s="342"/>
      <c r="E73" s="342"/>
      <c r="F73" s="342"/>
      <c r="G73" s="342"/>
      <c r="H73" s="342"/>
      <c r="I73" s="342"/>
      <c r="J73" s="342"/>
      <c r="K73" s="342"/>
      <c r="L73" s="342"/>
      <c r="M73" s="342"/>
      <c r="N73" s="342"/>
      <c r="O73" s="342"/>
      <c r="P73" s="342"/>
      <c r="Q73" s="342"/>
      <c r="R73" s="342"/>
      <c r="S73" s="342"/>
      <c r="T73" s="342"/>
      <c r="U73" s="342"/>
      <c r="V73" s="342"/>
      <c r="W73" s="166"/>
    </row>
    <row r="74" spans="1:25">
      <c r="A74" s="192" t="s">
        <v>1060</v>
      </c>
      <c r="B74" s="192"/>
      <c r="C74" s="342">
        <f>+SUM(C48:C72)</f>
        <v>0</v>
      </c>
      <c r="D74" s="275">
        <f t="shared" ref="D74:W74" si="17">+D72+D45</f>
        <v>0</v>
      </c>
      <c r="E74" s="275">
        <f t="shared" si="17"/>
        <v>0</v>
      </c>
      <c r="F74" s="275">
        <f t="shared" si="17"/>
        <v>180</v>
      </c>
      <c r="G74" s="275">
        <f t="shared" si="17"/>
        <v>0</v>
      </c>
      <c r="H74" s="275">
        <f t="shared" si="17"/>
        <v>0</v>
      </c>
      <c r="I74" s="275">
        <f t="shared" si="17"/>
        <v>0</v>
      </c>
      <c r="J74" s="275">
        <f t="shared" si="17"/>
        <v>180</v>
      </c>
      <c r="K74" s="275">
        <f t="shared" si="17"/>
        <v>0</v>
      </c>
      <c r="L74" s="275">
        <f t="shared" si="17"/>
        <v>0</v>
      </c>
      <c r="M74" s="275">
        <f t="shared" si="17"/>
        <v>0</v>
      </c>
      <c r="N74" s="275">
        <f t="shared" si="17"/>
        <v>775</v>
      </c>
      <c r="O74" s="275">
        <f t="shared" si="17"/>
        <v>0</v>
      </c>
      <c r="P74" s="275">
        <f t="shared" si="17"/>
        <v>0</v>
      </c>
      <c r="Q74" s="275">
        <f t="shared" si="17"/>
        <v>0</v>
      </c>
      <c r="R74" s="275">
        <f t="shared" si="17"/>
        <v>180</v>
      </c>
      <c r="S74" s="275">
        <f t="shared" si="17"/>
        <v>0</v>
      </c>
      <c r="T74" s="275">
        <f t="shared" si="17"/>
        <v>0</v>
      </c>
      <c r="U74" s="275">
        <f t="shared" si="17"/>
        <v>0</v>
      </c>
      <c r="V74" s="275">
        <f t="shared" si="17"/>
        <v>0</v>
      </c>
      <c r="W74" s="275">
        <f t="shared" si="17"/>
        <v>1315</v>
      </c>
    </row>
    <row r="77" spans="1:25">
      <c r="A77" s="192" t="s">
        <v>1061</v>
      </c>
    </row>
    <row r="79" spans="1:25">
      <c r="A79" s="204" t="s">
        <v>1020</v>
      </c>
      <c r="B79" s="204">
        <v>2001</v>
      </c>
      <c r="C79" s="204">
        <f t="shared" ref="C79:Y79" si="18">+B79+1</f>
        <v>2002</v>
      </c>
      <c r="D79" s="204">
        <f t="shared" si="18"/>
        <v>2003</v>
      </c>
      <c r="E79" s="204">
        <f t="shared" si="18"/>
        <v>2004</v>
      </c>
      <c r="F79" s="204">
        <f t="shared" si="18"/>
        <v>2005</v>
      </c>
      <c r="G79" s="204">
        <f t="shared" si="18"/>
        <v>2006</v>
      </c>
      <c r="H79" s="204">
        <f t="shared" si="18"/>
        <v>2007</v>
      </c>
      <c r="I79" s="204">
        <f t="shared" si="18"/>
        <v>2008</v>
      </c>
      <c r="J79" s="204">
        <f t="shared" si="18"/>
        <v>2009</v>
      </c>
      <c r="K79" s="204">
        <f t="shared" si="18"/>
        <v>2010</v>
      </c>
      <c r="L79" s="204">
        <f t="shared" si="18"/>
        <v>2011</v>
      </c>
      <c r="M79" s="204">
        <f t="shared" si="18"/>
        <v>2012</v>
      </c>
      <c r="N79" s="204">
        <f t="shared" si="18"/>
        <v>2013</v>
      </c>
      <c r="O79" s="204">
        <f t="shared" si="18"/>
        <v>2014</v>
      </c>
      <c r="P79" s="204">
        <f t="shared" si="18"/>
        <v>2015</v>
      </c>
      <c r="Q79" s="204">
        <f t="shared" si="18"/>
        <v>2016</v>
      </c>
      <c r="R79" s="204">
        <f t="shared" si="18"/>
        <v>2017</v>
      </c>
      <c r="S79" s="204">
        <f t="shared" si="18"/>
        <v>2018</v>
      </c>
      <c r="T79" s="204">
        <f t="shared" si="18"/>
        <v>2019</v>
      </c>
      <c r="U79" s="204">
        <f t="shared" si="18"/>
        <v>2020</v>
      </c>
      <c r="V79" s="204">
        <f t="shared" si="18"/>
        <v>2021</v>
      </c>
      <c r="W79" s="204">
        <f t="shared" si="18"/>
        <v>2022</v>
      </c>
      <c r="X79" s="204">
        <f t="shared" si="18"/>
        <v>2023</v>
      </c>
      <c r="Y79" s="204">
        <f t="shared" si="18"/>
        <v>2024</v>
      </c>
    </row>
    <row r="80" spans="1:25">
      <c r="A80" s="204" t="s">
        <v>1062</v>
      </c>
      <c r="B80" s="334"/>
      <c r="C80" s="334"/>
      <c r="D80" s="334"/>
      <c r="E80" s="233" t="s">
        <v>1021</v>
      </c>
      <c r="F80" s="334"/>
      <c r="G80" s="334"/>
      <c r="H80" s="334"/>
      <c r="I80" s="233" t="s">
        <v>1021</v>
      </c>
      <c r="J80" s="334"/>
      <c r="K80" s="334"/>
      <c r="L80" s="334"/>
      <c r="M80" s="334" t="s">
        <v>1022</v>
      </c>
      <c r="N80" s="334"/>
      <c r="O80" s="334"/>
      <c r="P80" s="334"/>
      <c r="Q80" s="233" t="s">
        <v>1021</v>
      </c>
      <c r="R80" s="334"/>
      <c r="S80" s="334"/>
      <c r="T80" s="334"/>
      <c r="U80" s="233" t="s">
        <v>1021</v>
      </c>
      <c r="V80" s="334"/>
      <c r="W80" s="334"/>
      <c r="X80" s="334"/>
      <c r="Y80" s="334" t="s">
        <v>776</v>
      </c>
    </row>
    <row r="81" spans="1:25">
      <c r="A81" s="204" t="s">
        <v>1063</v>
      </c>
      <c r="B81" s="334">
        <v>1500</v>
      </c>
      <c r="C81" s="334">
        <f t="shared" ref="C81:Y81" si="19">D4</f>
        <v>2400</v>
      </c>
      <c r="D81" s="334">
        <f t="shared" si="19"/>
        <v>3600</v>
      </c>
      <c r="E81" s="334">
        <f t="shared" si="19"/>
        <v>4800</v>
      </c>
      <c r="F81" s="334">
        <f t="shared" si="19"/>
        <v>6000</v>
      </c>
      <c r="G81" s="334">
        <f t="shared" si="19"/>
        <v>7200</v>
      </c>
      <c r="H81" s="334">
        <f t="shared" si="19"/>
        <v>8400</v>
      </c>
      <c r="I81" s="334">
        <f t="shared" si="19"/>
        <v>9600</v>
      </c>
      <c r="J81" s="334">
        <f t="shared" si="19"/>
        <v>10800</v>
      </c>
      <c r="K81" s="334">
        <f t="shared" si="19"/>
        <v>12000</v>
      </c>
      <c r="L81" s="334">
        <f t="shared" si="19"/>
        <v>13200</v>
      </c>
      <c r="M81" s="334">
        <f t="shared" si="19"/>
        <v>14400</v>
      </c>
      <c r="N81" s="334">
        <f t="shared" si="19"/>
        <v>15600</v>
      </c>
      <c r="O81" s="334">
        <f t="shared" si="19"/>
        <v>16800</v>
      </c>
      <c r="P81" s="334">
        <f t="shared" si="19"/>
        <v>18000</v>
      </c>
      <c r="Q81" s="334">
        <f t="shared" si="19"/>
        <v>19200</v>
      </c>
      <c r="R81" s="334">
        <f t="shared" si="19"/>
        <v>20400</v>
      </c>
      <c r="S81" s="334">
        <f t="shared" si="19"/>
        <v>21600</v>
      </c>
      <c r="T81" s="334">
        <f t="shared" si="19"/>
        <v>22800</v>
      </c>
      <c r="U81" s="334">
        <f t="shared" si="19"/>
        <v>24000</v>
      </c>
      <c r="V81" s="334">
        <f t="shared" si="19"/>
        <v>0</v>
      </c>
      <c r="W81" s="334">
        <f t="shared" si="19"/>
        <v>0</v>
      </c>
      <c r="X81" s="334">
        <f t="shared" si="19"/>
        <v>0</v>
      </c>
      <c r="Y81" s="334">
        <f t="shared" si="19"/>
        <v>0</v>
      </c>
    </row>
    <row r="82" spans="1:25">
      <c r="A82" s="204" t="s">
        <v>1030</v>
      </c>
      <c r="B82" s="334">
        <v>120</v>
      </c>
      <c r="C82" s="334">
        <f t="shared" ref="C82:Y82" si="20">D5</f>
        <v>200</v>
      </c>
      <c r="D82" s="334">
        <f t="shared" si="20"/>
        <v>300</v>
      </c>
      <c r="E82" s="334">
        <f t="shared" si="20"/>
        <v>400</v>
      </c>
      <c r="F82" s="334">
        <f t="shared" si="20"/>
        <v>500</v>
      </c>
      <c r="G82" s="334">
        <f t="shared" si="20"/>
        <v>600</v>
      </c>
      <c r="H82" s="334">
        <f t="shared" si="20"/>
        <v>700</v>
      </c>
      <c r="I82" s="334">
        <f t="shared" si="20"/>
        <v>800</v>
      </c>
      <c r="J82" s="334">
        <f t="shared" si="20"/>
        <v>900</v>
      </c>
      <c r="K82" s="334">
        <f t="shared" si="20"/>
        <v>1000</v>
      </c>
      <c r="L82" s="334">
        <f t="shared" si="20"/>
        <v>1100</v>
      </c>
      <c r="M82" s="334">
        <f t="shared" si="20"/>
        <v>1200</v>
      </c>
      <c r="N82" s="334">
        <f t="shared" si="20"/>
        <v>1300</v>
      </c>
      <c r="O82" s="334">
        <f t="shared" si="20"/>
        <v>1400</v>
      </c>
      <c r="P82" s="334">
        <f t="shared" si="20"/>
        <v>1500</v>
      </c>
      <c r="Q82" s="334">
        <f t="shared" si="20"/>
        <v>1600</v>
      </c>
      <c r="R82" s="334">
        <f t="shared" si="20"/>
        <v>1700</v>
      </c>
      <c r="S82" s="334">
        <f t="shared" si="20"/>
        <v>1800</v>
      </c>
      <c r="T82" s="334">
        <f t="shared" si="20"/>
        <v>1900</v>
      </c>
      <c r="U82" s="334">
        <f t="shared" si="20"/>
        <v>2000</v>
      </c>
      <c r="V82" s="334">
        <f t="shared" si="20"/>
        <v>0</v>
      </c>
      <c r="W82" s="334">
        <f t="shared" si="20"/>
        <v>0</v>
      </c>
      <c r="X82" s="334">
        <f t="shared" si="20"/>
        <v>0</v>
      </c>
      <c r="Y82" s="334">
        <f t="shared" si="20"/>
        <v>0</v>
      </c>
    </row>
    <row r="83" spans="1:25">
      <c r="A83" s="344"/>
      <c r="B83" s="345"/>
      <c r="C83" s="345"/>
      <c r="D83" s="345"/>
      <c r="E83" s="345"/>
      <c r="F83" s="345"/>
      <c r="G83" s="345"/>
      <c r="H83" s="345"/>
      <c r="I83" s="345"/>
      <c r="J83" s="345"/>
      <c r="K83" s="345"/>
      <c r="L83" s="345"/>
      <c r="M83" s="345"/>
      <c r="N83" s="345"/>
      <c r="O83" s="345"/>
      <c r="P83" s="345"/>
      <c r="Q83" s="345"/>
      <c r="R83" s="345"/>
      <c r="S83" s="345"/>
      <c r="T83" s="345"/>
      <c r="U83" s="345"/>
      <c r="V83" s="345"/>
      <c r="W83" s="345"/>
      <c r="X83" s="345"/>
      <c r="Y83" s="345"/>
    </row>
    <row r="84" spans="1:25">
      <c r="A84" s="330" t="s">
        <v>1064</v>
      </c>
      <c r="B84" s="346"/>
      <c r="C84" s="346"/>
      <c r="D84" s="346"/>
      <c r="E84" s="346"/>
      <c r="F84" s="346"/>
      <c r="G84" s="346"/>
      <c r="H84" s="346"/>
      <c r="I84" s="346"/>
      <c r="J84" s="346"/>
      <c r="K84" s="346"/>
      <c r="L84" s="346"/>
      <c r="M84" s="346"/>
      <c r="N84" s="346"/>
      <c r="O84" s="346"/>
      <c r="P84" s="346"/>
      <c r="Q84" s="346"/>
      <c r="R84" s="346"/>
      <c r="S84" s="346"/>
      <c r="T84" s="346"/>
      <c r="U84" s="346"/>
      <c r="V84" s="346"/>
      <c r="W84" s="346"/>
      <c r="X84" s="346"/>
      <c r="Y84" s="346"/>
    </row>
    <row r="85" spans="1:25">
      <c r="A85" s="204" t="s">
        <v>1065</v>
      </c>
      <c r="B85" s="334" t="s">
        <v>1066</v>
      </c>
      <c r="C85" s="334" t="s">
        <v>1066</v>
      </c>
      <c r="D85" s="334" t="s">
        <v>1066</v>
      </c>
      <c r="E85" s="334" t="s">
        <v>1067</v>
      </c>
      <c r="F85" s="334" t="s">
        <v>1066</v>
      </c>
      <c r="G85" s="334" t="s">
        <v>1066</v>
      </c>
      <c r="H85" s="334" t="s">
        <v>1066</v>
      </c>
      <c r="I85" s="334" t="s">
        <v>1067</v>
      </c>
      <c r="J85" s="334" t="s">
        <v>1066</v>
      </c>
      <c r="K85" s="334" t="s">
        <v>1066</v>
      </c>
      <c r="L85" s="334" t="s">
        <v>1066</v>
      </c>
      <c r="M85" s="334" t="s">
        <v>1067</v>
      </c>
      <c r="N85" s="334" t="s">
        <v>1066</v>
      </c>
      <c r="O85" s="334" t="s">
        <v>1066</v>
      </c>
      <c r="P85" s="334" t="s">
        <v>1066</v>
      </c>
      <c r="Q85" s="334" t="s">
        <v>1067</v>
      </c>
      <c r="R85" s="334" t="s">
        <v>1066</v>
      </c>
      <c r="S85" s="334" t="s">
        <v>1066</v>
      </c>
      <c r="T85" s="334" t="s">
        <v>1066</v>
      </c>
      <c r="U85" s="334" t="s">
        <v>1067</v>
      </c>
      <c r="V85" s="334" t="s">
        <v>1066</v>
      </c>
      <c r="W85" s="334" t="s">
        <v>1066</v>
      </c>
      <c r="X85" s="334" t="s">
        <v>1066</v>
      </c>
      <c r="Y85" s="334" t="s">
        <v>1066</v>
      </c>
    </row>
    <row r="86" spans="1:25">
      <c r="A86" s="204" t="s">
        <v>1068</v>
      </c>
      <c r="B86" s="334" t="s">
        <v>1066</v>
      </c>
      <c r="C86" s="334" t="s">
        <v>1066</v>
      </c>
      <c r="D86" s="334" t="s">
        <v>1066</v>
      </c>
      <c r="E86" s="334" t="s">
        <v>1066</v>
      </c>
      <c r="F86" s="334" t="s">
        <v>1066</v>
      </c>
      <c r="G86" s="334" t="s">
        <v>1066</v>
      </c>
      <c r="H86" s="334" t="s">
        <v>1066</v>
      </c>
      <c r="I86" s="334" t="s">
        <v>1066</v>
      </c>
      <c r="J86" s="334" t="s">
        <v>1066</v>
      </c>
      <c r="K86" s="334" t="s">
        <v>1066</v>
      </c>
      <c r="L86" s="334" t="s">
        <v>1066</v>
      </c>
      <c r="M86" s="334" t="s">
        <v>1066</v>
      </c>
      <c r="N86" s="334" t="s">
        <v>1066</v>
      </c>
      <c r="O86" s="334" t="s">
        <v>1066</v>
      </c>
      <c r="P86" s="334" t="s">
        <v>1066</v>
      </c>
      <c r="Q86" s="334" t="s">
        <v>1066</v>
      </c>
      <c r="R86" s="334" t="s">
        <v>1066</v>
      </c>
      <c r="S86" s="334" t="s">
        <v>1066</v>
      </c>
      <c r="T86" s="334" t="s">
        <v>1066</v>
      </c>
      <c r="U86" s="334" t="s">
        <v>1066</v>
      </c>
      <c r="V86" s="334" t="s">
        <v>1066</v>
      </c>
      <c r="W86" s="334" t="s">
        <v>1066</v>
      </c>
      <c r="X86" s="334" t="s">
        <v>1066</v>
      </c>
      <c r="Y86" s="334" t="s">
        <v>1067</v>
      </c>
    </row>
    <row r="88" spans="1:25">
      <c r="A88" t="s">
        <v>1069</v>
      </c>
    </row>
    <row r="89" spans="1:25">
      <c r="A89" s="347" t="s">
        <v>1065</v>
      </c>
      <c r="B89" s="334" t="s">
        <v>1066</v>
      </c>
      <c r="C89" s="334" t="s">
        <v>1066</v>
      </c>
      <c r="D89" s="334" t="s">
        <v>1066</v>
      </c>
      <c r="E89" s="334" t="s">
        <v>1067</v>
      </c>
      <c r="F89" s="334" t="s">
        <v>1066</v>
      </c>
      <c r="G89" s="334" t="s">
        <v>1066</v>
      </c>
      <c r="H89" s="334" t="s">
        <v>1066</v>
      </c>
      <c r="I89" s="334" t="s">
        <v>1067</v>
      </c>
      <c r="J89" s="334" t="s">
        <v>1066</v>
      </c>
      <c r="K89" s="334" t="s">
        <v>1066</v>
      </c>
      <c r="L89" s="334" t="s">
        <v>1066</v>
      </c>
      <c r="M89" s="334" t="s">
        <v>1067</v>
      </c>
      <c r="N89" s="334" t="s">
        <v>1066</v>
      </c>
      <c r="O89" s="334" t="s">
        <v>1066</v>
      </c>
      <c r="P89" s="334" t="s">
        <v>1066</v>
      </c>
      <c r="Q89" s="334" t="s">
        <v>1067</v>
      </c>
      <c r="R89" s="334" t="s">
        <v>1066</v>
      </c>
      <c r="S89" s="334" t="s">
        <v>1066</v>
      </c>
      <c r="T89" s="334" t="s">
        <v>1066</v>
      </c>
      <c r="U89" s="334" t="s">
        <v>1066</v>
      </c>
      <c r="V89" s="334" t="s">
        <v>1066</v>
      </c>
      <c r="W89" s="334" t="s">
        <v>1066</v>
      </c>
      <c r="X89" s="334" t="s">
        <v>1066</v>
      </c>
      <c r="Y89" s="334" t="s">
        <v>1067</v>
      </c>
    </row>
    <row r="90" spans="1:25">
      <c r="A90" s="347" t="s">
        <v>1068</v>
      </c>
      <c r="B90" s="334" t="s">
        <v>1066</v>
      </c>
      <c r="C90" s="334" t="s">
        <v>1066</v>
      </c>
      <c r="D90" s="334" t="s">
        <v>1066</v>
      </c>
      <c r="E90" s="334" t="s">
        <v>1066</v>
      </c>
      <c r="F90" s="334" t="s">
        <v>1066</v>
      </c>
      <c r="G90" s="334" t="s">
        <v>1066</v>
      </c>
      <c r="H90" s="334" t="s">
        <v>1066</v>
      </c>
      <c r="I90" s="334" t="s">
        <v>1066</v>
      </c>
      <c r="J90" s="334" t="s">
        <v>1066</v>
      </c>
      <c r="K90" s="334" t="s">
        <v>1066</v>
      </c>
      <c r="L90" s="334" t="s">
        <v>1066</v>
      </c>
      <c r="M90" s="334" t="s">
        <v>1066</v>
      </c>
      <c r="N90" s="334" t="s">
        <v>1066</v>
      </c>
      <c r="O90" s="334" t="s">
        <v>1066</v>
      </c>
      <c r="P90" s="334" t="s">
        <v>1066</v>
      </c>
      <c r="Q90" s="334" t="s">
        <v>1066</v>
      </c>
      <c r="R90" s="334" t="s">
        <v>1066</v>
      </c>
      <c r="S90" s="334" t="s">
        <v>1066</v>
      </c>
      <c r="T90" s="334" t="s">
        <v>1066</v>
      </c>
      <c r="U90" s="334" t="s">
        <v>1067</v>
      </c>
      <c r="V90" s="334" t="s">
        <v>1066</v>
      </c>
      <c r="W90" s="334" t="s">
        <v>1066</v>
      </c>
      <c r="X90" s="334" t="s">
        <v>1066</v>
      </c>
      <c r="Y90" s="334" t="s">
        <v>1066</v>
      </c>
    </row>
    <row r="92" spans="1:25">
      <c r="A92" t="s">
        <v>1070</v>
      </c>
    </row>
    <row r="93" spans="1:25">
      <c r="A93" s="204" t="s">
        <v>1065</v>
      </c>
      <c r="B93" s="334" t="s">
        <v>1066</v>
      </c>
      <c r="C93" s="334" t="s">
        <v>1066</v>
      </c>
      <c r="D93" s="334" t="s">
        <v>1066</v>
      </c>
      <c r="E93" s="334" t="s">
        <v>1067</v>
      </c>
      <c r="F93" s="334" t="s">
        <v>1066</v>
      </c>
      <c r="G93" s="334" t="s">
        <v>1066</v>
      </c>
      <c r="H93" s="334" t="s">
        <v>1066</v>
      </c>
      <c r="I93" s="334" t="s">
        <v>1067</v>
      </c>
      <c r="J93" s="334" t="s">
        <v>1066</v>
      </c>
      <c r="K93" s="334" t="s">
        <v>1066</v>
      </c>
      <c r="L93" s="334" t="s">
        <v>1066</v>
      </c>
      <c r="M93" s="334" t="s">
        <v>1066</v>
      </c>
      <c r="N93" s="334" t="s">
        <v>1066</v>
      </c>
      <c r="O93" s="334" t="s">
        <v>1066</v>
      </c>
      <c r="P93" s="334" t="s">
        <v>1066</v>
      </c>
      <c r="Q93" s="334" t="s">
        <v>1067</v>
      </c>
      <c r="R93" s="334" t="s">
        <v>1066</v>
      </c>
      <c r="S93" s="334" t="s">
        <v>1066</v>
      </c>
      <c r="T93" s="334" t="s">
        <v>1066</v>
      </c>
      <c r="U93" s="334" t="s">
        <v>1067</v>
      </c>
      <c r="V93" s="334" t="s">
        <v>1066</v>
      </c>
      <c r="W93" s="334" t="s">
        <v>1066</v>
      </c>
      <c r="X93" s="334" t="s">
        <v>1066</v>
      </c>
      <c r="Y93" s="334" t="s">
        <v>1066</v>
      </c>
    </row>
    <row r="94" spans="1:25">
      <c r="A94" s="204" t="s">
        <v>1068</v>
      </c>
      <c r="B94" s="334" t="s">
        <v>1066</v>
      </c>
      <c r="C94" s="334" t="s">
        <v>1066</v>
      </c>
      <c r="D94" s="334" t="s">
        <v>1066</v>
      </c>
      <c r="E94" s="334" t="s">
        <v>1066</v>
      </c>
      <c r="F94" s="334" t="s">
        <v>1066</v>
      </c>
      <c r="G94" s="334" t="s">
        <v>1066</v>
      </c>
      <c r="H94" s="334" t="s">
        <v>1066</v>
      </c>
      <c r="I94" s="334" t="s">
        <v>1066</v>
      </c>
      <c r="J94" s="334" t="s">
        <v>1066</v>
      </c>
      <c r="K94" s="334" t="s">
        <v>1066</v>
      </c>
      <c r="L94" s="334" t="s">
        <v>1066</v>
      </c>
      <c r="M94" s="334" t="s">
        <v>1067</v>
      </c>
      <c r="N94" s="334" t="s">
        <v>1066</v>
      </c>
      <c r="O94" s="334" t="s">
        <v>1066</v>
      </c>
      <c r="P94" s="334" t="s">
        <v>1066</v>
      </c>
      <c r="Q94" s="334" t="s">
        <v>1066</v>
      </c>
      <c r="R94" s="334" t="s">
        <v>1066</v>
      </c>
      <c r="S94" s="334" t="s">
        <v>1066</v>
      </c>
      <c r="T94" s="334" t="s">
        <v>1066</v>
      </c>
      <c r="U94" s="334" t="s">
        <v>1066</v>
      </c>
      <c r="V94" s="334" t="s">
        <v>1066</v>
      </c>
      <c r="W94" s="334" t="s">
        <v>1066</v>
      </c>
      <c r="X94" s="334" t="s">
        <v>1066</v>
      </c>
      <c r="Y94" s="334" t="s">
        <v>1067</v>
      </c>
    </row>
    <row r="96" spans="1:25">
      <c r="A96" t="s">
        <v>1071</v>
      </c>
    </row>
    <row r="97" spans="1:25">
      <c r="A97" s="204" t="s">
        <v>1065</v>
      </c>
      <c r="B97" s="334" t="s">
        <v>1066</v>
      </c>
      <c r="C97" s="334" t="s">
        <v>1066</v>
      </c>
      <c r="D97" s="334" t="s">
        <v>1066</v>
      </c>
      <c r="E97" s="334" t="s">
        <v>1066</v>
      </c>
      <c r="F97" s="334" t="s">
        <v>1066</v>
      </c>
      <c r="G97" s="334" t="s">
        <v>1066</v>
      </c>
      <c r="H97" s="334" t="s">
        <v>1066</v>
      </c>
      <c r="I97" s="334" t="s">
        <v>1066</v>
      </c>
      <c r="J97" s="334" t="s">
        <v>1066</v>
      </c>
      <c r="K97" s="334" t="s">
        <v>1066</v>
      </c>
      <c r="L97" s="334" t="s">
        <v>1066</v>
      </c>
      <c r="M97" s="334" t="s">
        <v>1067</v>
      </c>
      <c r="N97" s="334" t="s">
        <v>1066</v>
      </c>
      <c r="O97" s="334" t="s">
        <v>1066</v>
      </c>
      <c r="P97" s="334" t="s">
        <v>1066</v>
      </c>
      <c r="Q97" s="334" t="s">
        <v>1066</v>
      </c>
      <c r="R97" s="334" t="s">
        <v>1066</v>
      </c>
      <c r="S97" s="334" t="s">
        <v>1066</v>
      </c>
      <c r="T97" s="334" t="s">
        <v>1066</v>
      </c>
      <c r="U97" s="334" t="s">
        <v>1066</v>
      </c>
      <c r="V97" s="334" t="s">
        <v>1066</v>
      </c>
      <c r="W97" s="334" t="s">
        <v>1066</v>
      </c>
      <c r="X97" s="334" t="s">
        <v>1066</v>
      </c>
      <c r="Y97" s="334" t="s">
        <v>1067</v>
      </c>
    </row>
    <row r="98" spans="1:25">
      <c r="A98" s="204" t="s">
        <v>1068</v>
      </c>
      <c r="B98" s="334" t="s">
        <v>1066</v>
      </c>
      <c r="C98" s="334" t="s">
        <v>1066</v>
      </c>
      <c r="D98" s="334" t="s">
        <v>1066</v>
      </c>
      <c r="E98" s="334" t="s">
        <v>1066</v>
      </c>
      <c r="F98" s="334" t="s">
        <v>1066</v>
      </c>
      <c r="G98" s="334" t="s">
        <v>1066</v>
      </c>
      <c r="H98" s="334" t="s">
        <v>1066</v>
      </c>
      <c r="I98" s="334" t="s">
        <v>1066</v>
      </c>
      <c r="J98" s="334" t="s">
        <v>1066</v>
      </c>
      <c r="K98" s="334" t="s">
        <v>1066</v>
      </c>
      <c r="L98" s="334" t="s">
        <v>1066</v>
      </c>
      <c r="M98" s="334" t="s">
        <v>1066</v>
      </c>
      <c r="N98" s="334" t="s">
        <v>1066</v>
      </c>
      <c r="O98" s="334" t="s">
        <v>1066</v>
      </c>
      <c r="P98" s="334" t="s">
        <v>1066</v>
      </c>
      <c r="Q98" s="334" t="s">
        <v>1066</v>
      </c>
      <c r="R98" s="334" t="s">
        <v>1066</v>
      </c>
      <c r="S98" s="334" t="s">
        <v>1066</v>
      </c>
      <c r="T98" s="334" t="s">
        <v>1066</v>
      </c>
      <c r="U98" s="334" t="s">
        <v>1066</v>
      </c>
      <c r="V98" s="334" t="s">
        <v>1066</v>
      </c>
      <c r="W98" s="334" t="s">
        <v>1066</v>
      </c>
      <c r="X98" s="334" t="s">
        <v>1066</v>
      </c>
      <c r="Y98" s="334" t="s">
        <v>1066</v>
      </c>
    </row>
    <row r="99" spans="1:25">
      <c r="A99" s="166"/>
      <c r="B99" s="332"/>
      <c r="C99" s="332"/>
      <c r="D99" s="332"/>
      <c r="E99" s="332"/>
      <c r="F99" s="332"/>
      <c r="G99" s="332"/>
      <c r="H99" s="332"/>
      <c r="I99" s="332"/>
      <c r="J99" s="332"/>
      <c r="K99" s="332"/>
      <c r="L99" s="332"/>
      <c r="M99" s="332"/>
      <c r="N99" s="332"/>
      <c r="O99" s="332"/>
      <c r="P99" s="332"/>
      <c r="Q99" s="332"/>
      <c r="R99" s="332"/>
      <c r="S99" s="332"/>
      <c r="T99" s="332"/>
      <c r="U99" s="332"/>
      <c r="V99" s="332"/>
      <c r="W99" s="332"/>
      <c r="X99" s="136"/>
    </row>
    <row r="100" spans="1:25">
      <c r="A100" t="s">
        <v>1072</v>
      </c>
      <c r="X100" s="136"/>
    </row>
    <row r="101" spans="1:25">
      <c r="A101" s="204" t="s">
        <v>1065</v>
      </c>
      <c r="B101" s="334" t="s">
        <v>1066</v>
      </c>
      <c r="C101" s="334" t="s">
        <v>1066</v>
      </c>
      <c r="D101" s="334" t="s">
        <v>1066</v>
      </c>
      <c r="E101" s="334" t="s">
        <v>1066</v>
      </c>
      <c r="F101" s="334" t="s">
        <v>1066</v>
      </c>
      <c r="G101" s="334" t="s">
        <v>1066</v>
      </c>
      <c r="H101" s="334" t="s">
        <v>1066</v>
      </c>
      <c r="I101" s="334" t="s">
        <v>1066</v>
      </c>
      <c r="J101" s="334" t="s">
        <v>1066</v>
      </c>
      <c r="K101" s="334" t="s">
        <v>1066</v>
      </c>
      <c r="L101" s="334" t="s">
        <v>1066</v>
      </c>
      <c r="M101" s="334" t="s">
        <v>1067</v>
      </c>
      <c r="N101" s="334" t="s">
        <v>1066</v>
      </c>
      <c r="O101" s="334" t="s">
        <v>1066</v>
      </c>
      <c r="P101" s="334" t="s">
        <v>1066</v>
      </c>
      <c r="Q101" s="334" t="s">
        <v>1066</v>
      </c>
      <c r="R101" s="334" t="s">
        <v>1066</v>
      </c>
      <c r="S101" s="334" t="s">
        <v>1066</v>
      </c>
      <c r="T101" s="334" t="s">
        <v>1066</v>
      </c>
      <c r="U101" s="334" t="s">
        <v>1066</v>
      </c>
      <c r="V101" s="334" t="s">
        <v>1066</v>
      </c>
      <c r="W101" s="334" t="s">
        <v>1066</v>
      </c>
      <c r="X101" s="334" t="s">
        <v>1066</v>
      </c>
      <c r="Y101" s="334" t="s">
        <v>1067</v>
      </c>
    </row>
    <row r="102" spans="1:25">
      <c r="A102" s="204" t="s">
        <v>1068</v>
      </c>
      <c r="B102" s="334" t="s">
        <v>1066</v>
      </c>
      <c r="C102" s="334" t="s">
        <v>1066</v>
      </c>
      <c r="D102" s="334" t="s">
        <v>1066</v>
      </c>
      <c r="E102" s="334" t="s">
        <v>1066</v>
      </c>
      <c r="F102" s="334" t="s">
        <v>1066</v>
      </c>
      <c r="G102" s="334" t="s">
        <v>1066</v>
      </c>
      <c r="H102" s="334" t="s">
        <v>1066</v>
      </c>
      <c r="I102" s="334" t="s">
        <v>1066</v>
      </c>
      <c r="J102" s="334" t="s">
        <v>1066</v>
      </c>
      <c r="K102" s="334" t="s">
        <v>1066</v>
      </c>
      <c r="L102" s="334" t="s">
        <v>1066</v>
      </c>
      <c r="M102" s="334" t="s">
        <v>1066</v>
      </c>
      <c r="N102" s="334" t="s">
        <v>1066</v>
      </c>
      <c r="O102" s="334" t="s">
        <v>1066</v>
      </c>
      <c r="P102" s="334" t="s">
        <v>1066</v>
      </c>
      <c r="Q102" s="334" t="s">
        <v>1066</v>
      </c>
      <c r="R102" s="334" t="s">
        <v>1066</v>
      </c>
      <c r="S102" s="334" t="s">
        <v>1066</v>
      </c>
      <c r="T102" s="334" t="s">
        <v>1066</v>
      </c>
      <c r="U102" s="334" t="s">
        <v>1066</v>
      </c>
      <c r="V102" s="334" t="s">
        <v>1066</v>
      </c>
      <c r="W102" s="334" t="s">
        <v>1066</v>
      </c>
      <c r="X102" s="334" t="s">
        <v>1066</v>
      </c>
      <c r="Y102" s="334" t="s">
        <v>1066</v>
      </c>
    </row>
    <row r="103" spans="1:25">
      <c r="A103" s="166"/>
      <c r="B103" s="332"/>
      <c r="C103" s="332"/>
      <c r="D103" s="332"/>
      <c r="E103" s="332"/>
      <c r="F103" s="332"/>
      <c r="G103" s="332"/>
      <c r="H103" s="332"/>
      <c r="I103" s="332"/>
      <c r="J103" s="332"/>
      <c r="K103" s="332"/>
      <c r="L103" s="332"/>
      <c r="M103" s="332"/>
      <c r="N103" s="332"/>
      <c r="O103" s="332"/>
      <c r="P103" s="332"/>
      <c r="Q103" s="332"/>
      <c r="R103" s="332"/>
      <c r="S103" s="332"/>
      <c r="T103" s="332"/>
      <c r="U103" s="332"/>
      <c r="V103" s="332"/>
      <c r="W103" s="332"/>
      <c r="X103" s="332"/>
      <c r="Y103" s="332"/>
    </row>
    <row r="104" spans="1:25">
      <c r="A104" t="s">
        <v>1073</v>
      </c>
      <c r="X104" s="136"/>
    </row>
    <row r="105" spans="1:25">
      <c r="A105" s="204" t="s">
        <v>1065</v>
      </c>
      <c r="B105" s="334" t="s">
        <v>1066</v>
      </c>
      <c r="C105" s="334" t="s">
        <v>1066</v>
      </c>
      <c r="D105" s="334" t="s">
        <v>1066</v>
      </c>
      <c r="E105" s="334" t="s">
        <v>1066</v>
      </c>
      <c r="F105" s="334" t="s">
        <v>1066</v>
      </c>
      <c r="G105" s="334" t="s">
        <v>1066</v>
      </c>
      <c r="H105" s="334" t="s">
        <v>1066</v>
      </c>
      <c r="I105" s="334" t="s">
        <v>1066</v>
      </c>
      <c r="J105" s="334" t="s">
        <v>1066</v>
      </c>
      <c r="K105" s="334" t="s">
        <v>1066</v>
      </c>
      <c r="L105" s="334" t="s">
        <v>1066</v>
      </c>
      <c r="M105" s="334" t="s">
        <v>1066</v>
      </c>
      <c r="N105" s="334" t="s">
        <v>1066</v>
      </c>
      <c r="O105" s="334" t="s">
        <v>1066</v>
      </c>
      <c r="P105" s="334" t="s">
        <v>1066</v>
      </c>
      <c r="Q105" s="334" t="s">
        <v>1066</v>
      </c>
      <c r="R105" s="334" t="s">
        <v>1066</v>
      </c>
      <c r="S105" s="334" t="s">
        <v>1066</v>
      </c>
      <c r="T105" s="334" t="s">
        <v>1066</v>
      </c>
      <c r="U105" s="334" t="s">
        <v>1066</v>
      </c>
      <c r="V105" s="334" t="s">
        <v>1066</v>
      </c>
      <c r="W105" s="334" t="s">
        <v>1066</v>
      </c>
      <c r="X105" s="334" t="s">
        <v>1066</v>
      </c>
      <c r="Y105" s="334" t="s">
        <v>1067</v>
      </c>
    </row>
    <row r="106" spans="1:25">
      <c r="A106" s="204" t="s">
        <v>1068</v>
      </c>
      <c r="B106" s="334" t="s">
        <v>1066</v>
      </c>
      <c r="C106" s="334" t="s">
        <v>1066</v>
      </c>
      <c r="D106" s="334" t="s">
        <v>1066</v>
      </c>
      <c r="E106" s="334" t="s">
        <v>1066</v>
      </c>
      <c r="F106" s="334" t="s">
        <v>1066</v>
      </c>
      <c r="G106" s="334" t="s">
        <v>1066</v>
      </c>
      <c r="H106" s="334" t="s">
        <v>1066</v>
      </c>
      <c r="I106" s="334" t="s">
        <v>1066</v>
      </c>
      <c r="J106" s="334" t="s">
        <v>1066</v>
      </c>
      <c r="K106" s="334" t="s">
        <v>1066</v>
      </c>
      <c r="L106" s="334" t="s">
        <v>1066</v>
      </c>
      <c r="M106" s="334" t="s">
        <v>1066</v>
      </c>
      <c r="N106" s="334" t="s">
        <v>1066</v>
      </c>
      <c r="O106" s="334" t="s">
        <v>1066</v>
      </c>
      <c r="P106" s="334" t="s">
        <v>1066</v>
      </c>
      <c r="Q106" s="334" t="s">
        <v>1066</v>
      </c>
      <c r="R106" s="334" t="s">
        <v>1066</v>
      </c>
      <c r="S106" s="334" t="s">
        <v>1066</v>
      </c>
      <c r="T106" s="334" t="s">
        <v>1066</v>
      </c>
      <c r="U106" s="334" t="s">
        <v>1066</v>
      </c>
      <c r="V106" s="334" t="s">
        <v>1066</v>
      </c>
      <c r="W106" s="334" t="s">
        <v>1066</v>
      </c>
      <c r="X106" s="334" t="s">
        <v>1066</v>
      </c>
      <c r="Y106" s="334" t="s">
        <v>1066</v>
      </c>
    </row>
    <row r="108" spans="1:25">
      <c r="A108" t="s">
        <v>1074</v>
      </c>
    </row>
    <row r="109" spans="1:25">
      <c r="A109" s="347" t="s">
        <v>1065</v>
      </c>
      <c r="B109" s="334" t="s">
        <v>1066</v>
      </c>
      <c r="C109" s="334" t="s">
        <v>1066</v>
      </c>
      <c r="D109" s="334" t="s">
        <v>1066</v>
      </c>
      <c r="E109" s="334" t="s">
        <v>1066</v>
      </c>
      <c r="F109" s="334" t="s">
        <v>1066</v>
      </c>
      <c r="G109" s="334" t="s">
        <v>1066</v>
      </c>
      <c r="H109" s="334" t="s">
        <v>1066</v>
      </c>
      <c r="I109" s="334" t="s">
        <v>1066</v>
      </c>
      <c r="J109" s="334" t="s">
        <v>1066</v>
      </c>
      <c r="K109" s="334" t="s">
        <v>1066</v>
      </c>
      <c r="L109" s="334" t="s">
        <v>1066</v>
      </c>
      <c r="M109" s="334" t="s">
        <v>1067</v>
      </c>
      <c r="N109" s="334" t="s">
        <v>1066</v>
      </c>
      <c r="O109" s="334" t="s">
        <v>1066</v>
      </c>
      <c r="P109" s="334" t="s">
        <v>1066</v>
      </c>
      <c r="Q109" s="334" t="s">
        <v>1066</v>
      </c>
      <c r="R109" s="334" t="s">
        <v>1066</v>
      </c>
      <c r="S109" s="334" t="s">
        <v>1066</v>
      </c>
      <c r="T109" s="334" t="s">
        <v>1066</v>
      </c>
      <c r="U109" s="334" t="s">
        <v>1066</v>
      </c>
      <c r="V109" s="334" t="s">
        <v>1066</v>
      </c>
      <c r="W109" s="334" t="s">
        <v>1066</v>
      </c>
      <c r="X109" s="334" t="s">
        <v>1066</v>
      </c>
      <c r="Y109" s="334" t="s">
        <v>1066</v>
      </c>
    </row>
    <row r="110" spans="1:25">
      <c r="A110" s="347" t="s">
        <v>1068</v>
      </c>
      <c r="B110" s="334" t="s">
        <v>1066</v>
      </c>
      <c r="C110" s="334" t="s">
        <v>1066</v>
      </c>
      <c r="D110" s="334" t="s">
        <v>1066</v>
      </c>
      <c r="E110" s="334" t="s">
        <v>1066</v>
      </c>
      <c r="F110" s="334" t="s">
        <v>1066</v>
      </c>
      <c r="G110" s="334" t="s">
        <v>1066</v>
      </c>
      <c r="H110" s="334" t="s">
        <v>1066</v>
      </c>
      <c r="I110" s="334" t="s">
        <v>1066</v>
      </c>
      <c r="J110" s="334" t="s">
        <v>1066</v>
      </c>
      <c r="K110" s="334" t="s">
        <v>1066</v>
      </c>
      <c r="L110" s="334" t="s">
        <v>1066</v>
      </c>
      <c r="M110" s="334" t="s">
        <v>1066</v>
      </c>
      <c r="N110" s="334" t="s">
        <v>1066</v>
      </c>
      <c r="O110" s="334" t="s">
        <v>1066</v>
      </c>
      <c r="P110" s="334" t="s">
        <v>1066</v>
      </c>
      <c r="Q110" s="334" t="s">
        <v>1066</v>
      </c>
      <c r="R110" s="334" t="s">
        <v>1066</v>
      </c>
      <c r="S110" s="334" t="s">
        <v>1066</v>
      </c>
      <c r="T110" s="334" t="s">
        <v>1066</v>
      </c>
      <c r="U110" s="334" t="s">
        <v>1066</v>
      </c>
      <c r="V110" s="334" t="s">
        <v>1066</v>
      </c>
      <c r="W110" s="334" t="s">
        <v>1066</v>
      </c>
      <c r="X110" s="334" t="s">
        <v>1066</v>
      </c>
      <c r="Y110" s="334" t="s">
        <v>1067</v>
      </c>
    </row>
    <row r="112" spans="1:25">
      <c r="A112" t="s">
        <v>1075</v>
      </c>
    </row>
    <row r="113" spans="1:25">
      <c r="A113" s="347" t="s">
        <v>1065</v>
      </c>
      <c r="B113" s="334" t="s">
        <v>1066</v>
      </c>
      <c r="C113" s="334" t="s">
        <v>1066</v>
      </c>
      <c r="D113" s="334" t="s">
        <v>1066</v>
      </c>
      <c r="E113" s="334" t="s">
        <v>1066</v>
      </c>
      <c r="F113" s="334" t="s">
        <v>1066</v>
      </c>
      <c r="G113" s="334" t="s">
        <v>1066</v>
      </c>
      <c r="H113" s="334" t="s">
        <v>1066</v>
      </c>
      <c r="I113" s="334" t="s">
        <v>1066</v>
      </c>
      <c r="J113" s="334" t="s">
        <v>1066</v>
      </c>
      <c r="K113" s="334" t="s">
        <v>1066</v>
      </c>
      <c r="L113" s="334" t="s">
        <v>1066</v>
      </c>
      <c r="M113" s="334" t="s">
        <v>1067</v>
      </c>
      <c r="N113" s="334" t="s">
        <v>1066</v>
      </c>
      <c r="O113" s="334" t="s">
        <v>1066</v>
      </c>
      <c r="P113" s="334" t="s">
        <v>1066</v>
      </c>
      <c r="Q113" s="334" t="s">
        <v>1066</v>
      </c>
      <c r="R113" s="334" t="s">
        <v>1066</v>
      </c>
      <c r="S113" s="334" t="s">
        <v>1066</v>
      </c>
      <c r="T113" s="334" t="s">
        <v>1066</v>
      </c>
      <c r="U113" s="334" t="s">
        <v>1066</v>
      </c>
      <c r="V113" s="334" t="s">
        <v>1066</v>
      </c>
      <c r="W113" s="334" t="s">
        <v>1066</v>
      </c>
      <c r="X113" s="334" t="s">
        <v>1066</v>
      </c>
      <c r="Y113" s="334" t="s">
        <v>1067</v>
      </c>
    </row>
    <row r="114" spans="1:25">
      <c r="A114" s="347" t="s">
        <v>1068</v>
      </c>
      <c r="B114" s="334" t="s">
        <v>1066</v>
      </c>
      <c r="C114" s="334" t="s">
        <v>1066</v>
      </c>
      <c r="D114" s="334" t="s">
        <v>1066</v>
      </c>
      <c r="E114" s="334" t="s">
        <v>1066</v>
      </c>
      <c r="F114" s="334" t="s">
        <v>1066</v>
      </c>
      <c r="G114" s="334" t="s">
        <v>1066</v>
      </c>
      <c r="H114" s="334" t="s">
        <v>1066</v>
      </c>
      <c r="I114" s="334" t="s">
        <v>1066</v>
      </c>
      <c r="J114" s="334" t="s">
        <v>1066</v>
      </c>
      <c r="K114" s="334" t="s">
        <v>1066</v>
      </c>
      <c r="L114" s="334" t="s">
        <v>1066</v>
      </c>
      <c r="M114" s="334" t="s">
        <v>1066</v>
      </c>
      <c r="N114" s="334" t="s">
        <v>1066</v>
      </c>
      <c r="O114" s="334" t="s">
        <v>1066</v>
      </c>
      <c r="P114" s="334" t="s">
        <v>1066</v>
      </c>
      <c r="Q114" s="334" t="s">
        <v>1066</v>
      </c>
      <c r="R114" s="334" t="s">
        <v>1066</v>
      </c>
      <c r="S114" s="334" t="s">
        <v>1066</v>
      </c>
      <c r="T114" s="334" t="s">
        <v>1066</v>
      </c>
      <c r="U114" s="334" t="s">
        <v>1066</v>
      </c>
      <c r="V114" s="334" t="s">
        <v>1066</v>
      </c>
      <c r="W114" s="334" t="s">
        <v>1066</v>
      </c>
      <c r="X114" s="334" t="s">
        <v>1066</v>
      </c>
      <c r="Y114" s="334" t="s">
        <v>1066</v>
      </c>
    </row>
    <row r="117" spans="1:25">
      <c r="A117" t="s">
        <v>1076</v>
      </c>
    </row>
    <row r="118" spans="1:25">
      <c r="A118" s="166" t="s">
        <v>1077</v>
      </c>
      <c r="B118" s="166"/>
      <c r="C118" s="166"/>
      <c r="D118" s="166"/>
      <c r="E118" s="166"/>
      <c r="F118" s="166"/>
      <c r="G118" s="166"/>
      <c r="H118" s="166"/>
      <c r="I118" s="166"/>
    </row>
    <row r="119" spans="1:25">
      <c r="A119" s="166"/>
      <c r="B119" s="166"/>
      <c r="C119" s="166"/>
      <c r="D119" s="166"/>
      <c r="E119" s="166"/>
      <c r="F119" s="166"/>
      <c r="G119" s="166"/>
      <c r="H119" s="166"/>
      <c r="I119" s="166"/>
    </row>
    <row r="120" spans="1:25">
      <c r="A120" s="204" t="s">
        <v>1078</v>
      </c>
      <c r="B120" s="204"/>
      <c r="C120" s="204" t="s">
        <v>1079</v>
      </c>
      <c r="D120" s="204" t="s">
        <v>1080</v>
      </c>
      <c r="E120" s="204"/>
      <c r="F120" s="204"/>
      <c r="G120" s="204" t="s">
        <v>1081</v>
      </c>
      <c r="H120" s="204" t="s">
        <v>1082</v>
      </c>
      <c r="I120" s="204"/>
    </row>
    <row r="121" spans="1:25">
      <c r="A121" s="204"/>
      <c r="B121" s="204"/>
      <c r="C121" s="204" t="s">
        <v>1083</v>
      </c>
      <c r="D121" s="204" t="s">
        <v>1084</v>
      </c>
      <c r="E121" s="204" t="s">
        <v>1085</v>
      </c>
      <c r="F121" s="204"/>
      <c r="G121" s="204" t="s">
        <v>1083</v>
      </c>
      <c r="H121" s="204" t="s">
        <v>1084</v>
      </c>
      <c r="I121" s="204" t="s">
        <v>1085</v>
      </c>
    </row>
    <row r="122" spans="1:25">
      <c r="A122" s="204" t="s">
        <v>1031</v>
      </c>
      <c r="B122" s="204"/>
      <c r="C122" s="329">
        <f>119.88*10</f>
        <v>1198.8</v>
      </c>
      <c r="D122" s="326">
        <f>5*8000</f>
        <v>40000</v>
      </c>
      <c r="E122" s="204">
        <f>5*I122</f>
        <v>2000</v>
      </c>
      <c r="F122" s="204"/>
      <c r="G122" s="204">
        <v>50</v>
      </c>
      <c r="H122" s="204">
        <v>8000</v>
      </c>
      <c r="I122" s="204">
        <v>400</v>
      </c>
    </row>
    <row r="123" spans="1:25">
      <c r="A123" s="204" t="s">
        <v>1025</v>
      </c>
      <c r="B123" s="204"/>
      <c r="C123" s="329">
        <f>436852/1000</f>
        <v>436.85199999999998</v>
      </c>
      <c r="D123" s="326">
        <f>6*8000</f>
        <v>48000</v>
      </c>
      <c r="E123" s="204">
        <f>6*I123</f>
        <v>2400</v>
      </c>
      <c r="F123" s="204"/>
      <c r="G123" s="204">
        <v>30</v>
      </c>
      <c r="H123" s="204">
        <v>8000</v>
      </c>
      <c r="I123" s="204">
        <v>400</v>
      </c>
    </row>
    <row r="124" spans="1:25">
      <c r="A124" s="204" t="s">
        <v>1032</v>
      </c>
      <c r="B124" s="204"/>
      <c r="C124" s="334" t="s">
        <v>1519</v>
      </c>
      <c r="D124" s="334" t="s">
        <v>1519</v>
      </c>
      <c r="E124" s="334" t="s">
        <v>1519</v>
      </c>
      <c r="F124" s="204"/>
      <c r="G124" s="334" t="s">
        <v>1519</v>
      </c>
      <c r="H124" s="334" t="s">
        <v>1519</v>
      </c>
      <c r="I124" s="204"/>
    </row>
    <row r="125" spans="1:25">
      <c r="A125" s="204" t="s">
        <v>1033</v>
      </c>
      <c r="B125" s="204"/>
      <c r="C125" s="329">
        <f>350.76+111</f>
        <v>461.76</v>
      </c>
      <c r="D125" s="326">
        <f>3*8000</f>
        <v>24000</v>
      </c>
      <c r="E125" s="204">
        <f>3*I125</f>
        <v>1200</v>
      </c>
      <c r="F125" s="204"/>
      <c r="G125" s="204">
        <v>75</v>
      </c>
      <c r="H125" s="204">
        <v>8000</v>
      </c>
      <c r="I125" s="204">
        <v>400</v>
      </c>
    </row>
    <row r="126" spans="1:25">
      <c r="A126" s="204" t="s">
        <v>1034</v>
      </c>
      <c r="B126" s="204"/>
      <c r="C126" s="326">
        <v>859.00005999999996</v>
      </c>
      <c r="D126" s="326">
        <f>2*24000</f>
        <v>48000</v>
      </c>
      <c r="E126" s="204">
        <f>3*I126</f>
        <v>3600</v>
      </c>
      <c r="F126" s="204"/>
      <c r="G126" s="204">
        <v>75</v>
      </c>
      <c r="H126" s="204">
        <v>24000</v>
      </c>
      <c r="I126" s="204">
        <v>1200</v>
      </c>
    </row>
    <row r="127" spans="1:25">
      <c r="A127" s="204" t="s">
        <v>1035</v>
      </c>
      <c r="B127" s="204"/>
      <c r="C127" s="326">
        <v>850.91075000000001</v>
      </c>
      <c r="D127" s="326">
        <f>3*24000</f>
        <v>72000</v>
      </c>
      <c r="E127" s="204">
        <f>4*I127</f>
        <v>4800</v>
      </c>
      <c r="F127" s="204"/>
      <c r="G127" s="204">
        <v>75</v>
      </c>
      <c r="H127" s="204">
        <v>24000</v>
      </c>
      <c r="I127" s="204">
        <v>1200</v>
      </c>
    </row>
    <row r="128" spans="1:25">
      <c r="A128" s="204" t="s">
        <v>1036</v>
      </c>
      <c r="B128" s="204"/>
      <c r="C128" s="329">
        <v>746.46681000000001</v>
      </c>
      <c r="D128" s="326">
        <f>3*24000</f>
        <v>72000</v>
      </c>
      <c r="E128" s="204">
        <f>4*I128</f>
        <v>4800</v>
      </c>
      <c r="F128" s="204"/>
      <c r="G128" s="204">
        <v>75</v>
      </c>
      <c r="H128" s="204">
        <v>24000</v>
      </c>
      <c r="I128" s="204">
        <v>1200</v>
      </c>
    </row>
    <row r="129" spans="1:9">
      <c r="A129" s="204" t="s">
        <v>1086</v>
      </c>
      <c r="B129" s="204"/>
      <c r="C129" s="326">
        <v>848.57299999999998</v>
      </c>
      <c r="D129" s="326">
        <f>3*24000</f>
        <v>72000</v>
      </c>
      <c r="E129" s="204">
        <f>3*I129</f>
        <v>3600</v>
      </c>
      <c r="F129" s="204"/>
      <c r="G129" s="204">
        <v>100</v>
      </c>
      <c r="H129" s="204">
        <v>24000</v>
      </c>
      <c r="I129" s="204">
        <v>1200</v>
      </c>
    </row>
    <row r="130" spans="1:9">
      <c r="A130" s="204" t="s">
        <v>1038</v>
      </c>
      <c r="B130" s="204"/>
      <c r="C130" s="326">
        <v>874.50081</v>
      </c>
      <c r="D130" s="326">
        <f>3*24000</f>
        <v>72000</v>
      </c>
      <c r="E130" s="204">
        <f>3*I130</f>
        <v>3600</v>
      </c>
      <c r="F130" s="204"/>
      <c r="G130" s="204">
        <v>75</v>
      </c>
      <c r="H130" s="204">
        <v>24000</v>
      </c>
      <c r="I130" s="204">
        <v>1200</v>
      </c>
    </row>
    <row r="131" spans="1:9">
      <c r="A131" s="204" t="s">
        <v>1039</v>
      </c>
      <c r="B131" s="204"/>
      <c r="C131" s="326">
        <v>930.72500000000002</v>
      </c>
      <c r="D131" s="326">
        <f>3*24000</f>
        <v>72000</v>
      </c>
      <c r="E131" s="204">
        <f>3*I131</f>
        <v>3600</v>
      </c>
      <c r="F131" s="204"/>
      <c r="G131" s="204">
        <v>75</v>
      </c>
      <c r="H131" s="204">
        <v>24000</v>
      </c>
      <c r="I131" s="204">
        <v>1200</v>
      </c>
    </row>
    <row r="132" spans="1:9">
      <c r="A132" s="204" t="s">
        <v>1058</v>
      </c>
      <c r="B132" s="204"/>
      <c r="C132" s="326">
        <v>36.558900000000001</v>
      </c>
      <c r="D132" s="326">
        <v>72000</v>
      </c>
      <c r="E132" s="204">
        <v>3600</v>
      </c>
      <c r="F132" s="204"/>
      <c r="G132" s="204">
        <v>30</v>
      </c>
      <c r="H132" s="204">
        <v>24000</v>
      </c>
      <c r="I132" s="204">
        <v>1200</v>
      </c>
    </row>
    <row r="133" spans="1:9">
      <c r="A133" s="204" t="s">
        <v>1041</v>
      </c>
      <c r="B133" s="204"/>
      <c r="C133" s="326">
        <v>172.54839000000001</v>
      </c>
      <c r="D133" s="326">
        <f>2*24000</f>
        <v>48000</v>
      </c>
      <c r="E133" s="204">
        <f>2*I133</f>
        <v>2400</v>
      </c>
      <c r="F133" s="204"/>
      <c r="G133" s="204">
        <v>30</v>
      </c>
      <c r="H133" s="204">
        <v>24000</v>
      </c>
      <c r="I133" s="204">
        <v>1200</v>
      </c>
    </row>
    <row r="134" spans="1:9">
      <c r="A134" s="204" t="s">
        <v>1042</v>
      </c>
      <c r="B134" s="204"/>
      <c r="C134" s="326">
        <f>129.63556+70.5306</f>
        <v>200.16615999999999</v>
      </c>
      <c r="D134" s="326">
        <v>72000</v>
      </c>
      <c r="E134" s="204">
        <f>4*I134</f>
        <v>4800</v>
      </c>
      <c r="F134" s="204"/>
      <c r="G134" s="204">
        <v>60</v>
      </c>
      <c r="H134" s="204">
        <v>48000</v>
      </c>
      <c r="I134" s="204">
        <v>1200</v>
      </c>
    </row>
    <row r="135" spans="1:9">
      <c r="A135" s="204" t="s">
        <v>1043</v>
      </c>
      <c r="B135" s="204"/>
      <c r="C135" s="326">
        <v>798</v>
      </c>
      <c r="D135" s="326">
        <v>96000</v>
      </c>
      <c r="E135" s="204">
        <v>4800</v>
      </c>
      <c r="F135" s="204"/>
      <c r="G135" s="334" t="s">
        <v>1519</v>
      </c>
      <c r="H135" s="334" t="s">
        <v>1519</v>
      </c>
      <c r="I135" s="204"/>
    </row>
    <row r="136" spans="1:9">
      <c r="A136" s="204" t="s">
        <v>1044</v>
      </c>
      <c r="B136" s="204"/>
      <c r="C136" s="326">
        <v>765.46574999999996</v>
      </c>
      <c r="D136" s="326">
        <v>120000</v>
      </c>
      <c r="E136" s="204">
        <v>6000</v>
      </c>
      <c r="F136" s="204"/>
      <c r="G136" s="334">
        <v>40</v>
      </c>
      <c r="H136" s="204">
        <v>48000</v>
      </c>
      <c r="I136" s="204">
        <v>2400</v>
      </c>
    </row>
    <row r="137" spans="1:9">
      <c r="A137" s="204" t="s">
        <v>1045</v>
      </c>
      <c r="B137" s="204"/>
      <c r="C137" s="326">
        <v>1042</v>
      </c>
      <c r="D137" s="326">
        <v>120000</v>
      </c>
      <c r="E137" s="204">
        <v>6000</v>
      </c>
      <c r="F137" s="204"/>
      <c r="G137" s="204">
        <v>40</v>
      </c>
      <c r="H137" s="204">
        <v>48000</v>
      </c>
      <c r="I137" s="204">
        <v>2400</v>
      </c>
    </row>
    <row r="138" spans="1:9">
      <c r="A138" s="204" t="s">
        <v>1046</v>
      </c>
      <c r="B138" s="204"/>
      <c r="C138" s="348" t="s">
        <v>1519</v>
      </c>
      <c r="D138" s="348" t="s">
        <v>1519</v>
      </c>
      <c r="E138" s="204"/>
      <c r="F138" s="204"/>
      <c r="G138" s="204">
        <v>25</v>
      </c>
      <c r="H138" s="204">
        <v>48000</v>
      </c>
      <c r="I138" s="204">
        <v>2400</v>
      </c>
    </row>
    <row r="139" spans="1:9">
      <c r="A139" s="204" t="s">
        <v>1047</v>
      </c>
      <c r="B139" s="204"/>
      <c r="C139" s="326">
        <v>19.882000000000001</v>
      </c>
      <c r="D139" s="326">
        <v>8000</v>
      </c>
      <c r="E139" s="204">
        <v>400</v>
      </c>
      <c r="F139" s="204"/>
      <c r="G139" s="334" t="s">
        <v>1519</v>
      </c>
      <c r="H139" s="334" t="s">
        <v>1519</v>
      </c>
      <c r="I139" s="204"/>
    </row>
    <row r="140" spans="1:9">
      <c r="A140" s="204" t="s">
        <v>1048</v>
      </c>
      <c r="B140" s="204"/>
      <c r="C140" s="326">
        <v>12.018000000000001</v>
      </c>
      <c r="D140" s="326">
        <v>24000</v>
      </c>
      <c r="E140" s="204">
        <v>1200</v>
      </c>
      <c r="F140" s="204"/>
      <c r="G140" s="334" t="s">
        <v>1519</v>
      </c>
      <c r="H140" s="334" t="s">
        <v>1519</v>
      </c>
      <c r="I140" s="204"/>
    </row>
    <row r="141" spans="1:9">
      <c r="A141" s="204" t="s">
        <v>1049</v>
      </c>
      <c r="B141" s="204"/>
      <c r="C141" s="326">
        <v>122.319</v>
      </c>
      <c r="D141" s="326">
        <v>48000</v>
      </c>
      <c r="E141" s="204">
        <v>2400</v>
      </c>
      <c r="F141" s="204"/>
      <c r="G141" s="334" t="s">
        <v>1519</v>
      </c>
      <c r="H141" s="334" t="s">
        <v>1519</v>
      </c>
      <c r="I141" s="204"/>
    </row>
    <row r="142" spans="1:9">
      <c r="A142" s="204" t="s">
        <v>1050</v>
      </c>
      <c r="B142" s="204"/>
      <c r="C142" s="349" t="s">
        <v>1519</v>
      </c>
      <c r="D142" s="348" t="s">
        <v>1519</v>
      </c>
      <c r="E142" s="204"/>
      <c r="F142" s="204"/>
      <c r="G142" s="204">
        <v>75</v>
      </c>
      <c r="H142" s="204">
        <v>48000</v>
      </c>
      <c r="I142" s="204">
        <v>2400</v>
      </c>
    </row>
    <row r="143" spans="1:9">
      <c r="A143" s="204" t="s">
        <v>1051</v>
      </c>
      <c r="B143" s="204"/>
      <c r="C143" s="349" t="s">
        <v>1519</v>
      </c>
      <c r="D143" s="348" t="s">
        <v>1519</v>
      </c>
      <c r="E143" s="204"/>
      <c r="F143" s="204"/>
      <c r="G143" s="204">
        <v>50</v>
      </c>
      <c r="H143" s="204">
        <v>48000</v>
      </c>
      <c r="I143" s="204">
        <v>2400</v>
      </c>
    </row>
    <row r="144" spans="1:9">
      <c r="A144" s="204"/>
      <c r="B144" s="204"/>
      <c r="C144" s="204"/>
      <c r="D144" s="204"/>
      <c r="E144" s="204"/>
      <c r="F144" s="204"/>
      <c r="G144" s="204"/>
      <c r="H144" s="204"/>
      <c r="I144" s="204"/>
    </row>
    <row r="145" spans="1:9">
      <c r="A145" s="204" t="s">
        <v>1087</v>
      </c>
      <c r="B145" s="204"/>
      <c r="C145" s="204"/>
      <c r="D145" s="204"/>
      <c r="E145" s="204"/>
      <c r="F145" s="204"/>
      <c r="G145" s="204"/>
      <c r="H145" s="204"/>
      <c r="I145" s="204"/>
    </row>
    <row r="146" spans="1:9">
      <c r="A146" s="204" t="s">
        <v>1088</v>
      </c>
      <c r="B146" s="204"/>
      <c r="C146" s="204"/>
      <c r="D146" s="204"/>
      <c r="E146" s="204"/>
      <c r="F146" s="204"/>
      <c r="G146" s="204">
        <v>25</v>
      </c>
      <c r="H146" s="204">
        <v>8000</v>
      </c>
      <c r="I146" s="204">
        <v>400</v>
      </c>
    </row>
    <row r="147" spans="1:9">
      <c r="A147" s="204" t="s">
        <v>1089</v>
      </c>
      <c r="B147" s="204"/>
      <c r="C147" s="204"/>
      <c r="D147" s="204"/>
      <c r="E147" s="204"/>
      <c r="F147" s="204"/>
      <c r="G147" s="204">
        <v>100</v>
      </c>
      <c r="H147" s="204">
        <v>24000</v>
      </c>
      <c r="I147" s="204">
        <v>1200</v>
      </c>
    </row>
    <row r="148" spans="1:9">
      <c r="A148" s="204" t="s">
        <v>1090</v>
      </c>
      <c r="B148" s="204"/>
      <c r="C148" s="204"/>
      <c r="D148" s="204"/>
      <c r="E148" s="204"/>
      <c r="F148" s="204"/>
      <c r="G148" s="204">
        <v>175</v>
      </c>
      <c r="H148" s="204">
        <v>48000</v>
      </c>
      <c r="I148" s="204">
        <v>2400</v>
      </c>
    </row>
    <row r="149" spans="1:9">
      <c r="A149" s="204"/>
      <c r="B149" s="204"/>
      <c r="C149" s="204"/>
      <c r="D149" s="204"/>
      <c r="E149" s="204"/>
      <c r="F149" s="204"/>
      <c r="G149" s="204"/>
      <c r="H149" s="204"/>
      <c r="I149" s="204"/>
    </row>
    <row r="151" spans="1:9">
      <c r="A151" t="s">
        <v>1091</v>
      </c>
    </row>
  </sheetData>
  <printOptions horizontalCentered="1"/>
  <pageMargins left="0.75" right="0.75" top="1" bottom="1" header="0.5" footer="0.5"/>
  <pageSetup scale="45" firstPageNumber="25" fitToHeight="3" orientation="landscape" horizontalDpi="4294967292" verticalDpi="4294967292" r:id="rId1"/>
  <headerFooter alignWithMargins="0">
    <oddFooter>&amp;LRichard Bickings
&amp;D&amp;CPage &amp;P&amp;R&amp;F
&amp;A</oddFooter>
  </headerFooter>
  <rowBreaks count="1" manualBreakCount="1">
    <brk id="75"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8"/>
  <sheetViews>
    <sheetView showGridLines="0" workbookViewId="0">
      <selection sqref="A1:D1"/>
    </sheetView>
  </sheetViews>
  <sheetFormatPr defaultRowHeight="12.75"/>
  <cols>
    <col min="3" max="3" width="56.7109375" customWidth="1"/>
  </cols>
  <sheetData>
    <row r="1" spans="1:4" ht="15.75">
      <c r="A1" s="705" t="str">
        <f>Scope!A1</f>
        <v>Rochester Public Utilities LM6000 PC Power Project</v>
      </c>
      <c r="B1" s="705"/>
      <c r="C1" s="705"/>
      <c r="D1" s="705"/>
    </row>
    <row r="2" spans="1:4" ht="15.75">
      <c r="A2" s="705" t="s">
        <v>965</v>
      </c>
      <c r="B2" s="705"/>
      <c r="C2" s="705"/>
      <c r="D2" s="705"/>
    </row>
    <row r="6" spans="1:4">
      <c r="A6" s="672" t="s">
        <v>953</v>
      </c>
      <c r="B6" s="672" t="s">
        <v>954</v>
      </c>
      <c r="C6" s="672" t="s">
        <v>955</v>
      </c>
    </row>
    <row r="8" spans="1:4">
      <c r="A8" t="s">
        <v>956</v>
      </c>
      <c r="B8" t="s">
        <v>957</v>
      </c>
      <c r="C8" s="704" t="s">
        <v>961</v>
      </c>
    </row>
    <row r="9" spans="1:4">
      <c r="C9" s="704"/>
    </row>
    <row r="10" spans="1:4">
      <c r="C10" s="704"/>
    </row>
    <row r="11" spans="1:4">
      <c r="C11" s="704" t="s">
        <v>960</v>
      </c>
    </row>
    <row r="12" spans="1:4">
      <c r="C12" s="704"/>
    </row>
    <row r="13" spans="1:4">
      <c r="C13" s="704"/>
    </row>
    <row r="14" spans="1:4">
      <c r="C14" s="704" t="s">
        <v>958</v>
      </c>
    </row>
    <row r="15" spans="1:4">
      <c r="C15" s="704"/>
    </row>
    <row r="16" spans="1:4">
      <c r="C16" s="704"/>
    </row>
    <row r="17" spans="3:3" ht="12.75" customHeight="1">
      <c r="C17" s="704" t="s">
        <v>959</v>
      </c>
    </row>
    <row r="18" spans="3:3">
      <c r="C18" s="704"/>
    </row>
  </sheetData>
  <mergeCells count="6">
    <mergeCell ref="C14:C16"/>
    <mergeCell ref="C17:C18"/>
    <mergeCell ref="A1:D1"/>
    <mergeCell ref="A2:D2"/>
    <mergeCell ref="C8:C10"/>
    <mergeCell ref="C11:C13"/>
  </mergeCells>
  <pageMargins left="0.75" right="0.75" top="1" bottom="1" header="0.5" footer="0.5"/>
  <pageSetup orientation="portrait" horizontalDpi="300" verticalDpi="300" r:id="rId1"/>
  <headerFooter alignWithMargins="0">
    <oddFooter>&amp;LScot Chambers
&amp;D&amp;R&amp;F
&amp;A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331"/>
  <sheetViews>
    <sheetView showGridLines="0" zoomScaleNormal="75" zoomScaleSheetLayoutView="75" workbookViewId="0"/>
  </sheetViews>
  <sheetFormatPr defaultRowHeight="12.75"/>
  <cols>
    <col min="1" max="1" width="4.7109375" style="562" customWidth="1"/>
    <col min="2" max="10" width="9.140625" style="134"/>
    <col min="11" max="11" width="7.5703125" style="134" customWidth="1"/>
    <col min="12" max="16384" width="9.140625" style="134"/>
  </cols>
  <sheetData>
    <row r="1" spans="1:44" s="132" customFormat="1" ht="15.75">
      <c r="A1" s="130" t="str">
        <f>Scope!A1</f>
        <v>Rochester Public Utilities LM6000 PC Power Project</v>
      </c>
      <c r="B1" s="130"/>
      <c r="C1" s="130"/>
      <c r="D1" s="130"/>
      <c r="E1" s="130"/>
      <c r="F1" s="130"/>
      <c r="G1" s="130"/>
      <c r="H1" s="130"/>
      <c r="I1" s="130"/>
      <c r="J1" s="130"/>
      <c r="K1" s="130"/>
    </row>
    <row r="2" spans="1:44" s="132" customFormat="1" ht="15.75">
      <c r="A2" s="130" t="s">
        <v>618</v>
      </c>
      <c r="B2" s="130"/>
      <c r="C2" s="130"/>
      <c r="D2" s="130"/>
      <c r="E2" s="130"/>
      <c r="F2" s="130"/>
      <c r="G2" s="130"/>
      <c r="H2" s="130"/>
      <c r="I2" s="130"/>
      <c r="J2" s="130"/>
      <c r="K2" s="130"/>
    </row>
    <row r="3" spans="1:44" s="132" customFormat="1" ht="15.75">
      <c r="A3" s="558"/>
      <c r="B3" s="130"/>
      <c r="C3" s="130"/>
      <c r="D3" s="130"/>
      <c r="E3" s="130"/>
      <c r="F3" s="130"/>
      <c r="G3" s="130"/>
      <c r="H3" s="130"/>
      <c r="I3" s="131"/>
      <c r="J3" s="131"/>
      <c r="K3" s="131"/>
    </row>
    <row r="4" spans="1:44" s="133" customFormat="1">
      <c r="A4" s="559" t="s">
        <v>621</v>
      </c>
      <c r="B4" s="595" t="s">
        <v>622</v>
      </c>
      <c r="C4" s="596"/>
      <c r="D4" s="596"/>
      <c r="E4" s="596"/>
      <c r="F4" s="596"/>
      <c r="G4" s="596"/>
      <c r="H4" s="596"/>
      <c r="I4" s="596"/>
      <c r="J4" s="92"/>
      <c r="K4" s="92"/>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row>
    <row r="5" spans="1:44" s="133" customFormat="1">
      <c r="A5" s="560" t="s">
        <v>623</v>
      </c>
      <c r="B5" s="706" t="s">
        <v>498</v>
      </c>
      <c r="C5" s="704"/>
      <c r="D5" s="704"/>
      <c r="E5" s="704"/>
      <c r="F5" s="704"/>
      <c r="G5" s="704"/>
      <c r="H5" s="704"/>
      <c r="I5" s="704"/>
      <c r="J5" s="704"/>
      <c r="K5" s="704"/>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row>
    <row r="6" spans="1:44" s="133" customFormat="1">
      <c r="A6" s="560" t="s">
        <v>624</v>
      </c>
      <c r="B6" s="707" t="s">
        <v>499</v>
      </c>
      <c r="C6" s="704"/>
      <c r="D6" s="704"/>
      <c r="E6" s="704"/>
      <c r="F6" s="704"/>
      <c r="G6" s="704"/>
      <c r="H6" s="704"/>
      <c r="I6" s="704"/>
      <c r="J6" s="704"/>
      <c r="K6" s="704"/>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row>
    <row r="7" spans="1:44" s="133" customFormat="1" ht="12.75" customHeight="1">
      <c r="A7" s="560" t="s">
        <v>625</v>
      </c>
      <c r="B7" s="706" t="s">
        <v>1457</v>
      </c>
      <c r="C7" s="704"/>
      <c r="D7" s="704"/>
      <c r="E7" s="704"/>
      <c r="F7" s="704"/>
      <c r="G7" s="704"/>
      <c r="H7" s="704"/>
      <c r="I7" s="704"/>
      <c r="J7" s="704"/>
      <c r="K7" s="704"/>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row>
    <row r="8" spans="1:44" s="133" customFormat="1" ht="12.75" customHeight="1">
      <c r="A8" s="560"/>
      <c r="B8" s="704"/>
      <c r="C8" s="704"/>
      <c r="D8" s="704"/>
      <c r="E8" s="704"/>
      <c r="F8" s="704"/>
      <c r="G8" s="704"/>
      <c r="H8" s="704"/>
      <c r="I8" s="704"/>
      <c r="J8" s="704"/>
      <c r="K8" s="704"/>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row>
    <row r="9" spans="1:44" s="133" customFormat="1" ht="12.75" customHeight="1">
      <c r="A9" s="560"/>
      <c r="B9" s="704"/>
      <c r="C9" s="704"/>
      <c r="D9" s="704"/>
      <c r="E9" s="704"/>
      <c r="F9" s="704"/>
      <c r="G9" s="704"/>
      <c r="H9" s="704"/>
      <c r="I9" s="704"/>
      <c r="J9" s="704"/>
      <c r="K9" s="704"/>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row>
    <row r="10" spans="1:44" s="133" customFormat="1">
      <c r="A10" s="560" t="s">
        <v>626</v>
      </c>
      <c r="B10" s="708" t="s">
        <v>739</v>
      </c>
      <c r="C10" s="704"/>
      <c r="D10" s="704"/>
      <c r="E10" s="704"/>
      <c r="F10" s="704"/>
      <c r="G10" s="704"/>
      <c r="H10" s="704"/>
      <c r="I10" s="704"/>
      <c r="J10" s="704"/>
      <c r="K10" s="704"/>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row>
    <row r="11" spans="1:44" s="133" customFormat="1">
      <c r="A11" s="560" t="s">
        <v>627</v>
      </c>
      <c r="B11" s="597" t="s">
        <v>747</v>
      </c>
      <c r="C11" s="92"/>
      <c r="D11" s="92"/>
      <c r="E11" s="92"/>
      <c r="F11" s="92"/>
      <c r="G11" s="92"/>
      <c r="H11" s="92"/>
      <c r="I11" s="92"/>
      <c r="J11" s="92"/>
      <c r="K11" s="92"/>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row>
    <row r="12" spans="1:44" s="133" customFormat="1">
      <c r="A12" s="560" t="s">
        <v>628</v>
      </c>
      <c r="B12" s="598" t="s">
        <v>748</v>
      </c>
      <c r="C12" s="92"/>
      <c r="D12" s="92"/>
      <c r="E12" s="92"/>
      <c r="F12" s="92"/>
      <c r="G12" s="92"/>
      <c r="H12" s="92"/>
      <c r="I12" s="92"/>
      <c r="J12" s="92"/>
      <c r="K12" s="92"/>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row>
    <row r="13" spans="1:44" s="133" customFormat="1">
      <c r="A13" s="109" t="s">
        <v>1252</v>
      </c>
      <c r="B13" s="706" t="str">
        <f>IF(Scope!G17="installed","Chemical treatment cost based on use of installed demin plant and estimated with in-house model (no water balance available). Assumes a source of 750 ppm TDS water. Owner to provide sample analysis.", IF(Scope!G17="leased","Chemical treatment cost based of use of leased demineralizers on trailers at a cost of $10/Mgal. Assumes a source water quality of 500 ppm TDS water. Owner to provide sample analysis.","not used."))</f>
        <v>Chemical treatment cost based of use of leased demineralizers on trailers at a cost of $10/Mgal. Assumes a source water quality of 500 ppm TDS water. Owner to provide sample analysis.</v>
      </c>
      <c r="C13" s="704"/>
      <c r="D13" s="704"/>
      <c r="E13" s="704"/>
      <c r="F13" s="704"/>
      <c r="G13" s="704"/>
      <c r="H13" s="704"/>
      <c r="I13" s="704"/>
      <c r="J13" s="704"/>
      <c r="K13" s="704"/>
      <c r="L13" s="128"/>
      <c r="M13" s="185"/>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row>
    <row r="14" spans="1:44" s="133" customFormat="1">
      <c r="A14" s="109"/>
      <c r="B14" s="704"/>
      <c r="C14" s="704"/>
      <c r="D14" s="704"/>
      <c r="E14" s="704"/>
      <c r="F14" s="704"/>
      <c r="G14" s="704"/>
      <c r="H14" s="704"/>
      <c r="I14" s="704"/>
      <c r="J14" s="704"/>
      <c r="K14" s="704"/>
      <c r="L14" s="128"/>
      <c r="M14" s="185"/>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row>
    <row r="15" spans="1:44" s="133" customFormat="1">
      <c r="A15" s="243" t="s">
        <v>1253</v>
      </c>
      <c r="B15" s="709" t="str">
        <f>IF(Scope!D23&gt;0,"Chemical costs, GT major maintenance reserve, SCR maintenance reserve and 75% of annual maintenance are assumed variable with dispatch; all other costs are fixed.","Chemical costs, GT major maintenance reserve and 75% of annual maintenance are assumed variable with dispatch; all other costs are fixed.")</f>
        <v>Chemical costs, GT major maintenance reserve and 75% of annual maintenance are assumed variable with dispatch; all other costs are fixed.</v>
      </c>
      <c r="C15" s="710"/>
      <c r="D15" s="710"/>
      <c r="E15" s="710"/>
      <c r="F15" s="710"/>
      <c r="G15" s="710"/>
      <c r="H15" s="710"/>
      <c r="I15" s="710"/>
      <c r="J15" s="710"/>
      <c r="K15" s="624"/>
      <c r="L15" s="128"/>
      <c r="M15" s="185"/>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row>
    <row r="16" spans="1:44" s="133" customFormat="1">
      <c r="A16" s="243"/>
      <c r="B16" s="710"/>
      <c r="C16" s="710"/>
      <c r="D16" s="710"/>
      <c r="E16" s="710"/>
      <c r="F16" s="710"/>
      <c r="G16" s="710"/>
      <c r="H16" s="710"/>
      <c r="I16" s="710"/>
      <c r="J16" s="710"/>
      <c r="K16" s="624"/>
      <c r="L16" s="128"/>
      <c r="M16" s="185"/>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8"/>
      <c r="AR16" s="128"/>
    </row>
    <row r="17" spans="1:44" s="133" customFormat="1">
      <c r="A17" s="561" t="s">
        <v>1254</v>
      </c>
      <c r="B17" s="706" t="s">
        <v>1458</v>
      </c>
      <c r="C17" s="704"/>
      <c r="D17" s="704"/>
      <c r="E17" s="704"/>
      <c r="F17" s="704"/>
      <c r="G17" s="704"/>
      <c r="H17" s="704"/>
      <c r="I17" s="704"/>
      <c r="J17" s="704"/>
      <c r="K17" s="704"/>
      <c r="L17" s="128"/>
      <c r="M17" s="185"/>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8"/>
      <c r="AR17" s="128"/>
    </row>
    <row r="18" spans="1:44">
      <c r="A18" s="560" t="s">
        <v>1255</v>
      </c>
      <c r="B18" s="708" t="s">
        <v>630</v>
      </c>
      <c r="C18" s="704"/>
      <c r="D18" s="704"/>
      <c r="E18" s="704"/>
      <c r="F18" s="704"/>
      <c r="G18" s="704"/>
      <c r="H18" s="704"/>
      <c r="I18" s="704"/>
      <c r="J18" s="704"/>
      <c r="K18" s="704"/>
      <c r="L18" s="104"/>
      <c r="M18" s="185"/>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4"/>
      <c r="AQ18" s="104"/>
      <c r="AR18" s="104"/>
    </row>
    <row r="19" spans="1:44">
      <c r="A19" s="109" t="s">
        <v>629</v>
      </c>
      <c r="B19" s="708" t="s">
        <v>348</v>
      </c>
      <c r="C19" s="704"/>
      <c r="D19" s="704"/>
      <c r="E19" s="704"/>
      <c r="F19" s="704"/>
      <c r="G19" s="704"/>
      <c r="H19" s="704"/>
      <c r="I19" s="704"/>
      <c r="J19" s="704"/>
      <c r="K19" s="704"/>
      <c r="L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c r="AJ19" s="104"/>
      <c r="AK19" s="104"/>
      <c r="AL19" s="104"/>
      <c r="AM19" s="104"/>
      <c r="AN19" s="104"/>
      <c r="AO19" s="104"/>
      <c r="AP19" s="104"/>
      <c r="AQ19" s="104"/>
      <c r="AR19" s="104"/>
    </row>
    <row r="20" spans="1:44">
      <c r="A20" s="560" t="s">
        <v>1256</v>
      </c>
      <c r="B20" s="712" t="s">
        <v>740</v>
      </c>
      <c r="C20" s="704"/>
      <c r="D20" s="704"/>
      <c r="E20" s="704"/>
      <c r="F20" s="704"/>
      <c r="G20" s="704"/>
      <c r="H20" s="704"/>
      <c r="I20" s="704"/>
      <c r="J20" s="704"/>
      <c r="K20" s="704"/>
      <c r="L20" s="104"/>
      <c r="M20" s="185"/>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4"/>
      <c r="AQ20" s="104"/>
      <c r="AR20" s="104"/>
    </row>
    <row r="21" spans="1:44">
      <c r="A21" s="560" t="s">
        <v>1257</v>
      </c>
      <c r="B21" s="712" t="s">
        <v>514</v>
      </c>
      <c r="C21" s="704"/>
      <c r="D21" s="704"/>
      <c r="E21" s="704"/>
      <c r="F21" s="704"/>
      <c r="G21" s="704"/>
      <c r="H21" s="704"/>
      <c r="I21" s="704"/>
      <c r="J21" s="704"/>
      <c r="K21" s="704"/>
      <c r="L21" s="104"/>
      <c r="M21" s="185"/>
      <c r="N21" s="104"/>
      <c r="O21" s="104"/>
      <c r="P21" s="104"/>
      <c r="Q21" s="104"/>
      <c r="R21" s="104"/>
      <c r="S21" s="104"/>
      <c r="T21" s="104"/>
      <c r="U21" s="104"/>
      <c r="V21" s="104"/>
      <c r="W21" s="104"/>
      <c r="X21" s="104"/>
      <c r="Y21" s="104"/>
      <c r="Z21" s="104"/>
      <c r="AA21" s="104"/>
      <c r="AB21" s="104"/>
      <c r="AC21" s="104"/>
      <c r="AD21" s="104"/>
      <c r="AE21" s="104"/>
      <c r="AF21" s="104"/>
      <c r="AG21" s="104"/>
      <c r="AH21" s="104"/>
      <c r="AI21" s="104"/>
      <c r="AJ21" s="104"/>
      <c r="AK21" s="104"/>
      <c r="AL21" s="104"/>
      <c r="AM21" s="104"/>
      <c r="AN21" s="104"/>
      <c r="AO21" s="104"/>
      <c r="AP21" s="104"/>
      <c r="AQ21" s="104"/>
      <c r="AR21" s="104"/>
    </row>
    <row r="22" spans="1:44">
      <c r="A22" s="134"/>
      <c r="B22" s="704"/>
      <c r="C22" s="704"/>
      <c r="D22" s="704"/>
      <c r="E22" s="704"/>
      <c r="F22" s="704"/>
      <c r="G22" s="704"/>
      <c r="H22" s="704"/>
      <c r="I22" s="704"/>
      <c r="J22" s="704"/>
      <c r="K22" s="704"/>
      <c r="L22" s="104"/>
      <c r="M22" s="104"/>
      <c r="N22" s="104"/>
      <c r="O22" s="104"/>
      <c r="P22" s="104"/>
      <c r="Q22" s="104"/>
      <c r="R22" s="104"/>
      <c r="S22" s="104"/>
      <c r="T22" s="104"/>
      <c r="U22" s="104"/>
      <c r="V22" s="104"/>
      <c r="W22" s="104"/>
      <c r="X22" s="104"/>
      <c r="Y22" s="104"/>
      <c r="Z22" s="104"/>
      <c r="AA22" s="104"/>
      <c r="AB22" s="104"/>
      <c r="AC22" s="104"/>
      <c r="AD22" s="104"/>
      <c r="AE22" s="104"/>
      <c r="AF22" s="104"/>
      <c r="AG22" s="104"/>
      <c r="AH22" s="104"/>
      <c r="AI22" s="104"/>
      <c r="AJ22" s="104"/>
      <c r="AK22" s="104"/>
      <c r="AL22" s="104"/>
      <c r="AM22" s="104"/>
      <c r="AN22" s="104"/>
      <c r="AO22" s="104"/>
      <c r="AP22" s="104"/>
      <c r="AQ22" s="104"/>
      <c r="AR22" s="104"/>
    </row>
    <row r="23" spans="1:44">
      <c r="A23" s="134"/>
      <c r="B23" s="704"/>
      <c r="C23" s="704"/>
      <c r="D23" s="704"/>
      <c r="E23" s="704"/>
      <c r="F23" s="704"/>
      <c r="G23" s="704"/>
      <c r="H23" s="704"/>
      <c r="I23" s="704"/>
      <c r="J23" s="704"/>
      <c r="K23" s="7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row>
    <row r="24" spans="1:44">
      <c r="A24" s="560" t="s">
        <v>1259</v>
      </c>
      <c r="B24" s="712" t="s">
        <v>966</v>
      </c>
      <c r="C24" s="704"/>
      <c r="D24" s="704"/>
      <c r="E24" s="704"/>
      <c r="F24" s="704"/>
      <c r="G24" s="704"/>
      <c r="H24" s="704"/>
      <c r="I24" s="704"/>
      <c r="J24" s="704"/>
      <c r="K24" s="7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row>
    <row r="25" spans="1:44">
      <c r="A25" s="560"/>
      <c r="B25" s="704"/>
      <c r="C25" s="704"/>
      <c r="D25" s="704"/>
      <c r="E25" s="704"/>
      <c r="F25" s="704"/>
      <c r="G25" s="704"/>
      <c r="H25" s="704"/>
      <c r="I25" s="704"/>
      <c r="J25" s="704"/>
      <c r="K25" s="704"/>
      <c r="L25" s="104"/>
      <c r="M25" s="178"/>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row>
    <row r="26" spans="1:44">
      <c r="A26" s="560" t="s">
        <v>1258</v>
      </c>
      <c r="B26" s="712" t="s">
        <v>500</v>
      </c>
      <c r="C26" s="704"/>
      <c r="D26" s="704"/>
      <c r="E26" s="704"/>
      <c r="F26" s="704"/>
      <c r="G26" s="704"/>
      <c r="H26" s="704"/>
      <c r="I26" s="704"/>
      <c r="J26" s="704"/>
      <c r="K26" s="704"/>
      <c r="L26" s="104"/>
      <c r="M26" s="127"/>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row>
    <row r="27" spans="1:44">
      <c r="A27" s="560" t="s">
        <v>652</v>
      </c>
      <c r="B27" s="88" t="s">
        <v>653</v>
      </c>
      <c r="C27" s="104"/>
      <c r="D27" s="104"/>
      <c r="E27" s="104"/>
      <c r="F27" s="104"/>
      <c r="G27" s="104"/>
      <c r="H27" s="104"/>
      <c r="I27" s="104"/>
      <c r="J27" s="104"/>
      <c r="K27" s="104"/>
      <c r="L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row>
    <row r="28" spans="1:44">
      <c r="A28" s="560"/>
      <c r="B28" s="88" t="s">
        <v>654</v>
      </c>
      <c r="C28" s="104"/>
      <c r="D28" s="104"/>
      <c r="E28" s="104"/>
      <c r="F28" s="104"/>
      <c r="G28" s="104"/>
      <c r="H28" s="104"/>
      <c r="I28" s="104"/>
      <c r="J28" s="104"/>
      <c r="K28" s="104"/>
      <c r="L28" s="104"/>
      <c r="M28" s="467"/>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row>
    <row r="29" spans="1:44">
      <c r="A29" s="560"/>
      <c r="B29" s="88" t="s">
        <v>655</v>
      </c>
      <c r="C29" s="104"/>
      <c r="D29" s="104"/>
      <c r="E29" s="104"/>
      <c r="F29" s="104"/>
      <c r="G29" s="104"/>
      <c r="H29" s="104"/>
      <c r="I29" s="104"/>
      <c r="J29" s="104"/>
      <c r="K29" s="104"/>
      <c r="L29" s="104"/>
      <c r="M29" s="185"/>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row>
    <row r="30" spans="1:44">
      <c r="A30" s="560"/>
      <c r="B30" s="88" t="s">
        <v>656</v>
      </c>
      <c r="C30" s="104"/>
      <c r="D30" s="104"/>
      <c r="E30" s="104"/>
      <c r="F30" s="104"/>
      <c r="G30" s="104"/>
      <c r="H30" s="104"/>
      <c r="I30" s="104"/>
      <c r="J30" s="104"/>
      <c r="K30" s="104"/>
      <c r="L30" s="104"/>
      <c r="M30" s="185"/>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row>
    <row r="31" spans="1:44">
      <c r="A31" s="560"/>
      <c r="B31" s="88" t="s">
        <v>657</v>
      </c>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row>
    <row r="32" spans="1:44">
      <c r="A32" s="560"/>
      <c r="B32" s="88" t="s">
        <v>658</v>
      </c>
      <c r="C32" s="104"/>
      <c r="D32" s="104"/>
      <c r="E32" s="104"/>
      <c r="F32" s="104"/>
      <c r="G32" s="104"/>
      <c r="H32" s="104"/>
      <c r="I32" s="104"/>
      <c r="J32" s="104"/>
      <c r="K32" s="104"/>
      <c r="L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row>
    <row r="33" spans="1:44">
      <c r="A33" s="560"/>
      <c r="B33" s="88" t="s">
        <v>659</v>
      </c>
      <c r="C33" s="104"/>
      <c r="D33" s="104"/>
      <c r="E33" s="104"/>
      <c r="F33" s="104"/>
      <c r="G33" s="104"/>
      <c r="H33" s="104"/>
      <c r="I33" s="104"/>
      <c r="J33" s="104"/>
      <c r="K33" s="104"/>
      <c r="L33" s="104"/>
      <c r="M33" s="185"/>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row>
    <row r="34" spans="1:44">
      <c r="A34" s="560"/>
      <c r="B34" s="88" t="s">
        <v>660</v>
      </c>
      <c r="C34" s="104"/>
      <c r="D34" s="104"/>
      <c r="E34" s="104"/>
      <c r="F34" s="104"/>
      <c r="G34" s="104"/>
      <c r="H34" s="104"/>
      <c r="I34" s="104"/>
      <c r="J34" s="104"/>
      <c r="K34" s="104"/>
      <c r="L34" s="104"/>
      <c r="M34" s="185"/>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row>
    <row r="35" spans="1:44">
      <c r="A35" s="560"/>
      <c r="B35" s="88" t="s">
        <v>661</v>
      </c>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row>
    <row r="36" spans="1:44" hidden="1">
      <c r="A36" s="560"/>
      <c r="B36" s="88" t="s">
        <v>662</v>
      </c>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row>
    <row r="37" spans="1:44">
      <c r="A37" s="560"/>
      <c r="B37" s="88" t="s">
        <v>663</v>
      </c>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row>
    <row r="38" spans="1:44">
      <c r="A38" s="560"/>
      <c r="B38" s="88" t="s">
        <v>664</v>
      </c>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c r="AP38" s="104"/>
      <c r="AQ38" s="104"/>
      <c r="AR38" s="104"/>
    </row>
    <row r="39" spans="1:44">
      <c r="A39" s="559" t="s">
        <v>631</v>
      </c>
      <c r="B39" s="711" t="s">
        <v>632</v>
      </c>
      <c r="C39" s="704"/>
      <c r="D39" s="704"/>
      <c r="E39" s="704"/>
      <c r="F39" s="704"/>
      <c r="G39" s="704"/>
      <c r="H39" s="704"/>
      <c r="I39" s="704"/>
      <c r="J39" s="704"/>
      <c r="K39" s="7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row>
    <row r="40" spans="1:44">
      <c r="A40" s="560"/>
      <c r="B40" s="264" t="s">
        <v>1459</v>
      </c>
      <c r="C40" s="88"/>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row>
    <row r="41" spans="1:44">
      <c r="A41" s="560"/>
      <c r="B41" s="264" t="s">
        <v>743</v>
      </c>
      <c r="C41" s="88"/>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row>
    <row r="42" spans="1:44">
      <c r="A42" s="560"/>
      <c r="B42" s="264" t="s">
        <v>665</v>
      </c>
      <c r="C42" s="88"/>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row>
    <row r="43" spans="1:44">
      <c r="A43" s="560"/>
      <c r="B43" s="264" t="s">
        <v>705</v>
      </c>
      <c r="C43" s="88"/>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c r="AP43" s="104"/>
      <c r="AQ43" s="104"/>
      <c r="AR43" s="104"/>
    </row>
    <row r="44" spans="1:44">
      <c r="A44" s="560"/>
      <c r="B44" s="264" t="s">
        <v>666</v>
      </c>
      <c r="C44" s="88"/>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row>
    <row r="45" spans="1:44" s="178" customFormat="1">
      <c r="A45" s="560"/>
      <c r="B45" s="264" t="s">
        <v>892</v>
      </c>
      <c r="C45" s="88"/>
      <c r="D45" s="104"/>
      <c r="E45" s="104"/>
      <c r="F45" s="104"/>
      <c r="G45" s="104"/>
      <c r="H45" s="104"/>
      <c r="I45" s="104"/>
      <c r="J45" s="104"/>
      <c r="K45" s="104"/>
      <c r="L45" s="127"/>
      <c r="M45" s="127"/>
      <c r="N45" s="127"/>
      <c r="O45" s="127"/>
      <c r="P45" s="127"/>
      <c r="Q45" s="127"/>
      <c r="R45" s="127"/>
      <c r="S45" s="127"/>
      <c r="T45" s="127"/>
      <c r="U45" s="127"/>
      <c r="V45" s="127"/>
      <c r="W45" s="127"/>
      <c r="X45" s="127"/>
      <c r="Y45" s="127"/>
      <c r="Z45" s="127"/>
      <c r="AA45" s="127"/>
      <c r="AB45" s="127"/>
      <c r="AC45" s="127"/>
      <c r="AD45" s="127"/>
      <c r="AE45" s="127"/>
      <c r="AF45" s="127"/>
      <c r="AG45" s="127"/>
      <c r="AH45" s="127"/>
      <c r="AI45" s="127"/>
      <c r="AJ45" s="127"/>
      <c r="AK45" s="127"/>
      <c r="AL45" s="127"/>
      <c r="AM45" s="127"/>
      <c r="AN45" s="127"/>
      <c r="AO45" s="127"/>
      <c r="AP45" s="127"/>
      <c r="AQ45" s="127"/>
      <c r="AR45" s="127"/>
    </row>
    <row r="46" spans="1:44">
      <c r="A46" s="243"/>
      <c r="B46" s="192" t="s">
        <v>667</v>
      </c>
      <c r="C46" s="88"/>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row>
    <row r="47" spans="1:44">
      <c r="A47" s="243"/>
      <c r="B47" s="192" t="s">
        <v>744</v>
      </c>
      <c r="C47" s="88"/>
      <c r="D47" s="127"/>
      <c r="E47" s="127"/>
      <c r="F47" s="127"/>
      <c r="G47" s="127"/>
      <c r="H47" s="127"/>
      <c r="I47" s="127"/>
      <c r="J47" s="127"/>
      <c r="K47" s="127"/>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row>
    <row r="48" spans="1:44">
      <c r="A48" s="243"/>
      <c r="B48" s="192" t="s">
        <v>1460</v>
      </c>
      <c r="C48" s="88"/>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row>
    <row r="49" spans="1:44">
      <c r="A49" s="109"/>
      <c r="B49" s="594" t="s">
        <v>745</v>
      </c>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row>
    <row r="50" spans="1:44" hidden="1">
      <c r="A50" s="109"/>
      <c r="B50" s="594" t="s">
        <v>746</v>
      </c>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row>
    <row r="51" spans="1:44">
      <c r="A51" s="185" t="s">
        <v>749</v>
      </c>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row>
    <row r="52" spans="1:44">
      <c r="A52" s="178" t="s">
        <v>750</v>
      </c>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row>
    <row r="53" spans="1:44">
      <c r="A53" s="109" t="s">
        <v>756</v>
      </c>
      <c r="B53" s="104" t="s">
        <v>757</v>
      </c>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row>
    <row r="54" spans="1:44">
      <c r="A54" s="109" t="s">
        <v>758</v>
      </c>
      <c r="B54" s="104" t="str">
        <f>IF(Scope!G24="yes","not used","Assumes that gas compression is not required." )</f>
        <v>not used</v>
      </c>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row>
    <row r="55" spans="1:44">
      <c r="A55" s="109" t="s">
        <v>402</v>
      </c>
      <c r="B55" s="104" t="s">
        <v>1466</v>
      </c>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row>
    <row r="56" spans="1:44">
      <c r="A56" s="109" t="s">
        <v>403</v>
      </c>
      <c r="B56" s="104" t="str">
        <f>IF(Summary!E43=0,"Assumes that the owner will not accrue for Major scheduled GT maintenance during the term.","not used")</f>
        <v>Assumes that the owner will not accrue for Major scheduled GT maintenance during the term.</v>
      </c>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row>
    <row r="57" spans="1:44">
      <c r="A57" s="109" t="s">
        <v>404</v>
      </c>
      <c r="B57" s="104" t="str">
        <f>IF(Scope!D23&gt;0,"Assumes that the owner will not accrue for SCR catalyst replacement during the term. Assumed catalyst life of 40,000 hrs.", "not used")</f>
        <v>not used</v>
      </c>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row>
    <row r="58" spans="1:44">
      <c r="A58" s="109" t="s">
        <v>405</v>
      </c>
      <c r="B58" s="104" t="str">
        <f>IF(Scope!D23&gt;0,"Ammonia usage rate for the SCR is assumed to be 46 lbs/hr/GT.","not used")</f>
        <v>not used</v>
      </c>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row>
    <row r="59" spans="1:44">
      <c r="A59" s="109" t="s">
        <v>1461</v>
      </c>
      <c r="B59" s="104" t="s">
        <v>1462</v>
      </c>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row>
    <row r="60" spans="1:44">
      <c r="A60" s="109"/>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row>
    <row r="61" spans="1:44">
      <c r="A61" s="109"/>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row>
    <row r="62" spans="1:44">
      <c r="A62" s="109"/>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row>
    <row r="63" spans="1:44">
      <c r="A63" s="563"/>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row>
    <row r="64" spans="1:44">
      <c r="A64" s="109"/>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row>
    <row r="65" spans="1:44">
      <c r="A65" s="109"/>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row>
    <row r="66" spans="1:44">
      <c r="A66" s="109"/>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row>
    <row r="67" spans="1:44">
      <c r="A67" s="109"/>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row>
    <row r="68" spans="1:44">
      <c r="A68" s="109"/>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row>
    <row r="69" spans="1:44">
      <c r="A69" s="109"/>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row>
    <row r="70" spans="1:44">
      <c r="A70" s="109"/>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row>
    <row r="71" spans="1:44">
      <c r="A71" s="109"/>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row>
    <row r="72" spans="1:44">
      <c r="A72" s="109"/>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row>
    <row r="73" spans="1:44">
      <c r="A73" s="109"/>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row>
    <row r="74" spans="1:44">
      <c r="A74" s="109"/>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row>
    <row r="75" spans="1:44">
      <c r="A75" s="109"/>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row>
    <row r="76" spans="1:44">
      <c r="A76" s="109"/>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row>
    <row r="77" spans="1:44">
      <c r="A77" s="109"/>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row>
    <row r="78" spans="1:44">
      <c r="A78" s="109"/>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row>
    <row r="79" spans="1:44">
      <c r="A79" s="109"/>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row>
    <row r="80" spans="1:44">
      <c r="A80" s="109"/>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row>
    <row r="81" spans="1:44">
      <c r="A81" s="109"/>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row>
    <row r="82" spans="1:44">
      <c r="A82" s="109"/>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row>
    <row r="83" spans="1:44">
      <c r="A83" s="109"/>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row>
    <row r="84" spans="1:44">
      <c r="A84" s="109"/>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row>
    <row r="85" spans="1:44">
      <c r="A85" s="109"/>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row>
    <row r="86" spans="1:44">
      <c r="A86" s="109"/>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row>
    <row r="87" spans="1:44">
      <c r="A87" s="109"/>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row>
    <row r="88" spans="1:44">
      <c r="A88" s="109"/>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c r="AP88" s="104"/>
      <c r="AQ88" s="104"/>
      <c r="AR88" s="104"/>
    </row>
    <row r="89" spans="1:44">
      <c r="A89" s="109"/>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row>
    <row r="90" spans="1:44">
      <c r="A90" s="109"/>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row>
    <row r="91" spans="1:44">
      <c r="A91" s="109"/>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row>
    <row r="92" spans="1:44">
      <c r="A92" s="109"/>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row>
    <row r="93" spans="1:44">
      <c r="A93" s="109"/>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c r="AQ93" s="104"/>
      <c r="AR93" s="104"/>
    </row>
    <row r="94" spans="1:44">
      <c r="A94" s="109"/>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row>
    <row r="95" spans="1:44">
      <c r="A95" s="109"/>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row>
    <row r="96" spans="1:44">
      <c r="A96" s="109"/>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row>
    <row r="97" spans="1:44">
      <c r="A97" s="109"/>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row>
    <row r="98" spans="1:44">
      <c r="A98" s="109"/>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row>
    <row r="99" spans="1:44">
      <c r="A99" s="109"/>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row>
    <row r="100" spans="1:44">
      <c r="A100" s="109"/>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row>
    <row r="101" spans="1:44">
      <c r="A101" s="109"/>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row>
    <row r="102" spans="1:44">
      <c r="A102" s="109"/>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row>
    <row r="103" spans="1:44">
      <c r="A103" s="109"/>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row>
    <row r="104" spans="1:44">
      <c r="A104" s="109"/>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row>
    <row r="105" spans="1:44">
      <c r="A105" s="109"/>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row>
    <row r="106" spans="1:44">
      <c r="A106" s="109"/>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row>
    <row r="107" spans="1:44">
      <c r="A107" s="109"/>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row>
    <row r="108" spans="1:44">
      <c r="A108" s="109"/>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row>
    <row r="109" spans="1:44">
      <c r="A109" s="109"/>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row>
    <row r="110" spans="1:44">
      <c r="A110" s="109"/>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row>
    <row r="111" spans="1:44">
      <c r="A111" s="109"/>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row>
    <row r="112" spans="1:44">
      <c r="A112" s="109"/>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row>
    <row r="113" spans="1:44">
      <c r="A113" s="109"/>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row>
    <row r="114" spans="1:44">
      <c r="A114" s="109"/>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row>
    <row r="115" spans="1:44">
      <c r="A115" s="109"/>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row>
    <row r="116" spans="1:44">
      <c r="A116" s="109"/>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row>
    <row r="117" spans="1:44">
      <c r="A117" s="109"/>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row>
    <row r="118" spans="1:44">
      <c r="A118" s="109"/>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row>
    <row r="119" spans="1:44">
      <c r="A119" s="109"/>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row>
    <row r="120" spans="1:44">
      <c r="A120" s="109"/>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row>
    <row r="121" spans="1:44">
      <c r="A121" s="109"/>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row>
    <row r="122" spans="1:44">
      <c r="A122" s="109"/>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row>
    <row r="123" spans="1:44">
      <c r="A123" s="109"/>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row>
    <row r="124" spans="1:44">
      <c r="A124" s="109"/>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row>
    <row r="125" spans="1:44">
      <c r="A125" s="109"/>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row>
    <row r="126" spans="1:44">
      <c r="A126" s="109"/>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row>
    <row r="127" spans="1:44">
      <c r="A127" s="109"/>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row>
    <row r="128" spans="1:44">
      <c r="A128" s="109"/>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row>
    <row r="129" spans="1:44">
      <c r="A129" s="109"/>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row>
    <row r="130" spans="1:44">
      <c r="A130" s="109"/>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row>
    <row r="131" spans="1:44">
      <c r="A131" s="109"/>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row>
    <row r="132" spans="1:44">
      <c r="A132" s="109"/>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c r="AP132" s="104"/>
      <c r="AQ132" s="104"/>
      <c r="AR132" s="104"/>
    </row>
    <row r="133" spans="1:44">
      <c r="A133" s="109"/>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c r="AP133" s="104"/>
      <c r="AQ133" s="104"/>
      <c r="AR133" s="104"/>
    </row>
    <row r="134" spans="1:44">
      <c r="A134" s="109"/>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row>
    <row r="135" spans="1:44">
      <c r="A135" s="109"/>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c r="AP135" s="104"/>
      <c r="AQ135" s="104"/>
      <c r="AR135" s="104"/>
    </row>
    <row r="136" spans="1:44">
      <c r="A136" s="109"/>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row>
    <row r="137" spans="1:44">
      <c r="A137" s="109"/>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row>
    <row r="138" spans="1:44">
      <c r="A138" s="109"/>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row>
    <row r="139" spans="1:44">
      <c r="A139" s="109"/>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row>
    <row r="140" spans="1:44">
      <c r="A140" s="109"/>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row>
    <row r="141" spans="1:44">
      <c r="A141" s="109"/>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row>
    <row r="142" spans="1:44">
      <c r="A142" s="109"/>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row>
    <row r="143" spans="1:44">
      <c r="A143" s="109"/>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row>
    <row r="144" spans="1:44">
      <c r="A144" s="109"/>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row>
    <row r="145" spans="1:44">
      <c r="A145" s="109"/>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row>
    <row r="146" spans="1:44">
      <c r="A146" s="109"/>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row>
    <row r="147" spans="1:44">
      <c r="A147" s="109"/>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row>
    <row r="148" spans="1:44">
      <c r="A148" s="109"/>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row>
    <row r="149" spans="1:44">
      <c r="A149" s="109"/>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row>
    <row r="150" spans="1:44">
      <c r="A150" s="109"/>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row>
    <row r="151" spans="1:44">
      <c r="A151" s="109"/>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row>
    <row r="152" spans="1:44">
      <c r="A152" s="109"/>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row>
    <row r="153" spans="1:44">
      <c r="A153" s="109"/>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row>
    <row r="154" spans="1:44">
      <c r="A154" s="109"/>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row>
    <row r="155" spans="1:44">
      <c r="A155" s="109"/>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row>
    <row r="156" spans="1:44">
      <c r="A156" s="109"/>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row>
    <row r="157" spans="1:44">
      <c r="A157" s="109"/>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row>
    <row r="158" spans="1:44">
      <c r="A158" s="109"/>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row>
    <row r="159" spans="1:44">
      <c r="A159" s="109"/>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row>
    <row r="160" spans="1:44">
      <c r="A160" s="109"/>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row>
    <row r="161" spans="1:44">
      <c r="A161" s="109"/>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row>
    <row r="162" spans="1:44">
      <c r="A162" s="109"/>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row>
    <row r="163" spans="1:44">
      <c r="A163" s="109"/>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row>
    <row r="164" spans="1:44">
      <c r="A164" s="109"/>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row>
    <row r="165" spans="1:44">
      <c r="A165" s="109"/>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row>
    <row r="166" spans="1:44">
      <c r="A166" s="109"/>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row>
    <row r="167" spans="1:44">
      <c r="A167" s="109"/>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row>
    <row r="168" spans="1:44">
      <c r="A168" s="109"/>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row>
    <row r="169" spans="1:44">
      <c r="A169" s="109"/>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row>
    <row r="170" spans="1:44">
      <c r="A170" s="109"/>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row>
    <row r="171" spans="1:44">
      <c r="A171" s="109"/>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row>
    <row r="172" spans="1:44">
      <c r="A172" s="109"/>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row>
    <row r="173" spans="1:44">
      <c r="A173" s="109"/>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row>
    <row r="174" spans="1:44">
      <c r="A174" s="109"/>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row>
    <row r="175" spans="1:44">
      <c r="A175" s="109"/>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row>
    <row r="176" spans="1:44">
      <c r="A176" s="109"/>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row>
    <row r="177" spans="1:44">
      <c r="A177" s="109"/>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row>
    <row r="178" spans="1:44">
      <c r="A178" s="109"/>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row>
    <row r="179" spans="1:44">
      <c r="A179" s="109"/>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row>
    <row r="180" spans="1:44">
      <c r="A180" s="109"/>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row>
    <row r="181" spans="1:44">
      <c r="A181" s="109"/>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row>
    <row r="182" spans="1:44">
      <c r="A182" s="109"/>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row>
    <row r="183" spans="1:44">
      <c r="A183" s="109"/>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row>
    <row r="184" spans="1:44">
      <c r="A184" s="109"/>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row>
    <row r="185" spans="1:44">
      <c r="A185" s="109"/>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row>
    <row r="186" spans="1:44">
      <c r="A186" s="109"/>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row>
    <row r="187" spans="1:44">
      <c r="A187" s="109"/>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row>
    <row r="188" spans="1:44">
      <c r="A188" s="109"/>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row>
    <row r="189" spans="1:44">
      <c r="A189" s="109"/>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row>
    <row r="190" spans="1:44">
      <c r="A190" s="109"/>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row>
    <row r="191" spans="1:44">
      <c r="A191" s="109"/>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row>
    <row r="192" spans="1:44">
      <c r="A192" s="109"/>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row>
    <row r="193" spans="1:44">
      <c r="A193" s="109"/>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row>
    <row r="194" spans="1:44">
      <c r="A194" s="109"/>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row>
    <row r="195" spans="1:44">
      <c r="A195" s="109"/>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row>
    <row r="196" spans="1:44">
      <c r="A196" s="109"/>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row>
    <row r="197" spans="1:44">
      <c r="A197" s="109"/>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row>
    <row r="198" spans="1:44">
      <c r="A198" s="109"/>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row>
    <row r="199" spans="1:44">
      <c r="A199" s="109"/>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row>
    <row r="200" spans="1:44">
      <c r="A200" s="109"/>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row>
    <row r="201" spans="1:44">
      <c r="A201" s="109"/>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row>
    <row r="202" spans="1:44">
      <c r="A202" s="109"/>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row>
    <row r="203" spans="1:44">
      <c r="A203" s="109"/>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row>
    <row r="204" spans="1:44">
      <c r="A204" s="109"/>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row>
    <row r="205" spans="1:44">
      <c r="A205" s="109"/>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row>
    <row r="206" spans="1:44">
      <c r="A206" s="109"/>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row>
    <row r="207" spans="1:44">
      <c r="A207" s="109"/>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row>
    <row r="208" spans="1:44">
      <c r="A208" s="109"/>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row>
    <row r="209" spans="1:44">
      <c r="A209" s="109"/>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row>
    <row r="210" spans="1:44">
      <c r="A210" s="109"/>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row>
    <row r="211" spans="1:44">
      <c r="A211" s="109"/>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row>
    <row r="212" spans="1:44">
      <c r="A212" s="109"/>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row>
    <row r="213" spans="1:44">
      <c r="A213" s="109"/>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row>
    <row r="214" spans="1:44">
      <c r="A214" s="109"/>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row>
    <row r="215" spans="1:44">
      <c r="A215" s="109"/>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row>
    <row r="216" spans="1:44">
      <c r="A216" s="109"/>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row>
    <row r="217" spans="1:44">
      <c r="A217" s="109"/>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row>
    <row r="218" spans="1:44">
      <c r="A218" s="109"/>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row>
    <row r="219" spans="1:44">
      <c r="A219" s="109"/>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row>
    <row r="220" spans="1:44">
      <c r="A220" s="109"/>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row>
    <row r="221" spans="1:44">
      <c r="A221" s="109"/>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row>
    <row r="222" spans="1:44">
      <c r="A222" s="109"/>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row>
    <row r="223" spans="1:44">
      <c r="A223" s="109"/>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row>
    <row r="224" spans="1:44">
      <c r="A224" s="109"/>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row>
    <row r="225" spans="1:44">
      <c r="A225" s="109"/>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row>
    <row r="226" spans="1:44">
      <c r="A226" s="109"/>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row>
    <row r="227" spans="1:44">
      <c r="A227" s="109"/>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row>
    <row r="228" spans="1:44">
      <c r="A228" s="109"/>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row>
    <row r="229" spans="1:44">
      <c r="A229" s="109"/>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row>
    <row r="230" spans="1:44">
      <c r="A230" s="109"/>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row>
    <row r="231" spans="1:44">
      <c r="A231" s="109"/>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row>
    <row r="232" spans="1:44">
      <c r="A232" s="109"/>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row>
    <row r="233" spans="1:44">
      <c r="A233" s="109"/>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row>
    <row r="234" spans="1:44">
      <c r="A234" s="109"/>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row>
    <row r="235" spans="1:44">
      <c r="A235" s="109"/>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row>
    <row r="236" spans="1:44">
      <c r="A236" s="109"/>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row>
    <row r="237" spans="1:44">
      <c r="A237" s="109"/>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row>
    <row r="238" spans="1:44">
      <c r="A238" s="109"/>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row>
    <row r="239" spans="1:44">
      <c r="A239" s="109"/>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row>
    <row r="240" spans="1:44">
      <c r="A240" s="109"/>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row>
    <row r="241" spans="1:44">
      <c r="A241" s="109"/>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row>
    <row r="242" spans="1:44">
      <c r="A242" s="109"/>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row>
    <row r="243" spans="1:44">
      <c r="A243" s="109"/>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row>
    <row r="244" spans="1:44">
      <c r="A244" s="109"/>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row>
    <row r="245" spans="1:44">
      <c r="A245" s="109"/>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row>
    <row r="246" spans="1:44">
      <c r="A246" s="109"/>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row>
    <row r="247" spans="1:44">
      <c r="A247" s="109"/>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row>
    <row r="248" spans="1:44">
      <c r="A248" s="109"/>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row>
    <row r="249" spans="1:44">
      <c r="A249" s="109"/>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row>
    <row r="250" spans="1:44">
      <c r="A250" s="109"/>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row>
    <row r="251" spans="1:44">
      <c r="A251" s="109"/>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row>
    <row r="252" spans="1:44">
      <c r="A252" s="109"/>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row>
    <row r="253" spans="1:44">
      <c r="A253" s="109"/>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row>
    <row r="254" spans="1:44">
      <c r="A254" s="109"/>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row>
    <row r="255" spans="1:44">
      <c r="A255" s="109"/>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row>
    <row r="256" spans="1:44">
      <c r="A256" s="109"/>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row>
    <row r="257" spans="1:44">
      <c r="A257" s="109"/>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row>
    <row r="258" spans="1:44">
      <c r="A258" s="109"/>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row>
    <row r="259" spans="1:44">
      <c r="A259" s="109"/>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row>
    <row r="260" spans="1:44">
      <c r="A260" s="109"/>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row>
    <row r="261" spans="1:44">
      <c r="A261" s="109"/>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row>
    <row r="262" spans="1:44">
      <c r="A262" s="109"/>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row>
    <row r="263" spans="1:44">
      <c r="A263" s="109"/>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row>
    <row r="264" spans="1:44">
      <c r="A264" s="109"/>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row>
    <row r="265" spans="1:44">
      <c r="A265" s="109"/>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row>
    <row r="266" spans="1:44">
      <c r="A266" s="109"/>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row>
    <row r="267" spans="1:44">
      <c r="A267" s="109"/>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row>
    <row r="268" spans="1:44">
      <c r="A268" s="109"/>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row>
    <row r="269" spans="1:44">
      <c r="A269" s="109"/>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row>
    <row r="270" spans="1:44">
      <c r="A270" s="109"/>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row>
    <row r="271" spans="1:44">
      <c r="A271" s="109"/>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row>
    <row r="272" spans="1:44">
      <c r="A272" s="109"/>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row>
    <row r="273" spans="1:44">
      <c r="A273" s="109"/>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row>
    <row r="274" spans="1:44">
      <c r="A274" s="109"/>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row>
    <row r="275" spans="1:44">
      <c r="A275" s="109"/>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row>
    <row r="276" spans="1:44">
      <c r="A276" s="109"/>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row>
    <row r="277" spans="1:44">
      <c r="A277" s="109"/>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row>
    <row r="278" spans="1:44">
      <c r="A278" s="109"/>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row>
    <row r="279" spans="1:44">
      <c r="A279" s="109"/>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row>
    <row r="280" spans="1:44">
      <c r="A280" s="109"/>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row>
    <row r="281" spans="1:44">
      <c r="A281" s="109"/>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row>
    <row r="282" spans="1:44">
      <c r="A282" s="109"/>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row>
    <row r="283" spans="1:44">
      <c r="A283" s="109"/>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row>
    <row r="284" spans="1:44">
      <c r="A284" s="109"/>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row>
    <row r="285" spans="1:44">
      <c r="A285" s="109"/>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row>
    <row r="286" spans="1:44">
      <c r="A286" s="109"/>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row>
    <row r="287" spans="1:44">
      <c r="A287" s="109"/>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row>
    <row r="288" spans="1:44">
      <c r="A288" s="109"/>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row>
    <row r="289" spans="1:44">
      <c r="A289" s="109"/>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row>
    <row r="290" spans="1:44">
      <c r="A290" s="109"/>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row>
    <row r="291" spans="1:44">
      <c r="A291" s="109"/>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row>
    <row r="292" spans="1:44">
      <c r="A292" s="109"/>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row>
    <row r="293" spans="1:44">
      <c r="A293" s="109"/>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row>
    <row r="294" spans="1:44">
      <c r="A294" s="109"/>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row>
    <row r="295" spans="1:44">
      <c r="A295" s="109"/>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row>
    <row r="296" spans="1:44">
      <c r="A296" s="109"/>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row>
    <row r="297" spans="1:44">
      <c r="A297" s="109"/>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row>
    <row r="298" spans="1:44">
      <c r="A298" s="109"/>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row>
    <row r="299" spans="1:44">
      <c r="A299" s="109"/>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row>
    <row r="300" spans="1:44">
      <c r="A300" s="109"/>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row>
    <row r="301" spans="1:44">
      <c r="A301" s="109"/>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row>
    <row r="302" spans="1:44">
      <c r="A302" s="109"/>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row>
    <row r="303" spans="1:44">
      <c r="A303" s="109"/>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row>
    <row r="304" spans="1:44">
      <c r="A304" s="109"/>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row>
    <row r="305" spans="1:44">
      <c r="A305" s="109"/>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row>
    <row r="306" spans="1:44">
      <c r="A306" s="109"/>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row>
    <row r="307" spans="1:44">
      <c r="A307" s="109"/>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row>
    <row r="308" spans="1:44">
      <c r="A308" s="109"/>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row>
    <row r="309" spans="1:44">
      <c r="A309" s="109"/>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row>
    <row r="310" spans="1:44">
      <c r="A310" s="109"/>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row>
    <row r="311" spans="1:44">
      <c r="A311" s="109"/>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row>
    <row r="312" spans="1:44">
      <c r="A312" s="109"/>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row>
    <row r="313" spans="1:44">
      <c r="A313" s="109"/>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row>
    <row r="314" spans="1:44">
      <c r="A314" s="109"/>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row>
    <row r="315" spans="1:44">
      <c r="A315" s="109"/>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row>
    <row r="316" spans="1:44">
      <c r="A316" s="109"/>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row>
    <row r="317" spans="1:44">
      <c r="A317" s="109"/>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row>
    <row r="318" spans="1:44">
      <c r="A318" s="109"/>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row>
    <row r="319" spans="1:44">
      <c r="A319" s="109"/>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row>
    <row r="320" spans="1:44">
      <c r="A320" s="109"/>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row>
    <row r="321" spans="1:44">
      <c r="A321" s="109"/>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row>
    <row r="322" spans="1:44">
      <c r="A322" s="109"/>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row>
    <row r="323" spans="1:44">
      <c r="A323" s="109"/>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row>
    <row r="324" spans="1:44">
      <c r="A324" s="109"/>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row>
    <row r="325" spans="1:44">
      <c r="A325" s="109"/>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row>
    <row r="326" spans="1:44">
      <c r="A326" s="109"/>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row>
    <row r="327" spans="1:44">
      <c r="A327" s="109"/>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row>
    <row r="328" spans="1:44">
      <c r="A328" s="109"/>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row>
    <row r="329" spans="1:44">
      <c r="A329" s="109"/>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row>
    <row r="330" spans="1:44">
      <c r="A330" s="109"/>
      <c r="B330" s="104"/>
      <c r="C330" s="104"/>
      <c r="D330" s="104"/>
      <c r="E330" s="104"/>
      <c r="F330" s="104"/>
      <c r="G330" s="104"/>
      <c r="H330" s="104"/>
      <c r="I330" s="104"/>
      <c r="J330" s="104"/>
      <c r="K330" s="104"/>
    </row>
    <row r="331" spans="1:44">
      <c r="A331" s="109"/>
      <c r="B331" s="104"/>
      <c r="C331" s="104"/>
      <c r="D331" s="104"/>
      <c r="E331" s="104"/>
      <c r="F331" s="104"/>
      <c r="G331" s="104"/>
      <c r="H331" s="104"/>
      <c r="I331" s="104"/>
      <c r="J331" s="104"/>
      <c r="K331" s="104"/>
    </row>
  </sheetData>
  <mergeCells count="14">
    <mergeCell ref="B39:K39"/>
    <mergeCell ref="B20:K20"/>
    <mergeCell ref="B24:K25"/>
    <mergeCell ref="B26:K26"/>
    <mergeCell ref="B21:K23"/>
    <mergeCell ref="B5:K5"/>
    <mergeCell ref="B6:K6"/>
    <mergeCell ref="B10:K10"/>
    <mergeCell ref="B19:K19"/>
    <mergeCell ref="B13:K14"/>
    <mergeCell ref="B17:K17"/>
    <mergeCell ref="B18:K18"/>
    <mergeCell ref="B7:K9"/>
    <mergeCell ref="B15:J16"/>
  </mergeCells>
  <printOptions horizontalCentered="1"/>
  <pageMargins left="0.75" right="0.75" top="1" bottom="1" header="0.5" footer="0.5"/>
  <pageSetup scale="80" firstPageNumber="2" orientation="portrait" horizontalDpi="4294967292" verticalDpi="4294967292" r:id="rId1"/>
  <headerFooter alignWithMargins="0">
    <oddFooter>&amp;LScot Chambers
&amp;D&amp;R&amp;F
&amp;A</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H2"/>
  <sheetViews>
    <sheetView zoomScale="75" zoomScaleNormal="100" zoomScaleSheetLayoutView="75" workbookViewId="0">
      <selection activeCell="F28" sqref="F28"/>
    </sheetView>
  </sheetViews>
  <sheetFormatPr defaultRowHeight="12.75"/>
  <sheetData>
    <row r="1" spans="1:8" ht="15.75">
      <c r="A1" s="130" t="str">
        <f>Scope!A1</f>
        <v>Rochester Public Utilities LM6000 PC Power Project</v>
      </c>
      <c r="B1" s="89"/>
      <c r="C1" s="89"/>
      <c r="D1" s="89"/>
      <c r="E1" s="89"/>
      <c r="F1" s="89"/>
      <c r="G1" s="89"/>
      <c r="H1" s="89"/>
    </row>
    <row r="2" spans="1:8" ht="15.75">
      <c r="A2" s="295" t="s">
        <v>619</v>
      </c>
      <c r="B2" s="236"/>
      <c r="C2" s="236"/>
      <c r="D2" s="236"/>
      <c r="E2" s="236"/>
      <c r="F2" s="236"/>
      <c r="G2" s="236"/>
      <c r="H2" s="236"/>
    </row>
  </sheetData>
  <printOptions horizontalCentered="1"/>
  <pageMargins left="0.75" right="0.75" top="1" bottom="1" header="0.5" footer="0.5"/>
  <pageSetup orientation="portrait" horizontalDpi="4294967292" verticalDpi="4294967292" r:id="rId1"/>
  <headerFooter alignWithMargins="0">
    <oddFooter>&amp;LRichard Bickings
&amp;D&amp;CPage &amp;P&amp;R&amp;F
&amp;A</oddFooter>
  </headerFooter>
  <drawing r:id="rId2"/>
  <legacyDrawing r:id="rId3"/>
  <controls>
    <mc:AlternateContent xmlns:mc="http://schemas.openxmlformats.org/markup-compatibility/2006">
      <mc:Choice Requires="x14">
        <control shapeId="1026" r:id="rId4" name="Image2">
          <controlPr autoLine="0" r:id="rId5">
            <anchor moveWithCells="1">
              <from>
                <xdr:col>4</xdr:col>
                <xdr:colOff>114300</xdr:colOff>
                <xdr:row>15</xdr:row>
                <xdr:rowOff>114300</xdr:rowOff>
              </from>
              <to>
                <xdr:col>5</xdr:col>
                <xdr:colOff>419100</xdr:colOff>
                <xdr:row>21</xdr:row>
                <xdr:rowOff>57150</xdr:rowOff>
              </to>
            </anchor>
          </controlPr>
        </control>
      </mc:Choice>
      <mc:Fallback>
        <control shapeId="1026" r:id="rId4" name="Image2"/>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Q1909"/>
  <sheetViews>
    <sheetView zoomScale="75" zoomScaleNormal="25" zoomScaleSheetLayoutView="100" workbookViewId="0">
      <selection activeCell="E34" sqref="E34"/>
    </sheetView>
  </sheetViews>
  <sheetFormatPr defaultRowHeight="12.75"/>
  <cols>
    <col min="1" max="1" width="4.7109375" style="3" customWidth="1"/>
    <col min="2" max="2" width="46.28515625" style="3" customWidth="1"/>
    <col min="3" max="3" width="10.28515625" style="3" customWidth="1"/>
    <col min="4" max="4" width="3.28515625" style="3" customWidth="1"/>
    <col min="5" max="5" width="13.42578125" style="3" bestFit="1" customWidth="1"/>
    <col min="6" max="6" width="14.28515625" style="3" bestFit="1" customWidth="1"/>
    <col min="7" max="7" width="15.42578125" style="3" bestFit="1" customWidth="1"/>
    <col min="8" max="9" width="11.28515625" style="3" customWidth="1"/>
    <col min="10" max="10" width="12.85546875" style="3" hidden="1" customWidth="1"/>
    <col min="11" max="13" width="9.140625" style="3" hidden="1" customWidth="1"/>
    <col min="14" max="17" width="9.140625" style="2" hidden="1" customWidth="1"/>
    <col min="18" max="16384" width="9.140625" style="2"/>
  </cols>
  <sheetData>
    <row r="1" spans="1:13" s="34" customFormat="1" ht="15.75">
      <c r="A1" s="33" t="str">
        <f>Scope!A1</f>
        <v>Rochester Public Utilities LM6000 PC Power Project</v>
      </c>
      <c r="B1" s="15"/>
      <c r="C1" s="33"/>
      <c r="D1" s="33"/>
      <c r="E1" s="33"/>
      <c r="F1" s="33"/>
      <c r="G1" s="33"/>
      <c r="H1" s="33"/>
    </row>
    <row r="2" spans="1:13" s="34" customFormat="1" ht="15.75">
      <c r="A2" s="33" t="s">
        <v>620</v>
      </c>
      <c r="B2" s="33"/>
      <c r="C2" s="33"/>
      <c r="D2" s="33"/>
      <c r="E2" s="33"/>
      <c r="F2" s="33"/>
      <c r="G2" s="33"/>
      <c r="H2" s="33"/>
    </row>
    <row r="3" spans="1:13" s="34" customFormat="1" ht="16.5" thickBot="1">
      <c r="A3" s="33"/>
      <c r="B3" s="33"/>
      <c r="C3" s="33"/>
      <c r="D3" s="33"/>
      <c r="E3" s="33"/>
      <c r="F3" s="33"/>
      <c r="G3" s="33"/>
      <c r="H3" s="33"/>
    </row>
    <row r="4" spans="1:13" s="34" customFormat="1" ht="16.5" thickBot="1">
      <c r="A4" s="33"/>
      <c r="B4" s="33"/>
      <c r="C4" s="33"/>
      <c r="D4" s="33"/>
      <c r="E4" s="33"/>
      <c r="J4" s="666">
        <f>Scope!D14</f>
        <v>47</v>
      </c>
      <c r="K4" s="667" t="s">
        <v>393</v>
      </c>
    </row>
    <row r="5" spans="1:13" s="34" customFormat="1" ht="16.5" thickBot="1">
      <c r="A5" s="256" t="s">
        <v>668</v>
      </c>
      <c r="E5" s="35"/>
    </row>
    <row r="6" spans="1:13" s="34" customFormat="1" ht="13.5" thickBot="1">
      <c r="B6" s="32"/>
      <c r="C6" s="154"/>
      <c r="D6" s="32"/>
      <c r="E6" s="677" t="s">
        <v>669</v>
      </c>
      <c r="F6" s="32"/>
    </row>
    <row r="7" spans="1:13" s="34" customFormat="1">
      <c r="A7" s="41" t="s">
        <v>670</v>
      </c>
      <c r="B7" s="23"/>
      <c r="C7" s="151"/>
      <c r="D7" s="23"/>
      <c r="E7" s="36"/>
      <c r="F7" s="4"/>
      <c r="G7" s="4"/>
      <c r="H7" s="4"/>
      <c r="I7" s="4"/>
      <c r="J7" s="4"/>
    </row>
    <row r="8" spans="1:13" s="34" customFormat="1">
      <c r="A8" s="41"/>
      <c r="B8" s="23" t="s">
        <v>671</v>
      </c>
      <c r="C8" s="23"/>
      <c r="D8" s="23"/>
      <c r="E8" s="22">
        <f>Mob_Estimate!D6</f>
        <v>0</v>
      </c>
      <c r="F8" s="4"/>
      <c r="G8" s="4"/>
      <c r="H8" s="4"/>
      <c r="I8" s="4"/>
      <c r="J8" s="4"/>
    </row>
    <row r="9" spans="1:13" s="34" customFormat="1">
      <c r="A9" s="41"/>
      <c r="B9" s="23" t="s">
        <v>672</v>
      </c>
      <c r="C9" s="23"/>
      <c r="D9" s="23"/>
      <c r="E9" s="22">
        <f>'Pay &amp; Benefits Calcs'!P55</f>
        <v>182382.37640861538</v>
      </c>
      <c r="F9" s="4"/>
      <c r="G9" s="4"/>
      <c r="H9" s="4"/>
      <c r="I9" s="4"/>
      <c r="J9" s="4"/>
    </row>
    <row r="10" spans="1:13" s="34" customFormat="1">
      <c r="A10" s="4"/>
      <c r="B10" s="23" t="s">
        <v>673</v>
      </c>
      <c r="C10" s="23"/>
      <c r="D10" s="23"/>
      <c r="E10" s="22">
        <v>375000</v>
      </c>
      <c r="F10" s="4"/>
      <c r="G10" s="4"/>
      <c r="H10" s="4"/>
      <c r="I10" s="4"/>
      <c r="J10" s="4"/>
    </row>
    <row r="11" spans="1:13" s="34" customFormat="1">
      <c r="A11" s="4"/>
      <c r="B11" s="23" t="s">
        <v>674</v>
      </c>
      <c r="C11" s="23"/>
      <c r="D11" s="23"/>
      <c r="E11" s="22">
        <v>260000</v>
      </c>
      <c r="F11" s="4"/>
      <c r="G11" s="4"/>
      <c r="H11" s="4"/>
      <c r="I11" s="4"/>
      <c r="J11" s="4"/>
    </row>
    <row r="12" spans="1:13" s="34" customFormat="1">
      <c r="A12" s="4"/>
      <c r="B12" s="23"/>
      <c r="C12" s="23"/>
      <c r="D12" s="23"/>
      <c r="E12" s="22"/>
      <c r="F12" s="4"/>
      <c r="G12" s="4"/>
      <c r="H12" s="4"/>
      <c r="I12" s="4"/>
      <c r="J12" s="4"/>
    </row>
    <row r="13" spans="1:13" s="34" customFormat="1" ht="13.5" thickBot="1">
      <c r="A13" s="4"/>
      <c r="B13" s="38" t="s">
        <v>675</v>
      </c>
      <c r="C13" s="23"/>
      <c r="D13" s="23"/>
      <c r="E13" s="39">
        <f>SUBTOTAL(9,E7:E11)</f>
        <v>817382.37640861538</v>
      </c>
      <c r="F13" s="601">
        <f>E13/J4/1000</f>
        <v>17.391114391672669</v>
      </c>
      <c r="G13" s="4" t="s">
        <v>753</v>
      </c>
      <c r="H13" s="4"/>
      <c r="I13" s="4"/>
      <c r="J13" s="4"/>
    </row>
    <row r="14" spans="1:13" s="34" customFormat="1" ht="13.5" hidden="1" thickBot="1">
      <c r="A14" s="4"/>
      <c r="B14" s="38"/>
      <c r="C14" s="38"/>
      <c r="D14" s="38"/>
      <c r="E14" s="38"/>
      <c r="F14" s="602"/>
      <c r="G14" s="32"/>
      <c r="H14" s="32"/>
      <c r="I14" s="4"/>
      <c r="J14" s="4"/>
      <c r="K14" s="4"/>
      <c r="L14" s="4"/>
      <c r="M14" s="4"/>
    </row>
    <row r="15" spans="1:13" s="34" customFormat="1" hidden="1">
      <c r="A15" s="4"/>
      <c r="B15" s="41" t="s">
        <v>676</v>
      </c>
      <c r="C15" s="38"/>
      <c r="D15" s="38"/>
      <c r="E15" s="299">
        <f>Mob_Estimate!D41</f>
        <v>0</v>
      </c>
      <c r="F15" s="602"/>
      <c r="G15" s="32"/>
      <c r="H15" s="32"/>
      <c r="I15" s="4"/>
      <c r="J15" s="4"/>
      <c r="K15" s="4"/>
      <c r="L15" s="4"/>
      <c r="M15" s="4"/>
    </row>
    <row r="16" spans="1:13" s="34" customFormat="1" hidden="1">
      <c r="A16" s="4"/>
      <c r="B16" s="41"/>
      <c r="C16" s="38"/>
      <c r="D16" s="38"/>
      <c r="E16" s="302"/>
      <c r="F16" s="602"/>
      <c r="G16" s="32"/>
      <c r="H16" s="32"/>
      <c r="I16" s="4"/>
      <c r="J16" s="4"/>
      <c r="K16" s="4"/>
      <c r="L16" s="4"/>
      <c r="M16" s="4"/>
    </row>
    <row r="17" spans="1:13" s="34" customFormat="1" hidden="1">
      <c r="A17" s="4"/>
      <c r="B17" s="41" t="s">
        <v>677</v>
      </c>
      <c r="C17" s="38"/>
      <c r="D17" s="38"/>
      <c r="E17" s="302">
        <f>Mob_Estimate!D43</f>
        <v>0</v>
      </c>
      <c r="F17" s="602"/>
      <c r="G17" s="32"/>
      <c r="H17" s="32"/>
      <c r="I17" s="4"/>
      <c r="J17" s="4"/>
      <c r="K17" s="4"/>
      <c r="L17" s="4"/>
      <c r="M17" s="4"/>
    </row>
    <row r="18" spans="1:13" s="34" customFormat="1" hidden="1">
      <c r="A18" s="4"/>
      <c r="B18" s="41"/>
      <c r="C18" s="38"/>
      <c r="D18" s="38"/>
      <c r="E18" s="302"/>
      <c r="F18" s="602"/>
      <c r="G18" s="32"/>
      <c r="H18" s="32"/>
      <c r="I18" s="4"/>
      <c r="J18" s="4"/>
      <c r="K18" s="4"/>
      <c r="L18" s="4"/>
      <c r="M18" s="4"/>
    </row>
    <row r="19" spans="1:13" s="34" customFormat="1" ht="13.5" hidden="1" thickBot="1">
      <c r="A19" s="4"/>
      <c r="B19" s="41" t="s">
        <v>678</v>
      </c>
      <c r="C19" s="38"/>
      <c r="D19" s="38"/>
      <c r="E19" s="300">
        <f>Mob_Estimate!D45</f>
        <v>0</v>
      </c>
      <c r="F19" s="602"/>
      <c r="G19" s="32"/>
      <c r="H19" s="32"/>
      <c r="I19" s="4"/>
      <c r="J19" s="4"/>
      <c r="K19" s="4"/>
      <c r="L19" s="4"/>
      <c r="M19" s="4"/>
    </row>
    <row r="20" spans="1:13" s="34" customFormat="1" ht="13.5" thickBot="1">
      <c r="A20" s="4"/>
      <c r="B20" s="41"/>
      <c r="C20" s="38"/>
      <c r="D20" s="38"/>
      <c r="E20" s="202"/>
      <c r="F20" s="602"/>
      <c r="G20" s="32"/>
      <c r="H20" s="32"/>
      <c r="I20" s="4"/>
      <c r="J20" s="4"/>
      <c r="K20" s="4"/>
      <c r="L20" s="4"/>
      <c r="M20" s="4"/>
    </row>
    <row r="21" spans="1:13" s="34" customFormat="1" ht="13.5" thickBot="1">
      <c r="A21" s="4"/>
      <c r="B21" s="38" t="s">
        <v>641</v>
      </c>
      <c r="C21" s="152"/>
      <c r="D21" s="38"/>
      <c r="E21" s="28">
        <f>IF(Scope!D16=1,1000000,IF(Scope!D16=2,1100000,IF(Scope!D16=3,1250000,IF(Scope!D16=4,1300000,IF(Scope!D16=5,1320000,IF(Scope!D16=6,1350000,1500000))))))</f>
        <v>1000000</v>
      </c>
      <c r="F21" s="602">
        <f>E21/J4/1000</f>
        <v>21.276595744680851</v>
      </c>
      <c r="G21" s="4" t="s">
        <v>753</v>
      </c>
      <c r="K21" s="4"/>
      <c r="L21" s="4"/>
      <c r="M21" s="4"/>
    </row>
    <row r="22" spans="1:13" s="34" customFormat="1" ht="13.5" thickBot="1">
      <c r="A22" s="4"/>
      <c r="F22" s="602"/>
      <c r="K22" s="4"/>
      <c r="L22" s="4"/>
      <c r="M22" s="4"/>
    </row>
    <row r="23" spans="1:13" s="34" customFormat="1" ht="13.5" thickBot="1">
      <c r="A23" s="4"/>
      <c r="B23" s="41" t="s">
        <v>728</v>
      </c>
      <c r="C23" s="38"/>
      <c r="D23" s="38"/>
      <c r="E23" s="199">
        <v>80000</v>
      </c>
      <c r="F23" s="602">
        <f>E23/J4/1000</f>
        <v>1.7021276595744681</v>
      </c>
      <c r="G23" s="4" t="s">
        <v>753</v>
      </c>
      <c r="H23" s="32"/>
      <c r="I23" s="4"/>
      <c r="J23" s="4"/>
      <c r="K23" s="4"/>
      <c r="L23" s="4"/>
      <c r="M23" s="4"/>
    </row>
    <row r="24" spans="1:13" s="34" customFormat="1" ht="13.5" thickBot="1">
      <c r="A24" s="4"/>
      <c r="B24" s="41"/>
      <c r="C24" s="38"/>
      <c r="D24" s="38"/>
      <c r="E24" s="202"/>
      <c r="F24" s="602"/>
      <c r="G24" s="32"/>
      <c r="H24" s="32"/>
      <c r="I24" s="4"/>
      <c r="J24" s="4"/>
      <c r="K24" s="4"/>
      <c r="L24" s="4"/>
      <c r="M24" s="4"/>
    </row>
    <row r="25" spans="1:13" s="34" customFormat="1" ht="13.5" thickBot="1">
      <c r="A25" s="4"/>
      <c r="B25" s="41" t="s">
        <v>763</v>
      </c>
      <c r="C25" s="38"/>
      <c r="D25" s="38"/>
      <c r="E25" s="199">
        <f>SUM(E13:E23)</f>
        <v>1897382.3764086154</v>
      </c>
      <c r="F25" s="622">
        <f>SUM(F13:F23)</f>
        <v>40.369837795927985</v>
      </c>
      <c r="G25" s="623" t="s">
        <v>753</v>
      </c>
      <c r="H25" s="32"/>
      <c r="I25" s="4"/>
      <c r="J25" s="4"/>
      <c r="K25" s="4"/>
      <c r="L25" s="4"/>
      <c r="M25" s="4"/>
    </row>
    <row r="26" spans="1:13" s="34" customFormat="1" ht="13.5" thickBot="1">
      <c r="A26" s="4"/>
      <c r="B26" s="41"/>
      <c r="C26" s="38"/>
      <c r="D26" s="38"/>
      <c r="E26" s="202"/>
      <c r="F26" s="32"/>
      <c r="G26" s="32"/>
      <c r="H26" s="32"/>
      <c r="I26" s="4"/>
      <c r="J26" s="4"/>
      <c r="K26" s="4"/>
      <c r="L26" s="4"/>
      <c r="M26" s="4"/>
    </row>
    <row r="27" spans="1:13" s="34" customFormat="1" ht="13.5" thickBot="1">
      <c r="A27" s="4"/>
      <c r="B27" s="38" t="s">
        <v>752</v>
      </c>
      <c r="C27" s="38"/>
      <c r="D27" s="38"/>
      <c r="E27" s="600">
        <v>500000</v>
      </c>
      <c r="F27" s="32"/>
      <c r="G27" s="32"/>
      <c r="H27" s="32"/>
      <c r="I27" s="4"/>
      <c r="J27" s="4"/>
      <c r="K27" s="4"/>
      <c r="L27" s="4"/>
      <c r="M27" s="4"/>
    </row>
    <row r="28" spans="1:13" s="34" customFormat="1">
      <c r="A28" s="4"/>
      <c r="B28" s="38"/>
      <c r="C28" s="152"/>
      <c r="D28" s="38"/>
      <c r="E28" s="32"/>
      <c r="F28" s="32"/>
      <c r="G28" s="32"/>
      <c r="H28" s="32"/>
      <c r="I28" s="4"/>
      <c r="J28" s="4"/>
      <c r="K28" s="4"/>
      <c r="L28" s="4"/>
      <c r="M28" s="4"/>
    </row>
    <row r="29" spans="1:13" s="34" customFormat="1" ht="15.75">
      <c r="A29" s="256" t="s">
        <v>680</v>
      </c>
      <c r="B29" s="38"/>
      <c r="C29" s="38"/>
      <c r="D29" s="38"/>
      <c r="E29" s="38"/>
      <c r="F29" s="32"/>
      <c r="G29" s="32"/>
      <c r="H29" s="32"/>
      <c r="I29" s="4"/>
      <c r="J29" s="4"/>
      <c r="K29" s="4"/>
      <c r="L29" s="4"/>
      <c r="M29" s="4"/>
    </row>
    <row r="30" spans="1:13" s="34" customFormat="1" ht="13.5" thickBot="1">
      <c r="A30" s="4"/>
      <c r="B30" s="23"/>
      <c r="C30" s="23"/>
      <c r="D30" s="23"/>
      <c r="E30" s="23"/>
      <c r="F30" s="23"/>
      <c r="H30" s="12"/>
      <c r="I30" s="4"/>
      <c r="J30" s="4"/>
      <c r="K30" s="4"/>
      <c r="L30" s="4"/>
    </row>
    <row r="31" spans="1:13" s="34" customFormat="1" ht="13.5" thickBot="1">
      <c r="A31" s="4"/>
      <c r="B31" s="23"/>
      <c r="C31" s="23"/>
      <c r="D31" s="23"/>
      <c r="E31" s="589" t="s">
        <v>1472</v>
      </c>
      <c r="F31" s="12"/>
      <c r="H31" s="588"/>
      <c r="I31" s="4"/>
      <c r="J31" s="4"/>
      <c r="K31" s="4"/>
      <c r="L31" s="4"/>
    </row>
    <row r="32" spans="1:13" s="34" customFormat="1">
      <c r="A32" s="41" t="s">
        <v>682</v>
      </c>
      <c r="B32" s="23"/>
      <c r="C32" s="151"/>
      <c r="D32" s="23"/>
      <c r="E32" s="36"/>
      <c r="F32" s="23" t="s">
        <v>1473</v>
      </c>
      <c r="G32" s="34" t="s">
        <v>754</v>
      </c>
      <c r="H32" s="23"/>
      <c r="I32" s="4"/>
      <c r="J32" s="4"/>
      <c r="K32" s="4"/>
      <c r="L32" s="4"/>
    </row>
    <row r="33" spans="1:16" s="34" customFormat="1">
      <c r="A33" s="4"/>
      <c r="B33" s="23" t="s">
        <v>683</v>
      </c>
      <c r="C33" s="23"/>
      <c r="D33" s="23"/>
      <c r="E33" s="22">
        <f>'Pay &amp; Benefits Calcs'!S55</f>
        <v>483930.94185230765</v>
      </c>
      <c r="F33" s="604">
        <f>E33/J4/1000</f>
        <v>10.296403018134207</v>
      </c>
      <c r="G33" s="603"/>
      <c r="H33" s="32"/>
      <c r="I33" s="4"/>
      <c r="J33" s="4"/>
      <c r="K33" s="4"/>
      <c r="L33" s="4"/>
    </row>
    <row r="34" spans="1:16" s="34" customFormat="1" ht="13.5" thickBot="1">
      <c r="A34" s="4"/>
      <c r="B34" s="23" t="s">
        <v>684</v>
      </c>
      <c r="C34" s="23"/>
      <c r="D34" s="23"/>
      <c r="E34" s="22">
        <v>180000</v>
      </c>
      <c r="F34" s="604">
        <f>E34/J4/1000</f>
        <v>3.8297872340425534</v>
      </c>
      <c r="G34" s="603"/>
      <c r="H34" s="32"/>
      <c r="I34" s="4"/>
      <c r="J34" s="4" t="s">
        <v>394</v>
      </c>
      <c r="K34" s="4"/>
      <c r="L34" s="4"/>
    </row>
    <row r="35" spans="1:16" s="34" customFormat="1" ht="13.5" thickBot="1">
      <c r="A35" s="4"/>
      <c r="B35" s="23" t="s">
        <v>1463</v>
      </c>
      <c r="C35" s="23"/>
      <c r="D35" s="23"/>
      <c r="E35" s="22">
        <f>J35+J36+J37+J38</f>
        <v>60600</v>
      </c>
      <c r="F35" s="604"/>
      <c r="G35" s="609">
        <f>E35/J4/Scope!G31</f>
        <v>1.074468085106383</v>
      </c>
      <c r="H35" s="32"/>
      <c r="I35" s="4"/>
      <c r="J35" s="5">
        <f>Scope!D16*67.5*60*10/1000*Scope!G31</f>
        <v>48600</v>
      </c>
      <c r="K35" s="4" t="s">
        <v>501</v>
      </c>
      <c r="L35" s="4"/>
      <c r="P35" s="34" t="s">
        <v>398</v>
      </c>
    </row>
    <row r="36" spans="1:16" s="34" customFormat="1" ht="13.5" thickBot="1">
      <c r="A36" s="4"/>
      <c r="B36" s="23" t="s">
        <v>685</v>
      </c>
      <c r="C36" s="23"/>
      <c r="D36" s="23"/>
      <c r="E36" s="22">
        <f>J39*1.1</f>
        <v>174988</v>
      </c>
      <c r="F36" s="604">
        <f>0.25*E36/J4/1000</f>
        <v>0.93078723404255326</v>
      </c>
      <c r="G36" s="609">
        <f>E36*0.75/J4/Scope!G31</f>
        <v>2.3269680851063828</v>
      </c>
      <c r="H36" s="32"/>
      <c r="I36" s="4"/>
      <c r="J36" s="5">
        <f>IF(Scope!D23=0, 0,46*Scope!D23*Scope!G31*0.2)</f>
        <v>0</v>
      </c>
      <c r="K36" s="4" t="s">
        <v>1464</v>
      </c>
      <c r="L36" s="4"/>
      <c r="P36" s="34" t="s">
        <v>399</v>
      </c>
    </row>
    <row r="37" spans="1:16" s="34" customFormat="1" ht="13.5" thickBot="1">
      <c r="A37" s="4"/>
      <c r="B37" s="23" t="s">
        <v>686</v>
      </c>
      <c r="C37" s="23"/>
      <c r="D37" s="23"/>
      <c r="E37" s="22">
        <v>26000</v>
      </c>
      <c r="F37" s="604">
        <f>E37/J4/1000</f>
        <v>0.55319148936170215</v>
      </c>
      <c r="G37" s="603"/>
      <c r="H37" s="32"/>
      <c r="I37" s="4"/>
      <c r="J37" s="5">
        <f>2000*Scope!D16</f>
        <v>2000</v>
      </c>
      <c r="K37" s="4" t="s">
        <v>1465</v>
      </c>
      <c r="L37" s="4"/>
      <c r="M37" s="34" t="s">
        <v>401</v>
      </c>
    </row>
    <row r="38" spans="1:16" s="34" customFormat="1" ht="13.5" thickBot="1">
      <c r="A38" s="4"/>
      <c r="B38" s="23"/>
      <c r="C38" s="23"/>
      <c r="D38" s="23"/>
      <c r="E38" s="22"/>
      <c r="F38" s="604"/>
      <c r="G38" s="603"/>
      <c r="H38" s="32"/>
      <c r="I38" s="4"/>
      <c r="J38" s="28">
        <f>10000*Scope!D16</f>
        <v>10000</v>
      </c>
      <c r="K38" s="4" t="s">
        <v>1467</v>
      </c>
      <c r="L38" s="4"/>
    </row>
    <row r="39" spans="1:16" s="34" customFormat="1" ht="13.5" thickBot="1">
      <c r="A39" s="4"/>
      <c r="B39" s="38" t="s">
        <v>687</v>
      </c>
      <c r="C39" s="23"/>
      <c r="D39" s="23"/>
      <c r="E39" s="39">
        <f>SUM(E33:E37)</f>
        <v>925518.94185230765</v>
      </c>
      <c r="F39" s="604"/>
      <c r="G39" s="603"/>
      <c r="H39" s="32"/>
      <c r="J39" s="28">
        <f>IF(Scope!G24="yes",Scope!D16/2*5000+20000*Scope!D16+(35000*Scope!D16+0.2*Scope!D14*Scope!G31)+0.02*1200000*Scope!D23+20000+8000*Scope!D16+5000*Scope!D16+7000*Scope!D16+7000*Scope!D16+20000+5000+5000+1000+0.02*615000,Scope!D16/2*5000+20000*Scope!D16+(35000*Scope!D16+0.2*Scope!D14*Scope!G31)+0.02*1200000*Scope!D23+20000+8000*Scope!D16+5000*Scope!D16+7000*Scope!D16+7000*Scope!D16+20000+5000+5000+1000)</f>
        <v>159080</v>
      </c>
      <c r="K39" s="4" t="s">
        <v>400</v>
      </c>
      <c r="L39" s="4"/>
    </row>
    <row r="40" spans="1:16" s="34" customFormat="1">
      <c r="A40" s="4"/>
      <c r="B40" s="38"/>
      <c r="C40" s="38"/>
      <c r="D40" s="38"/>
      <c r="E40" s="32"/>
      <c r="F40" s="605"/>
      <c r="G40" s="32"/>
      <c r="H40" s="32"/>
      <c r="I40" s="4"/>
      <c r="J40" s="4"/>
      <c r="K40" s="4"/>
      <c r="L40" s="4"/>
    </row>
    <row r="41" spans="1:16" s="34" customFormat="1" ht="13.5" thickBot="1">
      <c r="A41" s="4"/>
      <c r="B41" s="23"/>
      <c r="C41" s="23"/>
      <c r="D41" s="23"/>
      <c r="E41" s="23"/>
      <c r="F41" s="605"/>
      <c r="G41" s="23"/>
      <c r="H41" s="4"/>
      <c r="I41" s="4"/>
      <c r="J41" s="255"/>
      <c r="K41" s="4"/>
      <c r="L41" s="4"/>
    </row>
    <row r="42" spans="1:16" s="34" customFormat="1" ht="13.5" thickBot="1">
      <c r="A42" s="222" t="s">
        <v>1469</v>
      </c>
      <c r="B42" s="23"/>
      <c r="C42" s="305"/>
      <c r="D42" s="23"/>
      <c r="E42" s="5">
        <f>IF(Scope!F42*Scope!G31&gt;40000,1200000/Scope!F42,0)</f>
        <v>0</v>
      </c>
      <c r="F42" s="605"/>
      <c r="G42" s="609">
        <f>E42/J4/Scope!G31</f>
        <v>0</v>
      </c>
      <c r="H42" s="4"/>
      <c r="I42" s="4"/>
      <c r="J42" s="255"/>
      <c r="K42" s="4"/>
      <c r="L42" s="4"/>
    </row>
    <row r="43" spans="1:16" s="34" customFormat="1" ht="13.5" thickBot="1">
      <c r="A43" s="41" t="s">
        <v>688</v>
      </c>
      <c r="B43" s="23"/>
      <c r="C43" s="305" t="s">
        <v>1470</v>
      </c>
      <c r="E43" s="28">
        <f>' LM6000 MMR'!H6</f>
        <v>0</v>
      </c>
      <c r="F43" s="605"/>
      <c r="G43" s="609"/>
      <c r="H43" s="4"/>
      <c r="I43" s="32"/>
      <c r="J43" s="4"/>
      <c r="K43" s="4"/>
      <c r="L43" s="4"/>
    </row>
    <row r="44" spans="1:16" s="34" customFormat="1" ht="13.5" thickBot="1">
      <c r="A44" s="41"/>
      <c r="B44" s="23"/>
      <c r="C44" s="151" t="s">
        <v>751</v>
      </c>
      <c r="D44" s="23"/>
      <c r="E44" s="599">
        <f>' LM6000 MMR'!H9</f>
        <v>0</v>
      </c>
      <c r="F44" s="605"/>
      <c r="G44" s="609">
        <f>E43/Scope!F42/J4/Scope!G31</f>
        <v>0</v>
      </c>
      <c r="H44" s="4"/>
      <c r="I44" s="32"/>
      <c r="J44" s="4"/>
      <c r="K44" s="4"/>
      <c r="L44" s="4"/>
    </row>
    <row r="45" spans="1:16" s="34" customFormat="1">
      <c r="A45" s="41"/>
      <c r="B45" s="23"/>
      <c r="C45" s="151"/>
      <c r="D45" s="23"/>
      <c r="E45" s="668"/>
      <c r="F45" s="605"/>
      <c r="G45" s="609"/>
      <c r="H45" s="4"/>
      <c r="I45" s="32"/>
      <c r="J45" s="4"/>
      <c r="K45" s="4"/>
      <c r="L45" s="4"/>
    </row>
    <row r="46" spans="1:16" s="34" customFormat="1" ht="13.5" thickBot="1">
      <c r="B46" s="38"/>
      <c r="C46" s="38"/>
      <c r="D46" s="38"/>
      <c r="E46" s="4"/>
      <c r="F46" s="678" t="s">
        <v>395</v>
      </c>
      <c r="G46" s="143" t="s">
        <v>396</v>
      </c>
      <c r="H46" s="4"/>
      <c r="I46" s="4"/>
      <c r="J46" s="4"/>
      <c r="K46" s="4"/>
      <c r="L46" s="4"/>
    </row>
    <row r="47" spans="1:16" s="34" customFormat="1">
      <c r="A47" s="222" t="s">
        <v>397</v>
      </c>
      <c r="B47" s="153"/>
      <c r="C47" s="138"/>
      <c r="D47" s="38"/>
      <c r="E47"/>
      <c r="F47" s="612">
        <f>SUM(F33:F44)</f>
        <v>15.610168975581015</v>
      </c>
      <c r="G47" s="612">
        <f>SUM(G33:G44)</f>
        <v>3.401436170212766</v>
      </c>
      <c r="H47" s="4"/>
      <c r="I47" s="4"/>
      <c r="J47" s="4"/>
      <c r="K47" s="4"/>
      <c r="L47" s="4"/>
    </row>
    <row r="48" spans="1:16" s="34" customFormat="1" hidden="1">
      <c r="A48"/>
      <c r="B48" s="153"/>
      <c r="C48" s="138"/>
      <c r="D48" s="38"/>
      <c r="E48"/>
      <c r="F48" s="613"/>
      <c r="G48" s="619"/>
      <c r="H48" s="4"/>
      <c r="I48" s="4"/>
      <c r="J48" s="4"/>
      <c r="K48" s="4"/>
      <c r="L48" s="4"/>
    </row>
    <row r="49" spans="1:13" s="34" customFormat="1" ht="13.5" hidden="1" thickBot="1">
      <c r="A49" s="41" t="s">
        <v>689</v>
      </c>
      <c r="B49" s="153"/>
      <c r="C49" s="138"/>
      <c r="D49" s="38"/>
      <c r="E49" s="610">
        <f>'O&amp;M_Estimate'!D54</f>
        <v>0</v>
      </c>
      <c r="F49" s="607">
        <f>'O&amp;M_Estimate'!E54</f>
        <v>0</v>
      </c>
      <c r="G49" s="199">
        <f>'O&amp;M_Estimate'!F54</f>
        <v>0</v>
      </c>
      <c r="H49" s="4"/>
      <c r="I49" s="4"/>
      <c r="J49" s="4"/>
      <c r="K49" s="4"/>
      <c r="L49" s="4"/>
    </row>
    <row r="50" spans="1:13" s="34" customFormat="1" hidden="1">
      <c r="A50" s="4"/>
      <c r="B50" s="38"/>
      <c r="C50" s="38"/>
      <c r="D50" s="38"/>
      <c r="E50" s="4"/>
      <c r="F50" s="614"/>
      <c r="G50" s="37"/>
      <c r="H50" s="4"/>
      <c r="I50" s="4"/>
      <c r="J50" s="4"/>
      <c r="K50" s="4"/>
      <c r="L50" s="4"/>
    </row>
    <row r="51" spans="1:13" s="34" customFormat="1" ht="13.5" hidden="1" thickBot="1">
      <c r="A51" s="41" t="s">
        <v>690</v>
      </c>
      <c r="B51"/>
      <c r="C51" s="151"/>
      <c r="D51"/>
      <c r="E51" s="611">
        <f>'O&amp;M_Estimate'!D56</f>
        <v>0</v>
      </c>
      <c r="F51" s="608">
        <f>'O&amp;M_Estimate'!E56</f>
        <v>0</v>
      </c>
      <c r="G51" s="28">
        <f>'O&amp;M_Estimate'!F56</f>
        <v>0</v>
      </c>
      <c r="H51" s="4"/>
      <c r="I51" s="4"/>
      <c r="J51" s="4"/>
      <c r="K51" s="4"/>
      <c r="L51" s="4"/>
      <c r="M51" s="4"/>
    </row>
    <row r="52" spans="1:13" s="34" customFormat="1" hidden="1">
      <c r="A52" s="41"/>
      <c r="B52"/>
      <c r="C52" s="151"/>
      <c r="D52"/>
      <c r="E52" s="32"/>
      <c r="F52" s="614"/>
      <c r="G52" s="22"/>
      <c r="H52" s="4"/>
      <c r="I52" s="4"/>
      <c r="J52" s="4"/>
      <c r="K52" s="4"/>
      <c r="L52" s="4"/>
      <c r="M52" s="4"/>
    </row>
    <row r="53" spans="1:13" s="34" customFormat="1" hidden="1">
      <c r="A53" s="41"/>
      <c r="B53" s="23"/>
      <c r="C53"/>
      <c r="D53"/>
      <c r="E53"/>
      <c r="F53" s="615"/>
      <c r="G53" s="620"/>
      <c r="H53" s="4"/>
      <c r="I53" s="4"/>
      <c r="J53" s="4"/>
      <c r="K53" s="4"/>
      <c r="L53" s="4"/>
      <c r="M53" s="4"/>
    </row>
    <row r="54" spans="1:13" s="34" customFormat="1" hidden="1">
      <c r="A54" s="222" t="s">
        <v>691</v>
      </c>
      <c r="B54" s="23"/>
      <c r="C54" s="23"/>
      <c r="D54" s="23"/>
      <c r="E54" s="23"/>
      <c r="F54" s="614"/>
      <c r="G54" s="37"/>
      <c r="H54" s="4"/>
      <c r="I54" s="4"/>
      <c r="J54" s="4"/>
      <c r="K54" s="4"/>
      <c r="L54" s="4"/>
      <c r="M54" s="4"/>
    </row>
    <row r="55" spans="1:13" s="34" customFormat="1" hidden="1">
      <c r="A55" s="222"/>
      <c r="B55" s="23"/>
      <c r="C55" s="23"/>
      <c r="D55" s="23"/>
      <c r="E55" s="23"/>
      <c r="F55" s="614"/>
      <c r="G55" s="37"/>
      <c r="H55" s="4"/>
      <c r="I55" s="4"/>
      <c r="J55" s="4"/>
      <c r="K55" s="4"/>
      <c r="L55" s="4"/>
      <c r="M55" s="4"/>
    </row>
    <row r="56" spans="1:13" s="34" customFormat="1" ht="13.5" thickBot="1">
      <c r="A56" s="4"/>
      <c r="B56" s="23"/>
      <c r="C56" s="23"/>
      <c r="D56" s="23"/>
      <c r="E56" s="23"/>
      <c r="F56" s="616" t="s">
        <v>1471</v>
      </c>
      <c r="G56" s="621" t="s">
        <v>755</v>
      </c>
      <c r="H56" s="4"/>
      <c r="I56" s="4"/>
      <c r="J56" s="4"/>
      <c r="K56" s="4"/>
      <c r="L56" s="4"/>
      <c r="M56" s="4"/>
    </row>
    <row r="57" spans="1:13" s="34" customFormat="1" ht="13.5" thickBot="1">
      <c r="A57" s="4"/>
      <c r="B57" s="23"/>
      <c r="C57" s="23"/>
      <c r="D57" s="23"/>
      <c r="E57" s="23"/>
      <c r="F57" s="606"/>
      <c r="G57" s="4"/>
      <c r="H57" s="4"/>
      <c r="I57" s="4"/>
      <c r="J57" s="4"/>
      <c r="K57" s="4"/>
      <c r="L57" s="4"/>
      <c r="M57" s="4"/>
    </row>
    <row r="58" spans="1:13" s="34" customFormat="1" ht="13.5" thickBot="1">
      <c r="A58" s="222" t="s">
        <v>986</v>
      </c>
      <c r="B58" s="23"/>
      <c r="C58" s="23"/>
      <c r="D58" s="23"/>
      <c r="E58" s="199">
        <v>100000</v>
      </c>
      <c r="F58" s="604">
        <f>E58/J4/1000</f>
        <v>2.1276595744680851</v>
      </c>
      <c r="G58" s="202"/>
      <c r="H58" s="4"/>
      <c r="I58" s="4"/>
      <c r="J58" s="4"/>
      <c r="K58" s="4"/>
      <c r="L58" s="4"/>
      <c r="M58" s="4"/>
    </row>
    <row r="59" spans="1:13" s="34" customFormat="1">
      <c r="A59" s="4"/>
      <c r="B59" s="23"/>
      <c r="C59" s="23"/>
      <c r="D59" s="23"/>
      <c r="E59" s="23"/>
      <c r="F59" s="4"/>
      <c r="G59" s="4"/>
      <c r="H59" s="4"/>
      <c r="I59" s="4"/>
      <c r="J59" s="4"/>
      <c r="K59" s="4"/>
      <c r="L59" s="4"/>
      <c r="M59" s="4"/>
    </row>
    <row r="60" spans="1:13" s="34" customFormat="1">
      <c r="A60" s="4"/>
      <c r="B60" s="23"/>
      <c r="C60" s="23"/>
      <c r="D60" s="23"/>
      <c r="E60" s="23"/>
      <c r="F60" s="4"/>
      <c r="G60" s="4"/>
      <c r="H60" s="4"/>
      <c r="I60" s="4"/>
      <c r="J60" s="4"/>
      <c r="K60" s="4"/>
      <c r="L60" s="4"/>
      <c r="M60" s="4"/>
    </row>
    <row r="61" spans="1:13" s="34" customFormat="1">
      <c r="A61" s="4"/>
      <c r="B61" s="23"/>
      <c r="C61" s="23"/>
      <c r="D61" s="23"/>
      <c r="E61" s="23"/>
      <c r="F61" s="4"/>
      <c r="G61" s="4"/>
      <c r="H61" s="4"/>
      <c r="I61" s="4"/>
      <c r="J61" s="4"/>
      <c r="K61" s="4"/>
      <c r="L61" s="4"/>
      <c r="M61" s="4"/>
    </row>
    <row r="62" spans="1:13" s="34" customFormat="1">
      <c r="A62" s="4"/>
      <c r="B62" s="23"/>
      <c r="C62" s="23"/>
      <c r="D62" s="23"/>
      <c r="E62" s="23"/>
      <c r="F62" s="4"/>
      <c r="G62" s="4"/>
      <c r="H62" s="4"/>
      <c r="I62" s="4"/>
      <c r="J62" s="4"/>
      <c r="K62" s="4"/>
      <c r="L62" s="4"/>
      <c r="M62" s="4"/>
    </row>
    <row r="63" spans="1:13" s="34" customFormat="1">
      <c r="A63" s="4"/>
      <c r="B63" s="23"/>
      <c r="C63" s="23"/>
      <c r="D63" s="23"/>
      <c r="E63" s="23"/>
      <c r="G63" s="4"/>
      <c r="H63" s="4"/>
      <c r="I63" s="4"/>
      <c r="J63" s="4"/>
      <c r="K63" s="4"/>
      <c r="L63" s="4"/>
      <c r="M63" s="4"/>
    </row>
    <row r="64" spans="1:13" s="34" customFormat="1">
      <c r="A64" s="4"/>
      <c r="B64" s="23"/>
      <c r="C64" s="23"/>
      <c r="D64" s="23"/>
      <c r="E64" s="23"/>
      <c r="F64" s="4"/>
      <c r="G64" s="4"/>
      <c r="H64" s="4"/>
      <c r="I64" s="4"/>
      <c r="J64" s="4"/>
      <c r="K64" s="4"/>
      <c r="L64" s="4"/>
      <c r="M64" s="4"/>
    </row>
    <row r="65" spans="1:13" s="34" customFormat="1">
      <c r="A65" s="4"/>
      <c r="B65" s="23"/>
      <c r="C65" s="23"/>
      <c r="D65" s="23"/>
      <c r="E65" s="23"/>
      <c r="F65" s="4"/>
      <c r="G65" s="4"/>
      <c r="H65" s="4"/>
      <c r="I65" s="4"/>
      <c r="J65" s="4"/>
      <c r="K65" s="4"/>
      <c r="L65" s="4"/>
      <c r="M65" s="4"/>
    </row>
    <row r="66" spans="1:13" s="34" customFormat="1">
      <c r="A66" s="4"/>
      <c r="B66" s="23"/>
      <c r="C66" s="23"/>
      <c r="D66" s="23"/>
      <c r="E66" s="4"/>
      <c r="F66" s="4"/>
      <c r="G66" s="4"/>
      <c r="H66" s="4"/>
      <c r="I66" s="4"/>
      <c r="J66" s="4"/>
      <c r="K66" s="4"/>
      <c r="L66" s="4"/>
      <c r="M66" s="4"/>
    </row>
    <row r="67" spans="1:13" s="34" customFormat="1">
      <c r="A67" s="4"/>
      <c r="B67" s="23"/>
      <c r="C67" s="23"/>
      <c r="D67" s="23"/>
      <c r="E67" s="4"/>
      <c r="F67" s="4"/>
      <c r="G67" s="4"/>
      <c r="H67" s="4"/>
      <c r="I67" s="4"/>
      <c r="J67" s="4"/>
      <c r="K67" s="4"/>
      <c r="L67" s="4"/>
      <c r="M67" s="4"/>
    </row>
    <row r="68" spans="1:13" s="34" customFormat="1">
      <c r="A68" s="4"/>
      <c r="B68" s="23"/>
      <c r="C68" s="23"/>
      <c r="D68" s="23"/>
      <c r="E68" s="4"/>
      <c r="F68" s="4"/>
      <c r="G68" s="4"/>
      <c r="H68" s="4"/>
      <c r="I68" s="4"/>
      <c r="J68" s="4"/>
      <c r="K68" s="4"/>
      <c r="L68" s="4"/>
      <c r="M68" s="4"/>
    </row>
    <row r="69" spans="1:13" s="34" customFormat="1">
      <c r="A69" s="4"/>
      <c r="B69" s="23"/>
      <c r="C69" s="23"/>
      <c r="D69" s="23"/>
      <c r="E69" s="4"/>
      <c r="F69" s="4"/>
      <c r="G69" s="4"/>
      <c r="H69" s="4"/>
      <c r="I69" s="4"/>
      <c r="J69" s="4"/>
      <c r="K69" s="4"/>
      <c r="L69" s="4"/>
      <c r="M69" s="4"/>
    </row>
    <row r="70" spans="1:13" s="34" customFormat="1">
      <c r="A70" s="4"/>
      <c r="B70" s="23"/>
      <c r="C70" s="23"/>
      <c r="D70" s="23"/>
      <c r="E70" s="4"/>
      <c r="F70" s="4"/>
      <c r="G70" s="4"/>
      <c r="H70" s="4"/>
      <c r="I70" s="4"/>
      <c r="J70" s="4"/>
      <c r="K70" s="4"/>
      <c r="L70" s="4"/>
      <c r="M70" s="4"/>
    </row>
    <row r="71" spans="1:13" s="34" customFormat="1">
      <c r="A71" s="4"/>
      <c r="B71" s="23"/>
      <c r="C71" s="23"/>
      <c r="D71" s="23"/>
      <c r="E71" s="4"/>
      <c r="F71" s="4"/>
      <c r="G71" s="4"/>
      <c r="H71" s="4"/>
      <c r="I71" s="4"/>
      <c r="J71" s="4"/>
      <c r="K71" s="4"/>
      <c r="L71" s="4"/>
      <c r="M71" s="4"/>
    </row>
    <row r="72" spans="1:13" s="34" customFormat="1">
      <c r="A72" s="4"/>
      <c r="B72" s="23"/>
      <c r="C72" s="23"/>
      <c r="D72" s="23"/>
      <c r="E72" s="4"/>
      <c r="F72" s="4"/>
      <c r="G72" s="4"/>
      <c r="H72" s="4"/>
      <c r="I72" s="4"/>
      <c r="J72" s="4"/>
      <c r="K72" s="4"/>
      <c r="L72" s="4"/>
      <c r="M72" s="4"/>
    </row>
    <row r="73" spans="1:13" s="34" customFormat="1">
      <c r="A73" s="4"/>
      <c r="B73" s="23"/>
      <c r="C73" s="23"/>
      <c r="D73" s="23"/>
      <c r="E73" s="4"/>
      <c r="F73" s="4"/>
      <c r="G73" s="4"/>
      <c r="H73" s="4"/>
      <c r="I73" s="4"/>
      <c r="J73" s="4"/>
      <c r="K73" s="4"/>
      <c r="L73" s="4"/>
      <c r="M73" s="4"/>
    </row>
    <row r="74" spans="1:13" s="34" customFormat="1">
      <c r="A74" s="4"/>
      <c r="B74" s="23"/>
      <c r="C74" s="23"/>
      <c r="D74" s="23"/>
      <c r="E74" s="4"/>
      <c r="F74" s="4"/>
      <c r="G74" s="4"/>
      <c r="H74" s="4"/>
      <c r="I74" s="4"/>
      <c r="J74" s="4"/>
      <c r="K74" s="4"/>
      <c r="L74" s="4"/>
      <c r="M74" s="4"/>
    </row>
    <row r="75" spans="1:13" s="34" customFormat="1">
      <c r="A75" s="4"/>
      <c r="B75" s="23"/>
      <c r="C75" s="23"/>
      <c r="D75" s="23"/>
      <c r="E75" s="4"/>
      <c r="F75" s="4"/>
      <c r="G75" s="4"/>
      <c r="H75" s="4"/>
      <c r="I75" s="4"/>
      <c r="J75" s="4"/>
      <c r="K75" s="4"/>
      <c r="L75" s="4"/>
      <c r="M75" s="4"/>
    </row>
    <row r="76" spans="1:13" s="34" customFormat="1">
      <c r="A76" s="4"/>
      <c r="B76" s="23"/>
      <c r="C76" s="23"/>
      <c r="D76" s="23"/>
      <c r="E76" s="4"/>
      <c r="F76" s="4"/>
      <c r="G76" s="4"/>
      <c r="H76" s="4"/>
      <c r="I76" s="4"/>
      <c r="J76" s="4"/>
      <c r="K76" s="4"/>
      <c r="L76" s="4"/>
      <c r="M76" s="4"/>
    </row>
    <row r="77" spans="1:13" s="34" customFormat="1">
      <c r="A77" s="4"/>
      <c r="B77" s="23"/>
      <c r="C77" s="23"/>
      <c r="D77" s="23"/>
      <c r="E77" s="4"/>
      <c r="F77" s="4"/>
      <c r="G77" s="4"/>
      <c r="H77" s="4"/>
      <c r="I77" s="4"/>
      <c r="J77" s="4"/>
      <c r="K77" s="4"/>
      <c r="L77" s="4"/>
      <c r="M77" s="4"/>
    </row>
    <row r="78" spans="1:13" s="34" customFormat="1">
      <c r="A78" s="4"/>
      <c r="B78" s="23"/>
      <c r="C78" s="23"/>
      <c r="D78" s="23"/>
      <c r="E78" s="4"/>
      <c r="F78" s="4"/>
      <c r="G78" s="4"/>
      <c r="H78" s="4"/>
      <c r="I78" s="4"/>
      <c r="J78" s="4"/>
      <c r="K78" s="4"/>
      <c r="L78" s="4"/>
      <c r="M78" s="4"/>
    </row>
    <row r="79" spans="1:13" s="34" customFormat="1">
      <c r="A79" s="4"/>
      <c r="B79" s="23"/>
      <c r="C79" s="23"/>
      <c r="D79" s="23"/>
      <c r="E79" s="4"/>
      <c r="F79" s="4"/>
      <c r="G79" s="4"/>
      <c r="H79" s="4"/>
      <c r="I79" s="4"/>
      <c r="J79" s="4"/>
      <c r="K79" s="4"/>
      <c r="L79" s="4"/>
      <c r="M79" s="4"/>
    </row>
    <row r="80" spans="1:13" s="34" customFormat="1">
      <c r="A80" s="4"/>
      <c r="B80" s="23"/>
      <c r="C80" s="23"/>
      <c r="D80" s="23"/>
      <c r="E80" s="4"/>
      <c r="F80" s="4"/>
      <c r="G80" s="4"/>
      <c r="H80" s="4"/>
      <c r="I80" s="4"/>
      <c r="J80" s="4"/>
      <c r="K80" s="4"/>
      <c r="L80" s="4"/>
      <c r="M80" s="4"/>
    </row>
    <row r="81" spans="1:13" s="34" customFormat="1">
      <c r="A81" s="4"/>
      <c r="B81" s="23"/>
      <c r="C81" s="23"/>
      <c r="D81" s="23"/>
      <c r="E81" s="4"/>
      <c r="F81" s="4"/>
      <c r="G81" s="4"/>
      <c r="H81" s="4"/>
      <c r="I81" s="4"/>
      <c r="J81" s="4"/>
      <c r="K81" s="4"/>
      <c r="L81" s="4"/>
      <c r="M81" s="4"/>
    </row>
    <row r="82" spans="1:13" s="34" customFormat="1">
      <c r="A82" s="4"/>
      <c r="B82" s="23"/>
      <c r="C82" s="23"/>
      <c r="D82" s="23"/>
      <c r="E82" s="4"/>
      <c r="F82" s="4"/>
      <c r="G82" s="4"/>
      <c r="H82" s="4"/>
      <c r="I82" s="4"/>
      <c r="J82" s="4"/>
      <c r="K82" s="4"/>
      <c r="L82" s="4"/>
      <c r="M82" s="4"/>
    </row>
    <row r="83" spans="1:13" s="34" customFormat="1">
      <c r="A83" s="4"/>
      <c r="B83" s="23"/>
      <c r="C83" s="23"/>
      <c r="D83" s="23"/>
      <c r="E83" s="4"/>
      <c r="F83" s="4"/>
      <c r="G83" s="4"/>
      <c r="H83" s="4"/>
      <c r="I83" s="4"/>
      <c r="J83" s="4"/>
      <c r="K83" s="4"/>
      <c r="L83" s="4"/>
      <c r="M83" s="4"/>
    </row>
    <row r="84" spans="1:13" s="34" customFormat="1">
      <c r="A84" s="4"/>
      <c r="B84" s="23"/>
      <c r="C84" s="23"/>
      <c r="D84" s="23"/>
      <c r="E84" s="4"/>
      <c r="F84" s="4"/>
      <c r="G84" s="4"/>
      <c r="H84" s="4"/>
      <c r="I84" s="4"/>
      <c r="J84" s="4"/>
      <c r="K84" s="4"/>
      <c r="L84" s="4"/>
      <c r="M84" s="4"/>
    </row>
    <row r="85" spans="1:13" s="34" customFormat="1">
      <c r="A85" s="4"/>
      <c r="B85" s="23"/>
      <c r="C85" s="23"/>
      <c r="D85" s="23"/>
      <c r="E85" s="4"/>
      <c r="F85" s="4"/>
      <c r="G85" s="4"/>
      <c r="H85" s="4"/>
      <c r="I85" s="4"/>
      <c r="J85" s="4"/>
      <c r="K85" s="4"/>
      <c r="L85" s="4"/>
      <c r="M85" s="4"/>
    </row>
    <row r="86" spans="1:13" s="34" customFormat="1">
      <c r="A86" s="4"/>
      <c r="B86" s="23"/>
      <c r="C86" s="23"/>
      <c r="D86" s="23"/>
      <c r="E86" s="4"/>
      <c r="F86" s="4"/>
      <c r="G86" s="4"/>
      <c r="H86" s="4"/>
      <c r="I86" s="4"/>
      <c r="J86" s="4"/>
      <c r="K86" s="4"/>
      <c r="L86" s="4"/>
      <c r="M86" s="4"/>
    </row>
    <row r="87" spans="1:13" s="34" customFormat="1">
      <c r="A87" s="4"/>
      <c r="B87" s="23"/>
      <c r="C87" s="23"/>
      <c r="D87" s="23"/>
      <c r="E87" s="4"/>
      <c r="F87" s="4"/>
      <c r="G87" s="4"/>
      <c r="H87" s="4"/>
      <c r="I87" s="4"/>
      <c r="J87" s="4"/>
      <c r="K87" s="4"/>
      <c r="L87" s="4"/>
      <c r="M87" s="4"/>
    </row>
    <row r="88" spans="1:13" s="34" customFormat="1">
      <c r="A88" s="4"/>
      <c r="B88" s="23"/>
      <c r="C88" s="23"/>
      <c r="D88" s="23"/>
      <c r="E88" s="4"/>
      <c r="F88" s="4"/>
      <c r="G88" s="4"/>
      <c r="H88" s="4"/>
      <c r="I88" s="4"/>
      <c r="J88" s="4"/>
      <c r="K88" s="4"/>
      <c r="L88" s="4"/>
      <c r="M88" s="4"/>
    </row>
    <row r="89" spans="1:13" s="34" customFormat="1">
      <c r="A89" s="4"/>
      <c r="B89" s="23"/>
      <c r="C89" s="23"/>
      <c r="D89" s="23"/>
      <c r="E89" s="4"/>
      <c r="F89" s="4"/>
      <c r="G89" s="4"/>
      <c r="H89" s="4"/>
      <c r="I89" s="4"/>
      <c r="J89" s="4"/>
      <c r="K89" s="4"/>
      <c r="L89" s="4"/>
      <c r="M89" s="4"/>
    </row>
    <row r="90" spans="1:13" s="34" customFormat="1">
      <c r="A90" s="4"/>
      <c r="B90" s="23"/>
      <c r="C90" s="23"/>
      <c r="D90" s="23"/>
      <c r="E90" s="4"/>
      <c r="F90" s="4"/>
      <c r="G90" s="4"/>
      <c r="H90" s="4"/>
      <c r="I90" s="4"/>
      <c r="J90" s="4"/>
      <c r="K90" s="4"/>
      <c r="L90" s="4"/>
      <c r="M90" s="4"/>
    </row>
    <row r="91" spans="1:13" s="34" customFormat="1">
      <c r="A91" s="4"/>
      <c r="B91" s="23"/>
      <c r="C91" s="23"/>
      <c r="D91" s="23"/>
      <c r="E91" s="4"/>
      <c r="F91" s="4"/>
      <c r="G91" s="4"/>
      <c r="H91" s="4"/>
      <c r="I91" s="4"/>
      <c r="J91" s="4"/>
      <c r="K91" s="4"/>
      <c r="L91" s="4"/>
      <c r="M91" s="4"/>
    </row>
    <row r="92" spans="1:13" s="34" customFormat="1">
      <c r="A92" s="4"/>
      <c r="B92" s="23"/>
      <c r="C92" s="23"/>
      <c r="D92" s="23"/>
      <c r="E92" s="4"/>
      <c r="F92" s="4"/>
      <c r="G92" s="4"/>
      <c r="H92" s="4"/>
      <c r="I92" s="4"/>
      <c r="J92" s="4"/>
      <c r="K92" s="4"/>
      <c r="L92" s="4"/>
      <c r="M92" s="4"/>
    </row>
    <row r="93" spans="1:13" s="34" customFormat="1">
      <c r="A93" s="4"/>
      <c r="B93" s="23"/>
      <c r="C93" s="23"/>
      <c r="D93" s="23"/>
      <c r="E93" s="4"/>
      <c r="F93" s="4"/>
      <c r="G93" s="4"/>
      <c r="H93" s="4"/>
      <c r="I93" s="4"/>
      <c r="J93" s="4"/>
      <c r="K93" s="4"/>
      <c r="L93" s="4"/>
      <c r="M93" s="4"/>
    </row>
    <row r="94" spans="1:13" s="34" customFormat="1">
      <c r="A94" s="4"/>
      <c r="B94" s="23"/>
      <c r="C94" s="23"/>
      <c r="D94" s="23"/>
      <c r="E94" s="4"/>
      <c r="F94" s="4"/>
      <c r="G94" s="4"/>
      <c r="H94" s="4"/>
      <c r="I94" s="4"/>
      <c r="J94" s="4"/>
      <c r="K94" s="4"/>
      <c r="L94" s="4"/>
      <c r="M94" s="4"/>
    </row>
    <row r="95" spans="1:13" s="34" customFormat="1">
      <c r="A95" s="4"/>
      <c r="B95" s="23"/>
      <c r="C95" s="23"/>
      <c r="D95" s="23"/>
      <c r="E95" s="4"/>
      <c r="F95" s="4"/>
      <c r="G95" s="4"/>
      <c r="H95" s="4"/>
      <c r="I95" s="4"/>
      <c r="J95" s="4"/>
      <c r="K95" s="4"/>
      <c r="L95" s="4"/>
      <c r="M95" s="4"/>
    </row>
    <row r="96" spans="1:13" s="34" customFormat="1">
      <c r="A96" s="4"/>
      <c r="B96" s="23"/>
      <c r="C96" s="23"/>
      <c r="D96" s="23"/>
      <c r="E96" s="4"/>
      <c r="F96" s="4"/>
      <c r="G96" s="4"/>
      <c r="H96" s="4"/>
      <c r="I96" s="4"/>
      <c r="J96" s="4"/>
      <c r="K96" s="4"/>
      <c r="L96" s="4"/>
      <c r="M96" s="4"/>
    </row>
    <row r="97" spans="1:13" s="34" customFormat="1">
      <c r="A97" s="4"/>
      <c r="B97" s="23"/>
      <c r="C97" s="23"/>
      <c r="D97" s="23"/>
      <c r="E97" s="4"/>
      <c r="F97" s="4"/>
      <c r="G97" s="4"/>
      <c r="H97" s="4"/>
      <c r="I97" s="4"/>
      <c r="J97" s="4"/>
      <c r="K97" s="4"/>
      <c r="L97" s="4"/>
      <c r="M97" s="4"/>
    </row>
    <row r="98" spans="1:13" s="34" customFormat="1">
      <c r="A98" s="4"/>
      <c r="B98" s="23"/>
      <c r="C98" s="23"/>
      <c r="D98" s="23"/>
      <c r="E98" s="4"/>
      <c r="F98" s="4"/>
      <c r="G98" s="4"/>
      <c r="H98" s="4"/>
      <c r="I98" s="4"/>
      <c r="J98" s="4"/>
      <c r="K98" s="4"/>
      <c r="L98" s="4"/>
      <c r="M98" s="4"/>
    </row>
    <row r="99" spans="1:13" s="34" customFormat="1">
      <c r="A99" s="4"/>
      <c r="B99" s="23"/>
      <c r="C99" s="23"/>
      <c r="D99" s="23"/>
      <c r="E99" s="4"/>
      <c r="F99" s="4"/>
      <c r="G99" s="4"/>
      <c r="H99" s="4"/>
      <c r="I99" s="4"/>
      <c r="J99" s="4"/>
      <c r="K99" s="4"/>
      <c r="L99" s="4"/>
      <c r="M99" s="4"/>
    </row>
    <row r="100" spans="1:13" s="34" customFormat="1">
      <c r="A100" s="4"/>
      <c r="B100" s="23"/>
      <c r="C100" s="23"/>
      <c r="D100" s="23"/>
      <c r="E100" s="4"/>
      <c r="F100" s="4"/>
      <c r="G100" s="4"/>
      <c r="H100" s="4"/>
      <c r="I100" s="4"/>
      <c r="J100" s="4"/>
      <c r="K100" s="4"/>
      <c r="L100" s="4"/>
      <c r="M100" s="4"/>
    </row>
    <row r="101" spans="1:13" s="34" customFormat="1">
      <c r="A101" s="4"/>
      <c r="B101" s="23"/>
      <c r="C101" s="23"/>
      <c r="D101" s="23"/>
      <c r="E101" s="4"/>
      <c r="F101" s="4"/>
      <c r="G101" s="4"/>
      <c r="H101" s="4"/>
      <c r="I101" s="4"/>
      <c r="J101" s="4"/>
      <c r="K101" s="4"/>
      <c r="L101" s="4"/>
      <c r="M101" s="4"/>
    </row>
    <row r="102" spans="1:13" s="34" customFormat="1">
      <c r="A102" s="4"/>
      <c r="B102" s="23"/>
      <c r="C102" s="23"/>
      <c r="D102" s="23"/>
      <c r="E102" s="4"/>
      <c r="F102" s="4"/>
      <c r="G102" s="4"/>
      <c r="H102" s="4"/>
      <c r="I102" s="4"/>
      <c r="J102" s="4"/>
      <c r="K102" s="4"/>
      <c r="L102" s="4"/>
      <c r="M102" s="4"/>
    </row>
    <row r="103" spans="1:13" s="34" customFormat="1">
      <c r="A103" s="4"/>
      <c r="B103" s="23"/>
      <c r="C103" s="23"/>
      <c r="D103" s="23"/>
      <c r="E103" s="4"/>
      <c r="F103" s="4"/>
      <c r="G103" s="4"/>
      <c r="H103" s="4"/>
      <c r="I103" s="4"/>
      <c r="J103" s="4"/>
      <c r="K103" s="4"/>
      <c r="L103" s="4"/>
      <c r="M103" s="4"/>
    </row>
    <row r="104" spans="1:13" s="34" customFormat="1">
      <c r="A104" s="4"/>
      <c r="B104" s="23"/>
      <c r="C104" s="23"/>
      <c r="D104" s="23"/>
      <c r="E104" s="4"/>
      <c r="F104" s="4"/>
      <c r="G104" s="4"/>
      <c r="H104" s="4"/>
      <c r="I104" s="4"/>
      <c r="J104" s="4"/>
      <c r="K104" s="4"/>
      <c r="L104" s="4"/>
      <c r="M104" s="4"/>
    </row>
    <row r="105" spans="1:13" s="34" customFormat="1">
      <c r="A105" s="4"/>
      <c r="B105" s="23"/>
      <c r="C105" s="23"/>
      <c r="D105" s="23"/>
      <c r="E105" s="4"/>
      <c r="F105" s="4"/>
      <c r="G105" s="4"/>
      <c r="H105" s="4"/>
      <c r="I105" s="4"/>
      <c r="J105" s="4"/>
      <c r="K105" s="4"/>
      <c r="L105" s="4"/>
      <c r="M105" s="4"/>
    </row>
    <row r="106" spans="1:13" s="34" customFormat="1">
      <c r="A106" s="4"/>
      <c r="B106" s="23"/>
      <c r="C106" s="23"/>
      <c r="D106" s="23"/>
      <c r="E106" s="4"/>
      <c r="F106" s="4"/>
      <c r="G106" s="4"/>
      <c r="H106" s="4"/>
      <c r="I106" s="4"/>
      <c r="J106" s="4"/>
      <c r="K106" s="4"/>
      <c r="L106" s="4"/>
      <c r="M106" s="4"/>
    </row>
    <row r="107" spans="1:13" s="34" customFormat="1">
      <c r="A107" s="4"/>
      <c r="B107" s="23"/>
      <c r="C107" s="23"/>
      <c r="D107" s="23"/>
      <c r="E107" s="4"/>
      <c r="F107" s="4"/>
      <c r="G107" s="4"/>
      <c r="H107" s="4"/>
      <c r="I107" s="4"/>
      <c r="J107" s="4"/>
      <c r="K107" s="4"/>
      <c r="L107" s="4"/>
      <c r="M107" s="4"/>
    </row>
    <row r="108" spans="1:13" s="34" customFormat="1">
      <c r="A108" s="4"/>
      <c r="B108" s="23"/>
      <c r="C108" s="23"/>
      <c r="D108" s="23"/>
      <c r="E108" s="4"/>
      <c r="F108" s="4"/>
      <c r="G108" s="4"/>
      <c r="H108" s="4"/>
      <c r="I108" s="4"/>
      <c r="J108" s="4"/>
      <c r="K108" s="4"/>
      <c r="L108" s="4"/>
      <c r="M108" s="4"/>
    </row>
    <row r="109" spans="1:13" s="34" customFormat="1">
      <c r="A109" s="4"/>
      <c r="B109" s="23"/>
      <c r="C109" s="23"/>
      <c r="D109" s="23"/>
      <c r="E109" s="4"/>
      <c r="F109" s="4"/>
      <c r="G109" s="4"/>
      <c r="H109" s="4"/>
      <c r="I109" s="4"/>
      <c r="J109" s="4"/>
      <c r="K109" s="4"/>
      <c r="L109" s="4"/>
      <c r="M109" s="4"/>
    </row>
    <row r="110" spans="1:13" s="34" customFormat="1">
      <c r="A110" s="4"/>
      <c r="B110" s="23"/>
      <c r="C110" s="23"/>
      <c r="D110" s="23"/>
      <c r="E110" s="4"/>
      <c r="F110" s="4"/>
      <c r="G110" s="4"/>
      <c r="H110" s="4"/>
      <c r="I110" s="4"/>
      <c r="J110" s="4"/>
      <c r="K110" s="4"/>
      <c r="L110" s="4"/>
      <c r="M110" s="4"/>
    </row>
    <row r="111" spans="1:13" s="34" customFormat="1">
      <c r="A111" s="4"/>
      <c r="B111" s="23"/>
      <c r="C111" s="23"/>
      <c r="D111" s="23"/>
      <c r="E111" s="4"/>
      <c r="F111" s="4"/>
      <c r="G111" s="4"/>
      <c r="H111" s="4"/>
      <c r="I111" s="4"/>
      <c r="J111" s="4"/>
      <c r="K111" s="4"/>
      <c r="L111" s="4"/>
      <c r="M111" s="4"/>
    </row>
    <row r="112" spans="1:13" s="34" customFormat="1">
      <c r="A112" s="4"/>
      <c r="B112" s="23"/>
      <c r="C112" s="23"/>
      <c r="D112" s="23"/>
      <c r="E112" s="4"/>
      <c r="F112" s="4"/>
      <c r="G112" s="4"/>
      <c r="H112" s="4"/>
      <c r="I112" s="4"/>
      <c r="J112" s="4"/>
      <c r="K112" s="4"/>
      <c r="L112" s="4"/>
      <c r="M112" s="4"/>
    </row>
    <row r="113" spans="1:13" s="34" customFormat="1">
      <c r="A113" s="4"/>
      <c r="B113" s="23"/>
      <c r="C113" s="23"/>
      <c r="D113" s="23"/>
      <c r="E113" s="4"/>
      <c r="F113" s="4"/>
      <c r="G113" s="4"/>
      <c r="H113" s="4"/>
      <c r="I113" s="4"/>
      <c r="J113" s="4"/>
      <c r="K113" s="4"/>
      <c r="L113" s="4"/>
      <c r="M113" s="4"/>
    </row>
    <row r="114" spans="1:13" s="34" customFormat="1">
      <c r="A114" s="4"/>
      <c r="B114" s="23"/>
      <c r="C114" s="23"/>
      <c r="D114" s="23"/>
      <c r="E114" s="4"/>
      <c r="F114" s="4"/>
      <c r="G114" s="4"/>
      <c r="H114" s="4"/>
      <c r="I114" s="4"/>
      <c r="J114" s="4"/>
      <c r="K114" s="4"/>
      <c r="L114" s="4"/>
      <c r="M114" s="4"/>
    </row>
    <row r="115" spans="1:13" s="34" customFormat="1">
      <c r="A115" s="4"/>
      <c r="B115" s="23"/>
      <c r="C115" s="23"/>
      <c r="D115" s="23"/>
      <c r="E115" s="4"/>
      <c r="F115" s="4"/>
      <c r="G115" s="4"/>
      <c r="H115" s="4"/>
      <c r="I115" s="4"/>
      <c r="J115" s="4"/>
      <c r="K115" s="4"/>
      <c r="L115" s="4"/>
      <c r="M115" s="4"/>
    </row>
    <row r="116" spans="1:13" s="34" customFormat="1">
      <c r="A116" s="4"/>
      <c r="B116" s="23"/>
      <c r="C116" s="23"/>
      <c r="D116" s="23"/>
      <c r="E116" s="4"/>
      <c r="F116" s="4"/>
      <c r="G116" s="4"/>
      <c r="H116" s="4"/>
      <c r="I116" s="4"/>
      <c r="J116" s="4"/>
      <c r="K116" s="4"/>
      <c r="L116" s="4"/>
      <c r="M116" s="4"/>
    </row>
    <row r="117" spans="1:13" s="34" customFormat="1">
      <c r="A117" s="4"/>
      <c r="B117" s="23"/>
      <c r="C117" s="23"/>
      <c r="D117" s="23"/>
      <c r="E117" s="4"/>
      <c r="F117" s="4"/>
      <c r="G117" s="4"/>
      <c r="H117" s="4"/>
      <c r="I117" s="4"/>
      <c r="J117" s="4"/>
      <c r="K117" s="4"/>
      <c r="L117" s="4"/>
      <c r="M117" s="4"/>
    </row>
    <row r="118" spans="1:13" s="34" customFormat="1">
      <c r="A118" s="4"/>
      <c r="B118" s="23"/>
      <c r="C118" s="23"/>
      <c r="D118" s="23"/>
      <c r="E118" s="4"/>
      <c r="F118" s="4"/>
      <c r="G118" s="4"/>
      <c r="H118" s="4"/>
      <c r="I118" s="4"/>
      <c r="J118" s="4"/>
      <c r="K118" s="4"/>
      <c r="L118" s="4"/>
      <c r="M118" s="4"/>
    </row>
    <row r="119" spans="1:13" s="34" customFormat="1">
      <c r="A119" s="4"/>
      <c r="B119" s="23"/>
      <c r="C119" s="23"/>
      <c r="D119" s="23"/>
      <c r="E119" s="4"/>
      <c r="F119" s="4"/>
      <c r="G119" s="4"/>
      <c r="H119" s="4"/>
      <c r="I119" s="4"/>
      <c r="J119" s="4"/>
      <c r="K119" s="4"/>
      <c r="L119" s="4"/>
      <c r="M119" s="4"/>
    </row>
    <row r="120" spans="1:13" s="34" customFormat="1">
      <c r="A120" s="4"/>
      <c r="B120" s="23"/>
      <c r="C120" s="23"/>
      <c r="D120" s="23"/>
      <c r="E120" s="4"/>
      <c r="F120" s="4"/>
      <c r="G120" s="4"/>
      <c r="H120" s="4"/>
      <c r="I120" s="4"/>
      <c r="J120" s="4"/>
      <c r="K120" s="4"/>
      <c r="L120" s="4"/>
      <c r="M120" s="4"/>
    </row>
    <row r="121" spans="1:13" s="34" customFormat="1">
      <c r="A121" s="4"/>
      <c r="B121" s="23"/>
      <c r="C121" s="23"/>
      <c r="D121" s="23"/>
      <c r="E121" s="4"/>
      <c r="F121" s="4"/>
      <c r="G121" s="4"/>
      <c r="H121" s="4"/>
      <c r="I121" s="4"/>
      <c r="J121" s="4"/>
      <c r="K121" s="4"/>
      <c r="L121" s="4"/>
      <c r="M121" s="4"/>
    </row>
    <row r="122" spans="1:13" s="34" customFormat="1">
      <c r="A122" s="4"/>
      <c r="B122" s="23"/>
      <c r="C122" s="23"/>
      <c r="D122" s="23"/>
      <c r="E122" s="4"/>
      <c r="F122" s="4"/>
      <c r="G122" s="4"/>
      <c r="H122" s="4"/>
      <c r="I122" s="4"/>
      <c r="J122" s="4"/>
      <c r="K122" s="4"/>
      <c r="L122" s="4"/>
      <c r="M122" s="4"/>
    </row>
    <row r="123" spans="1:13" s="34" customFormat="1">
      <c r="A123" s="4"/>
      <c r="B123" s="23"/>
      <c r="C123" s="23"/>
      <c r="D123" s="23"/>
      <c r="E123" s="4"/>
      <c r="F123" s="4"/>
      <c r="G123" s="4"/>
      <c r="H123" s="4"/>
      <c r="I123" s="4"/>
      <c r="J123" s="4"/>
      <c r="K123" s="4"/>
      <c r="L123" s="4"/>
      <c r="M123" s="4"/>
    </row>
    <row r="124" spans="1:13" s="34" customFormat="1">
      <c r="A124" s="4"/>
      <c r="B124" s="23"/>
      <c r="C124" s="23"/>
      <c r="D124" s="23"/>
      <c r="E124" s="4"/>
      <c r="F124" s="4"/>
      <c r="G124" s="4"/>
      <c r="H124" s="4"/>
      <c r="I124" s="4"/>
      <c r="J124" s="4"/>
      <c r="K124" s="4"/>
      <c r="L124" s="4"/>
      <c r="M124" s="4"/>
    </row>
    <row r="125" spans="1:13" s="34" customFormat="1">
      <c r="A125" s="4"/>
      <c r="B125" s="23"/>
      <c r="C125" s="23"/>
      <c r="D125" s="23"/>
      <c r="E125" s="4"/>
      <c r="F125" s="4"/>
      <c r="G125" s="4"/>
      <c r="H125" s="4"/>
      <c r="I125" s="4"/>
      <c r="J125" s="4"/>
      <c r="K125" s="4"/>
      <c r="L125" s="4"/>
      <c r="M125" s="4"/>
    </row>
    <row r="126" spans="1:13" s="34" customFormat="1">
      <c r="A126" s="4"/>
      <c r="B126" s="23"/>
      <c r="C126" s="23"/>
      <c r="D126" s="23"/>
      <c r="E126" s="4"/>
      <c r="F126" s="4"/>
      <c r="G126" s="4"/>
      <c r="H126" s="4"/>
      <c r="I126" s="4"/>
      <c r="J126" s="4"/>
      <c r="K126" s="4"/>
      <c r="L126" s="4"/>
      <c r="M126" s="4"/>
    </row>
    <row r="127" spans="1:13" s="34" customFormat="1">
      <c r="A127" s="4"/>
      <c r="B127" s="23"/>
      <c r="C127" s="23"/>
      <c r="D127" s="23"/>
      <c r="E127" s="4"/>
      <c r="F127" s="4"/>
      <c r="G127" s="4"/>
      <c r="H127" s="4"/>
      <c r="I127" s="4"/>
      <c r="J127" s="4"/>
      <c r="K127" s="4"/>
      <c r="L127" s="4"/>
      <c r="M127" s="4"/>
    </row>
    <row r="128" spans="1:13" s="34" customFormat="1">
      <c r="A128" s="4"/>
      <c r="B128" s="23"/>
      <c r="C128" s="23"/>
      <c r="D128" s="23"/>
      <c r="E128" s="4"/>
      <c r="F128" s="4"/>
      <c r="G128" s="4"/>
      <c r="H128" s="4"/>
      <c r="I128" s="4"/>
      <c r="J128" s="4"/>
      <c r="K128" s="4"/>
      <c r="L128" s="4"/>
      <c r="M128" s="4"/>
    </row>
    <row r="129" spans="1:13" s="34" customFormat="1">
      <c r="A129" s="4"/>
      <c r="B129" s="23"/>
      <c r="C129" s="23"/>
      <c r="D129" s="23"/>
      <c r="E129" s="4"/>
      <c r="F129" s="4"/>
      <c r="G129" s="4"/>
      <c r="H129" s="4"/>
      <c r="I129" s="4"/>
      <c r="J129" s="4"/>
      <c r="K129" s="4"/>
      <c r="L129" s="4"/>
      <c r="M129" s="4"/>
    </row>
    <row r="130" spans="1:13" s="34" customFormat="1">
      <c r="A130" s="4"/>
      <c r="B130" s="23"/>
      <c r="C130" s="23"/>
      <c r="D130" s="23"/>
      <c r="E130" s="4"/>
      <c r="F130" s="4"/>
      <c r="G130" s="4"/>
      <c r="H130" s="4"/>
      <c r="I130" s="4"/>
      <c r="J130" s="4"/>
      <c r="K130" s="4"/>
      <c r="L130" s="4"/>
      <c r="M130" s="4"/>
    </row>
    <row r="131" spans="1:13" s="34" customFormat="1">
      <c r="A131" s="4"/>
      <c r="B131" s="23"/>
      <c r="C131" s="23"/>
      <c r="D131" s="23"/>
      <c r="E131" s="4"/>
      <c r="F131" s="4"/>
      <c r="G131" s="4"/>
      <c r="H131" s="4"/>
      <c r="I131" s="4"/>
      <c r="J131" s="4"/>
      <c r="K131" s="4"/>
      <c r="L131" s="4"/>
      <c r="M131" s="4"/>
    </row>
    <row r="132" spans="1:13" s="34" customFormat="1">
      <c r="A132" s="4"/>
      <c r="B132" s="23"/>
      <c r="C132" s="23"/>
      <c r="D132" s="23"/>
      <c r="E132" s="4"/>
      <c r="F132" s="4"/>
      <c r="G132" s="4"/>
      <c r="H132" s="4"/>
      <c r="I132" s="4"/>
      <c r="J132" s="4"/>
      <c r="K132" s="4"/>
      <c r="L132" s="4"/>
      <c r="M132" s="4"/>
    </row>
    <row r="133" spans="1:13" s="34" customFormat="1">
      <c r="A133" s="4"/>
      <c r="B133" s="23"/>
      <c r="C133" s="23"/>
      <c r="D133" s="23"/>
      <c r="E133" s="4"/>
      <c r="F133" s="4"/>
      <c r="G133" s="4"/>
      <c r="H133" s="4"/>
      <c r="I133" s="4"/>
      <c r="J133" s="4"/>
      <c r="K133" s="4"/>
      <c r="L133" s="4"/>
      <c r="M133" s="4"/>
    </row>
    <row r="134" spans="1:13" s="34" customFormat="1">
      <c r="A134" s="4"/>
      <c r="B134" s="23"/>
      <c r="C134" s="23"/>
      <c r="D134" s="23"/>
      <c r="E134" s="4"/>
      <c r="F134" s="4"/>
      <c r="G134" s="4"/>
      <c r="H134" s="4"/>
      <c r="I134" s="4"/>
      <c r="J134" s="4"/>
      <c r="K134" s="4"/>
      <c r="L134" s="4"/>
      <c r="M134" s="4"/>
    </row>
    <row r="135" spans="1:13" s="34" customFormat="1">
      <c r="A135" s="4"/>
      <c r="B135" s="23"/>
      <c r="C135" s="23"/>
      <c r="D135" s="23"/>
      <c r="E135" s="4"/>
      <c r="F135" s="4"/>
      <c r="G135" s="4"/>
      <c r="H135" s="4"/>
      <c r="I135" s="4"/>
      <c r="J135" s="4"/>
      <c r="K135" s="4"/>
      <c r="L135" s="4"/>
      <c r="M135" s="4"/>
    </row>
    <row r="136" spans="1:13" s="34" customFormat="1">
      <c r="A136" s="4"/>
      <c r="B136" s="23"/>
      <c r="C136" s="23"/>
      <c r="D136" s="23"/>
      <c r="E136" s="4"/>
      <c r="F136" s="4"/>
      <c r="G136" s="4"/>
      <c r="H136" s="4"/>
      <c r="I136" s="4"/>
      <c r="J136" s="4"/>
      <c r="K136" s="4"/>
      <c r="L136" s="4"/>
      <c r="M136" s="4"/>
    </row>
    <row r="137" spans="1:13" s="34" customFormat="1">
      <c r="A137" s="4"/>
      <c r="B137" s="23"/>
      <c r="C137" s="23"/>
      <c r="D137" s="23"/>
      <c r="E137" s="4"/>
      <c r="F137" s="4"/>
      <c r="G137" s="4"/>
      <c r="H137" s="4"/>
      <c r="I137" s="4"/>
      <c r="J137" s="4"/>
      <c r="K137" s="4"/>
      <c r="L137" s="4"/>
      <c r="M137" s="4"/>
    </row>
    <row r="138" spans="1:13" s="34" customFormat="1">
      <c r="A138" s="4"/>
      <c r="B138" s="23"/>
      <c r="C138" s="23"/>
      <c r="D138" s="23"/>
      <c r="E138" s="4"/>
      <c r="F138" s="4"/>
      <c r="G138" s="4"/>
      <c r="H138" s="4"/>
      <c r="I138" s="4"/>
      <c r="J138" s="4"/>
      <c r="K138" s="4"/>
      <c r="L138" s="4"/>
      <c r="M138" s="4"/>
    </row>
    <row r="139" spans="1:13" s="34" customFormat="1">
      <c r="A139" s="4"/>
      <c r="B139" s="23"/>
      <c r="C139" s="23"/>
      <c r="D139" s="23"/>
      <c r="E139" s="4"/>
      <c r="F139" s="4"/>
      <c r="G139" s="4"/>
      <c r="H139" s="4"/>
      <c r="I139" s="4"/>
      <c r="J139" s="4"/>
      <c r="K139" s="4"/>
      <c r="L139" s="4"/>
      <c r="M139" s="4"/>
    </row>
    <row r="140" spans="1:13" s="34" customFormat="1">
      <c r="A140" s="4"/>
      <c r="B140" s="23"/>
      <c r="C140" s="23"/>
      <c r="D140" s="23"/>
      <c r="E140" s="4"/>
      <c r="F140" s="4"/>
      <c r="G140" s="4"/>
      <c r="H140" s="4"/>
      <c r="I140" s="4"/>
      <c r="J140" s="4"/>
      <c r="K140" s="4"/>
      <c r="L140" s="4"/>
      <c r="M140" s="4"/>
    </row>
    <row r="141" spans="1:13" s="34" customFormat="1">
      <c r="A141" s="4"/>
      <c r="B141" s="23"/>
      <c r="C141" s="23"/>
      <c r="D141" s="23"/>
      <c r="E141" s="4"/>
      <c r="F141" s="4"/>
      <c r="G141" s="4"/>
      <c r="H141" s="4"/>
      <c r="I141" s="4"/>
      <c r="J141" s="4"/>
      <c r="K141" s="4"/>
      <c r="L141" s="4"/>
      <c r="M141" s="4"/>
    </row>
    <row r="142" spans="1:13" s="34" customFormat="1">
      <c r="A142" s="4"/>
      <c r="B142" s="23"/>
      <c r="C142" s="23"/>
      <c r="D142" s="23"/>
      <c r="E142" s="4"/>
      <c r="F142" s="4"/>
      <c r="G142" s="4"/>
      <c r="H142" s="4"/>
      <c r="I142" s="4"/>
      <c r="J142" s="4"/>
      <c r="K142" s="4"/>
      <c r="L142" s="4"/>
      <c r="M142" s="4"/>
    </row>
    <row r="143" spans="1:13" s="34" customFormat="1">
      <c r="A143" s="4"/>
      <c r="B143" s="23"/>
      <c r="C143" s="23"/>
      <c r="D143" s="23"/>
      <c r="E143" s="4"/>
      <c r="F143" s="4"/>
      <c r="G143" s="4"/>
      <c r="H143" s="4"/>
      <c r="I143" s="4"/>
      <c r="J143" s="4"/>
      <c r="K143" s="4"/>
      <c r="L143" s="4"/>
      <c r="M143" s="4"/>
    </row>
    <row r="144" spans="1:13" s="34" customFormat="1">
      <c r="A144" s="4"/>
      <c r="B144" s="23"/>
      <c r="C144" s="23"/>
      <c r="D144" s="23"/>
      <c r="E144" s="4"/>
      <c r="F144" s="4"/>
      <c r="G144" s="4"/>
      <c r="H144" s="4"/>
      <c r="I144" s="4"/>
      <c r="J144" s="4"/>
      <c r="K144" s="4"/>
      <c r="L144" s="4"/>
      <c r="M144" s="4"/>
    </row>
    <row r="145" spans="1:13" s="34" customFormat="1">
      <c r="A145" s="4"/>
      <c r="B145" s="23"/>
      <c r="C145" s="23"/>
      <c r="D145" s="23"/>
      <c r="E145" s="4"/>
      <c r="F145" s="4"/>
      <c r="G145" s="4"/>
      <c r="H145" s="4"/>
      <c r="I145" s="4"/>
      <c r="J145" s="4"/>
      <c r="K145" s="4"/>
      <c r="L145" s="4"/>
      <c r="M145" s="4"/>
    </row>
    <row r="146" spans="1:13" s="34" customFormat="1">
      <c r="A146" s="4"/>
      <c r="B146" s="23"/>
      <c r="C146" s="23"/>
      <c r="D146" s="23"/>
      <c r="E146" s="4"/>
      <c r="F146" s="4"/>
      <c r="G146" s="4"/>
      <c r="H146" s="4"/>
      <c r="I146" s="4"/>
      <c r="J146" s="4"/>
      <c r="K146" s="4"/>
      <c r="L146" s="4"/>
      <c r="M146" s="4"/>
    </row>
    <row r="147" spans="1:13" s="34" customFormat="1">
      <c r="A147" s="4"/>
      <c r="B147" s="23"/>
      <c r="C147" s="23"/>
      <c r="D147" s="23"/>
      <c r="E147" s="4"/>
      <c r="F147" s="4"/>
      <c r="G147" s="4"/>
      <c r="H147" s="4"/>
      <c r="I147" s="4"/>
      <c r="J147" s="4"/>
      <c r="K147" s="4"/>
      <c r="L147" s="4"/>
      <c r="M147" s="4"/>
    </row>
    <row r="148" spans="1:13" s="34" customFormat="1">
      <c r="A148" s="4"/>
      <c r="B148" s="23"/>
      <c r="C148" s="23"/>
      <c r="D148" s="23"/>
      <c r="E148" s="4"/>
      <c r="F148" s="4"/>
      <c r="G148" s="4"/>
      <c r="H148" s="4"/>
      <c r="I148" s="4"/>
      <c r="J148" s="4"/>
      <c r="K148" s="4"/>
      <c r="L148" s="4"/>
      <c r="M148" s="4"/>
    </row>
    <row r="149" spans="1:13" s="34" customFormat="1">
      <c r="A149" s="4"/>
      <c r="B149" s="23"/>
      <c r="C149" s="23"/>
      <c r="D149" s="23"/>
      <c r="E149" s="4"/>
      <c r="F149" s="4"/>
      <c r="G149" s="4"/>
      <c r="H149" s="4"/>
      <c r="I149" s="4"/>
      <c r="J149" s="4"/>
      <c r="K149" s="4"/>
      <c r="L149" s="4"/>
      <c r="M149" s="4"/>
    </row>
    <row r="150" spans="1:13" s="34" customFormat="1">
      <c r="A150" s="4"/>
      <c r="B150" s="23"/>
      <c r="C150" s="23"/>
      <c r="D150" s="23"/>
      <c r="E150" s="4"/>
      <c r="F150" s="4"/>
      <c r="G150" s="4"/>
      <c r="H150" s="4"/>
      <c r="I150" s="4"/>
      <c r="J150" s="4"/>
      <c r="K150" s="4"/>
      <c r="L150" s="4"/>
      <c r="M150" s="4"/>
    </row>
    <row r="151" spans="1:13" s="34" customFormat="1">
      <c r="A151" s="4"/>
      <c r="B151" s="23"/>
      <c r="C151" s="23"/>
      <c r="D151" s="23"/>
      <c r="E151" s="4"/>
      <c r="F151" s="4"/>
      <c r="G151" s="4"/>
      <c r="H151" s="4"/>
      <c r="I151" s="4"/>
      <c r="J151" s="4"/>
      <c r="K151" s="4"/>
      <c r="L151" s="4"/>
      <c r="M151" s="4"/>
    </row>
    <row r="152" spans="1:13" s="34" customFormat="1">
      <c r="A152" s="4"/>
      <c r="B152" s="23"/>
      <c r="C152" s="23"/>
      <c r="D152" s="23"/>
      <c r="E152" s="4"/>
      <c r="F152" s="4"/>
      <c r="G152" s="4"/>
      <c r="H152" s="4"/>
      <c r="I152" s="4"/>
      <c r="J152" s="4"/>
      <c r="K152" s="4"/>
      <c r="L152" s="4"/>
      <c r="M152" s="4"/>
    </row>
    <row r="153" spans="1:13" s="34" customFormat="1">
      <c r="A153" s="4"/>
      <c r="B153" s="23"/>
      <c r="C153" s="23"/>
      <c r="D153" s="23"/>
      <c r="E153" s="4"/>
      <c r="F153" s="4"/>
      <c r="G153" s="4"/>
      <c r="H153" s="4"/>
      <c r="I153" s="4"/>
      <c r="J153" s="4"/>
      <c r="K153" s="4"/>
      <c r="L153" s="4"/>
      <c r="M153" s="4"/>
    </row>
    <row r="154" spans="1:13" s="34" customFormat="1">
      <c r="A154" s="4"/>
      <c r="B154" s="23"/>
      <c r="C154" s="23"/>
      <c r="D154" s="23"/>
      <c r="E154" s="4"/>
      <c r="F154" s="4"/>
      <c r="G154" s="4"/>
      <c r="H154" s="4"/>
      <c r="I154" s="4"/>
      <c r="J154" s="4"/>
      <c r="K154" s="4"/>
      <c r="L154" s="4"/>
      <c r="M154" s="4"/>
    </row>
    <row r="155" spans="1:13" s="34" customFormat="1">
      <c r="A155" s="4"/>
      <c r="B155" s="23"/>
      <c r="C155" s="23"/>
      <c r="D155" s="23"/>
      <c r="E155" s="4"/>
      <c r="F155" s="4"/>
      <c r="G155" s="4"/>
      <c r="H155" s="4"/>
      <c r="I155" s="4"/>
      <c r="J155" s="4"/>
      <c r="K155" s="4"/>
      <c r="L155" s="4"/>
      <c r="M155" s="4"/>
    </row>
    <row r="156" spans="1:13" s="34" customFormat="1">
      <c r="A156" s="4"/>
      <c r="B156" s="23"/>
      <c r="C156" s="23"/>
      <c r="D156" s="23"/>
      <c r="E156" s="4"/>
      <c r="F156" s="4"/>
      <c r="G156" s="4"/>
      <c r="H156" s="4"/>
      <c r="I156" s="4"/>
      <c r="J156" s="4"/>
      <c r="K156" s="4"/>
      <c r="L156" s="4"/>
      <c r="M156" s="4"/>
    </row>
    <row r="157" spans="1:13" s="34" customFormat="1">
      <c r="A157" s="4"/>
      <c r="B157" s="23"/>
      <c r="C157" s="23"/>
      <c r="D157" s="23"/>
      <c r="E157" s="4"/>
      <c r="F157" s="4"/>
      <c r="G157" s="4"/>
      <c r="H157" s="4"/>
      <c r="I157" s="4"/>
      <c r="J157" s="4"/>
      <c r="K157" s="4"/>
      <c r="L157" s="4"/>
      <c r="M157" s="4"/>
    </row>
    <row r="158" spans="1:13" s="34" customFormat="1">
      <c r="A158" s="4"/>
      <c r="B158" s="23"/>
      <c r="C158" s="23"/>
      <c r="D158" s="23"/>
      <c r="E158" s="4"/>
      <c r="F158" s="4"/>
      <c r="G158" s="4"/>
      <c r="H158" s="4"/>
      <c r="I158" s="4"/>
      <c r="J158" s="4"/>
      <c r="K158" s="4"/>
      <c r="L158" s="4"/>
      <c r="M158" s="4"/>
    </row>
    <row r="159" spans="1:13" s="34" customFormat="1">
      <c r="A159" s="4"/>
      <c r="B159" s="23"/>
      <c r="C159" s="23"/>
      <c r="D159" s="23"/>
      <c r="E159" s="4"/>
      <c r="F159" s="4"/>
      <c r="G159" s="4"/>
      <c r="H159" s="4"/>
      <c r="I159" s="4"/>
      <c r="J159" s="4"/>
      <c r="K159" s="4"/>
      <c r="L159" s="4"/>
      <c r="M159" s="4"/>
    </row>
    <row r="160" spans="1:13" s="34" customFormat="1">
      <c r="A160" s="4"/>
      <c r="B160" s="23"/>
      <c r="C160" s="23"/>
      <c r="D160" s="23"/>
      <c r="E160" s="4"/>
      <c r="F160" s="4"/>
      <c r="G160" s="4"/>
      <c r="H160" s="4"/>
      <c r="I160" s="4"/>
      <c r="J160" s="4"/>
      <c r="K160" s="4"/>
      <c r="L160" s="4"/>
      <c r="M160" s="4"/>
    </row>
    <row r="161" spans="1:13" s="34" customFormat="1">
      <c r="A161" s="4"/>
      <c r="B161" s="23"/>
      <c r="C161" s="23"/>
      <c r="D161" s="23"/>
      <c r="E161" s="4"/>
      <c r="F161" s="4"/>
      <c r="G161" s="4"/>
      <c r="H161" s="4"/>
      <c r="I161" s="4"/>
      <c r="J161" s="4"/>
      <c r="K161" s="4"/>
      <c r="L161" s="4"/>
      <c r="M161" s="4"/>
    </row>
    <row r="162" spans="1:13" s="34" customFormat="1">
      <c r="A162" s="4"/>
      <c r="B162" s="23"/>
      <c r="C162" s="23"/>
      <c r="D162" s="23"/>
      <c r="E162" s="4"/>
      <c r="F162" s="4"/>
      <c r="G162" s="4"/>
      <c r="H162" s="4"/>
      <c r="I162" s="4"/>
      <c r="J162" s="4"/>
      <c r="K162" s="4"/>
      <c r="L162" s="4"/>
      <c r="M162" s="4"/>
    </row>
    <row r="163" spans="1:13" s="34" customFormat="1">
      <c r="A163" s="4"/>
      <c r="B163" s="23"/>
      <c r="C163" s="23"/>
      <c r="D163" s="23"/>
      <c r="E163" s="4"/>
      <c r="F163" s="4"/>
      <c r="G163" s="4"/>
      <c r="H163" s="4"/>
      <c r="I163" s="4"/>
      <c r="J163" s="4"/>
      <c r="K163" s="4"/>
      <c r="L163" s="4"/>
      <c r="M163" s="4"/>
    </row>
    <row r="164" spans="1:13" s="34" customFormat="1">
      <c r="A164" s="4"/>
      <c r="B164" s="23"/>
      <c r="C164" s="23"/>
      <c r="D164" s="23"/>
      <c r="E164" s="4"/>
      <c r="F164" s="4"/>
      <c r="G164" s="4"/>
      <c r="H164" s="4"/>
      <c r="I164" s="4"/>
      <c r="J164" s="4"/>
      <c r="K164" s="4"/>
      <c r="L164" s="4"/>
      <c r="M164" s="4"/>
    </row>
    <row r="165" spans="1:13" s="34" customFormat="1">
      <c r="A165" s="4"/>
      <c r="B165" s="23"/>
      <c r="C165" s="23"/>
      <c r="D165" s="23"/>
      <c r="E165" s="4"/>
      <c r="F165" s="4"/>
      <c r="G165" s="4"/>
      <c r="H165" s="4"/>
      <c r="I165" s="4"/>
      <c r="J165" s="4"/>
      <c r="K165" s="4"/>
      <c r="L165" s="4"/>
      <c r="M165" s="4"/>
    </row>
    <row r="166" spans="1:13" s="34" customFormat="1">
      <c r="A166" s="4"/>
      <c r="B166" s="23"/>
      <c r="C166" s="23"/>
      <c r="D166" s="23"/>
      <c r="E166" s="4"/>
      <c r="F166" s="4"/>
      <c r="G166" s="4"/>
      <c r="H166" s="4"/>
      <c r="I166" s="4"/>
      <c r="J166" s="4"/>
      <c r="K166" s="4"/>
      <c r="L166" s="4"/>
      <c r="M166" s="4"/>
    </row>
    <row r="167" spans="1:13" s="34" customFormat="1">
      <c r="A167" s="4"/>
      <c r="B167" s="23"/>
      <c r="C167" s="23"/>
      <c r="D167" s="23"/>
      <c r="E167" s="4"/>
      <c r="F167" s="4"/>
      <c r="G167" s="4"/>
      <c r="H167" s="4"/>
      <c r="I167" s="4"/>
      <c r="J167" s="4"/>
      <c r="K167" s="4"/>
      <c r="L167" s="4"/>
      <c r="M167" s="4"/>
    </row>
    <row r="168" spans="1:13" s="34" customFormat="1">
      <c r="A168" s="4"/>
      <c r="B168" s="23"/>
      <c r="C168" s="23"/>
      <c r="D168" s="23"/>
      <c r="E168" s="4"/>
      <c r="F168" s="4"/>
      <c r="G168" s="4"/>
      <c r="H168" s="4"/>
      <c r="I168" s="4"/>
      <c r="J168" s="4"/>
      <c r="K168" s="4"/>
      <c r="L168" s="4"/>
      <c r="M168" s="4"/>
    </row>
    <row r="169" spans="1:13" s="34" customFormat="1">
      <c r="A169" s="4"/>
      <c r="B169" s="23"/>
      <c r="C169" s="23"/>
      <c r="D169" s="23"/>
      <c r="E169" s="4"/>
      <c r="F169" s="4"/>
      <c r="G169" s="4"/>
      <c r="H169" s="4"/>
      <c r="I169" s="4"/>
      <c r="J169" s="4"/>
      <c r="K169" s="4"/>
      <c r="L169" s="4"/>
      <c r="M169" s="4"/>
    </row>
    <row r="170" spans="1:13" s="34" customFormat="1">
      <c r="A170" s="4"/>
      <c r="B170" s="23"/>
      <c r="C170" s="23"/>
      <c r="D170" s="23"/>
      <c r="E170" s="4"/>
      <c r="F170" s="4"/>
      <c r="G170" s="4"/>
      <c r="H170" s="4"/>
      <c r="I170" s="4"/>
      <c r="J170" s="4"/>
      <c r="K170" s="4"/>
      <c r="L170" s="4"/>
      <c r="M170" s="4"/>
    </row>
    <row r="171" spans="1:13" s="34" customFormat="1">
      <c r="A171" s="4"/>
      <c r="B171" s="23"/>
      <c r="C171" s="23"/>
      <c r="D171" s="23"/>
      <c r="E171" s="4"/>
      <c r="F171" s="4"/>
      <c r="G171" s="4"/>
      <c r="H171" s="4"/>
      <c r="I171" s="4"/>
      <c r="J171" s="4"/>
      <c r="K171" s="4"/>
      <c r="L171" s="4"/>
      <c r="M171" s="4"/>
    </row>
    <row r="172" spans="1:13" s="34" customFormat="1">
      <c r="A172" s="4"/>
      <c r="B172" s="23"/>
      <c r="C172" s="23"/>
      <c r="D172" s="23"/>
      <c r="E172" s="4"/>
      <c r="F172" s="4"/>
      <c r="G172" s="4"/>
      <c r="H172" s="4"/>
      <c r="I172" s="4"/>
      <c r="J172" s="4"/>
      <c r="K172" s="4"/>
      <c r="L172" s="4"/>
      <c r="M172" s="4"/>
    </row>
    <row r="173" spans="1:13" s="34" customFormat="1">
      <c r="A173" s="4"/>
      <c r="B173" s="23"/>
      <c r="C173" s="23"/>
      <c r="D173" s="23"/>
      <c r="E173" s="4"/>
      <c r="F173" s="4"/>
      <c r="G173" s="4"/>
      <c r="H173" s="4"/>
      <c r="I173" s="4"/>
      <c r="J173" s="4"/>
      <c r="K173" s="4"/>
      <c r="L173" s="4"/>
      <c r="M173" s="4"/>
    </row>
    <row r="174" spans="1:13" s="34" customFormat="1">
      <c r="A174" s="4"/>
      <c r="B174" s="23"/>
      <c r="C174" s="23"/>
      <c r="D174" s="23"/>
      <c r="E174" s="4"/>
      <c r="F174" s="4"/>
      <c r="G174" s="4"/>
      <c r="H174" s="4"/>
      <c r="I174" s="4"/>
      <c r="J174" s="4"/>
      <c r="K174" s="4"/>
      <c r="L174" s="4"/>
      <c r="M174" s="4"/>
    </row>
    <row r="175" spans="1:13" s="34" customFormat="1">
      <c r="A175" s="4"/>
      <c r="B175" s="23"/>
      <c r="C175" s="23"/>
      <c r="D175" s="23"/>
      <c r="E175" s="4"/>
      <c r="F175" s="4"/>
      <c r="G175" s="4"/>
      <c r="H175" s="4"/>
      <c r="I175" s="4"/>
      <c r="J175" s="4"/>
      <c r="K175" s="4"/>
      <c r="L175" s="4"/>
      <c r="M175" s="4"/>
    </row>
    <row r="176" spans="1:13" s="34" customFormat="1">
      <c r="A176" s="4"/>
      <c r="B176" s="23"/>
      <c r="C176" s="23"/>
      <c r="D176" s="23"/>
      <c r="E176" s="4"/>
      <c r="F176" s="4"/>
      <c r="G176" s="4"/>
      <c r="H176" s="4"/>
      <c r="I176" s="4"/>
      <c r="J176" s="4"/>
      <c r="K176" s="4"/>
      <c r="L176" s="4"/>
      <c r="M176" s="4"/>
    </row>
    <row r="177" spans="1:13" s="34" customFormat="1">
      <c r="A177" s="4"/>
      <c r="B177" s="23"/>
      <c r="C177" s="23"/>
      <c r="D177" s="23"/>
      <c r="E177" s="4"/>
      <c r="F177" s="4"/>
      <c r="G177" s="4"/>
      <c r="H177" s="4"/>
      <c r="I177" s="4"/>
      <c r="J177" s="4"/>
      <c r="K177" s="4"/>
      <c r="L177" s="4"/>
      <c r="M177" s="4"/>
    </row>
    <row r="178" spans="1:13" s="34" customFormat="1">
      <c r="A178" s="4"/>
      <c r="B178" s="23"/>
      <c r="C178" s="23"/>
      <c r="D178" s="23"/>
      <c r="E178" s="4"/>
      <c r="F178" s="4"/>
      <c r="G178" s="4"/>
      <c r="H178" s="4"/>
      <c r="I178" s="4"/>
      <c r="J178" s="4"/>
      <c r="K178" s="4"/>
      <c r="L178" s="4"/>
      <c r="M178" s="4"/>
    </row>
    <row r="179" spans="1:13" s="34" customFormat="1">
      <c r="A179" s="4"/>
      <c r="B179" s="23"/>
      <c r="C179" s="23"/>
      <c r="D179" s="23"/>
      <c r="E179" s="4"/>
      <c r="F179" s="4"/>
      <c r="G179" s="4"/>
      <c r="H179" s="4"/>
      <c r="I179" s="4"/>
      <c r="J179" s="4"/>
      <c r="K179" s="4"/>
      <c r="L179" s="4"/>
      <c r="M179" s="4"/>
    </row>
    <row r="180" spans="1:13" s="34" customFormat="1">
      <c r="A180" s="4"/>
      <c r="B180" s="23"/>
      <c r="C180" s="23"/>
      <c r="D180" s="23"/>
      <c r="E180" s="4"/>
      <c r="F180" s="4"/>
      <c r="G180" s="4"/>
      <c r="H180" s="4"/>
      <c r="I180" s="4"/>
      <c r="J180" s="4"/>
      <c r="K180" s="4"/>
      <c r="L180" s="4"/>
      <c r="M180" s="4"/>
    </row>
    <row r="181" spans="1:13" s="34" customFormat="1">
      <c r="A181" s="4"/>
      <c r="B181" s="23"/>
      <c r="C181" s="23"/>
      <c r="D181" s="23"/>
      <c r="E181" s="4"/>
      <c r="F181" s="4"/>
      <c r="G181" s="4"/>
      <c r="H181" s="4"/>
      <c r="I181" s="4"/>
      <c r="J181" s="4"/>
      <c r="K181" s="4"/>
      <c r="L181" s="4"/>
      <c r="M181" s="4"/>
    </row>
    <row r="182" spans="1:13" s="34" customFormat="1">
      <c r="A182" s="4"/>
      <c r="B182" s="23"/>
      <c r="C182" s="23"/>
      <c r="D182" s="23"/>
      <c r="E182" s="4"/>
      <c r="F182" s="4"/>
      <c r="G182" s="4"/>
      <c r="H182" s="4"/>
      <c r="I182" s="4"/>
      <c r="J182" s="4"/>
      <c r="K182" s="4"/>
      <c r="L182" s="4"/>
      <c r="M182" s="4"/>
    </row>
    <row r="183" spans="1:13" s="34" customFormat="1">
      <c r="A183" s="4"/>
      <c r="B183" s="23"/>
      <c r="C183" s="23"/>
      <c r="D183" s="23"/>
      <c r="E183" s="4"/>
      <c r="F183" s="4"/>
      <c r="G183" s="4"/>
      <c r="H183" s="4"/>
      <c r="I183" s="4"/>
      <c r="J183" s="4"/>
      <c r="K183" s="4"/>
      <c r="L183" s="4"/>
      <c r="M183" s="4"/>
    </row>
    <row r="184" spans="1:13" s="34" customFormat="1">
      <c r="A184" s="4"/>
      <c r="B184" s="23"/>
      <c r="C184" s="23"/>
      <c r="D184" s="23"/>
      <c r="E184" s="4"/>
      <c r="F184" s="4"/>
      <c r="G184" s="4"/>
      <c r="H184" s="4"/>
      <c r="I184" s="4"/>
      <c r="J184" s="4"/>
      <c r="K184" s="4"/>
      <c r="L184" s="4"/>
      <c r="M184" s="4"/>
    </row>
    <row r="185" spans="1:13" s="34" customFormat="1">
      <c r="A185" s="4"/>
      <c r="B185" s="23"/>
      <c r="C185" s="23"/>
      <c r="D185" s="23"/>
      <c r="E185" s="4"/>
      <c r="F185" s="4"/>
      <c r="G185" s="4"/>
      <c r="H185" s="4"/>
      <c r="I185" s="4"/>
      <c r="J185" s="4"/>
      <c r="K185" s="4"/>
      <c r="L185" s="4"/>
      <c r="M185" s="4"/>
    </row>
    <row r="186" spans="1:13" s="34" customFormat="1">
      <c r="A186" s="4"/>
      <c r="B186" s="23"/>
      <c r="C186" s="23"/>
      <c r="D186" s="23"/>
      <c r="E186" s="4"/>
      <c r="F186" s="4"/>
      <c r="G186" s="4"/>
      <c r="H186" s="4"/>
      <c r="I186" s="4"/>
      <c r="J186" s="4"/>
      <c r="K186" s="4"/>
      <c r="L186" s="4"/>
      <c r="M186" s="4"/>
    </row>
    <row r="187" spans="1:13" s="34" customFormat="1">
      <c r="A187" s="4"/>
      <c r="B187" s="23"/>
      <c r="C187" s="23"/>
      <c r="D187" s="23"/>
      <c r="E187" s="4"/>
      <c r="F187" s="4"/>
      <c r="G187" s="4"/>
      <c r="H187" s="4"/>
      <c r="I187" s="4"/>
      <c r="J187" s="4"/>
      <c r="K187" s="4"/>
      <c r="L187" s="4"/>
      <c r="M187" s="4"/>
    </row>
    <row r="188" spans="1:13" s="34" customFormat="1">
      <c r="A188" s="4"/>
      <c r="B188" s="23"/>
      <c r="C188" s="23"/>
      <c r="D188" s="23"/>
      <c r="E188" s="4"/>
      <c r="F188" s="4"/>
      <c r="G188" s="4"/>
      <c r="H188" s="4"/>
      <c r="I188" s="4"/>
      <c r="J188" s="4"/>
      <c r="K188" s="4"/>
      <c r="L188" s="4"/>
      <c r="M188" s="4"/>
    </row>
    <row r="189" spans="1:13" s="34" customFormat="1">
      <c r="A189" s="4"/>
      <c r="B189" s="23"/>
      <c r="C189" s="23"/>
      <c r="D189" s="23"/>
      <c r="E189" s="4"/>
      <c r="F189" s="4"/>
      <c r="G189" s="4"/>
      <c r="H189" s="4"/>
      <c r="I189" s="4"/>
      <c r="J189" s="4"/>
      <c r="K189" s="4"/>
      <c r="L189" s="4"/>
      <c r="M189" s="4"/>
    </row>
    <row r="190" spans="1:13" s="34" customFormat="1">
      <c r="A190" s="4"/>
      <c r="B190" s="23"/>
      <c r="C190" s="23"/>
      <c r="D190" s="23"/>
      <c r="E190" s="4"/>
      <c r="F190" s="4"/>
      <c r="G190" s="4"/>
      <c r="H190" s="4"/>
      <c r="I190" s="4"/>
      <c r="J190" s="4"/>
      <c r="K190" s="4"/>
      <c r="L190" s="4"/>
      <c r="M190" s="4"/>
    </row>
    <row r="191" spans="1:13" s="34" customFormat="1">
      <c r="A191" s="4"/>
      <c r="B191" s="23"/>
      <c r="C191" s="23"/>
      <c r="D191" s="23"/>
      <c r="E191" s="4"/>
      <c r="F191" s="4"/>
      <c r="G191" s="4"/>
      <c r="H191" s="4"/>
      <c r="I191" s="4"/>
      <c r="J191" s="4"/>
      <c r="K191" s="4"/>
      <c r="L191" s="4"/>
      <c r="M191" s="4"/>
    </row>
    <row r="192" spans="1:13" s="34" customFormat="1">
      <c r="A192" s="4"/>
      <c r="B192" s="23"/>
      <c r="C192" s="23"/>
      <c r="D192" s="23"/>
      <c r="E192" s="4"/>
      <c r="F192" s="4"/>
      <c r="G192" s="4"/>
      <c r="H192" s="4"/>
      <c r="I192" s="4"/>
      <c r="J192" s="4"/>
      <c r="K192" s="4"/>
      <c r="L192" s="4"/>
      <c r="M192" s="4"/>
    </row>
    <row r="193" spans="1:13" s="34" customFormat="1">
      <c r="A193" s="4"/>
      <c r="B193" s="23"/>
      <c r="C193" s="23"/>
      <c r="D193" s="23"/>
      <c r="E193" s="4"/>
      <c r="F193" s="4"/>
      <c r="G193" s="4"/>
      <c r="H193" s="4"/>
      <c r="I193" s="4"/>
      <c r="J193" s="4"/>
      <c r="K193" s="4"/>
      <c r="L193" s="4"/>
      <c r="M193" s="4"/>
    </row>
    <row r="194" spans="1:13" s="34" customFormat="1">
      <c r="A194" s="4"/>
      <c r="B194" s="23"/>
      <c r="C194" s="23"/>
      <c r="D194" s="23"/>
      <c r="E194" s="4"/>
      <c r="F194" s="4"/>
      <c r="G194" s="4"/>
      <c r="H194" s="4"/>
      <c r="I194" s="4"/>
      <c r="J194" s="4"/>
      <c r="K194" s="4"/>
      <c r="L194" s="4"/>
      <c r="M194" s="4"/>
    </row>
    <row r="195" spans="1:13" s="34" customFormat="1">
      <c r="A195" s="4"/>
      <c r="B195" s="23"/>
      <c r="C195" s="23"/>
      <c r="D195" s="23"/>
      <c r="E195" s="4"/>
      <c r="F195" s="4"/>
      <c r="G195" s="4"/>
      <c r="H195" s="4"/>
      <c r="I195" s="4"/>
      <c r="J195" s="4"/>
      <c r="K195" s="4"/>
      <c r="L195" s="4"/>
      <c r="M195" s="4"/>
    </row>
    <row r="196" spans="1:13" s="34" customFormat="1">
      <c r="A196" s="4"/>
      <c r="B196" s="23"/>
      <c r="C196" s="23"/>
      <c r="D196" s="23"/>
      <c r="E196" s="4"/>
      <c r="F196" s="4"/>
      <c r="G196" s="4"/>
      <c r="H196" s="4"/>
      <c r="I196" s="4"/>
      <c r="J196" s="4"/>
      <c r="K196" s="4"/>
      <c r="L196" s="4"/>
      <c r="M196" s="4"/>
    </row>
    <row r="197" spans="1:13" s="34" customFormat="1">
      <c r="A197" s="4"/>
      <c r="B197" s="4"/>
      <c r="C197" s="4"/>
      <c r="D197" s="4"/>
      <c r="E197" s="4"/>
      <c r="F197" s="4"/>
      <c r="G197" s="4"/>
      <c r="H197" s="4"/>
      <c r="I197" s="4"/>
      <c r="J197" s="4"/>
      <c r="K197" s="4"/>
      <c r="L197" s="4"/>
      <c r="M197" s="4"/>
    </row>
    <row r="198" spans="1:13" s="34" customFormat="1">
      <c r="A198" s="4"/>
      <c r="B198" s="4"/>
      <c r="C198" s="4"/>
      <c r="D198" s="4"/>
      <c r="E198" s="4"/>
      <c r="F198" s="4"/>
      <c r="G198" s="4"/>
      <c r="H198" s="4"/>
      <c r="I198" s="4"/>
      <c r="J198" s="4"/>
      <c r="K198" s="4"/>
      <c r="L198" s="4"/>
      <c r="M198" s="4"/>
    </row>
    <row r="199" spans="1:13" s="34" customFormat="1">
      <c r="A199" s="4"/>
      <c r="B199" s="4"/>
      <c r="C199" s="4"/>
      <c r="D199" s="4"/>
      <c r="E199" s="4"/>
      <c r="F199" s="4"/>
      <c r="G199" s="4"/>
      <c r="H199" s="4"/>
      <c r="I199" s="4"/>
      <c r="J199" s="4"/>
      <c r="K199" s="4"/>
      <c r="L199" s="4"/>
      <c r="M199" s="4"/>
    </row>
    <row r="200" spans="1:13" s="34" customFormat="1">
      <c r="A200" s="4"/>
      <c r="B200" s="4"/>
      <c r="C200" s="4"/>
      <c r="D200" s="4"/>
      <c r="E200" s="4"/>
      <c r="F200" s="4"/>
      <c r="G200" s="4"/>
      <c r="H200" s="4"/>
      <c r="I200" s="4"/>
      <c r="J200" s="4"/>
      <c r="K200" s="4"/>
      <c r="L200" s="4"/>
      <c r="M200" s="4"/>
    </row>
    <row r="201" spans="1:13" s="34" customFormat="1">
      <c r="A201" s="4"/>
      <c r="B201" s="4"/>
      <c r="C201" s="4"/>
      <c r="D201" s="4"/>
      <c r="E201" s="4"/>
      <c r="F201" s="4"/>
      <c r="G201" s="4"/>
      <c r="H201" s="4"/>
      <c r="I201" s="4"/>
      <c r="J201" s="4"/>
      <c r="K201" s="4"/>
      <c r="L201" s="4"/>
      <c r="M201" s="4"/>
    </row>
    <row r="202" spans="1:13" s="34" customFormat="1">
      <c r="A202" s="4"/>
      <c r="B202" s="4"/>
      <c r="C202" s="4"/>
      <c r="D202" s="4"/>
      <c r="E202" s="4"/>
      <c r="F202" s="4"/>
      <c r="G202" s="4"/>
      <c r="H202" s="4"/>
      <c r="I202" s="4"/>
      <c r="J202" s="4"/>
      <c r="K202" s="4"/>
      <c r="L202" s="4"/>
      <c r="M202" s="4"/>
    </row>
    <row r="203" spans="1:13" s="34" customFormat="1">
      <c r="A203" s="4"/>
      <c r="B203" s="4"/>
      <c r="C203" s="4"/>
      <c r="D203" s="4"/>
      <c r="E203" s="4"/>
      <c r="F203" s="4"/>
      <c r="G203" s="4"/>
      <c r="H203" s="4"/>
      <c r="I203" s="4"/>
      <c r="J203" s="4"/>
      <c r="K203" s="4"/>
      <c r="L203" s="4"/>
      <c r="M203" s="4"/>
    </row>
    <row r="204" spans="1:13" s="34" customFormat="1">
      <c r="A204" s="4"/>
      <c r="B204" s="4"/>
      <c r="C204" s="4"/>
      <c r="D204" s="4"/>
      <c r="E204" s="4"/>
      <c r="F204" s="4"/>
      <c r="G204" s="4"/>
      <c r="H204" s="4"/>
      <c r="I204" s="4"/>
      <c r="J204" s="4"/>
      <c r="K204" s="4"/>
      <c r="L204" s="4"/>
      <c r="M204" s="4"/>
    </row>
    <row r="205" spans="1:13" s="34" customFormat="1">
      <c r="A205" s="4"/>
      <c r="B205" s="4"/>
      <c r="C205" s="4"/>
      <c r="D205" s="4"/>
      <c r="E205" s="4"/>
      <c r="F205" s="4"/>
      <c r="G205" s="4"/>
      <c r="H205" s="4"/>
      <c r="I205" s="4"/>
      <c r="J205" s="4"/>
      <c r="K205" s="4"/>
      <c r="L205" s="4"/>
      <c r="M205" s="4"/>
    </row>
    <row r="206" spans="1:13" s="34" customFormat="1">
      <c r="A206" s="4"/>
      <c r="B206" s="4"/>
      <c r="C206" s="4"/>
      <c r="D206" s="4"/>
      <c r="E206" s="4"/>
      <c r="F206" s="4"/>
      <c r="G206" s="4"/>
      <c r="H206" s="4"/>
      <c r="I206" s="4"/>
      <c r="J206" s="4"/>
      <c r="K206" s="4"/>
      <c r="L206" s="4"/>
      <c r="M206" s="4"/>
    </row>
    <row r="207" spans="1:13" s="34" customFormat="1">
      <c r="A207" s="4"/>
      <c r="B207" s="4"/>
      <c r="C207" s="4"/>
      <c r="D207" s="4"/>
      <c r="E207" s="4"/>
      <c r="F207" s="4"/>
      <c r="G207" s="4"/>
      <c r="H207" s="4"/>
      <c r="I207" s="4"/>
      <c r="J207" s="4"/>
      <c r="K207" s="4"/>
      <c r="L207" s="4"/>
      <c r="M207" s="4"/>
    </row>
    <row r="208" spans="1:13" s="34" customFormat="1">
      <c r="A208" s="4"/>
      <c r="B208" s="4"/>
      <c r="C208" s="4"/>
      <c r="D208" s="4"/>
      <c r="E208" s="4"/>
      <c r="F208" s="4"/>
      <c r="G208" s="4"/>
      <c r="H208" s="4"/>
      <c r="I208" s="4"/>
      <c r="J208" s="4"/>
      <c r="K208" s="4"/>
      <c r="L208" s="4"/>
      <c r="M208" s="4"/>
    </row>
    <row r="209" spans="1:13" s="34" customFormat="1">
      <c r="A209" s="4"/>
      <c r="B209" s="4"/>
      <c r="C209" s="4"/>
      <c r="D209" s="4"/>
      <c r="E209" s="4"/>
      <c r="F209" s="4"/>
      <c r="G209" s="4"/>
      <c r="H209" s="4"/>
      <c r="I209" s="4"/>
      <c r="J209" s="4"/>
      <c r="K209" s="4"/>
      <c r="L209" s="4"/>
      <c r="M209" s="4"/>
    </row>
    <row r="210" spans="1:13" s="34" customFormat="1">
      <c r="A210" s="4"/>
      <c r="B210" s="4"/>
      <c r="C210" s="4"/>
      <c r="D210" s="4"/>
      <c r="E210" s="4"/>
      <c r="F210" s="4"/>
      <c r="G210" s="4"/>
      <c r="H210" s="4"/>
      <c r="I210" s="4"/>
      <c r="J210" s="4"/>
      <c r="K210" s="4"/>
      <c r="L210" s="4"/>
      <c r="M210" s="4"/>
    </row>
    <row r="211" spans="1:13" s="34" customFormat="1">
      <c r="A211" s="4"/>
      <c r="B211" s="4"/>
      <c r="C211" s="4"/>
      <c r="D211" s="4"/>
      <c r="E211" s="4"/>
      <c r="F211" s="4"/>
      <c r="G211" s="4"/>
      <c r="H211" s="4"/>
      <c r="I211" s="4"/>
      <c r="J211" s="4"/>
      <c r="K211" s="4"/>
      <c r="L211" s="4"/>
      <c r="M211" s="4"/>
    </row>
    <row r="212" spans="1:13" s="34" customFormat="1">
      <c r="A212" s="4"/>
      <c r="B212" s="4"/>
      <c r="C212" s="4"/>
      <c r="D212" s="4"/>
      <c r="E212" s="4"/>
      <c r="F212" s="4"/>
      <c r="G212" s="4"/>
      <c r="H212" s="4"/>
      <c r="I212" s="4"/>
      <c r="J212" s="4"/>
      <c r="K212" s="4"/>
      <c r="L212" s="4"/>
      <c r="M212" s="4"/>
    </row>
    <row r="213" spans="1:13" s="34" customFormat="1">
      <c r="A213" s="4"/>
      <c r="B213" s="4"/>
      <c r="C213" s="4"/>
      <c r="D213" s="4"/>
      <c r="E213" s="4"/>
      <c r="F213" s="4"/>
      <c r="G213" s="4"/>
      <c r="H213" s="4"/>
      <c r="I213" s="4"/>
      <c r="J213" s="4"/>
      <c r="K213" s="4"/>
      <c r="L213" s="4"/>
      <c r="M213" s="4"/>
    </row>
    <row r="214" spans="1:13" s="34" customFormat="1">
      <c r="A214" s="4"/>
      <c r="B214" s="4"/>
      <c r="C214" s="4"/>
      <c r="D214" s="4"/>
      <c r="E214" s="4"/>
      <c r="F214" s="4"/>
      <c r="G214" s="4"/>
      <c r="H214" s="4"/>
      <c r="I214" s="4"/>
      <c r="J214" s="4"/>
      <c r="K214" s="4"/>
      <c r="L214" s="4"/>
      <c r="M214" s="4"/>
    </row>
    <row r="215" spans="1:13" s="34" customFormat="1">
      <c r="A215" s="4"/>
      <c r="B215" s="4"/>
      <c r="C215" s="4"/>
      <c r="D215" s="4"/>
      <c r="E215" s="4"/>
      <c r="F215" s="4"/>
      <c r="G215" s="4"/>
      <c r="H215" s="4"/>
      <c r="I215" s="4"/>
      <c r="J215" s="4"/>
      <c r="K215" s="4"/>
      <c r="L215" s="4"/>
      <c r="M215" s="4"/>
    </row>
    <row r="216" spans="1:13" s="34" customFormat="1">
      <c r="A216" s="4"/>
      <c r="B216" s="4"/>
      <c r="C216" s="4"/>
      <c r="D216" s="4"/>
      <c r="E216" s="4"/>
      <c r="F216" s="4"/>
      <c r="G216" s="4"/>
      <c r="H216" s="4"/>
      <c r="I216" s="4"/>
      <c r="J216" s="4"/>
      <c r="K216" s="4"/>
      <c r="L216" s="4"/>
      <c r="M216" s="4"/>
    </row>
    <row r="217" spans="1:13" s="34" customFormat="1">
      <c r="A217" s="4"/>
      <c r="B217" s="4"/>
      <c r="C217" s="4"/>
      <c r="D217" s="4"/>
      <c r="E217" s="4"/>
      <c r="F217" s="4"/>
      <c r="G217" s="4"/>
      <c r="H217" s="4"/>
      <c r="I217" s="4"/>
      <c r="J217" s="4"/>
      <c r="K217" s="4"/>
      <c r="L217" s="4"/>
      <c r="M217" s="4"/>
    </row>
    <row r="218" spans="1:13" s="34" customFormat="1">
      <c r="A218" s="4"/>
      <c r="B218" s="4"/>
      <c r="C218" s="4"/>
      <c r="D218" s="4"/>
      <c r="E218" s="4"/>
      <c r="F218" s="4"/>
      <c r="G218" s="4"/>
      <c r="H218" s="4"/>
      <c r="I218" s="4"/>
      <c r="J218" s="4"/>
      <c r="K218" s="4"/>
      <c r="L218" s="4"/>
      <c r="M218" s="4"/>
    </row>
    <row r="219" spans="1:13" s="34" customFormat="1">
      <c r="A219" s="4"/>
      <c r="B219" s="4"/>
      <c r="C219" s="4"/>
      <c r="D219" s="4"/>
      <c r="E219" s="4"/>
      <c r="F219" s="4"/>
      <c r="G219" s="4"/>
      <c r="H219" s="4"/>
      <c r="I219" s="4"/>
      <c r="J219" s="4"/>
      <c r="K219" s="4"/>
      <c r="L219" s="4"/>
      <c r="M219" s="4"/>
    </row>
    <row r="220" spans="1:13" s="34" customFormat="1">
      <c r="A220" s="4"/>
      <c r="B220" s="4"/>
      <c r="C220" s="4"/>
      <c r="D220" s="4"/>
      <c r="E220" s="4"/>
      <c r="F220" s="4"/>
      <c r="G220" s="4"/>
      <c r="H220" s="4"/>
      <c r="I220" s="4"/>
      <c r="J220" s="4"/>
      <c r="K220" s="4"/>
      <c r="L220" s="4"/>
      <c r="M220" s="4"/>
    </row>
    <row r="221" spans="1:13" s="34" customFormat="1">
      <c r="A221" s="4"/>
      <c r="B221" s="4"/>
      <c r="C221" s="4"/>
      <c r="D221" s="4"/>
      <c r="E221" s="4"/>
      <c r="F221" s="4"/>
      <c r="G221" s="4"/>
      <c r="H221" s="4"/>
      <c r="I221" s="4"/>
      <c r="J221" s="4"/>
      <c r="K221" s="4"/>
      <c r="L221" s="4"/>
      <c r="M221" s="4"/>
    </row>
    <row r="222" spans="1:13" s="34" customFormat="1">
      <c r="A222" s="4"/>
      <c r="B222" s="4"/>
      <c r="C222" s="4"/>
      <c r="D222" s="4"/>
      <c r="E222" s="4"/>
      <c r="F222" s="4"/>
      <c r="G222" s="4"/>
      <c r="H222" s="4"/>
      <c r="I222" s="4"/>
      <c r="J222" s="4"/>
      <c r="K222" s="4"/>
      <c r="L222" s="4"/>
      <c r="M222" s="4"/>
    </row>
    <row r="223" spans="1:13" s="34" customFormat="1">
      <c r="A223" s="4"/>
      <c r="B223" s="4"/>
      <c r="C223" s="4"/>
      <c r="D223" s="4"/>
      <c r="E223" s="4"/>
      <c r="F223" s="4"/>
      <c r="G223" s="4"/>
      <c r="H223" s="4"/>
      <c r="I223" s="4"/>
      <c r="J223" s="4"/>
      <c r="K223" s="4"/>
      <c r="L223" s="4"/>
      <c r="M223" s="4"/>
    </row>
    <row r="224" spans="1:13" s="34" customFormat="1">
      <c r="A224" s="4"/>
      <c r="B224" s="4"/>
      <c r="C224" s="4"/>
      <c r="D224" s="4"/>
      <c r="E224" s="4"/>
      <c r="F224" s="4"/>
      <c r="G224" s="4"/>
      <c r="H224" s="4"/>
      <c r="I224" s="4"/>
      <c r="J224" s="4"/>
      <c r="K224" s="4"/>
      <c r="L224" s="4"/>
      <c r="M224" s="4"/>
    </row>
    <row r="225" spans="1:13" s="34" customFormat="1">
      <c r="A225" s="4"/>
      <c r="B225" s="4"/>
      <c r="C225" s="4"/>
      <c r="D225" s="4"/>
      <c r="E225" s="4"/>
      <c r="F225" s="4"/>
      <c r="G225" s="4"/>
      <c r="H225" s="4"/>
      <c r="I225" s="4"/>
      <c r="J225" s="4"/>
      <c r="K225" s="4"/>
      <c r="L225" s="4"/>
      <c r="M225" s="4"/>
    </row>
    <row r="226" spans="1:13" s="34" customFormat="1">
      <c r="A226" s="4"/>
      <c r="B226" s="4"/>
      <c r="C226" s="4"/>
      <c r="D226" s="4"/>
      <c r="E226" s="4"/>
      <c r="F226" s="4"/>
      <c r="G226" s="4"/>
      <c r="H226" s="4"/>
      <c r="I226" s="4"/>
      <c r="J226" s="4"/>
      <c r="K226" s="4"/>
      <c r="L226" s="4"/>
      <c r="M226" s="4"/>
    </row>
    <row r="227" spans="1:13" s="34" customFormat="1">
      <c r="A227" s="4"/>
      <c r="B227" s="4"/>
      <c r="C227" s="4"/>
      <c r="D227" s="4"/>
      <c r="E227" s="4"/>
      <c r="F227" s="4"/>
      <c r="G227" s="4"/>
      <c r="H227" s="4"/>
      <c r="I227" s="4"/>
      <c r="J227" s="4"/>
      <c r="K227" s="4"/>
      <c r="L227" s="4"/>
      <c r="M227" s="4"/>
    </row>
    <row r="228" spans="1:13" s="34" customFormat="1">
      <c r="A228" s="4"/>
      <c r="B228" s="4"/>
      <c r="C228" s="4"/>
      <c r="D228" s="4"/>
      <c r="E228" s="4"/>
      <c r="F228" s="4"/>
      <c r="G228" s="4"/>
      <c r="H228" s="4"/>
      <c r="I228" s="4"/>
      <c r="J228" s="4"/>
      <c r="K228" s="4"/>
      <c r="L228" s="4"/>
      <c r="M228" s="4"/>
    </row>
    <row r="229" spans="1:13" s="34" customFormat="1">
      <c r="A229" s="4"/>
      <c r="B229" s="4"/>
      <c r="C229" s="4"/>
      <c r="D229" s="4"/>
      <c r="E229" s="4"/>
      <c r="F229" s="4"/>
      <c r="G229" s="4"/>
      <c r="H229" s="4"/>
      <c r="I229" s="4"/>
      <c r="J229" s="4"/>
      <c r="K229" s="4"/>
      <c r="L229" s="4"/>
      <c r="M229" s="4"/>
    </row>
    <row r="230" spans="1:13" s="34" customFormat="1">
      <c r="A230" s="4"/>
      <c r="B230" s="4"/>
      <c r="C230" s="4"/>
      <c r="D230" s="4"/>
      <c r="E230" s="4"/>
      <c r="F230" s="4"/>
      <c r="G230" s="4"/>
      <c r="H230" s="4"/>
      <c r="I230" s="4"/>
      <c r="J230" s="4"/>
      <c r="K230" s="4"/>
      <c r="L230" s="4"/>
      <c r="M230" s="4"/>
    </row>
    <row r="231" spans="1:13" s="34" customFormat="1">
      <c r="A231" s="4"/>
      <c r="B231" s="4"/>
      <c r="C231" s="4"/>
      <c r="D231" s="4"/>
      <c r="E231" s="4"/>
      <c r="F231" s="4"/>
      <c r="G231" s="4"/>
      <c r="H231" s="4"/>
      <c r="I231" s="4"/>
      <c r="J231" s="4"/>
      <c r="K231" s="4"/>
      <c r="L231" s="4"/>
      <c r="M231" s="4"/>
    </row>
    <row r="232" spans="1:13" s="34" customFormat="1">
      <c r="A232" s="4"/>
      <c r="B232" s="4"/>
      <c r="C232" s="4"/>
      <c r="D232" s="4"/>
      <c r="E232" s="4"/>
      <c r="F232" s="4"/>
      <c r="G232" s="4"/>
      <c r="H232" s="4"/>
      <c r="I232" s="4"/>
      <c r="J232" s="4"/>
      <c r="K232" s="4"/>
      <c r="L232" s="4"/>
      <c r="M232" s="4"/>
    </row>
    <row r="233" spans="1:13" s="34" customFormat="1">
      <c r="A233" s="4"/>
      <c r="B233" s="4"/>
      <c r="C233" s="4"/>
      <c r="D233" s="4"/>
      <c r="E233" s="4"/>
      <c r="F233" s="4"/>
      <c r="G233" s="4"/>
      <c r="H233" s="4"/>
      <c r="I233" s="4"/>
      <c r="J233" s="4"/>
      <c r="K233" s="4"/>
      <c r="L233" s="4"/>
      <c r="M233" s="4"/>
    </row>
    <row r="234" spans="1:13" s="34" customFormat="1">
      <c r="A234" s="4"/>
      <c r="B234" s="4"/>
      <c r="C234" s="4"/>
      <c r="D234" s="4"/>
      <c r="E234" s="4"/>
      <c r="F234" s="4"/>
      <c r="G234" s="4"/>
      <c r="H234" s="4"/>
      <c r="I234" s="4"/>
      <c r="J234" s="4"/>
      <c r="K234" s="4"/>
      <c r="L234" s="4"/>
      <c r="M234" s="4"/>
    </row>
    <row r="235" spans="1:13" s="34" customFormat="1">
      <c r="A235" s="4"/>
      <c r="B235" s="4"/>
      <c r="C235" s="4"/>
      <c r="D235" s="4"/>
      <c r="E235" s="4"/>
      <c r="F235" s="4"/>
      <c r="G235" s="4"/>
      <c r="H235" s="4"/>
      <c r="I235" s="4"/>
      <c r="J235" s="4"/>
      <c r="K235" s="4"/>
      <c r="L235" s="4"/>
      <c r="M235" s="4"/>
    </row>
    <row r="236" spans="1:13" s="34" customFormat="1">
      <c r="A236" s="4"/>
      <c r="B236" s="4"/>
      <c r="C236" s="4"/>
      <c r="D236" s="4"/>
      <c r="E236" s="4"/>
      <c r="F236" s="4"/>
      <c r="G236" s="4"/>
      <c r="H236" s="4"/>
      <c r="I236" s="4"/>
      <c r="J236" s="4"/>
      <c r="K236" s="4"/>
      <c r="L236" s="4"/>
      <c r="M236" s="4"/>
    </row>
    <row r="237" spans="1:13" s="34" customFormat="1">
      <c r="A237" s="4"/>
      <c r="B237" s="4"/>
      <c r="C237" s="4"/>
      <c r="D237" s="4"/>
      <c r="E237" s="4"/>
      <c r="F237" s="4"/>
      <c r="G237" s="4"/>
      <c r="H237" s="4"/>
      <c r="I237" s="4"/>
      <c r="J237" s="4"/>
      <c r="K237" s="4"/>
      <c r="L237" s="4"/>
      <c r="M237" s="4"/>
    </row>
    <row r="238" spans="1:13" s="34" customFormat="1">
      <c r="A238" s="4"/>
      <c r="B238" s="4"/>
      <c r="C238" s="4"/>
      <c r="D238" s="4"/>
      <c r="E238" s="4"/>
      <c r="F238" s="4"/>
      <c r="G238" s="4"/>
      <c r="H238" s="4"/>
      <c r="I238" s="4"/>
      <c r="J238" s="4"/>
      <c r="K238" s="4"/>
      <c r="L238" s="4"/>
      <c r="M238" s="4"/>
    </row>
    <row r="239" spans="1:13" s="34" customFormat="1">
      <c r="A239" s="4"/>
      <c r="B239" s="4"/>
      <c r="C239" s="4"/>
      <c r="D239" s="4"/>
      <c r="E239" s="4"/>
      <c r="F239" s="4"/>
      <c r="G239" s="4"/>
      <c r="H239" s="4"/>
      <c r="I239" s="4"/>
      <c r="J239" s="4"/>
      <c r="K239" s="4"/>
      <c r="L239" s="4"/>
      <c r="M239" s="4"/>
    </row>
    <row r="240" spans="1:13" s="34" customFormat="1">
      <c r="A240" s="4"/>
      <c r="B240" s="4"/>
      <c r="C240" s="4"/>
      <c r="D240" s="4"/>
      <c r="E240" s="4"/>
      <c r="F240" s="4"/>
      <c r="G240" s="4"/>
      <c r="H240" s="4"/>
      <c r="I240" s="4"/>
      <c r="J240" s="4"/>
      <c r="K240" s="4"/>
      <c r="L240" s="4"/>
      <c r="M240" s="4"/>
    </row>
    <row r="241" spans="1:13" s="34" customFormat="1">
      <c r="A241" s="4"/>
      <c r="B241" s="4"/>
      <c r="C241" s="4"/>
      <c r="D241" s="4"/>
      <c r="E241" s="4"/>
      <c r="F241" s="4"/>
      <c r="G241" s="4"/>
      <c r="H241" s="4"/>
      <c r="I241" s="4"/>
      <c r="J241" s="4"/>
      <c r="K241" s="4"/>
      <c r="L241" s="4"/>
      <c r="M241" s="4"/>
    </row>
    <row r="242" spans="1:13" s="34" customFormat="1">
      <c r="A242" s="4"/>
      <c r="B242" s="4"/>
      <c r="C242" s="4"/>
      <c r="D242" s="4"/>
      <c r="E242" s="4"/>
      <c r="F242" s="4"/>
      <c r="G242" s="4"/>
      <c r="H242" s="4"/>
      <c r="I242" s="4"/>
      <c r="J242" s="4"/>
      <c r="K242" s="4"/>
      <c r="L242" s="4"/>
      <c r="M242" s="4"/>
    </row>
    <row r="243" spans="1:13" s="34" customFormat="1">
      <c r="A243" s="4"/>
      <c r="B243" s="4"/>
      <c r="C243" s="4"/>
      <c r="D243" s="4"/>
      <c r="E243" s="4"/>
      <c r="F243" s="4"/>
      <c r="G243" s="4"/>
      <c r="H243" s="4"/>
      <c r="I243" s="4"/>
      <c r="J243" s="4"/>
      <c r="K243" s="4"/>
      <c r="L243" s="4"/>
      <c r="M243" s="4"/>
    </row>
    <row r="244" spans="1:13" s="34" customFormat="1">
      <c r="A244" s="4"/>
      <c r="B244" s="4"/>
      <c r="C244" s="4"/>
      <c r="D244" s="4"/>
      <c r="E244" s="4"/>
      <c r="F244" s="4"/>
      <c r="G244" s="4"/>
      <c r="H244" s="4"/>
      <c r="I244" s="4"/>
      <c r="J244" s="4"/>
      <c r="K244" s="4"/>
      <c r="L244" s="4"/>
      <c r="M244" s="4"/>
    </row>
    <row r="245" spans="1:13" s="34" customFormat="1">
      <c r="A245" s="4"/>
      <c r="B245" s="4"/>
      <c r="C245" s="4"/>
      <c r="D245" s="4"/>
      <c r="E245" s="4"/>
      <c r="F245" s="4"/>
      <c r="G245" s="4"/>
      <c r="H245" s="4"/>
      <c r="I245" s="4"/>
      <c r="J245" s="4"/>
      <c r="K245" s="4"/>
      <c r="L245" s="4"/>
      <c r="M245" s="4"/>
    </row>
    <row r="246" spans="1:13" s="34" customFormat="1">
      <c r="A246" s="4"/>
      <c r="B246" s="4"/>
      <c r="C246" s="4"/>
      <c r="D246" s="4"/>
      <c r="E246" s="4"/>
      <c r="F246" s="4"/>
      <c r="G246" s="4"/>
      <c r="H246" s="4"/>
      <c r="I246" s="4"/>
      <c r="J246" s="4"/>
      <c r="K246" s="4"/>
      <c r="L246" s="4"/>
      <c r="M246" s="4"/>
    </row>
    <row r="247" spans="1:13" s="34" customFormat="1">
      <c r="A247" s="4"/>
      <c r="B247" s="4"/>
      <c r="C247" s="4"/>
      <c r="D247" s="4"/>
      <c r="E247" s="4"/>
      <c r="F247" s="4"/>
      <c r="G247" s="4"/>
      <c r="H247" s="4"/>
      <c r="I247" s="4"/>
      <c r="J247" s="4"/>
      <c r="K247" s="4"/>
      <c r="L247" s="4"/>
      <c r="M247" s="4"/>
    </row>
    <row r="248" spans="1:13" s="34" customFormat="1">
      <c r="A248" s="4"/>
      <c r="B248" s="4"/>
      <c r="C248" s="4"/>
      <c r="D248" s="4"/>
      <c r="E248" s="4"/>
      <c r="F248" s="4"/>
      <c r="G248" s="4"/>
      <c r="H248" s="4"/>
      <c r="I248" s="4"/>
      <c r="J248" s="4"/>
      <c r="K248" s="4"/>
      <c r="L248" s="4"/>
      <c r="M248" s="4"/>
    </row>
    <row r="249" spans="1:13" s="34" customFormat="1">
      <c r="A249" s="4"/>
      <c r="B249" s="4"/>
      <c r="C249" s="4"/>
      <c r="D249" s="4"/>
      <c r="E249" s="4"/>
      <c r="F249" s="4"/>
      <c r="G249" s="4"/>
      <c r="H249" s="4"/>
      <c r="I249" s="4"/>
      <c r="J249" s="4"/>
      <c r="K249" s="4"/>
      <c r="L249" s="4"/>
      <c r="M249" s="4"/>
    </row>
    <row r="250" spans="1:13" s="34" customFormat="1">
      <c r="A250" s="4"/>
      <c r="B250" s="4"/>
      <c r="C250" s="4"/>
      <c r="D250" s="4"/>
      <c r="E250" s="4"/>
      <c r="F250" s="4"/>
      <c r="G250" s="4"/>
      <c r="H250" s="4"/>
      <c r="I250" s="4"/>
      <c r="J250" s="4"/>
      <c r="K250" s="4"/>
      <c r="L250" s="4"/>
      <c r="M250" s="4"/>
    </row>
    <row r="251" spans="1:13" s="34" customFormat="1">
      <c r="A251" s="4"/>
      <c r="B251" s="4"/>
      <c r="C251" s="4"/>
      <c r="D251" s="4"/>
      <c r="E251" s="4"/>
      <c r="F251" s="4"/>
      <c r="G251" s="4"/>
      <c r="H251" s="4"/>
      <c r="I251" s="4"/>
      <c r="J251" s="4"/>
      <c r="K251" s="4"/>
      <c r="L251" s="4"/>
      <c r="M251" s="4"/>
    </row>
    <row r="252" spans="1:13" s="34" customFormat="1">
      <c r="A252" s="4"/>
      <c r="B252" s="4"/>
      <c r="C252" s="4"/>
      <c r="D252" s="4"/>
      <c r="E252" s="4"/>
      <c r="F252" s="4"/>
      <c r="G252" s="4"/>
      <c r="H252" s="4"/>
      <c r="I252" s="4"/>
      <c r="J252" s="4"/>
      <c r="K252" s="4"/>
      <c r="L252" s="4"/>
      <c r="M252" s="4"/>
    </row>
    <row r="253" spans="1:13" s="34" customFormat="1">
      <c r="A253" s="4"/>
      <c r="B253" s="4"/>
      <c r="C253" s="4"/>
      <c r="D253" s="4"/>
      <c r="E253" s="4"/>
      <c r="F253" s="4"/>
      <c r="G253" s="4"/>
      <c r="H253" s="4"/>
      <c r="I253" s="4"/>
      <c r="J253" s="4"/>
      <c r="K253" s="4"/>
      <c r="L253" s="4"/>
      <c r="M253" s="4"/>
    </row>
    <row r="254" spans="1:13" s="34" customFormat="1">
      <c r="A254" s="4"/>
      <c r="B254" s="4"/>
      <c r="C254" s="4"/>
      <c r="D254" s="4"/>
      <c r="E254" s="4"/>
      <c r="F254" s="4"/>
      <c r="G254" s="4"/>
      <c r="H254" s="4"/>
      <c r="I254" s="4"/>
      <c r="J254" s="4"/>
      <c r="K254" s="4"/>
      <c r="L254" s="4"/>
      <c r="M254" s="4"/>
    </row>
    <row r="255" spans="1:13" s="34" customFormat="1">
      <c r="A255" s="4"/>
      <c r="B255" s="4"/>
      <c r="C255" s="4"/>
      <c r="D255" s="4"/>
      <c r="E255" s="4"/>
      <c r="F255" s="4"/>
      <c r="G255" s="4"/>
      <c r="H255" s="4"/>
      <c r="I255" s="4"/>
      <c r="J255" s="4"/>
      <c r="K255" s="4"/>
      <c r="L255" s="4"/>
      <c r="M255" s="4"/>
    </row>
    <row r="256" spans="1:13" s="34" customFormat="1">
      <c r="A256" s="4"/>
      <c r="B256" s="4"/>
      <c r="C256" s="4"/>
      <c r="D256" s="4"/>
      <c r="E256" s="4"/>
      <c r="F256" s="4"/>
      <c r="G256" s="4"/>
      <c r="H256" s="4"/>
      <c r="I256" s="4"/>
      <c r="J256" s="4"/>
      <c r="K256" s="4"/>
      <c r="L256" s="4"/>
      <c r="M256" s="4"/>
    </row>
    <row r="257" spans="1:13" s="34" customFormat="1">
      <c r="A257" s="4"/>
      <c r="B257" s="4"/>
      <c r="C257" s="4"/>
      <c r="D257" s="4"/>
      <c r="E257" s="4"/>
      <c r="F257" s="4"/>
      <c r="G257" s="4"/>
      <c r="H257" s="4"/>
      <c r="I257" s="4"/>
      <c r="J257" s="4"/>
      <c r="K257" s="4"/>
      <c r="L257" s="4"/>
      <c r="M257" s="4"/>
    </row>
    <row r="258" spans="1:13" s="34" customFormat="1">
      <c r="A258" s="4"/>
      <c r="B258" s="4"/>
      <c r="C258" s="4"/>
      <c r="D258" s="4"/>
      <c r="E258" s="4"/>
      <c r="F258" s="4"/>
      <c r="G258" s="4"/>
      <c r="H258" s="4"/>
      <c r="I258" s="4"/>
      <c r="J258" s="4"/>
      <c r="K258" s="4"/>
      <c r="L258" s="4"/>
      <c r="M258" s="4"/>
    </row>
    <row r="259" spans="1:13" s="34" customFormat="1">
      <c r="A259" s="4"/>
      <c r="B259" s="4"/>
      <c r="C259" s="4"/>
      <c r="D259" s="4"/>
      <c r="E259" s="4"/>
      <c r="F259" s="4"/>
      <c r="G259" s="4"/>
      <c r="H259" s="4"/>
      <c r="I259" s="4"/>
      <c r="J259" s="4"/>
      <c r="K259" s="4"/>
      <c r="L259" s="4"/>
      <c r="M259" s="4"/>
    </row>
    <row r="260" spans="1:13" s="34" customFormat="1">
      <c r="A260" s="4"/>
      <c r="B260" s="4"/>
      <c r="C260" s="4"/>
      <c r="D260" s="4"/>
      <c r="E260" s="4"/>
      <c r="F260" s="4"/>
      <c r="G260" s="4"/>
      <c r="H260" s="4"/>
      <c r="I260" s="4"/>
      <c r="J260" s="4"/>
      <c r="K260" s="4"/>
      <c r="L260" s="4"/>
      <c r="M260" s="4"/>
    </row>
    <row r="261" spans="1:13" s="34" customFormat="1">
      <c r="A261" s="4"/>
      <c r="B261" s="4"/>
      <c r="C261" s="4"/>
      <c r="D261" s="4"/>
      <c r="E261" s="4"/>
      <c r="F261" s="4"/>
      <c r="G261" s="4"/>
      <c r="H261" s="4"/>
      <c r="I261" s="4"/>
      <c r="J261" s="4"/>
      <c r="K261" s="4"/>
      <c r="L261" s="4"/>
      <c r="M261" s="4"/>
    </row>
    <row r="262" spans="1:13" s="34" customFormat="1">
      <c r="A262" s="4"/>
      <c r="B262" s="4"/>
      <c r="C262" s="4"/>
      <c r="D262" s="4"/>
      <c r="E262" s="4"/>
      <c r="F262" s="4"/>
      <c r="G262" s="4"/>
      <c r="H262" s="4"/>
      <c r="I262" s="4"/>
      <c r="J262" s="4"/>
      <c r="K262" s="4"/>
      <c r="L262" s="4"/>
      <c r="M262" s="4"/>
    </row>
    <row r="263" spans="1:13" s="34" customFormat="1">
      <c r="A263" s="4"/>
      <c r="B263" s="4"/>
      <c r="C263" s="4"/>
      <c r="D263" s="4"/>
      <c r="E263" s="4"/>
      <c r="F263" s="4"/>
      <c r="G263" s="4"/>
      <c r="H263" s="4"/>
      <c r="I263" s="4"/>
      <c r="J263" s="4"/>
      <c r="K263" s="4"/>
      <c r="L263" s="4"/>
      <c r="M263" s="4"/>
    </row>
    <row r="264" spans="1:13" s="34" customFormat="1">
      <c r="A264" s="4"/>
      <c r="B264" s="4"/>
      <c r="C264" s="4"/>
      <c r="D264" s="4"/>
      <c r="E264" s="4"/>
      <c r="F264" s="4"/>
      <c r="G264" s="4"/>
      <c r="H264" s="4"/>
      <c r="I264" s="4"/>
      <c r="J264" s="4"/>
      <c r="K264" s="4"/>
      <c r="L264" s="4"/>
      <c r="M264" s="4"/>
    </row>
    <row r="265" spans="1:13" s="34" customFormat="1">
      <c r="A265" s="4"/>
      <c r="B265" s="4"/>
      <c r="C265" s="4"/>
      <c r="D265" s="4"/>
      <c r="E265" s="4"/>
      <c r="F265" s="4"/>
      <c r="G265" s="4"/>
      <c r="H265" s="4"/>
      <c r="I265" s="4"/>
      <c r="J265" s="4"/>
      <c r="K265" s="4"/>
      <c r="L265" s="4"/>
      <c r="M265" s="4"/>
    </row>
    <row r="266" spans="1:13" s="34" customFormat="1">
      <c r="A266" s="4"/>
      <c r="B266" s="4"/>
      <c r="C266" s="4"/>
      <c r="D266" s="4"/>
      <c r="E266" s="4"/>
      <c r="F266" s="4"/>
      <c r="G266" s="4"/>
      <c r="H266" s="4"/>
      <c r="I266" s="4"/>
      <c r="J266" s="4"/>
      <c r="K266" s="4"/>
      <c r="L266" s="4"/>
      <c r="M266" s="4"/>
    </row>
    <row r="267" spans="1:13" s="34" customFormat="1">
      <c r="A267" s="4"/>
      <c r="B267" s="4"/>
      <c r="C267" s="4"/>
      <c r="D267" s="4"/>
      <c r="E267" s="4"/>
      <c r="F267" s="4"/>
      <c r="G267" s="4"/>
      <c r="H267" s="4"/>
      <c r="I267" s="4"/>
      <c r="J267" s="4"/>
      <c r="K267" s="4"/>
      <c r="L267" s="4"/>
      <c r="M267" s="4"/>
    </row>
    <row r="268" spans="1:13" s="34" customFormat="1">
      <c r="A268" s="4"/>
      <c r="B268" s="4"/>
      <c r="C268" s="4"/>
      <c r="D268" s="4"/>
      <c r="E268" s="4"/>
      <c r="F268" s="4"/>
      <c r="G268" s="4"/>
      <c r="H268" s="4"/>
      <c r="I268" s="4"/>
      <c r="J268" s="4"/>
      <c r="K268" s="4"/>
      <c r="L268" s="4"/>
      <c r="M268" s="4"/>
    </row>
    <row r="269" spans="1:13" s="34" customFormat="1">
      <c r="A269" s="4"/>
      <c r="B269" s="4"/>
      <c r="C269" s="4"/>
      <c r="D269" s="4"/>
      <c r="E269" s="4"/>
      <c r="F269" s="4"/>
      <c r="G269" s="4"/>
      <c r="H269" s="4"/>
      <c r="I269" s="4"/>
      <c r="J269" s="4"/>
      <c r="K269" s="4"/>
      <c r="L269" s="4"/>
      <c r="M269" s="4"/>
    </row>
    <row r="270" spans="1:13" s="34" customFormat="1">
      <c r="A270" s="4"/>
      <c r="B270" s="4"/>
      <c r="C270" s="4"/>
      <c r="D270" s="4"/>
      <c r="E270" s="4"/>
      <c r="F270" s="4"/>
      <c r="G270" s="4"/>
      <c r="H270" s="4"/>
      <c r="I270" s="4"/>
      <c r="J270" s="4"/>
      <c r="K270" s="4"/>
      <c r="L270" s="4"/>
      <c r="M270" s="4"/>
    </row>
    <row r="271" spans="1:13" s="34" customFormat="1">
      <c r="A271" s="4"/>
      <c r="B271" s="4"/>
      <c r="C271" s="4"/>
      <c r="D271" s="4"/>
      <c r="E271" s="4"/>
      <c r="F271" s="4"/>
      <c r="G271" s="4"/>
      <c r="H271" s="4"/>
      <c r="I271" s="4"/>
      <c r="J271" s="4"/>
      <c r="K271" s="4"/>
      <c r="L271" s="4"/>
      <c r="M271" s="4"/>
    </row>
    <row r="272" spans="1:13" s="34" customFormat="1">
      <c r="A272" s="4"/>
      <c r="B272" s="4"/>
      <c r="C272" s="4"/>
      <c r="D272" s="4"/>
      <c r="E272" s="4"/>
      <c r="F272" s="4"/>
      <c r="G272" s="4"/>
      <c r="H272" s="4"/>
      <c r="I272" s="4"/>
      <c r="J272" s="4"/>
      <c r="K272" s="4"/>
      <c r="L272" s="4"/>
      <c r="M272" s="4"/>
    </row>
    <row r="273" spans="1:13" s="34" customFormat="1">
      <c r="A273" s="4"/>
      <c r="B273" s="4"/>
      <c r="C273" s="4"/>
      <c r="D273" s="4"/>
      <c r="E273" s="4"/>
      <c r="F273" s="4"/>
      <c r="G273" s="4"/>
      <c r="H273" s="4"/>
      <c r="I273" s="4"/>
      <c r="J273" s="4"/>
      <c r="K273" s="4"/>
      <c r="L273" s="4"/>
      <c r="M273" s="4"/>
    </row>
    <row r="274" spans="1:13" s="34" customFormat="1">
      <c r="A274" s="4"/>
      <c r="B274" s="4"/>
      <c r="C274" s="4"/>
      <c r="D274" s="4"/>
      <c r="E274" s="4"/>
      <c r="F274" s="4"/>
      <c r="G274" s="4"/>
      <c r="H274" s="4"/>
      <c r="I274" s="4"/>
      <c r="J274" s="4"/>
      <c r="K274" s="4"/>
      <c r="L274" s="4"/>
      <c r="M274" s="4"/>
    </row>
    <row r="275" spans="1:13" s="34" customFormat="1">
      <c r="A275" s="4"/>
      <c r="B275" s="4"/>
      <c r="C275" s="4"/>
      <c r="D275" s="4"/>
      <c r="E275" s="4"/>
      <c r="F275" s="4"/>
      <c r="G275" s="4"/>
      <c r="H275" s="4"/>
      <c r="I275" s="4"/>
      <c r="J275" s="4"/>
      <c r="K275" s="4"/>
      <c r="L275" s="4"/>
      <c r="M275" s="4"/>
    </row>
    <row r="276" spans="1:13" s="34" customFormat="1">
      <c r="A276" s="4"/>
      <c r="B276" s="4"/>
      <c r="C276" s="4"/>
      <c r="D276" s="4"/>
      <c r="E276" s="4"/>
      <c r="F276" s="4"/>
      <c r="G276" s="4"/>
      <c r="H276" s="4"/>
      <c r="I276" s="4"/>
      <c r="J276" s="4"/>
      <c r="K276" s="4"/>
      <c r="L276" s="4"/>
      <c r="M276" s="4"/>
    </row>
    <row r="277" spans="1:13" s="34" customFormat="1">
      <c r="A277" s="4"/>
      <c r="B277" s="4"/>
      <c r="C277" s="4"/>
      <c r="D277" s="4"/>
      <c r="E277" s="4"/>
      <c r="F277" s="4"/>
      <c r="G277" s="4"/>
      <c r="H277" s="4"/>
      <c r="I277" s="4"/>
      <c r="J277" s="4"/>
      <c r="K277" s="4"/>
      <c r="L277" s="4"/>
      <c r="M277" s="4"/>
    </row>
    <row r="278" spans="1:13" s="34" customFormat="1">
      <c r="A278" s="4"/>
      <c r="B278" s="4"/>
      <c r="C278" s="4"/>
      <c r="D278" s="4"/>
      <c r="E278" s="4"/>
      <c r="F278" s="4"/>
      <c r="G278" s="4"/>
      <c r="H278" s="4"/>
      <c r="I278" s="4"/>
      <c r="J278" s="4"/>
      <c r="K278" s="4"/>
      <c r="L278" s="4"/>
      <c r="M278" s="4"/>
    </row>
    <row r="279" spans="1:13" s="34" customFormat="1">
      <c r="A279" s="4"/>
      <c r="B279" s="4"/>
      <c r="C279" s="4"/>
      <c r="D279" s="4"/>
      <c r="E279" s="4"/>
      <c r="F279" s="4"/>
      <c r="G279" s="4"/>
      <c r="H279" s="4"/>
      <c r="I279" s="4"/>
      <c r="J279" s="4"/>
      <c r="K279" s="4"/>
      <c r="L279" s="4"/>
      <c r="M279" s="4"/>
    </row>
    <row r="280" spans="1:13" s="34" customFormat="1">
      <c r="A280" s="4"/>
      <c r="B280" s="4"/>
      <c r="C280" s="4"/>
      <c r="D280" s="4"/>
      <c r="E280" s="4"/>
      <c r="F280" s="4"/>
      <c r="G280" s="4"/>
      <c r="H280" s="4"/>
      <c r="I280" s="4"/>
      <c r="J280" s="4"/>
      <c r="K280" s="4"/>
      <c r="L280" s="4"/>
      <c r="M280" s="4"/>
    </row>
    <row r="281" spans="1:13" s="34" customFormat="1">
      <c r="A281" s="4"/>
      <c r="B281" s="4"/>
      <c r="C281" s="4"/>
      <c r="D281" s="4"/>
      <c r="E281" s="4"/>
      <c r="F281" s="4"/>
      <c r="G281" s="4"/>
      <c r="H281" s="4"/>
      <c r="I281" s="4"/>
      <c r="J281" s="4"/>
      <c r="K281" s="4"/>
      <c r="L281" s="4"/>
      <c r="M281" s="4"/>
    </row>
    <row r="282" spans="1:13" s="34" customFormat="1">
      <c r="A282" s="4"/>
      <c r="B282" s="4"/>
      <c r="C282" s="4"/>
      <c r="D282" s="4"/>
      <c r="E282" s="4"/>
      <c r="F282" s="4"/>
      <c r="G282" s="4"/>
      <c r="H282" s="4"/>
      <c r="I282" s="4"/>
      <c r="J282" s="4"/>
      <c r="K282" s="4"/>
      <c r="L282" s="4"/>
      <c r="M282" s="4"/>
    </row>
    <row r="283" spans="1:13" s="34" customFormat="1">
      <c r="A283" s="4"/>
      <c r="B283" s="4"/>
      <c r="C283" s="4"/>
      <c r="D283" s="4"/>
      <c r="E283" s="4"/>
      <c r="F283" s="4"/>
      <c r="G283" s="4"/>
      <c r="H283" s="4"/>
      <c r="I283" s="4"/>
      <c r="J283" s="4"/>
      <c r="K283" s="4"/>
      <c r="L283" s="4"/>
      <c r="M283" s="4"/>
    </row>
    <row r="284" spans="1:13" s="34" customFormat="1">
      <c r="A284" s="4"/>
      <c r="B284" s="4"/>
      <c r="C284" s="4"/>
      <c r="D284" s="4"/>
      <c r="E284" s="4"/>
      <c r="F284" s="4"/>
      <c r="G284" s="4"/>
      <c r="H284" s="4"/>
      <c r="I284" s="4"/>
      <c r="J284" s="4"/>
      <c r="K284" s="4"/>
      <c r="L284" s="4"/>
      <c r="M284" s="4"/>
    </row>
    <row r="285" spans="1:13" s="34" customFormat="1">
      <c r="A285" s="4"/>
      <c r="B285" s="4"/>
      <c r="C285" s="4"/>
      <c r="D285" s="4"/>
      <c r="E285" s="4"/>
      <c r="F285" s="4"/>
      <c r="G285" s="4"/>
      <c r="H285" s="4"/>
      <c r="I285" s="4"/>
      <c r="J285" s="4"/>
      <c r="K285" s="4"/>
      <c r="L285" s="4"/>
      <c r="M285" s="4"/>
    </row>
    <row r="286" spans="1:13" s="34" customFormat="1">
      <c r="A286" s="4"/>
      <c r="B286" s="4"/>
      <c r="C286" s="4"/>
      <c r="D286" s="4"/>
      <c r="E286" s="4"/>
      <c r="F286" s="4"/>
      <c r="G286" s="4"/>
      <c r="H286" s="4"/>
      <c r="I286" s="4"/>
      <c r="J286" s="4"/>
      <c r="K286" s="4"/>
      <c r="L286" s="4"/>
      <c r="M286" s="4"/>
    </row>
    <row r="287" spans="1:13" s="34" customFormat="1">
      <c r="A287" s="4"/>
      <c r="B287" s="4"/>
      <c r="C287" s="4"/>
      <c r="D287" s="4"/>
      <c r="E287" s="4"/>
      <c r="F287" s="4"/>
      <c r="G287" s="4"/>
      <c r="H287" s="4"/>
      <c r="I287" s="4"/>
      <c r="J287" s="4"/>
      <c r="K287" s="4"/>
      <c r="L287" s="4"/>
      <c r="M287" s="4"/>
    </row>
    <row r="288" spans="1:13" s="34" customFormat="1">
      <c r="A288" s="4"/>
      <c r="B288" s="4"/>
      <c r="C288" s="4"/>
      <c r="D288" s="4"/>
      <c r="E288" s="4"/>
      <c r="F288" s="4"/>
      <c r="G288" s="4"/>
      <c r="H288" s="4"/>
      <c r="I288" s="4"/>
      <c r="J288" s="4"/>
      <c r="K288" s="4"/>
      <c r="L288" s="4"/>
      <c r="M288" s="4"/>
    </row>
    <row r="289" spans="1:13" s="34" customFormat="1">
      <c r="A289" s="4"/>
      <c r="B289" s="4"/>
      <c r="C289" s="4"/>
      <c r="D289" s="4"/>
      <c r="E289" s="4"/>
      <c r="F289" s="4"/>
      <c r="G289" s="4"/>
      <c r="H289" s="4"/>
      <c r="I289" s="4"/>
      <c r="J289" s="4"/>
      <c r="K289" s="4"/>
      <c r="L289" s="4"/>
      <c r="M289" s="4"/>
    </row>
    <row r="290" spans="1:13" s="34" customFormat="1">
      <c r="A290" s="4"/>
      <c r="B290" s="4"/>
      <c r="C290" s="4"/>
      <c r="D290" s="4"/>
      <c r="E290" s="4"/>
      <c r="F290" s="4"/>
      <c r="G290" s="4"/>
      <c r="H290" s="4"/>
      <c r="I290" s="4"/>
      <c r="J290" s="4"/>
      <c r="K290" s="4"/>
      <c r="L290" s="4"/>
      <c r="M290" s="4"/>
    </row>
    <row r="291" spans="1:13" s="34" customFormat="1">
      <c r="A291" s="4"/>
      <c r="B291" s="4"/>
      <c r="C291" s="4"/>
      <c r="D291" s="4"/>
      <c r="E291" s="4"/>
      <c r="F291" s="4"/>
      <c r="G291" s="4"/>
      <c r="H291" s="4"/>
      <c r="I291" s="4"/>
      <c r="J291" s="4"/>
      <c r="K291" s="4"/>
      <c r="L291" s="4"/>
      <c r="M291" s="4"/>
    </row>
    <row r="292" spans="1:13" s="34" customFormat="1">
      <c r="A292" s="4"/>
      <c r="B292" s="4"/>
      <c r="C292" s="4"/>
      <c r="D292" s="4"/>
      <c r="E292" s="4"/>
      <c r="F292" s="4"/>
      <c r="G292" s="4"/>
      <c r="H292" s="4"/>
      <c r="I292" s="4"/>
      <c r="J292" s="4"/>
      <c r="K292" s="4"/>
      <c r="L292" s="4"/>
      <c r="M292" s="4"/>
    </row>
    <row r="293" spans="1:13" s="34" customFormat="1">
      <c r="A293" s="4"/>
      <c r="B293" s="4"/>
      <c r="C293" s="4"/>
      <c r="D293" s="4"/>
      <c r="E293" s="4"/>
      <c r="F293" s="4"/>
      <c r="G293" s="4"/>
      <c r="H293" s="4"/>
      <c r="I293" s="4"/>
      <c r="J293" s="4"/>
      <c r="K293" s="4"/>
      <c r="L293" s="4"/>
      <c r="M293" s="4"/>
    </row>
    <row r="294" spans="1:13" s="34" customFormat="1">
      <c r="A294" s="4"/>
      <c r="B294" s="4"/>
      <c r="C294" s="4"/>
      <c r="D294" s="4"/>
      <c r="E294" s="4"/>
      <c r="F294" s="4"/>
      <c r="G294" s="4"/>
      <c r="H294" s="4"/>
      <c r="I294" s="4"/>
      <c r="J294" s="4"/>
      <c r="K294" s="4"/>
      <c r="L294" s="4"/>
      <c r="M294" s="4"/>
    </row>
    <row r="295" spans="1:13" s="34" customFormat="1">
      <c r="A295" s="4"/>
      <c r="B295" s="4"/>
      <c r="C295" s="4"/>
      <c r="D295" s="4"/>
      <c r="E295" s="4"/>
      <c r="F295" s="4"/>
      <c r="G295" s="4"/>
      <c r="H295" s="4"/>
      <c r="I295" s="4"/>
      <c r="J295" s="4"/>
      <c r="K295" s="4"/>
      <c r="L295" s="4"/>
      <c r="M295" s="4"/>
    </row>
    <row r="296" spans="1:13" s="34" customFormat="1">
      <c r="A296" s="4"/>
      <c r="B296" s="4"/>
      <c r="C296" s="4"/>
      <c r="D296" s="4"/>
      <c r="E296" s="4"/>
      <c r="F296" s="4"/>
      <c r="G296" s="4"/>
      <c r="H296" s="4"/>
      <c r="I296" s="4"/>
      <c r="J296" s="4"/>
      <c r="K296" s="4"/>
      <c r="L296" s="4"/>
      <c r="M296" s="4"/>
    </row>
    <row r="297" spans="1:13" s="34" customFormat="1">
      <c r="A297" s="4"/>
      <c r="B297" s="4"/>
      <c r="C297" s="4"/>
      <c r="D297" s="4"/>
      <c r="E297" s="4"/>
      <c r="F297" s="4"/>
      <c r="G297" s="4"/>
      <c r="H297" s="4"/>
      <c r="I297" s="4"/>
      <c r="J297" s="4"/>
      <c r="K297" s="4"/>
      <c r="L297" s="4"/>
      <c r="M297" s="4"/>
    </row>
    <row r="298" spans="1:13" s="34" customFormat="1">
      <c r="A298" s="4"/>
      <c r="B298" s="4"/>
      <c r="C298" s="4"/>
      <c r="D298" s="4"/>
      <c r="E298" s="4"/>
      <c r="F298" s="4"/>
      <c r="G298" s="4"/>
      <c r="H298" s="4"/>
      <c r="I298" s="4"/>
      <c r="J298" s="4"/>
      <c r="K298" s="4"/>
      <c r="L298" s="4"/>
      <c r="M298" s="4"/>
    </row>
    <row r="299" spans="1:13" s="34" customFormat="1">
      <c r="A299" s="4"/>
      <c r="B299" s="4"/>
      <c r="C299" s="4"/>
      <c r="D299" s="4"/>
      <c r="E299" s="4"/>
      <c r="F299" s="4"/>
      <c r="G299" s="4"/>
      <c r="H299" s="4"/>
      <c r="I299" s="4"/>
      <c r="J299" s="4"/>
      <c r="K299" s="4"/>
      <c r="L299" s="4"/>
      <c r="M299" s="4"/>
    </row>
    <row r="300" spans="1:13" s="34" customFormat="1">
      <c r="A300" s="4"/>
      <c r="B300" s="4"/>
      <c r="C300" s="4"/>
      <c r="D300" s="4"/>
      <c r="E300" s="4"/>
      <c r="F300" s="4"/>
      <c r="G300" s="4"/>
      <c r="H300" s="4"/>
      <c r="I300" s="4"/>
      <c r="J300" s="4"/>
      <c r="K300" s="4"/>
      <c r="L300" s="4"/>
      <c r="M300" s="4"/>
    </row>
    <row r="301" spans="1:13" s="34" customFormat="1">
      <c r="A301" s="4"/>
      <c r="B301" s="4"/>
      <c r="C301" s="4"/>
      <c r="D301" s="4"/>
      <c r="E301" s="4"/>
      <c r="F301" s="4"/>
      <c r="G301" s="4"/>
      <c r="H301" s="4"/>
      <c r="I301" s="4"/>
      <c r="J301" s="4"/>
      <c r="K301" s="4"/>
      <c r="L301" s="4"/>
      <c r="M301" s="4"/>
    </row>
    <row r="302" spans="1:13" s="34" customFormat="1">
      <c r="A302" s="4"/>
      <c r="B302" s="4"/>
      <c r="C302" s="4"/>
      <c r="D302" s="4"/>
      <c r="E302" s="4"/>
      <c r="F302" s="4"/>
      <c r="G302" s="4"/>
      <c r="H302" s="4"/>
      <c r="I302" s="4"/>
      <c r="J302" s="4"/>
      <c r="K302" s="4"/>
      <c r="L302" s="4"/>
      <c r="M302" s="4"/>
    </row>
    <row r="303" spans="1:13" s="34" customFormat="1">
      <c r="A303" s="4"/>
      <c r="B303" s="4"/>
      <c r="C303" s="4"/>
      <c r="D303" s="4"/>
      <c r="E303" s="4"/>
      <c r="F303" s="4"/>
      <c r="G303" s="4"/>
      <c r="H303" s="4"/>
      <c r="I303" s="4"/>
      <c r="J303" s="4"/>
      <c r="K303" s="4"/>
      <c r="L303" s="4"/>
      <c r="M303" s="4"/>
    </row>
    <row r="304" spans="1:13" s="34" customFormat="1">
      <c r="A304" s="4"/>
      <c r="B304" s="4"/>
      <c r="C304" s="4"/>
      <c r="D304" s="4"/>
      <c r="E304" s="4"/>
      <c r="F304" s="4"/>
      <c r="G304" s="4"/>
      <c r="H304" s="4"/>
      <c r="I304" s="4"/>
      <c r="J304" s="4"/>
      <c r="K304" s="4"/>
      <c r="L304" s="4"/>
      <c r="M304" s="4"/>
    </row>
    <row r="305" spans="1:13" s="34" customFormat="1">
      <c r="A305" s="4"/>
      <c r="B305" s="4"/>
      <c r="C305" s="4"/>
      <c r="D305" s="4"/>
      <c r="E305" s="4"/>
      <c r="F305" s="4"/>
      <c r="G305" s="4"/>
      <c r="H305" s="4"/>
      <c r="I305" s="4"/>
      <c r="J305" s="4"/>
      <c r="K305" s="4"/>
      <c r="L305" s="4"/>
      <c r="M305" s="4"/>
    </row>
    <row r="306" spans="1:13" s="34" customFormat="1">
      <c r="A306" s="4"/>
      <c r="B306" s="4"/>
      <c r="C306" s="4"/>
      <c r="D306" s="4"/>
      <c r="E306" s="4"/>
      <c r="F306" s="4"/>
      <c r="G306" s="4"/>
      <c r="H306" s="4"/>
      <c r="I306" s="4"/>
      <c r="J306" s="4"/>
      <c r="K306" s="4"/>
      <c r="L306" s="4"/>
      <c r="M306" s="4"/>
    </row>
    <row r="307" spans="1:13" s="34" customFormat="1">
      <c r="A307" s="4"/>
      <c r="B307" s="4"/>
      <c r="C307" s="4"/>
      <c r="D307" s="4"/>
      <c r="E307" s="4"/>
      <c r="F307" s="4"/>
      <c r="G307" s="4"/>
      <c r="H307" s="4"/>
      <c r="I307" s="4"/>
      <c r="J307" s="4"/>
      <c r="K307" s="4"/>
      <c r="L307" s="4"/>
      <c r="M307" s="4"/>
    </row>
    <row r="308" spans="1:13" s="34" customFormat="1">
      <c r="A308" s="4"/>
      <c r="B308" s="4"/>
      <c r="C308" s="4"/>
      <c r="D308" s="4"/>
      <c r="E308" s="4"/>
      <c r="F308" s="4"/>
      <c r="G308" s="4"/>
      <c r="H308" s="4"/>
      <c r="I308" s="4"/>
      <c r="J308" s="4"/>
      <c r="K308" s="4"/>
      <c r="L308" s="4"/>
      <c r="M308" s="4"/>
    </row>
    <row r="309" spans="1:13" s="34" customFormat="1">
      <c r="A309" s="4"/>
      <c r="B309" s="4"/>
      <c r="C309" s="4"/>
      <c r="D309" s="4"/>
      <c r="E309" s="4"/>
      <c r="F309" s="4"/>
      <c r="G309" s="4"/>
      <c r="H309" s="4"/>
      <c r="I309" s="4"/>
      <c r="J309" s="4"/>
      <c r="K309" s="4"/>
      <c r="L309" s="4"/>
      <c r="M309" s="4"/>
    </row>
    <row r="310" spans="1:13" s="34" customFormat="1">
      <c r="A310" s="4"/>
      <c r="B310" s="4"/>
      <c r="C310" s="4"/>
      <c r="D310" s="4"/>
      <c r="E310" s="4"/>
      <c r="F310" s="4"/>
      <c r="G310" s="4"/>
      <c r="H310" s="4"/>
      <c r="I310" s="4"/>
      <c r="J310" s="4"/>
      <c r="K310" s="4"/>
      <c r="L310" s="4"/>
      <c r="M310" s="4"/>
    </row>
    <row r="311" spans="1:13" s="34" customFormat="1">
      <c r="A311" s="4"/>
      <c r="B311" s="4"/>
      <c r="C311" s="4"/>
      <c r="D311" s="4"/>
      <c r="E311" s="4"/>
      <c r="F311" s="4"/>
      <c r="G311" s="4"/>
      <c r="H311" s="4"/>
      <c r="I311" s="4"/>
      <c r="J311" s="4"/>
      <c r="K311" s="4"/>
      <c r="L311" s="4"/>
      <c r="M311" s="4"/>
    </row>
    <row r="312" spans="1:13" s="34" customFormat="1">
      <c r="A312" s="4"/>
      <c r="B312" s="4"/>
      <c r="C312" s="4"/>
      <c r="D312" s="4"/>
      <c r="E312" s="4"/>
      <c r="F312" s="4"/>
      <c r="G312" s="4"/>
      <c r="H312" s="4"/>
      <c r="I312" s="4"/>
      <c r="J312" s="4"/>
      <c r="K312" s="4"/>
      <c r="L312" s="4"/>
      <c r="M312" s="4"/>
    </row>
    <row r="313" spans="1:13" s="34" customFormat="1">
      <c r="A313" s="4"/>
      <c r="B313" s="4"/>
      <c r="C313" s="4"/>
      <c r="D313" s="4"/>
      <c r="E313" s="4"/>
      <c r="F313" s="4"/>
      <c r="G313" s="4"/>
      <c r="H313" s="4"/>
      <c r="I313" s="4"/>
      <c r="J313" s="4"/>
      <c r="K313" s="4"/>
      <c r="L313" s="4"/>
      <c r="M313" s="4"/>
    </row>
    <row r="314" spans="1:13" s="34" customFormat="1">
      <c r="A314" s="4"/>
      <c r="B314" s="4"/>
      <c r="C314" s="4"/>
      <c r="D314" s="4"/>
      <c r="E314" s="4"/>
      <c r="F314" s="4"/>
      <c r="G314" s="4"/>
      <c r="H314" s="4"/>
      <c r="I314" s="4"/>
      <c r="J314" s="4"/>
      <c r="K314" s="4"/>
      <c r="L314" s="4"/>
      <c r="M314" s="4"/>
    </row>
    <row r="315" spans="1:13" s="34" customFormat="1">
      <c r="A315" s="4"/>
      <c r="B315" s="4"/>
      <c r="C315" s="4"/>
      <c r="D315" s="4"/>
      <c r="E315" s="4"/>
      <c r="F315" s="4"/>
      <c r="G315" s="4"/>
      <c r="H315" s="4"/>
      <c r="I315" s="4"/>
      <c r="J315" s="4"/>
      <c r="K315" s="4"/>
      <c r="L315" s="4"/>
      <c r="M315" s="4"/>
    </row>
    <row r="316" spans="1:13" s="34" customFormat="1">
      <c r="A316" s="4"/>
      <c r="B316" s="4"/>
      <c r="C316" s="4"/>
      <c r="D316" s="4"/>
      <c r="E316" s="4"/>
      <c r="F316" s="4"/>
      <c r="G316" s="4"/>
      <c r="H316" s="4"/>
      <c r="I316" s="4"/>
      <c r="J316" s="4"/>
      <c r="K316" s="4"/>
      <c r="L316" s="4"/>
      <c r="M316" s="4"/>
    </row>
    <row r="317" spans="1:13" s="34" customFormat="1">
      <c r="A317" s="4"/>
      <c r="B317" s="4"/>
      <c r="C317" s="4"/>
      <c r="D317" s="4"/>
      <c r="E317" s="4"/>
      <c r="F317" s="4"/>
      <c r="G317" s="4"/>
      <c r="H317" s="4"/>
      <c r="I317" s="4"/>
      <c r="J317" s="4"/>
      <c r="K317" s="4"/>
      <c r="L317" s="4"/>
      <c r="M317" s="4"/>
    </row>
    <row r="318" spans="1:13" s="34" customFormat="1">
      <c r="A318" s="4"/>
      <c r="B318" s="4"/>
      <c r="C318" s="4"/>
      <c r="D318" s="4"/>
      <c r="E318" s="4"/>
      <c r="F318" s="4"/>
      <c r="G318" s="4"/>
      <c r="H318" s="4"/>
      <c r="I318" s="4"/>
      <c r="J318" s="4"/>
      <c r="K318" s="4"/>
      <c r="L318" s="4"/>
      <c r="M318" s="4"/>
    </row>
    <row r="319" spans="1:13" s="34" customFormat="1">
      <c r="A319" s="4"/>
      <c r="B319" s="4"/>
      <c r="C319" s="4"/>
      <c r="D319" s="4"/>
      <c r="E319" s="4"/>
      <c r="F319" s="4"/>
      <c r="G319" s="4"/>
      <c r="H319" s="4"/>
      <c r="I319" s="4"/>
      <c r="J319" s="4"/>
      <c r="K319" s="4"/>
      <c r="L319" s="4"/>
      <c r="M319" s="4"/>
    </row>
    <row r="320" spans="1:13" s="34" customFormat="1">
      <c r="A320" s="4"/>
      <c r="B320" s="4"/>
      <c r="C320" s="4"/>
      <c r="D320" s="4"/>
      <c r="E320" s="4"/>
      <c r="F320" s="4"/>
      <c r="G320" s="4"/>
      <c r="H320" s="4"/>
      <c r="I320" s="4"/>
      <c r="J320" s="4"/>
      <c r="K320" s="4"/>
      <c r="L320" s="4"/>
      <c r="M320" s="4"/>
    </row>
    <row r="321" spans="1:13" s="34" customFormat="1">
      <c r="A321" s="4"/>
      <c r="B321" s="4"/>
      <c r="C321" s="4"/>
      <c r="D321" s="4"/>
      <c r="E321" s="4"/>
      <c r="F321" s="4"/>
      <c r="G321" s="4"/>
      <c r="H321" s="4"/>
      <c r="I321" s="4"/>
      <c r="J321" s="4"/>
      <c r="K321" s="4"/>
      <c r="L321" s="4"/>
      <c r="M321" s="4"/>
    </row>
    <row r="322" spans="1:13" s="34" customFormat="1">
      <c r="A322" s="4"/>
      <c r="B322" s="4"/>
      <c r="C322" s="4"/>
      <c r="D322" s="4"/>
      <c r="E322" s="4"/>
      <c r="F322" s="4"/>
      <c r="G322" s="4"/>
      <c r="H322" s="4"/>
      <c r="I322" s="4"/>
      <c r="J322" s="4"/>
      <c r="K322" s="4"/>
      <c r="L322" s="4"/>
      <c r="M322" s="4"/>
    </row>
    <row r="323" spans="1:13" s="34" customFormat="1">
      <c r="A323" s="4"/>
      <c r="B323" s="4"/>
      <c r="C323" s="4"/>
      <c r="D323" s="4"/>
      <c r="E323" s="4"/>
      <c r="F323" s="4"/>
      <c r="G323" s="4"/>
      <c r="H323" s="4"/>
      <c r="I323" s="4"/>
      <c r="J323" s="4"/>
      <c r="K323" s="4"/>
      <c r="L323" s="4"/>
      <c r="M323" s="4"/>
    </row>
    <row r="324" spans="1:13" s="34" customFormat="1">
      <c r="A324" s="4"/>
      <c r="B324" s="4"/>
      <c r="C324" s="4"/>
      <c r="D324" s="4"/>
      <c r="E324" s="4"/>
      <c r="F324" s="4"/>
      <c r="G324" s="4"/>
      <c r="H324" s="4"/>
      <c r="I324" s="4"/>
      <c r="J324" s="4"/>
      <c r="K324" s="4"/>
      <c r="L324" s="4"/>
      <c r="M324" s="4"/>
    </row>
    <row r="325" spans="1:13" s="34" customFormat="1">
      <c r="A325" s="4"/>
      <c r="B325" s="4"/>
      <c r="C325" s="4"/>
      <c r="D325" s="4"/>
      <c r="E325" s="4"/>
      <c r="F325" s="4"/>
      <c r="G325" s="4"/>
      <c r="H325" s="4"/>
      <c r="I325" s="4"/>
      <c r="J325" s="4"/>
      <c r="K325" s="4"/>
      <c r="L325" s="4"/>
      <c r="M325" s="4"/>
    </row>
    <row r="326" spans="1:13" s="34" customFormat="1">
      <c r="A326" s="4"/>
      <c r="B326" s="4"/>
      <c r="C326" s="4"/>
      <c r="D326" s="4"/>
      <c r="E326" s="4"/>
      <c r="F326" s="4"/>
      <c r="G326" s="4"/>
      <c r="H326" s="4"/>
      <c r="I326" s="4"/>
      <c r="J326" s="4"/>
      <c r="K326" s="4"/>
      <c r="L326" s="4"/>
      <c r="M326" s="4"/>
    </row>
    <row r="327" spans="1:13" s="34" customFormat="1">
      <c r="A327" s="4"/>
      <c r="B327" s="4"/>
      <c r="C327" s="4"/>
      <c r="D327" s="4"/>
      <c r="E327" s="4"/>
      <c r="F327" s="4"/>
      <c r="G327" s="4"/>
      <c r="H327" s="4"/>
      <c r="I327" s="4"/>
      <c r="J327" s="4"/>
      <c r="K327" s="4"/>
      <c r="L327" s="4"/>
      <c r="M327" s="4"/>
    </row>
    <row r="328" spans="1:13" s="34" customFormat="1">
      <c r="A328" s="4"/>
      <c r="B328" s="4"/>
      <c r="C328" s="4"/>
      <c r="D328" s="4"/>
      <c r="E328" s="4"/>
      <c r="F328" s="4"/>
      <c r="G328" s="4"/>
      <c r="H328" s="4"/>
      <c r="I328" s="4"/>
      <c r="J328" s="4"/>
      <c r="K328" s="4"/>
      <c r="L328" s="4"/>
      <c r="M328" s="4"/>
    </row>
    <row r="329" spans="1:13" s="34" customFormat="1">
      <c r="A329" s="4"/>
      <c r="B329" s="4"/>
      <c r="C329" s="4"/>
      <c r="D329" s="4"/>
      <c r="E329" s="4"/>
      <c r="F329" s="4"/>
      <c r="G329" s="4"/>
      <c r="H329" s="4"/>
      <c r="I329" s="4"/>
      <c r="J329" s="4"/>
      <c r="K329" s="4"/>
      <c r="L329" s="4"/>
      <c r="M329" s="4"/>
    </row>
    <row r="330" spans="1:13" s="34" customFormat="1">
      <c r="A330" s="4"/>
      <c r="B330" s="4"/>
      <c r="C330" s="4"/>
      <c r="D330" s="4"/>
      <c r="E330" s="4"/>
      <c r="F330" s="4"/>
      <c r="G330" s="4"/>
      <c r="H330" s="4"/>
      <c r="I330" s="4"/>
      <c r="J330" s="4"/>
      <c r="K330" s="4"/>
      <c r="L330" s="4"/>
      <c r="M330" s="4"/>
    </row>
    <row r="331" spans="1:13" s="34" customFormat="1">
      <c r="A331" s="4"/>
      <c r="B331" s="4"/>
      <c r="C331" s="4"/>
      <c r="D331" s="4"/>
      <c r="E331" s="4"/>
      <c r="F331" s="4"/>
      <c r="G331" s="4"/>
      <c r="H331" s="4"/>
      <c r="I331" s="4"/>
      <c r="J331" s="4"/>
      <c r="K331" s="4"/>
      <c r="L331" s="4"/>
      <c r="M331" s="4"/>
    </row>
    <row r="332" spans="1:13" s="34" customFormat="1">
      <c r="A332" s="4"/>
      <c r="B332" s="4"/>
      <c r="C332" s="4"/>
      <c r="D332" s="4"/>
      <c r="E332" s="4"/>
      <c r="F332" s="4"/>
      <c r="G332" s="4"/>
      <c r="H332" s="4"/>
      <c r="I332" s="4"/>
      <c r="J332" s="4"/>
      <c r="K332" s="4"/>
      <c r="L332" s="4"/>
      <c r="M332" s="4"/>
    </row>
    <row r="333" spans="1:13" s="34" customFormat="1">
      <c r="A333" s="4"/>
      <c r="B333" s="4"/>
      <c r="C333" s="4"/>
      <c r="D333" s="4"/>
      <c r="E333" s="4"/>
      <c r="F333" s="4"/>
      <c r="G333" s="4"/>
      <c r="H333" s="4"/>
      <c r="I333" s="4"/>
      <c r="J333" s="4"/>
      <c r="K333" s="4"/>
      <c r="L333" s="4"/>
      <c r="M333" s="4"/>
    </row>
    <row r="334" spans="1:13" s="34" customFormat="1">
      <c r="A334" s="4"/>
      <c r="B334" s="4"/>
      <c r="C334" s="4"/>
      <c r="D334" s="4"/>
      <c r="E334" s="4"/>
      <c r="F334" s="4"/>
      <c r="G334" s="4"/>
      <c r="H334" s="4"/>
      <c r="I334" s="4"/>
      <c r="J334" s="4"/>
      <c r="K334" s="4"/>
      <c r="L334" s="4"/>
      <c r="M334" s="4"/>
    </row>
    <row r="335" spans="1:13" s="34" customFormat="1">
      <c r="A335" s="4"/>
      <c r="B335" s="4"/>
      <c r="C335" s="4"/>
      <c r="D335" s="4"/>
      <c r="E335" s="4"/>
      <c r="F335" s="4"/>
      <c r="G335" s="4"/>
      <c r="H335" s="4"/>
      <c r="I335" s="4"/>
      <c r="J335" s="4"/>
      <c r="K335" s="4"/>
      <c r="L335" s="4"/>
      <c r="M335" s="4"/>
    </row>
    <row r="336" spans="1:13" s="34" customFormat="1">
      <c r="A336" s="4"/>
      <c r="B336" s="4"/>
      <c r="C336" s="4"/>
      <c r="D336" s="4"/>
      <c r="E336" s="4"/>
      <c r="F336" s="4"/>
      <c r="G336" s="4"/>
      <c r="H336" s="4"/>
      <c r="I336" s="4"/>
      <c r="J336" s="4"/>
      <c r="K336" s="4"/>
      <c r="L336" s="4"/>
      <c r="M336" s="4"/>
    </row>
    <row r="337" spans="1:13" s="34" customFormat="1">
      <c r="A337" s="4"/>
      <c r="B337" s="4"/>
      <c r="C337" s="4"/>
      <c r="D337" s="4"/>
      <c r="E337" s="4"/>
      <c r="F337" s="4"/>
      <c r="G337" s="4"/>
      <c r="H337" s="4"/>
      <c r="I337" s="4"/>
      <c r="J337" s="4"/>
      <c r="K337" s="4"/>
      <c r="L337" s="4"/>
      <c r="M337" s="4"/>
    </row>
    <row r="338" spans="1:13" s="34" customFormat="1">
      <c r="A338" s="4"/>
      <c r="B338" s="4"/>
      <c r="C338" s="4"/>
      <c r="D338" s="4"/>
      <c r="E338" s="4"/>
      <c r="F338" s="4"/>
      <c r="G338" s="4"/>
      <c r="H338" s="4"/>
      <c r="I338" s="4"/>
      <c r="J338" s="4"/>
      <c r="K338" s="4"/>
      <c r="L338" s="4"/>
      <c r="M338" s="4"/>
    </row>
    <row r="339" spans="1:13" s="34" customFormat="1">
      <c r="A339" s="4"/>
      <c r="B339" s="4"/>
      <c r="C339" s="4"/>
      <c r="D339" s="4"/>
      <c r="E339" s="4"/>
      <c r="F339" s="4"/>
      <c r="G339" s="4"/>
      <c r="H339" s="4"/>
      <c r="I339" s="4"/>
      <c r="J339" s="4"/>
      <c r="K339" s="4"/>
      <c r="L339" s="4"/>
      <c r="M339" s="4"/>
    </row>
    <row r="340" spans="1:13" s="34" customFormat="1">
      <c r="A340" s="4"/>
      <c r="B340" s="4"/>
      <c r="C340" s="4"/>
      <c r="D340" s="4"/>
      <c r="E340" s="4"/>
      <c r="F340" s="4"/>
      <c r="G340" s="4"/>
      <c r="H340" s="4"/>
      <c r="I340" s="4"/>
      <c r="J340" s="4"/>
      <c r="K340" s="4"/>
      <c r="L340" s="4"/>
      <c r="M340" s="4"/>
    </row>
    <row r="341" spans="1:13" s="34" customFormat="1">
      <c r="A341" s="4"/>
      <c r="B341" s="4"/>
      <c r="C341" s="4"/>
      <c r="D341" s="4"/>
      <c r="E341" s="4"/>
      <c r="F341" s="4"/>
      <c r="G341" s="4"/>
      <c r="H341" s="4"/>
      <c r="I341" s="4"/>
      <c r="J341" s="4"/>
      <c r="K341" s="4"/>
      <c r="L341" s="4"/>
      <c r="M341" s="4"/>
    </row>
    <row r="342" spans="1:13" s="34" customFormat="1">
      <c r="A342" s="4"/>
      <c r="B342" s="4"/>
      <c r="C342" s="4"/>
      <c r="D342" s="4"/>
      <c r="E342" s="4"/>
      <c r="F342" s="4"/>
      <c r="G342" s="4"/>
      <c r="H342" s="4"/>
      <c r="I342" s="4"/>
      <c r="J342" s="4"/>
      <c r="K342" s="4"/>
      <c r="L342" s="4"/>
      <c r="M342" s="4"/>
    </row>
    <row r="343" spans="1:13" s="34" customFormat="1">
      <c r="A343" s="4"/>
      <c r="B343" s="4"/>
      <c r="C343" s="4"/>
      <c r="D343" s="4"/>
      <c r="E343" s="4"/>
      <c r="F343" s="4"/>
      <c r="G343" s="4"/>
      <c r="H343" s="4"/>
      <c r="I343" s="4"/>
      <c r="J343" s="4"/>
      <c r="K343" s="4"/>
      <c r="L343" s="4"/>
      <c r="M343" s="4"/>
    </row>
    <row r="344" spans="1:13" s="34" customFormat="1">
      <c r="A344" s="4"/>
      <c r="B344" s="4"/>
      <c r="C344" s="4"/>
      <c r="D344" s="4"/>
      <c r="E344" s="4"/>
      <c r="F344" s="4"/>
      <c r="G344" s="4"/>
      <c r="H344" s="4"/>
      <c r="I344" s="4"/>
      <c r="J344" s="4"/>
      <c r="K344" s="4"/>
      <c r="L344" s="4"/>
      <c r="M344" s="4"/>
    </row>
    <row r="345" spans="1:13" s="34" customFormat="1">
      <c r="A345" s="4"/>
      <c r="B345" s="4"/>
      <c r="C345" s="4"/>
      <c r="D345" s="4"/>
      <c r="E345" s="4"/>
      <c r="F345" s="4"/>
      <c r="G345" s="4"/>
      <c r="H345" s="4"/>
      <c r="I345" s="4"/>
      <c r="J345" s="4"/>
      <c r="K345" s="4"/>
      <c r="L345" s="4"/>
      <c r="M345" s="4"/>
    </row>
    <row r="346" spans="1:13" s="34" customFormat="1">
      <c r="A346" s="4"/>
      <c r="B346" s="4"/>
      <c r="C346" s="4"/>
      <c r="D346" s="4"/>
      <c r="E346" s="4"/>
      <c r="F346" s="4"/>
      <c r="G346" s="4"/>
      <c r="H346" s="4"/>
      <c r="I346" s="4"/>
      <c r="J346" s="4"/>
      <c r="K346" s="4"/>
      <c r="L346" s="4"/>
      <c r="M346" s="4"/>
    </row>
    <row r="347" spans="1:13" s="34" customFormat="1">
      <c r="A347" s="4"/>
      <c r="B347" s="4"/>
      <c r="C347" s="4"/>
      <c r="D347" s="4"/>
      <c r="E347" s="4"/>
      <c r="F347" s="4"/>
      <c r="G347" s="4"/>
      <c r="H347" s="4"/>
      <c r="I347" s="4"/>
      <c r="J347" s="4"/>
      <c r="K347" s="4"/>
      <c r="L347" s="4"/>
      <c r="M347" s="4"/>
    </row>
    <row r="348" spans="1:13" s="34" customFormat="1">
      <c r="A348" s="4"/>
      <c r="B348" s="4"/>
      <c r="C348" s="4"/>
      <c r="D348" s="4"/>
      <c r="E348" s="4"/>
      <c r="F348" s="4"/>
      <c r="G348" s="4"/>
      <c r="H348" s="4"/>
      <c r="I348" s="4"/>
      <c r="J348" s="4"/>
      <c r="K348" s="4"/>
      <c r="L348" s="4"/>
      <c r="M348" s="4"/>
    </row>
    <row r="349" spans="1:13" s="34" customFormat="1">
      <c r="A349" s="4"/>
      <c r="B349" s="4"/>
      <c r="C349" s="4"/>
      <c r="D349" s="4"/>
      <c r="E349" s="4"/>
      <c r="F349" s="4"/>
      <c r="G349" s="4"/>
      <c r="H349" s="4"/>
      <c r="I349" s="4"/>
      <c r="J349" s="4"/>
      <c r="K349" s="4"/>
      <c r="L349" s="4"/>
      <c r="M349" s="4"/>
    </row>
    <row r="350" spans="1:13" s="34" customFormat="1">
      <c r="A350" s="4"/>
      <c r="B350" s="4"/>
      <c r="C350" s="4"/>
      <c r="D350" s="4"/>
      <c r="E350" s="4"/>
      <c r="F350" s="4"/>
      <c r="G350" s="4"/>
      <c r="H350" s="4"/>
      <c r="I350" s="4"/>
      <c r="J350" s="4"/>
      <c r="K350" s="4"/>
      <c r="L350" s="4"/>
      <c r="M350" s="4"/>
    </row>
    <row r="351" spans="1:13" s="34" customFormat="1">
      <c r="A351" s="4"/>
      <c r="B351" s="4"/>
      <c r="C351" s="4"/>
      <c r="D351" s="4"/>
      <c r="E351" s="4"/>
      <c r="F351" s="4"/>
      <c r="G351" s="4"/>
      <c r="H351" s="4"/>
      <c r="I351" s="4"/>
      <c r="J351" s="4"/>
      <c r="K351" s="4"/>
      <c r="L351" s="4"/>
      <c r="M351" s="4"/>
    </row>
    <row r="352" spans="1:13" s="34" customFormat="1">
      <c r="A352" s="4"/>
      <c r="B352" s="4"/>
      <c r="C352" s="4"/>
      <c r="D352" s="4"/>
      <c r="E352" s="4"/>
      <c r="F352" s="4"/>
      <c r="G352" s="4"/>
      <c r="H352" s="4"/>
      <c r="I352" s="4"/>
      <c r="J352" s="4"/>
      <c r="K352" s="4"/>
      <c r="L352" s="4"/>
      <c r="M352" s="4"/>
    </row>
    <row r="353" spans="1:13" s="34" customFormat="1">
      <c r="A353" s="4"/>
      <c r="B353" s="4"/>
      <c r="C353" s="4"/>
      <c r="D353" s="4"/>
      <c r="E353" s="4"/>
      <c r="F353" s="4"/>
      <c r="G353" s="4"/>
      <c r="H353" s="4"/>
      <c r="I353" s="4"/>
      <c r="J353" s="4"/>
      <c r="K353" s="4"/>
      <c r="L353" s="4"/>
      <c r="M353" s="4"/>
    </row>
    <row r="354" spans="1:13" s="34" customFormat="1">
      <c r="A354" s="4"/>
      <c r="B354" s="4"/>
      <c r="C354" s="4"/>
      <c r="D354" s="4"/>
      <c r="E354" s="4"/>
      <c r="F354" s="4"/>
      <c r="G354" s="4"/>
      <c r="H354" s="4"/>
      <c r="I354" s="4"/>
      <c r="J354" s="4"/>
      <c r="K354" s="4"/>
      <c r="L354" s="4"/>
      <c r="M354" s="4"/>
    </row>
    <row r="355" spans="1:13" s="34" customFormat="1">
      <c r="A355" s="4"/>
      <c r="B355" s="4"/>
      <c r="C355" s="4"/>
      <c r="D355" s="4"/>
      <c r="E355" s="4"/>
      <c r="F355" s="4"/>
      <c r="G355" s="4"/>
      <c r="H355" s="4"/>
      <c r="I355" s="4"/>
      <c r="J355" s="4"/>
      <c r="K355" s="4"/>
      <c r="L355" s="4"/>
      <c r="M355" s="4"/>
    </row>
    <row r="356" spans="1:13" s="34" customFormat="1">
      <c r="A356" s="4"/>
      <c r="B356" s="4"/>
      <c r="C356" s="4"/>
      <c r="D356" s="4"/>
      <c r="E356" s="4"/>
      <c r="F356" s="4"/>
      <c r="G356" s="4"/>
      <c r="H356" s="4"/>
      <c r="I356" s="4"/>
      <c r="J356" s="4"/>
      <c r="K356" s="4"/>
      <c r="L356" s="4"/>
      <c r="M356" s="4"/>
    </row>
    <row r="357" spans="1:13" s="34" customFormat="1">
      <c r="A357" s="4"/>
      <c r="B357" s="4"/>
      <c r="C357" s="4"/>
      <c r="D357" s="4"/>
      <c r="E357" s="4"/>
      <c r="F357" s="4"/>
      <c r="G357" s="4"/>
      <c r="H357" s="4"/>
      <c r="I357" s="4"/>
      <c r="J357" s="4"/>
      <c r="K357" s="4"/>
      <c r="L357" s="4"/>
      <c r="M357" s="4"/>
    </row>
    <row r="358" spans="1:13" s="34" customFormat="1">
      <c r="A358" s="4"/>
      <c r="B358" s="4"/>
      <c r="C358" s="4"/>
      <c r="D358" s="4"/>
      <c r="E358" s="4"/>
      <c r="F358" s="4"/>
      <c r="G358" s="4"/>
      <c r="H358" s="4"/>
      <c r="I358" s="4"/>
      <c r="J358" s="4"/>
      <c r="K358" s="4"/>
      <c r="L358" s="4"/>
      <c r="M358" s="4"/>
    </row>
    <row r="359" spans="1:13" s="34" customFormat="1">
      <c r="A359" s="4"/>
      <c r="B359" s="4"/>
      <c r="C359" s="4"/>
      <c r="D359" s="4"/>
      <c r="E359" s="4"/>
      <c r="F359" s="4"/>
      <c r="G359" s="4"/>
      <c r="H359" s="4"/>
      <c r="I359" s="4"/>
      <c r="J359" s="4"/>
      <c r="K359" s="4"/>
      <c r="L359" s="4"/>
      <c r="M359" s="4"/>
    </row>
    <row r="360" spans="1:13" s="34" customFormat="1">
      <c r="A360" s="4"/>
      <c r="B360" s="4"/>
      <c r="C360" s="4"/>
      <c r="D360" s="4"/>
      <c r="E360" s="4"/>
      <c r="F360" s="4"/>
      <c r="G360" s="4"/>
      <c r="H360" s="4"/>
      <c r="I360" s="4"/>
      <c r="J360" s="4"/>
      <c r="K360" s="4"/>
      <c r="L360" s="4"/>
      <c r="M360" s="4"/>
    </row>
    <row r="361" spans="1:13" s="34" customFormat="1">
      <c r="A361" s="4"/>
      <c r="B361" s="4"/>
      <c r="C361" s="4"/>
      <c r="D361" s="4"/>
      <c r="E361" s="4"/>
      <c r="F361" s="4"/>
      <c r="G361" s="4"/>
      <c r="H361" s="4"/>
      <c r="I361" s="4"/>
      <c r="J361" s="4"/>
      <c r="K361" s="4"/>
      <c r="L361" s="4"/>
      <c r="M361" s="4"/>
    </row>
    <row r="362" spans="1:13" s="34" customFormat="1">
      <c r="A362" s="4"/>
      <c r="B362" s="4"/>
      <c r="C362" s="4"/>
      <c r="D362" s="4"/>
      <c r="E362" s="4"/>
      <c r="F362" s="4"/>
      <c r="G362" s="4"/>
      <c r="H362" s="4"/>
      <c r="I362" s="4"/>
      <c r="J362" s="4"/>
      <c r="K362" s="4"/>
      <c r="L362" s="4"/>
      <c r="M362" s="4"/>
    </row>
    <row r="363" spans="1:13" s="34" customFormat="1">
      <c r="A363" s="4"/>
      <c r="B363" s="4"/>
      <c r="C363" s="4"/>
      <c r="D363" s="4"/>
      <c r="E363" s="4"/>
      <c r="F363" s="4"/>
      <c r="G363" s="4"/>
      <c r="H363" s="4"/>
      <c r="I363" s="4"/>
      <c r="J363" s="4"/>
      <c r="K363" s="4"/>
      <c r="L363" s="4"/>
      <c r="M363" s="4"/>
    </row>
    <row r="364" spans="1:13" s="34" customFormat="1">
      <c r="A364" s="4"/>
      <c r="B364" s="4"/>
      <c r="C364" s="4"/>
      <c r="D364" s="4"/>
      <c r="E364" s="4"/>
      <c r="F364" s="4"/>
      <c r="G364" s="4"/>
      <c r="H364" s="4"/>
      <c r="I364" s="4"/>
      <c r="J364" s="4"/>
      <c r="K364" s="4"/>
      <c r="L364" s="4"/>
      <c r="M364" s="4"/>
    </row>
    <row r="365" spans="1:13" s="34" customFormat="1">
      <c r="A365" s="4"/>
      <c r="B365" s="4"/>
      <c r="C365" s="4"/>
      <c r="D365" s="4"/>
      <c r="E365" s="4"/>
      <c r="F365" s="4"/>
      <c r="G365" s="4"/>
      <c r="H365" s="4"/>
      <c r="I365" s="4"/>
      <c r="J365" s="4"/>
      <c r="K365" s="4"/>
      <c r="L365" s="4"/>
      <c r="M365" s="4"/>
    </row>
    <row r="366" spans="1:13" s="34" customFormat="1">
      <c r="A366" s="4"/>
      <c r="B366" s="4"/>
      <c r="C366" s="4"/>
      <c r="D366" s="4"/>
      <c r="E366" s="4"/>
      <c r="F366" s="4"/>
      <c r="G366" s="4"/>
      <c r="H366" s="4"/>
      <c r="I366" s="4"/>
      <c r="J366" s="4"/>
      <c r="K366" s="4"/>
      <c r="L366" s="4"/>
      <c r="M366" s="4"/>
    </row>
    <row r="367" spans="1:13" s="34" customFormat="1">
      <c r="A367" s="4"/>
      <c r="B367" s="4"/>
      <c r="C367" s="4"/>
      <c r="D367" s="4"/>
      <c r="E367" s="4"/>
      <c r="F367" s="4"/>
      <c r="G367" s="4"/>
      <c r="H367" s="4"/>
      <c r="I367" s="4"/>
      <c r="J367" s="4"/>
      <c r="K367" s="4"/>
      <c r="L367" s="4"/>
      <c r="M367" s="4"/>
    </row>
    <row r="368" spans="1:13" s="34" customFormat="1">
      <c r="A368" s="4"/>
      <c r="B368" s="4"/>
      <c r="C368" s="4"/>
      <c r="D368" s="4"/>
      <c r="E368" s="4"/>
      <c r="F368" s="4"/>
      <c r="G368" s="4"/>
      <c r="H368" s="4"/>
      <c r="I368" s="4"/>
      <c r="J368" s="4"/>
      <c r="K368" s="4"/>
      <c r="L368" s="4"/>
      <c r="M368" s="4"/>
    </row>
    <row r="369" spans="1:13" s="34" customFormat="1">
      <c r="A369" s="4"/>
      <c r="B369" s="4"/>
      <c r="C369" s="4"/>
      <c r="D369" s="4"/>
      <c r="E369" s="4"/>
      <c r="F369" s="4"/>
      <c r="G369" s="4"/>
      <c r="H369" s="4"/>
      <c r="I369" s="4"/>
      <c r="J369" s="4"/>
      <c r="K369" s="4"/>
      <c r="L369" s="4"/>
      <c r="M369" s="4"/>
    </row>
    <row r="370" spans="1:13" s="34" customFormat="1">
      <c r="A370" s="4"/>
      <c r="B370" s="4"/>
      <c r="C370" s="4"/>
      <c r="D370" s="4"/>
      <c r="E370" s="4"/>
      <c r="F370" s="4"/>
      <c r="G370" s="4"/>
      <c r="H370" s="4"/>
      <c r="I370" s="4"/>
      <c r="J370" s="4"/>
      <c r="K370" s="4"/>
      <c r="L370" s="4"/>
      <c r="M370" s="4"/>
    </row>
    <row r="371" spans="1:13" s="34" customFormat="1">
      <c r="A371" s="4"/>
      <c r="B371" s="4"/>
      <c r="C371" s="4"/>
      <c r="D371" s="4"/>
      <c r="E371" s="4"/>
      <c r="F371" s="4"/>
      <c r="G371" s="4"/>
      <c r="H371" s="4"/>
      <c r="I371" s="4"/>
      <c r="J371" s="4"/>
      <c r="K371" s="4"/>
      <c r="L371" s="4"/>
      <c r="M371" s="4"/>
    </row>
    <row r="372" spans="1:13" s="34" customFormat="1">
      <c r="A372" s="4"/>
      <c r="B372" s="4"/>
      <c r="C372" s="4"/>
      <c r="D372" s="4"/>
      <c r="E372" s="4"/>
      <c r="F372" s="4"/>
      <c r="G372" s="4"/>
      <c r="H372" s="4"/>
      <c r="I372" s="4"/>
      <c r="J372" s="4"/>
      <c r="K372" s="4"/>
      <c r="L372" s="4"/>
      <c r="M372" s="4"/>
    </row>
    <row r="373" spans="1:13" s="34" customFormat="1">
      <c r="A373" s="4"/>
      <c r="B373" s="4"/>
      <c r="C373" s="4"/>
      <c r="D373" s="4"/>
      <c r="E373" s="4"/>
      <c r="F373" s="4"/>
      <c r="G373" s="4"/>
      <c r="H373" s="4"/>
      <c r="I373" s="4"/>
      <c r="J373" s="4"/>
      <c r="K373" s="4"/>
      <c r="L373" s="4"/>
      <c r="M373" s="4"/>
    </row>
    <row r="374" spans="1:13" s="34" customFormat="1">
      <c r="A374" s="4"/>
      <c r="B374" s="4"/>
      <c r="C374" s="4"/>
      <c r="D374" s="4"/>
      <c r="E374" s="4"/>
      <c r="F374" s="4"/>
      <c r="G374" s="4"/>
      <c r="H374" s="4"/>
      <c r="I374" s="4"/>
      <c r="J374" s="4"/>
      <c r="K374" s="4"/>
      <c r="L374" s="4"/>
      <c r="M374" s="4"/>
    </row>
    <row r="375" spans="1:13" s="34" customFormat="1">
      <c r="A375" s="4"/>
      <c r="B375" s="4"/>
      <c r="C375" s="4"/>
      <c r="D375" s="4"/>
      <c r="E375" s="4"/>
      <c r="F375" s="4"/>
      <c r="G375" s="4"/>
      <c r="H375" s="4"/>
      <c r="I375" s="4"/>
      <c r="J375" s="4"/>
      <c r="K375" s="4"/>
      <c r="L375" s="4"/>
      <c r="M375" s="4"/>
    </row>
    <row r="376" spans="1:13" s="34" customFormat="1">
      <c r="A376" s="4"/>
      <c r="B376" s="4"/>
      <c r="C376" s="4"/>
      <c r="D376" s="4"/>
      <c r="E376" s="4"/>
      <c r="F376" s="4"/>
      <c r="G376" s="4"/>
      <c r="H376" s="4"/>
      <c r="I376" s="4"/>
      <c r="J376" s="4"/>
      <c r="K376" s="4"/>
      <c r="L376" s="4"/>
      <c r="M376" s="4"/>
    </row>
    <row r="377" spans="1:13" s="34" customFormat="1">
      <c r="A377" s="4"/>
      <c r="B377" s="4"/>
      <c r="C377" s="4"/>
      <c r="D377" s="4"/>
      <c r="E377" s="4"/>
      <c r="F377" s="4"/>
      <c r="G377" s="4"/>
      <c r="H377" s="4"/>
      <c r="I377" s="4"/>
      <c r="J377" s="4"/>
      <c r="K377" s="4"/>
      <c r="L377" s="4"/>
      <c r="M377" s="4"/>
    </row>
    <row r="378" spans="1:13" s="34" customFormat="1">
      <c r="A378" s="4"/>
      <c r="B378" s="4"/>
      <c r="C378" s="4"/>
      <c r="D378" s="4"/>
      <c r="E378" s="4"/>
      <c r="F378" s="4"/>
      <c r="G378" s="4"/>
      <c r="H378" s="4"/>
      <c r="I378" s="4"/>
      <c r="J378" s="4"/>
      <c r="K378" s="4"/>
      <c r="L378" s="4"/>
      <c r="M378" s="4"/>
    </row>
    <row r="379" spans="1:13" s="34" customFormat="1">
      <c r="A379" s="4"/>
      <c r="B379" s="4"/>
      <c r="C379" s="4"/>
      <c r="D379" s="4"/>
      <c r="E379" s="4"/>
      <c r="F379" s="4"/>
      <c r="G379" s="4"/>
      <c r="H379" s="4"/>
      <c r="I379" s="4"/>
      <c r="J379" s="4"/>
      <c r="K379" s="4"/>
      <c r="L379" s="4"/>
      <c r="M379" s="4"/>
    </row>
    <row r="380" spans="1:13" s="34" customFormat="1">
      <c r="A380" s="4"/>
      <c r="B380" s="4"/>
      <c r="C380" s="4"/>
      <c r="D380" s="4"/>
      <c r="E380" s="4"/>
      <c r="F380" s="4"/>
      <c r="G380" s="4"/>
      <c r="H380" s="4"/>
      <c r="I380" s="4"/>
      <c r="J380" s="4"/>
      <c r="K380" s="4"/>
      <c r="L380" s="4"/>
      <c r="M380" s="4"/>
    </row>
    <row r="381" spans="1:13" s="34" customFormat="1">
      <c r="A381" s="4"/>
      <c r="B381" s="4"/>
      <c r="C381" s="4"/>
      <c r="D381" s="4"/>
      <c r="E381" s="4"/>
      <c r="F381" s="4"/>
      <c r="G381" s="4"/>
      <c r="H381" s="4"/>
      <c r="I381" s="4"/>
      <c r="J381" s="4"/>
      <c r="K381" s="4"/>
      <c r="L381" s="4"/>
      <c r="M381" s="4"/>
    </row>
    <row r="382" spans="1:13" s="34" customFormat="1">
      <c r="A382" s="4"/>
      <c r="B382" s="4"/>
      <c r="C382" s="4"/>
      <c r="D382" s="4"/>
      <c r="E382" s="4"/>
      <c r="F382" s="4"/>
      <c r="G382" s="4"/>
      <c r="H382" s="4"/>
      <c r="I382" s="4"/>
      <c r="J382" s="4"/>
      <c r="K382" s="4"/>
      <c r="L382" s="4"/>
      <c r="M382" s="4"/>
    </row>
    <row r="383" spans="1:13" s="34" customFormat="1">
      <c r="A383" s="4"/>
      <c r="B383" s="4"/>
      <c r="C383" s="4"/>
      <c r="D383" s="4"/>
      <c r="E383" s="4"/>
      <c r="F383" s="4"/>
      <c r="G383" s="4"/>
      <c r="H383" s="4"/>
      <c r="I383" s="4"/>
      <c r="J383" s="4"/>
      <c r="K383" s="4"/>
      <c r="L383" s="4"/>
      <c r="M383" s="4"/>
    </row>
    <row r="384" spans="1:13" s="34" customFormat="1">
      <c r="A384" s="4"/>
      <c r="B384" s="4"/>
      <c r="C384" s="4"/>
      <c r="D384" s="4"/>
      <c r="E384" s="4"/>
      <c r="F384" s="4"/>
      <c r="G384" s="4"/>
      <c r="H384" s="4"/>
      <c r="I384" s="4"/>
      <c r="J384" s="4"/>
      <c r="K384" s="4"/>
      <c r="L384" s="4"/>
      <c r="M384" s="4"/>
    </row>
    <row r="385" spans="1:13" s="34" customFormat="1">
      <c r="A385" s="4"/>
      <c r="B385" s="4"/>
      <c r="C385" s="4"/>
      <c r="D385" s="4"/>
      <c r="E385" s="4"/>
      <c r="F385" s="4"/>
      <c r="G385" s="4"/>
      <c r="H385" s="4"/>
      <c r="I385" s="4"/>
      <c r="J385" s="4"/>
      <c r="K385" s="4"/>
      <c r="L385" s="4"/>
      <c r="M385" s="4"/>
    </row>
    <row r="386" spans="1:13" s="34" customFormat="1">
      <c r="A386" s="4"/>
      <c r="B386" s="4"/>
      <c r="C386" s="4"/>
      <c r="D386" s="4"/>
      <c r="E386" s="4"/>
      <c r="F386" s="4"/>
      <c r="G386" s="4"/>
      <c r="H386" s="4"/>
      <c r="I386" s="4"/>
      <c r="J386" s="4"/>
      <c r="K386" s="4"/>
      <c r="L386" s="4"/>
      <c r="M386" s="4"/>
    </row>
    <row r="387" spans="1:13" s="34" customFormat="1">
      <c r="A387" s="4"/>
      <c r="B387" s="4"/>
      <c r="C387" s="4"/>
      <c r="D387" s="4"/>
      <c r="E387" s="4"/>
      <c r="F387" s="4"/>
      <c r="G387" s="4"/>
      <c r="H387" s="4"/>
      <c r="I387" s="4"/>
      <c r="J387" s="4"/>
      <c r="K387" s="4"/>
      <c r="L387" s="4"/>
      <c r="M387" s="4"/>
    </row>
    <row r="388" spans="1:13" s="34" customFormat="1">
      <c r="A388" s="4"/>
      <c r="B388" s="4"/>
      <c r="C388" s="4"/>
      <c r="D388" s="4"/>
      <c r="E388" s="4"/>
      <c r="F388" s="4"/>
      <c r="G388" s="4"/>
      <c r="H388" s="4"/>
      <c r="I388" s="4"/>
      <c r="J388" s="4"/>
      <c r="K388" s="4"/>
      <c r="L388" s="4"/>
      <c r="M388" s="4"/>
    </row>
    <row r="389" spans="1:13" s="34" customFormat="1">
      <c r="A389" s="4"/>
      <c r="B389" s="4"/>
      <c r="C389" s="4"/>
      <c r="D389" s="4"/>
      <c r="E389" s="4"/>
      <c r="F389" s="4"/>
      <c r="G389" s="4"/>
      <c r="H389" s="4"/>
      <c r="I389" s="4"/>
      <c r="J389" s="4"/>
      <c r="K389" s="4"/>
      <c r="L389" s="4"/>
      <c r="M389" s="4"/>
    </row>
    <row r="390" spans="1:13" s="34" customFormat="1">
      <c r="A390" s="4"/>
      <c r="B390" s="4"/>
      <c r="C390" s="4"/>
      <c r="D390" s="4"/>
      <c r="E390" s="4"/>
      <c r="F390" s="4"/>
      <c r="G390" s="4"/>
      <c r="H390" s="4"/>
      <c r="I390" s="4"/>
      <c r="J390" s="4"/>
      <c r="K390" s="4"/>
      <c r="L390" s="4"/>
      <c r="M390" s="4"/>
    </row>
    <row r="391" spans="1:13" s="34" customFormat="1">
      <c r="A391" s="4"/>
      <c r="B391" s="4"/>
      <c r="C391" s="4"/>
      <c r="D391" s="4"/>
      <c r="E391" s="4"/>
      <c r="F391" s="4"/>
      <c r="G391" s="4"/>
      <c r="H391" s="4"/>
      <c r="I391" s="4"/>
      <c r="J391" s="4"/>
      <c r="K391" s="4"/>
      <c r="L391" s="4"/>
      <c r="M391" s="4"/>
    </row>
    <row r="392" spans="1:13" s="34" customFormat="1">
      <c r="A392" s="4"/>
      <c r="B392" s="4"/>
      <c r="C392" s="4"/>
      <c r="D392" s="4"/>
      <c r="E392" s="4"/>
      <c r="F392" s="4"/>
      <c r="G392" s="4"/>
      <c r="H392" s="4"/>
      <c r="I392" s="4"/>
      <c r="J392" s="4"/>
      <c r="K392" s="4"/>
      <c r="L392" s="4"/>
      <c r="M392" s="4"/>
    </row>
    <row r="393" spans="1:13" s="34" customFormat="1">
      <c r="A393" s="4"/>
      <c r="B393" s="4"/>
      <c r="C393" s="4"/>
      <c r="D393" s="4"/>
      <c r="E393" s="4"/>
      <c r="F393" s="4"/>
      <c r="G393" s="4"/>
      <c r="H393" s="4"/>
      <c r="I393" s="4"/>
      <c r="J393" s="4"/>
      <c r="K393" s="4"/>
      <c r="L393" s="4"/>
      <c r="M393" s="4"/>
    </row>
    <row r="394" spans="1:13" s="34" customFormat="1">
      <c r="A394" s="4"/>
      <c r="B394" s="4"/>
      <c r="C394" s="4"/>
      <c r="D394" s="4"/>
      <c r="E394" s="4"/>
      <c r="F394" s="4"/>
      <c r="G394" s="4"/>
      <c r="H394" s="4"/>
      <c r="I394" s="4"/>
      <c r="J394" s="4"/>
      <c r="K394" s="4"/>
      <c r="L394" s="4"/>
      <c r="M394" s="4"/>
    </row>
    <row r="395" spans="1:13" s="34" customFormat="1">
      <c r="A395" s="4"/>
      <c r="B395" s="4"/>
      <c r="C395" s="4"/>
      <c r="D395" s="4"/>
      <c r="E395" s="4"/>
      <c r="F395" s="4"/>
      <c r="G395" s="4"/>
      <c r="H395" s="4"/>
      <c r="I395" s="4"/>
      <c r="J395" s="4"/>
      <c r="K395" s="4"/>
      <c r="L395" s="4"/>
      <c r="M395" s="4"/>
    </row>
    <row r="396" spans="1:13" s="34" customFormat="1">
      <c r="A396" s="4"/>
      <c r="B396" s="4"/>
      <c r="C396" s="4"/>
      <c r="D396" s="4"/>
      <c r="E396" s="4"/>
      <c r="F396" s="4"/>
      <c r="G396" s="4"/>
      <c r="H396" s="4"/>
      <c r="I396" s="4"/>
      <c r="J396" s="4"/>
      <c r="K396" s="4"/>
      <c r="L396" s="4"/>
      <c r="M396" s="4"/>
    </row>
    <row r="397" spans="1:13" s="34" customFormat="1">
      <c r="A397" s="4"/>
      <c r="B397" s="4"/>
      <c r="C397" s="4"/>
      <c r="D397" s="4"/>
      <c r="E397" s="4"/>
      <c r="F397" s="4"/>
      <c r="G397" s="4"/>
      <c r="H397" s="4"/>
      <c r="I397" s="4"/>
      <c r="J397" s="4"/>
      <c r="K397" s="4"/>
      <c r="L397" s="4"/>
      <c r="M397" s="4"/>
    </row>
    <row r="398" spans="1:13" s="34" customFormat="1">
      <c r="A398" s="4"/>
      <c r="B398" s="4"/>
      <c r="C398" s="4"/>
      <c r="D398" s="4"/>
      <c r="E398" s="4"/>
      <c r="F398" s="4"/>
      <c r="G398" s="4"/>
      <c r="H398" s="4"/>
      <c r="I398" s="4"/>
      <c r="J398" s="4"/>
      <c r="K398" s="4"/>
      <c r="L398" s="4"/>
      <c r="M398" s="4"/>
    </row>
    <row r="399" spans="1:13" s="34" customFormat="1">
      <c r="A399" s="4"/>
      <c r="B399" s="4"/>
      <c r="C399" s="4"/>
      <c r="D399" s="4"/>
      <c r="E399" s="4"/>
      <c r="F399" s="4"/>
      <c r="G399" s="4"/>
      <c r="H399" s="4"/>
      <c r="I399" s="4"/>
      <c r="J399" s="4"/>
      <c r="K399" s="4"/>
      <c r="L399" s="4"/>
      <c r="M399" s="4"/>
    </row>
    <row r="400" spans="1:13" s="34" customFormat="1">
      <c r="A400" s="4"/>
      <c r="B400" s="4"/>
      <c r="C400" s="4"/>
      <c r="D400" s="4"/>
      <c r="E400" s="4"/>
      <c r="F400" s="4"/>
      <c r="G400" s="4"/>
      <c r="H400" s="4"/>
      <c r="I400" s="4"/>
      <c r="J400" s="4"/>
      <c r="K400" s="4"/>
      <c r="L400" s="4"/>
      <c r="M400" s="4"/>
    </row>
    <row r="401" spans="1:13" s="34" customFormat="1">
      <c r="A401" s="4"/>
      <c r="B401" s="4"/>
      <c r="C401" s="4"/>
      <c r="D401" s="4"/>
      <c r="E401" s="4"/>
      <c r="F401" s="4"/>
      <c r="G401" s="4"/>
      <c r="H401" s="4"/>
      <c r="I401" s="4"/>
      <c r="J401" s="4"/>
      <c r="K401" s="4"/>
      <c r="L401" s="4"/>
      <c r="M401" s="4"/>
    </row>
    <row r="402" spans="1:13" s="34" customFormat="1">
      <c r="A402" s="4"/>
      <c r="B402" s="4"/>
      <c r="C402" s="4"/>
      <c r="D402" s="4"/>
      <c r="E402" s="4"/>
      <c r="F402" s="4"/>
      <c r="G402" s="4"/>
      <c r="H402" s="4"/>
      <c r="I402" s="4"/>
      <c r="J402" s="4"/>
      <c r="K402" s="4"/>
      <c r="L402" s="4"/>
      <c r="M402" s="4"/>
    </row>
    <row r="403" spans="1:13" s="34" customFormat="1">
      <c r="A403" s="4"/>
      <c r="B403" s="4"/>
      <c r="C403" s="4"/>
      <c r="D403" s="4"/>
      <c r="E403" s="4"/>
      <c r="F403" s="4"/>
      <c r="G403" s="4"/>
      <c r="H403" s="4"/>
      <c r="I403" s="4"/>
      <c r="J403" s="4"/>
      <c r="K403" s="4"/>
      <c r="L403" s="4"/>
      <c r="M403" s="4"/>
    </row>
    <row r="404" spans="1:13" s="34" customFormat="1">
      <c r="A404" s="4"/>
      <c r="B404" s="4"/>
      <c r="C404" s="4"/>
      <c r="D404" s="4"/>
      <c r="E404" s="4"/>
      <c r="F404" s="4"/>
      <c r="G404" s="4"/>
      <c r="H404" s="4"/>
      <c r="I404" s="4"/>
      <c r="J404" s="4"/>
      <c r="K404" s="4"/>
      <c r="L404" s="4"/>
      <c r="M404" s="4"/>
    </row>
    <row r="405" spans="1:13" s="34" customFormat="1">
      <c r="A405" s="4"/>
      <c r="B405" s="4"/>
      <c r="C405" s="4"/>
      <c r="D405" s="4"/>
      <c r="E405" s="4"/>
      <c r="F405" s="4"/>
      <c r="G405" s="4"/>
      <c r="H405" s="4"/>
      <c r="I405" s="4"/>
      <c r="J405" s="4"/>
      <c r="K405" s="4"/>
      <c r="L405" s="4"/>
      <c r="M405" s="4"/>
    </row>
    <row r="406" spans="1:13" s="34" customFormat="1">
      <c r="A406" s="4"/>
      <c r="B406" s="4"/>
      <c r="C406" s="4"/>
      <c r="D406" s="4"/>
      <c r="E406" s="4"/>
      <c r="F406" s="4"/>
      <c r="G406" s="4"/>
      <c r="H406" s="4"/>
      <c r="I406" s="4"/>
      <c r="J406" s="4"/>
      <c r="K406" s="4"/>
      <c r="L406" s="4"/>
      <c r="M406" s="4"/>
    </row>
    <row r="407" spans="1:13" s="34" customFormat="1">
      <c r="A407" s="4"/>
      <c r="B407" s="4"/>
      <c r="C407" s="4"/>
      <c r="D407" s="4"/>
      <c r="E407" s="4"/>
      <c r="F407" s="4"/>
      <c r="G407" s="4"/>
      <c r="H407" s="4"/>
      <c r="I407" s="4"/>
      <c r="J407" s="4"/>
      <c r="K407" s="4"/>
      <c r="L407" s="4"/>
      <c r="M407" s="4"/>
    </row>
    <row r="408" spans="1:13" s="34" customFormat="1">
      <c r="A408" s="4"/>
      <c r="B408" s="4"/>
      <c r="C408" s="4"/>
      <c r="D408" s="4"/>
      <c r="E408" s="4"/>
      <c r="F408" s="4"/>
      <c r="G408" s="4"/>
      <c r="H408" s="4"/>
      <c r="I408" s="4"/>
      <c r="J408" s="4"/>
      <c r="K408" s="4"/>
      <c r="L408" s="4"/>
      <c r="M408" s="4"/>
    </row>
    <row r="409" spans="1:13" s="34" customFormat="1">
      <c r="A409" s="4"/>
      <c r="B409" s="4"/>
      <c r="C409" s="4"/>
      <c r="D409" s="4"/>
      <c r="E409" s="4"/>
      <c r="F409" s="4"/>
      <c r="G409" s="4"/>
      <c r="H409" s="4"/>
      <c r="I409" s="4"/>
      <c r="J409" s="4"/>
      <c r="K409" s="4"/>
      <c r="L409" s="4"/>
      <c r="M409" s="4"/>
    </row>
    <row r="410" spans="1:13" s="34" customFormat="1">
      <c r="A410" s="4"/>
      <c r="B410" s="4"/>
      <c r="C410" s="4"/>
      <c r="D410" s="4"/>
      <c r="E410" s="4"/>
      <c r="F410" s="4"/>
      <c r="G410" s="4"/>
      <c r="H410" s="4"/>
      <c r="I410" s="4"/>
      <c r="J410" s="4"/>
      <c r="K410" s="4"/>
      <c r="L410" s="4"/>
      <c r="M410" s="4"/>
    </row>
    <row r="411" spans="1:13" s="34" customFormat="1">
      <c r="A411" s="4"/>
      <c r="B411" s="4"/>
      <c r="C411" s="4"/>
      <c r="D411" s="4"/>
      <c r="E411" s="4"/>
      <c r="F411" s="4"/>
      <c r="G411" s="4"/>
      <c r="H411" s="4"/>
      <c r="I411" s="4"/>
      <c r="J411" s="4"/>
      <c r="K411" s="4"/>
      <c r="L411" s="4"/>
      <c r="M411" s="4"/>
    </row>
    <row r="412" spans="1:13" s="34" customFormat="1">
      <c r="A412" s="4"/>
      <c r="B412" s="4"/>
      <c r="C412" s="4"/>
      <c r="D412" s="4"/>
      <c r="E412" s="4"/>
      <c r="F412" s="4"/>
      <c r="G412" s="4"/>
      <c r="H412" s="4"/>
      <c r="I412" s="4"/>
      <c r="J412" s="4"/>
      <c r="K412" s="4"/>
      <c r="L412" s="4"/>
      <c r="M412" s="4"/>
    </row>
    <row r="413" spans="1:13" s="34" customFormat="1">
      <c r="A413" s="4"/>
      <c r="B413" s="4"/>
      <c r="C413" s="4"/>
      <c r="D413" s="4"/>
      <c r="E413" s="4"/>
      <c r="F413" s="4"/>
      <c r="G413" s="4"/>
      <c r="H413" s="4"/>
      <c r="I413" s="4"/>
      <c r="J413" s="4"/>
      <c r="K413" s="4"/>
      <c r="L413" s="4"/>
      <c r="M413" s="4"/>
    </row>
    <row r="414" spans="1:13" s="34" customFormat="1">
      <c r="A414" s="4"/>
      <c r="B414" s="4"/>
      <c r="C414" s="4"/>
      <c r="D414" s="4"/>
      <c r="E414" s="4"/>
      <c r="F414" s="4"/>
      <c r="G414" s="4"/>
      <c r="H414" s="4"/>
      <c r="I414" s="4"/>
      <c r="J414" s="4"/>
      <c r="K414" s="4"/>
      <c r="L414" s="4"/>
      <c r="M414" s="4"/>
    </row>
    <row r="415" spans="1:13" s="34" customFormat="1">
      <c r="A415" s="4"/>
      <c r="B415" s="4"/>
      <c r="C415" s="4"/>
      <c r="D415" s="4"/>
      <c r="E415" s="4"/>
      <c r="F415" s="4"/>
      <c r="G415" s="4"/>
      <c r="H415" s="4"/>
      <c r="I415" s="4"/>
      <c r="J415" s="4"/>
      <c r="K415" s="4"/>
      <c r="L415" s="4"/>
      <c r="M415" s="4"/>
    </row>
    <row r="416" spans="1:13" s="34" customFormat="1">
      <c r="A416" s="4"/>
      <c r="B416" s="4"/>
      <c r="C416" s="4"/>
      <c r="D416" s="4"/>
      <c r="E416" s="4"/>
      <c r="F416" s="4"/>
      <c r="G416" s="4"/>
      <c r="H416" s="4"/>
      <c r="I416" s="4"/>
      <c r="J416" s="4"/>
      <c r="K416" s="4"/>
      <c r="L416" s="4"/>
      <c r="M416" s="4"/>
    </row>
    <row r="417" spans="1:13" s="34" customFormat="1">
      <c r="A417" s="4"/>
      <c r="B417" s="4"/>
      <c r="C417" s="4"/>
      <c r="D417" s="4"/>
      <c r="E417" s="4"/>
      <c r="F417" s="4"/>
      <c r="G417" s="4"/>
      <c r="H417" s="4"/>
      <c r="I417" s="4"/>
      <c r="J417" s="4"/>
      <c r="K417" s="4"/>
      <c r="L417" s="4"/>
      <c r="M417" s="4"/>
    </row>
    <row r="418" spans="1:13" s="34" customFormat="1">
      <c r="A418" s="4"/>
      <c r="B418" s="4"/>
      <c r="C418" s="4"/>
      <c r="D418" s="4"/>
      <c r="E418" s="4"/>
      <c r="F418" s="4"/>
      <c r="G418" s="4"/>
      <c r="H418" s="4"/>
      <c r="I418" s="4"/>
      <c r="J418" s="4"/>
      <c r="K418" s="4"/>
      <c r="L418" s="4"/>
      <c r="M418" s="4"/>
    </row>
    <row r="419" spans="1:13" s="34" customFormat="1">
      <c r="A419" s="4"/>
      <c r="B419" s="4"/>
      <c r="C419" s="4"/>
      <c r="D419" s="4"/>
      <c r="E419" s="4"/>
      <c r="F419" s="4"/>
      <c r="G419" s="4"/>
      <c r="H419" s="4"/>
      <c r="I419" s="4"/>
      <c r="J419" s="4"/>
      <c r="K419" s="4"/>
      <c r="L419" s="4"/>
      <c r="M419" s="4"/>
    </row>
    <row r="420" spans="1:13" s="34" customFormat="1">
      <c r="A420" s="4"/>
      <c r="B420" s="4"/>
      <c r="C420" s="4"/>
      <c r="D420" s="4"/>
      <c r="E420" s="4"/>
      <c r="F420" s="4"/>
      <c r="G420" s="4"/>
      <c r="H420" s="4"/>
      <c r="I420" s="4"/>
      <c r="J420" s="4"/>
      <c r="K420" s="4"/>
      <c r="L420" s="4"/>
      <c r="M420" s="4"/>
    </row>
    <row r="421" spans="1:13" s="34" customFormat="1">
      <c r="A421" s="4"/>
      <c r="B421" s="4"/>
      <c r="C421" s="4"/>
      <c r="D421" s="4"/>
      <c r="E421" s="4"/>
      <c r="F421" s="4"/>
      <c r="G421" s="4"/>
      <c r="H421" s="4"/>
      <c r="I421" s="4"/>
      <c r="J421" s="4"/>
      <c r="K421" s="4"/>
      <c r="L421" s="4"/>
      <c r="M421" s="4"/>
    </row>
    <row r="422" spans="1:13" s="34" customFormat="1">
      <c r="A422" s="4"/>
      <c r="B422" s="4"/>
      <c r="C422" s="4"/>
      <c r="D422" s="4"/>
      <c r="E422" s="4"/>
      <c r="F422" s="4"/>
      <c r="G422" s="4"/>
      <c r="H422" s="4"/>
      <c r="I422" s="4"/>
      <c r="J422" s="4"/>
      <c r="K422" s="4"/>
      <c r="L422" s="4"/>
      <c r="M422" s="4"/>
    </row>
    <row r="423" spans="1:13" s="34" customFormat="1">
      <c r="A423" s="4"/>
      <c r="B423" s="4"/>
      <c r="C423" s="4"/>
      <c r="D423" s="4"/>
      <c r="E423" s="4"/>
      <c r="F423" s="4"/>
      <c r="G423" s="4"/>
      <c r="H423" s="4"/>
      <c r="I423" s="4"/>
      <c r="J423" s="4"/>
      <c r="K423" s="4"/>
      <c r="L423" s="4"/>
      <c r="M423" s="4"/>
    </row>
    <row r="424" spans="1:13" s="34" customFormat="1">
      <c r="A424" s="4"/>
      <c r="B424" s="4"/>
      <c r="C424" s="4"/>
      <c r="D424" s="4"/>
      <c r="E424" s="4"/>
      <c r="F424" s="4"/>
      <c r="G424" s="4"/>
      <c r="H424" s="4"/>
      <c r="I424" s="4"/>
      <c r="J424" s="4"/>
      <c r="K424" s="4"/>
      <c r="L424" s="4"/>
      <c r="M424" s="4"/>
    </row>
    <row r="425" spans="1:13" s="34" customFormat="1">
      <c r="A425" s="4"/>
      <c r="B425" s="4"/>
      <c r="C425" s="4"/>
      <c r="D425" s="4"/>
      <c r="E425" s="4"/>
      <c r="F425" s="4"/>
      <c r="G425" s="4"/>
      <c r="H425" s="4"/>
      <c r="I425" s="4"/>
      <c r="J425" s="4"/>
      <c r="K425" s="4"/>
      <c r="L425" s="4"/>
      <c r="M425" s="4"/>
    </row>
    <row r="426" spans="1:13" s="34" customFormat="1">
      <c r="A426" s="4"/>
      <c r="B426" s="4"/>
      <c r="C426" s="4"/>
      <c r="D426" s="4"/>
      <c r="E426" s="4"/>
      <c r="F426" s="4"/>
      <c r="G426" s="4"/>
      <c r="H426" s="4"/>
      <c r="I426" s="4"/>
      <c r="J426" s="4"/>
      <c r="K426" s="4"/>
      <c r="L426" s="4"/>
      <c r="M426" s="4"/>
    </row>
    <row r="427" spans="1:13" s="34" customFormat="1">
      <c r="A427" s="4"/>
      <c r="B427" s="4"/>
      <c r="C427" s="4"/>
      <c r="D427" s="4"/>
      <c r="E427" s="4"/>
      <c r="F427" s="4"/>
      <c r="G427" s="4"/>
      <c r="H427" s="4"/>
      <c r="I427" s="4"/>
      <c r="J427" s="4"/>
      <c r="K427" s="4"/>
      <c r="L427" s="4"/>
      <c r="M427" s="4"/>
    </row>
    <row r="428" spans="1:13" s="34" customFormat="1">
      <c r="A428" s="4"/>
      <c r="B428" s="4"/>
      <c r="C428" s="4"/>
      <c r="D428" s="4"/>
      <c r="E428" s="4"/>
      <c r="F428" s="4"/>
      <c r="G428" s="4"/>
      <c r="H428" s="4"/>
      <c r="I428" s="4"/>
      <c r="J428" s="4"/>
      <c r="K428" s="4"/>
      <c r="L428" s="4"/>
      <c r="M428" s="4"/>
    </row>
    <row r="429" spans="1:13" s="34" customFormat="1">
      <c r="A429" s="4"/>
      <c r="B429" s="4"/>
      <c r="C429" s="4"/>
      <c r="D429" s="4"/>
      <c r="E429" s="4"/>
      <c r="F429" s="4"/>
      <c r="G429" s="4"/>
      <c r="H429" s="4"/>
      <c r="I429" s="4"/>
      <c r="J429" s="4"/>
      <c r="K429" s="4"/>
      <c r="L429" s="4"/>
      <c r="M429" s="4"/>
    </row>
    <row r="430" spans="1:13" s="34" customFormat="1">
      <c r="A430" s="4"/>
      <c r="B430" s="4"/>
      <c r="C430" s="4"/>
      <c r="D430" s="4"/>
      <c r="E430" s="4"/>
      <c r="F430" s="4"/>
      <c r="G430" s="4"/>
      <c r="H430" s="4"/>
      <c r="I430" s="4"/>
      <c r="J430" s="4"/>
      <c r="K430" s="4"/>
      <c r="L430" s="4"/>
      <c r="M430" s="4"/>
    </row>
    <row r="431" spans="1:13" s="34" customFormat="1">
      <c r="A431" s="4"/>
      <c r="B431" s="4"/>
      <c r="C431" s="4"/>
      <c r="D431" s="4"/>
      <c r="E431" s="4"/>
      <c r="F431" s="4"/>
      <c r="G431" s="4"/>
      <c r="H431" s="4"/>
      <c r="I431" s="4"/>
      <c r="J431" s="4"/>
      <c r="K431" s="4"/>
      <c r="L431" s="4"/>
      <c r="M431" s="4"/>
    </row>
    <row r="432" spans="1:13" s="34" customFormat="1">
      <c r="A432" s="4"/>
      <c r="B432" s="4"/>
      <c r="C432" s="4"/>
      <c r="D432" s="4"/>
      <c r="E432" s="4"/>
      <c r="F432" s="4"/>
      <c r="G432" s="4"/>
      <c r="H432" s="4"/>
      <c r="I432" s="4"/>
      <c r="J432" s="4"/>
      <c r="K432" s="4"/>
      <c r="L432" s="4"/>
      <c r="M432" s="4"/>
    </row>
    <row r="433" spans="1:13" s="34" customFormat="1">
      <c r="A433" s="4"/>
      <c r="B433" s="4"/>
      <c r="C433" s="4"/>
      <c r="D433" s="4"/>
      <c r="E433" s="4"/>
      <c r="F433" s="4"/>
      <c r="G433" s="4"/>
      <c r="H433" s="4"/>
      <c r="I433" s="4"/>
      <c r="J433" s="4"/>
      <c r="K433" s="4"/>
      <c r="L433" s="4"/>
      <c r="M433" s="4"/>
    </row>
    <row r="434" spans="1:13" s="34" customFormat="1">
      <c r="A434" s="4"/>
      <c r="B434" s="4"/>
      <c r="C434" s="4"/>
      <c r="D434" s="4"/>
      <c r="E434" s="4"/>
      <c r="F434" s="4"/>
      <c r="G434" s="4"/>
      <c r="H434" s="4"/>
      <c r="I434" s="4"/>
      <c r="J434" s="4"/>
      <c r="K434" s="4"/>
      <c r="L434" s="4"/>
      <c r="M434" s="4"/>
    </row>
    <row r="435" spans="1:13" s="34" customFormat="1">
      <c r="A435" s="4"/>
      <c r="B435" s="4"/>
      <c r="C435" s="4"/>
      <c r="D435" s="4"/>
      <c r="E435" s="4"/>
      <c r="F435" s="4"/>
      <c r="G435" s="4"/>
      <c r="H435" s="4"/>
      <c r="I435" s="4"/>
      <c r="J435" s="4"/>
      <c r="K435" s="4"/>
      <c r="L435" s="4"/>
      <c r="M435" s="4"/>
    </row>
    <row r="436" spans="1:13" s="34" customFormat="1">
      <c r="A436" s="4"/>
      <c r="B436" s="4"/>
      <c r="C436" s="4"/>
      <c r="D436" s="4"/>
      <c r="E436" s="4"/>
      <c r="F436" s="4"/>
      <c r="G436" s="4"/>
      <c r="H436" s="4"/>
      <c r="I436" s="4"/>
      <c r="J436" s="4"/>
      <c r="K436" s="4"/>
      <c r="L436" s="4"/>
      <c r="M436" s="4"/>
    </row>
    <row r="437" spans="1:13" s="34" customFormat="1">
      <c r="A437" s="4"/>
      <c r="B437" s="4"/>
      <c r="C437" s="4"/>
      <c r="D437" s="4"/>
      <c r="E437" s="4"/>
      <c r="F437" s="4"/>
      <c r="G437" s="4"/>
      <c r="H437" s="4"/>
      <c r="I437" s="4"/>
      <c r="J437" s="4"/>
      <c r="K437" s="4"/>
      <c r="L437" s="4"/>
      <c r="M437" s="4"/>
    </row>
    <row r="438" spans="1:13" s="34" customFormat="1">
      <c r="A438" s="4"/>
      <c r="B438" s="4"/>
      <c r="C438" s="4"/>
      <c r="D438" s="4"/>
      <c r="E438" s="4"/>
      <c r="F438" s="4"/>
      <c r="G438" s="4"/>
      <c r="H438" s="4"/>
      <c r="I438" s="4"/>
      <c r="J438" s="4"/>
      <c r="K438" s="4"/>
      <c r="L438" s="4"/>
      <c r="M438" s="4"/>
    </row>
    <row r="439" spans="1:13" s="34" customFormat="1">
      <c r="A439" s="4"/>
      <c r="B439" s="4"/>
      <c r="C439" s="4"/>
      <c r="D439" s="4"/>
      <c r="E439" s="4"/>
      <c r="F439" s="4"/>
      <c r="G439" s="4"/>
      <c r="H439" s="4"/>
      <c r="I439" s="4"/>
      <c r="J439" s="4"/>
      <c r="K439" s="4"/>
      <c r="L439" s="4"/>
      <c r="M439" s="4"/>
    </row>
    <row r="440" spans="1:13" s="34" customFormat="1">
      <c r="A440" s="4"/>
      <c r="B440" s="4"/>
      <c r="C440" s="4"/>
      <c r="D440" s="4"/>
      <c r="E440" s="4"/>
      <c r="F440" s="4"/>
      <c r="G440" s="4"/>
      <c r="H440" s="4"/>
      <c r="I440" s="4"/>
      <c r="J440" s="4"/>
      <c r="K440" s="4"/>
      <c r="L440" s="4"/>
      <c r="M440" s="4"/>
    </row>
    <row r="441" spans="1:13" s="34" customFormat="1">
      <c r="A441" s="4"/>
      <c r="B441" s="4"/>
      <c r="C441" s="4"/>
      <c r="D441" s="4"/>
      <c r="E441" s="4"/>
      <c r="F441" s="4"/>
      <c r="G441" s="4"/>
      <c r="H441" s="4"/>
      <c r="I441" s="4"/>
      <c r="J441" s="4"/>
      <c r="K441" s="4"/>
      <c r="L441" s="4"/>
      <c r="M441" s="4"/>
    </row>
    <row r="442" spans="1:13" s="34" customFormat="1">
      <c r="A442" s="4"/>
      <c r="B442" s="4"/>
      <c r="C442" s="4"/>
      <c r="D442" s="4"/>
      <c r="E442" s="4"/>
      <c r="F442" s="4"/>
      <c r="G442" s="4"/>
      <c r="H442" s="4"/>
      <c r="I442" s="4"/>
      <c r="J442" s="4"/>
      <c r="K442" s="4"/>
      <c r="L442" s="4"/>
      <c r="M442" s="4"/>
    </row>
    <row r="443" spans="1:13" s="34" customFormat="1">
      <c r="A443" s="4"/>
      <c r="B443" s="4"/>
      <c r="C443" s="4"/>
      <c r="D443" s="4"/>
      <c r="E443" s="4"/>
      <c r="F443" s="4"/>
      <c r="G443" s="4"/>
      <c r="H443" s="4"/>
      <c r="I443" s="4"/>
      <c r="J443" s="4"/>
      <c r="K443" s="4"/>
      <c r="L443" s="4"/>
      <c r="M443" s="4"/>
    </row>
    <row r="444" spans="1:13" s="34" customFormat="1">
      <c r="A444" s="4"/>
      <c r="B444" s="4"/>
      <c r="C444" s="4"/>
      <c r="D444" s="4"/>
      <c r="E444" s="4"/>
      <c r="F444" s="4"/>
      <c r="G444" s="4"/>
      <c r="H444" s="4"/>
      <c r="I444" s="4"/>
      <c r="J444" s="4"/>
      <c r="K444" s="4"/>
      <c r="L444" s="4"/>
      <c r="M444" s="4"/>
    </row>
    <row r="445" spans="1:13" s="34" customFormat="1">
      <c r="A445" s="4"/>
      <c r="B445" s="4"/>
      <c r="C445" s="4"/>
      <c r="D445" s="4"/>
      <c r="E445" s="4"/>
      <c r="F445" s="4"/>
      <c r="G445" s="4"/>
      <c r="H445" s="4"/>
      <c r="I445" s="4"/>
      <c r="J445" s="4"/>
      <c r="K445" s="4"/>
      <c r="L445" s="4"/>
      <c r="M445" s="4"/>
    </row>
    <row r="446" spans="1:13" s="34" customFormat="1">
      <c r="A446" s="4"/>
      <c r="B446" s="4"/>
      <c r="C446" s="4"/>
      <c r="D446" s="4"/>
      <c r="E446" s="4"/>
      <c r="F446" s="4"/>
      <c r="G446" s="4"/>
      <c r="H446" s="4"/>
      <c r="I446" s="4"/>
      <c r="J446" s="4"/>
      <c r="K446" s="4"/>
      <c r="L446" s="4"/>
      <c r="M446" s="4"/>
    </row>
    <row r="447" spans="1:13" s="34" customFormat="1">
      <c r="A447" s="4"/>
      <c r="B447" s="4"/>
      <c r="C447" s="4"/>
      <c r="D447" s="4"/>
      <c r="E447" s="4"/>
      <c r="F447" s="4"/>
      <c r="G447" s="4"/>
      <c r="H447" s="4"/>
      <c r="I447" s="4"/>
      <c r="J447" s="4"/>
      <c r="K447" s="4"/>
      <c r="L447" s="4"/>
      <c r="M447" s="4"/>
    </row>
    <row r="448" spans="1:13" s="34" customFormat="1">
      <c r="A448" s="4"/>
      <c r="B448" s="4"/>
      <c r="C448" s="4"/>
      <c r="D448" s="4"/>
      <c r="E448" s="4"/>
      <c r="F448" s="4"/>
      <c r="G448" s="4"/>
      <c r="H448" s="4"/>
      <c r="I448" s="4"/>
      <c r="J448" s="4"/>
      <c r="K448" s="4"/>
      <c r="L448" s="4"/>
      <c r="M448" s="4"/>
    </row>
    <row r="449" spans="1:13" s="34" customFormat="1">
      <c r="A449" s="4"/>
      <c r="B449" s="4"/>
      <c r="C449" s="4"/>
      <c r="D449" s="4"/>
      <c r="E449" s="4"/>
      <c r="F449" s="4"/>
      <c r="G449" s="4"/>
      <c r="H449" s="4"/>
      <c r="I449" s="4"/>
      <c r="J449" s="4"/>
      <c r="K449" s="4"/>
      <c r="L449" s="4"/>
      <c r="M449" s="4"/>
    </row>
    <row r="450" spans="1:13" s="34" customFormat="1">
      <c r="A450" s="4"/>
      <c r="B450" s="4"/>
      <c r="C450" s="4"/>
      <c r="D450" s="4"/>
      <c r="E450" s="4"/>
      <c r="F450" s="4"/>
      <c r="G450" s="4"/>
      <c r="H450" s="4"/>
      <c r="I450" s="4"/>
      <c r="J450" s="4"/>
      <c r="K450" s="4"/>
      <c r="L450" s="4"/>
      <c r="M450" s="4"/>
    </row>
    <row r="451" spans="1:13" s="34" customFormat="1">
      <c r="A451" s="4"/>
      <c r="B451" s="4"/>
      <c r="C451" s="4"/>
      <c r="D451" s="4"/>
      <c r="E451" s="4"/>
      <c r="F451" s="4"/>
      <c r="G451" s="4"/>
      <c r="H451" s="4"/>
      <c r="I451" s="4"/>
      <c r="J451" s="4"/>
      <c r="K451" s="4"/>
      <c r="L451" s="4"/>
      <c r="M451" s="4"/>
    </row>
    <row r="452" spans="1:13" s="34" customFormat="1">
      <c r="A452" s="4"/>
      <c r="B452" s="4"/>
      <c r="C452" s="4"/>
      <c r="D452" s="4"/>
      <c r="E452" s="4"/>
      <c r="F452" s="4"/>
      <c r="G452" s="4"/>
      <c r="H452" s="4"/>
      <c r="I452" s="4"/>
      <c r="J452" s="4"/>
      <c r="K452" s="4"/>
      <c r="L452" s="4"/>
      <c r="M452" s="4"/>
    </row>
    <row r="453" spans="1:13" s="34" customFormat="1">
      <c r="A453" s="4"/>
      <c r="B453" s="4"/>
      <c r="C453" s="4"/>
      <c r="D453" s="4"/>
      <c r="E453" s="4"/>
      <c r="F453" s="4"/>
      <c r="G453" s="4"/>
      <c r="H453" s="4"/>
      <c r="I453" s="4"/>
      <c r="J453" s="4"/>
      <c r="K453" s="4"/>
      <c r="L453" s="4"/>
      <c r="M453" s="4"/>
    </row>
    <row r="454" spans="1:13" s="34" customFormat="1">
      <c r="A454" s="4"/>
      <c r="B454" s="4"/>
      <c r="C454" s="4"/>
      <c r="D454" s="4"/>
      <c r="E454" s="4"/>
      <c r="F454" s="4"/>
      <c r="G454" s="4"/>
      <c r="H454" s="4"/>
      <c r="I454" s="4"/>
      <c r="J454" s="4"/>
      <c r="K454" s="4"/>
      <c r="L454" s="4"/>
      <c r="M454" s="4"/>
    </row>
    <row r="455" spans="1:13" s="34" customFormat="1">
      <c r="A455" s="4"/>
      <c r="B455" s="4"/>
      <c r="C455" s="4"/>
      <c r="D455" s="4"/>
      <c r="E455" s="4"/>
      <c r="F455" s="4"/>
      <c r="G455" s="4"/>
      <c r="H455" s="4"/>
      <c r="I455" s="4"/>
      <c r="J455" s="4"/>
      <c r="K455" s="4"/>
      <c r="L455" s="4"/>
      <c r="M455" s="4"/>
    </row>
    <row r="456" spans="1:13" s="34" customFormat="1">
      <c r="A456" s="4"/>
      <c r="B456" s="4"/>
      <c r="C456" s="4"/>
      <c r="D456" s="4"/>
      <c r="E456" s="4"/>
      <c r="F456" s="4"/>
      <c r="G456" s="4"/>
      <c r="H456" s="4"/>
      <c r="I456" s="4"/>
      <c r="J456" s="4"/>
      <c r="K456" s="4"/>
      <c r="L456" s="4"/>
      <c r="M456" s="4"/>
    </row>
    <row r="457" spans="1:13" s="34" customFormat="1">
      <c r="A457" s="4"/>
      <c r="B457" s="4"/>
      <c r="C457" s="4"/>
      <c r="D457" s="4"/>
      <c r="E457" s="4"/>
      <c r="F457" s="4"/>
      <c r="G457" s="4"/>
      <c r="H457" s="4"/>
      <c r="I457" s="4"/>
      <c r="J457" s="4"/>
      <c r="K457" s="4"/>
      <c r="L457" s="4"/>
      <c r="M457" s="4"/>
    </row>
    <row r="458" spans="1:13" s="34" customFormat="1">
      <c r="A458" s="4"/>
      <c r="B458" s="4"/>
      <c r="C458" s="4"/>
      <c r="D458" s="4"/>
      <c r="E458" s="4"/>
      <c r="F458" s="4"/>
      <c r="G458" s="4"/>
      <c r="H458" s="4"/>
      <c r="I458" s="4"/>
      <c r="J458" s="4"/>
      <c r="K458" s="4"/>
      <c r="L458" s="4"/>
      <c r="M458" s="4"/>
    </row>
    <row r="459" spans="1:13" s="34" customFormat="1">
      <c r="A459" s="4"/>
      <c r="B459" s="4"/>
      <c r="C459" s="4"/>
      <c r="D459" s="4"/>
      <c r="E459" s="4"/>
      <c r="F459" s="4"/>
      <c r="G459" s="4"/>
      <c r="H459" s="4"/>
      <c r="I459" s="4"/>
      <c r="J459" s="4"/>
      <c r="K459" s="4"/>
      <c r="L459" s="4"/>
      <c r="M459" s="4"/>
    </row>
    <row r="460" spans="1:13" s="34" customFormat="1">
      <c r="A460" s="4"/>
      <c r="B460" s="4"/>
      <c r="C460" s="4"/>
      <c r="D460" s="4"/>
      <c r="E460" s="4"/>
      <c r="F460" s="4"/>
      <c r="G460" s="4"/>
      <c r="H460" s="4"/>
      <c r="I460" s="4"/>
      <c r="J460" s="4"/>
      <c r="K460" s="4"/>
      <c r="L460" s="4"/>
      <c r="M460" s="4"/>
    </row>
    <row r="461" spans="1:13" s="34" customFormat="1">
      <c r="A461" s="4"/>
      <c r="B461" s="4"/>
      <c r="C461" s="4"/>
      <c r="D461" s="4"/>
      <c r="E461" s="4"/>
      <c r="F461" s="4"/>
      <c r="G461" s="4"/>
      <c r="H461" s="4"/>
      <c r="I461" s="4"/>
      <c r="J461" s="4"/>
      <c r="K461" s="4"/>
      <c r="L461" s="4"/>
      <c r="M461" s="4"/>
    </row>
    <row r="462" spans="1:13" s="34" customFormat="1">
      <c r="A462" s="4"/>
      <c r="B462" s="4"/>
      <c r="C462" s="4"/>
      <c r="D462" s="4"/>
      <c r="E462" s="4"/>
      <c r="F462" s="4"/>
      <c r="G462" s="4"/>
      <c r="H462" s="4"/>
      <c r="I462" s="4"/>
      <c r="J462" s="4"/>
      <c r="K462" s="4"/>
      <c r="L462" s="4"/>
      <c r="M462" s="4"/>
    </row>
    <row r="463" spans="1:13" s="34" customFormat="1">
      <c r="A463" s="4"/>
      <c r="B463" s="4"/>
      <c r="C463" s="4"/>
      <c r="D463" s="4"/>
      <c r="E463" s="4"/>
      <c r="F463" s="4"/>
      <c r="G463" s="4"/>
      <c r="H463" s="4"/>
      <c r="I463" s="4"/>
      <c r="J463" s="4"/>
      <c r="K463" s="4"/>
      <c r="L463" s="4"/>
      <c r="M463" s="4"/>
    </row>
    <row r="464" spans="1:13" s="34" customFormat="1">
      <c r="A464" s="4"/>
      <c r="B464" s="4"/>
      <c r="C464" s="4"/>
      <c r="D464" s="4"/>
      <c r="E464" s="4"/>
      <c r="F464" s="4"/>
      <c r="G464" s="4"/>
      <c r="H464" s="4"/>
      <c r="I464" s="4"/>
      <c r="J464" s="4"/>
      <c r="K464" s="4"/>
      <c r="L464" s="4"/>
      <c r="M464" s="4"/>
    </row>
    <row r="465" spans="1:13" s="34" customFormat="1">
      <c r="A465" s="4"/>
      <c r="B465" s="4"/>
      <c r="C465" s="4"/>
      <c r="D465" s="4"/>
      <c r="E465" s="4"/>
      <c r="F465" s="4"/>
      <c r="G465" s="4"/>
      <c r="H465" s="4"/>
      <c r="I465" s="4"/>
      <c r="J465" s="4"/>
      <c r="K465" s="4"/>
      <c r="L465" s="4"/>
      <c r="M465" s="4"/>
    </row>
    <row r="466" spans="1:13" s="34" customFormat="1">
      <c r="A466" s="4"/>
      <c r="B466" s="4"/>
      <c r="C466" s="4"/>
      <c r="D466" s="4"/>
      <c r="E466" s="4"/>
      <c r="F466" s="4"/>
      <c r="G466" s="4"/>
      <c r="H466" s="4"/>
      <c r="I466" s="4"/>
      <c r="J466" s="4"/>
      <c r="K466" s="4"/>
      <c r="L466" s="4"/>
      <c r="M466" s="4"/>
    </row>
    <row r="467" spans="1:13" s="34" customFormat="1">
      <c r="A467" s="4"/>
      <c r="B467" s="4"/>
      <c r="C467" s="4"/>
      <c r="D467" s="4"/>
      <c r="E467" s="4"/>
      <c r="F467" s="4"/>
      <c r="G467" s="4"/>
      <c r="H467" s="4"/>
      <c r="I467" s="4"/>
      <c r="J467" s="4"/>
      <c r="K467" s="4"/>
      <c r="L467" s="4"/>
      <c r="M467" s="4"/>
    </row>
    <row r="468" spans="1:13" s="34" customFormat="1">
      <c r="A468" s="4"/>
      <c r="B468" s="4"/>
      <c r="C468" s="4"/>
      <c r="D468" s="4"/>
      <c r="E468" s="4"/>
      <c r="F468" s="4"/>
      <c r="G468" s="4"/>
      <c r="H468" s="4"/>
      <c r="I468" s="4"/>
      <c r="J468" s="4"/>
      <c r="K468" s="4"/>
      <c r="L468" s="4"/>
      <c r="M468" s="4"/>
    </row>
    <row r="469" spans="1:13" s="34" customFormat="1">
      <c r="A469" s="4"/>
      <c r="B469" s="4"/>
      <c r="C469" s="4"/>
      <c r="D469" s="4"/>
      <c r="E469" s="4"/>
      <c r="F469" s="4"/>
      <c r="G469" s="4"/>
      <c r="H469" s="4"/>
      <c r="I469" s="4"/>
      <c r="J469" s="4"/>
      <c r="K469" s="4"/>
      <c r="L469" s="4"/>
      <c r="M469" s="4"/>
    </row>
    <row r="470" spans="1:13" s="34" customFormat="1">
      <c r="A470" s="4"/>
      <c r="B470" s="4"/>
      <c r="C470" s="4"/>
      <c r="D470" s="4"/>
      <c r="E470" s="4"/>
      <c r="F470" s="4"/>
      <c r="G470" s="4"/>
      <c r="H470" s="4"/>
      <c r="I470" s="4"/>
      <c r="J470" s="4"/>
      <c r="K470" s="4"/>
      <c r="L470" s="4"/>
      <c r="M470" s="4"/>
    </row>
    <row r="471" spans="1:13" s="34" customFormat="1">
      <c r="A471" s="4"/>
      <c r="B471" s="4"/>
      <c r="C471" s="4"/>
      <c r="D471" s="4"/>
      <c r="E471" s="4"/>
      <c r="F471" s="4"/>
      <c r="G471" s="4"/>
      <c r="H471" s="4"/>
      <c r="I471" s="4"/>
      <c r="J471" s="4"/>
      <c r="K471" s="4"/>
      <c r="L471" s="4"/>
      <c r="M471" s="4"/>
    </row>
    <row r="472" spans="1:13" s="34" customFormat="1">
      <c r="A472" s="4"/>
      <c r="B472" s="4"/>
      <c r="C472" s="4"/>
      <c r="D472" s="4"/>
      <c r="E472" s="4"/>
      <c r="F472" s="4"/>
      <c r="G472" s="4"/>
      <c r="H472" s="4"/>
      <c r="I472" s="4"/>
      <c r="J472" s="4"/>
      <c r="K472" s="4"/>
      <c r="L472" s="4"/>
      <c r="M472" s="4"/>
    </row>
    <row r="473" spans="1:13" s="34" customFormat="1">
      <c r="A473" s="4"/>
      <c r="B473" s="4"/>
      <c r="C473" s="4"/>
      <c r="D473" s="4"/>
      <c r="E473" s="4"/>
      <c r="F473" s="4"/>
      <c r="G473" s="4"/>
      <c r="H473" s="4"/>
      <c r="I473" s="4"/>
      <c r="J473" s="4"/>
      <c r="K473" s="4"/>
      <c r="L473" s="4"/>
      <c r="M473" s="4"/>
    </row>
    <row r="474" spans="1:13" s="34" customFormat="1">
      <c r="A474" s="4"/>
      <c r="B474" s="4"/>
      <c r="C474" s="4"/>
      <c r="D474" s="4"/>
      <c r="E474" s="4"/>
      <c r="F474" s="4"/>
      <c r="G474" s="4"/>
      <c r="H474" s="4"/>
      <c r="I474" s="4"/>
      <c r="J474" s="4"/>
      <c r="K474" s="4"/>
      <c r="L474" s="4"/>
      <c r="M474" s="4"/>
    </row>
    <row r="475" spans="1:13" s="34" customFormat="1">
      <c r="A475" s="4"/>
      <c r="B475" s="4"/>
      <c r="C475" s="4"/>
      <c r="D475" s="4"/>
      <c r="E475" s="4"/>
      <c r="F475" s="4"/>
      <c r="G475" s="4"/>
      <c r="H475" s="4"/>
      <c r="I475" s="4"/>
      <c r="J475" s="4"/>
      <c r="K475" s="4"/>
      <c r="L475" s="4"/>
      <c r="M475" s="4"/>
    </row>
    <row r="476" spans="1:13" s="34" customFormat="1">
      <c r="A476" s="4"/>
      <c r="B476" s="4"/>
      <c r="C476" s="4"/>
      <c r="D476" s="4"/>
      <c r="E476" s="4"/>
      <c r="F476" s="4"/>
      <c r="G476" s="4"/>
      <c r="H476" s="4"/>
      <c r="I476" s="4"/>
      <c r="J476" s="4"/>
      <c r="K476" s="4"/>
      <c r="L476" s="4"/>
      <c r="M476" s="4"/>
    </row>
    <row r="477" spans="1:13" s="34" customFormat="1">
      <c r="A477" s="4"/>
      <c r="B477" s="4"/>
      <c r="C477" s="4"/>
      <c r="D477" s="4"/>
      <c r="E477" s="4"/>
      <c r="F477" s="4"/>
      <c r="G477" s="4"/>
      <c r="H477" s="4"/>
      <c r="I477" s="4"/>
      <c r="J477" s="4"/>
      <c r="K477" s="4"/>
      <c r="L477" s="4"/>
      <c r="M477" s="4"/>
    </row>
    <row r="478" spans="1:13" s="34" customFormat="1">
      <c r="A478" s="4"/>
      <c r="B478" s="4"/>
      <c r="C478" s="4"/>
      <c r="D478" s="4"/>
      <c r="E478" s="4"/>
      <c r="F478" s="4"/>
      <c r="G478" s="4"/>
      <c r="H478" s="4"/>
      <c r="I478" s="4"/>
      <c r="J478" s="4"/>
      <c r="K478" s="4"/>
      <c r="L478" s="4"/>
      <c r="M478" s="4"/>
    </row>
    <row r="479" spans="1:13" s="34" customFormat="1">
      <c r="A479" s="4"/>
      <c r="B479" s="4"/>
      <c r="C479" s="4"/>
      <c r="D479" s="4"/>
      <c r="E479" s="4"/>
      <c r="F479" s="4"/>
      <c r="G479" s="4"/>
      <c r="H479" s="4"/>
      <c r="I479" s="4"/>
      <c r="J479" s="4"/>
      <c r="K479" s="4"/>
      <c r="L479" s="4"/>
      <c r="M479" s="4"/>
    </row>
    <row r="480" spans="1:13" s="34" customFormat="1">
      <c r="A480" s="4"/>
      <c r="B480" s="4"/>
      <c r="C480" s="4"/>
      <c r="D480" s="4"/>
      <c r="E480" s="4"/>
      <c r="F480" s="4"/>
      <c r="G480" s="4"/>
      <c r="H480" s="4"/>
      <c r="I480" s="4"/>
      <c r="J480" s="4"/>
      <c r="K480" s="4"/>
      <c r="L480" s="4"/>
      <c r="M480" s="4"/>
    </row>
    <row r="481" spans="1:13" s="34" customFormat="1">
      <c r="A481" s="4"/>
      <c r="B481" s="4"/>
      <c r="C481" s="4"/>
      <c r="D481" s="4"/>
      <c r="E481" s="4"/>
      <c r="F481" s="4"/>
      <c r="G481" s="4"/>
      <c r="H481" s="4"/>
      <c r="I481" s="4"/>
      <c r="J481" s="4"/>
      <c r="K481" s="4"/>
      <c r="L481" s="4"/>
      <c r="M481" s="4"/>
    </row>
    <row r="482" spans="1:13" s="34" customFormat="1">
      <c r="A482" s="4"/>
      <c r="B482" s="4"/>
      <c r="C482" s="4"/>
      <c r="D482" s="4"/>
      <c r="E482" s="4"/>
      <c r="F482" s="4"/>
      <c r="G482" s="4"/>
      <c r="H482" s="4"/>
      <c r="I482" s="4"/>
      <c r="J482" s="4"/>
      <c r="K482" s="4"/>
      <c r="L482" s="4"/>
      <c r="M482" s="4"/>
    </row>
    <row r="483" spans="1:13" s="34" customFormat="1">
      <c r="A483" s="4"/>
      <c r="B483" s="4"/>
      <c r="C483" s="4"/>
      <c r="D483" s="4"/>
      <c r="E483" s="4"/>
      <c r="F483" s="4"/>
      <c r="G483" s="4"/>
      <c r="H483" s="4"/>
      <c r="I483" s="4"/>
      <c r="J483" s="4"/>
      <c r="K483" s="4"/>
      <c r="L483" s="4"/>
      <c r="M483" s="4"/>
    </row>
    <row r="484" spans="1:13" s="34" customFormat="1">
      <c r="A484" s="4"/>
      <c r="B484" s="4"/>
      <c r="C484" s="4"/>
      <c r="D484" s="4"/>
      <c r="E484" s="4"/>
      <c r="F484" s="4"/>
      <c r="G484" s="4"/>
      <c r="H484" s="4"/>
      <c r="I484" s="4"/>
      <c r="J484" s="4"/>
      <c r="K484" s="4"/>
      <c r="L484" s="4"/>
      <c r="M484" s="4"/>
    </row>
    <row r="485" spans="1:13" s="34" customFormat="1">
      <c r="A485" s="4"/>
      <c r="B485" s="4"/>
      <c r="C485" s="4"/>
      <c r="D485" s="4"/>
      <c r="E485" s="4"/>
      <c r="F485" s="4"/>
      <c r="G485" s="4"/>
      <c r="H485" s="4"/>
      <c r="I485" s="4"/>
      <c r="J485" s="4"/>
      <c r="K485" s="4"/>
      <c r="L485" s="4"/>
      <c r="M485" s="4"/>
    </row>
    <row r="486" spans="1:13" s="34" customFormat="1">
      <c r="A486" s="4"/>
      <c r="B486" s="4"/>
      <c r="C486" s="4"/>
      <c r="D486" s="4"/>
      <c r="E486" s="4"/>
      <c r="F486" s="4"/>
      <c r="G486" s="4"/>
      <c r="H486" s="4"/>
      <c r="I486" s="4"/>
      <c r="J486" s="4"/>
      <c r="K486" s="4"/>
      <c r="L486" s="4"/>
      <c r="M486" s="4"/>
    </row>
    <row r="487" spans="1:13" s="34" customFormat="1">
      <c r="A487" s="4"/>
      <c r="B487" s="4"/>
      <c r="C487" s="4"/>
      <c r="D487" s="4"/>
      <c r="E487" s="4"/>
      <c r="F487" s="4"/>
      <c r="G487" s="4"/>
      <c r="H487" s="4"/>
      <c r="I487" s="4"/>
      <c r="J487" s="4"/>
      <c r="K487" s="4"/>
      <c r="L487" s="4"/>
      <c r="M487" s="4"/>
    </row>
    <row r="488" spans="1:13" s="34" customFormat="1">
      <c r="A488" s="4"/>
      <c r="B488" s="4"/>
      <c r="C488" s="4"/>
      <c r="D488" s="4"/>
      <c r="E488" s="4"/>
      <c r="F488" s="4"/>
      <c r="G488" s="4"/>
      <c r="H488" s="4"/>
      <c r="I488" s="4"/>
      <c r="J488" s="4"/>
      <c r="K488" s="4"/>
      <c r="L488" s="4"/>
      <c r="M488" s="4"/>
    </row>
    <row r="489" spans="1:13" s="34" customFormat="1">
      <c r="A489" s="4"/>
      <c r="B489" s="4"/>
      <c r="C489" s="4"/>
      <c r="D489" s="4"/>
      <c r="E489" s="4"/>
      <c r="F489" s="4"/>
      <c r="G489" s="4"/>
      <c r="H489" s="4"/>
      <c r="I489" s="4"/>
      <c r="J489" s="4"/>
      <c r="K489" s="4"/>
      <c r="L489" s="4"/>
      <c r="M489" s="4"/>
    </row>
    <row r="490" spans="1:13" s="34" customFormat="1">
      <c r="A490" s="4"/>
      <c r="B490" s="4"/>
      <c r="C490" s="4"/>
      <c r="D490" s="4"/>
      <c r="E490" s="4"/>
      <c r="F490" s="4"/>
      <c r="G490" s="4"/>
      <c r="H490" s="4"/>
      <c r="I490" s="4"/>
      <c r="J490" s="4"/>
      <c r="K490" s="4"/>
      <c r="L490" s="4"/>
      <c r="M490" s="4"/>
    </row>
    <row r="491" spans="1:13" s="34" customFormat="1">
      <c r="A491" s="4"/>
      <c r="B491" s="4"/>
      <c r="C491" s="4"/>
      <c r="D491" s="4"/>
      <c r="E491" s="4"/>
      <c r="F491" s="4"/>
      <c r="G491" s="4"/>
      <c r="H491" s="4"/>
      <c r="I491" s="4"/>
      <c r="J491" s="4"/>
      <c r="K491" s="4"/>
      <c r="L491" s="4"/>
      <c r="M491" s="4"/>
    </row>
    <row r="492" spans="1:13" s="34" customFormat="1">
      <c r="A492" s="4"/>
      <c r="B492" s="4"/>
      <c r="C492" s="4"/>
      <c r="D492" s="4"/>
      <c r="E492" s="4"/>
      <c r="F492" s="4"/>
      <c r="G492" s="4"/>
      <c r="H492" s="4"/>
      <c r="I492" s="4"/>
      <c r="J492" s="4"/>
      <c r="K492" s="4"/>
      <c r="L492" s="4"/>
      <c r="M492" s="4"/>
    </row>
    <row r="493" spans="1:13" s="34" customFormat="1">
      <c r="A493" s="4"/>
      <c r="B493" s="4"/>
      <c r="C493" s="4"/>
      <c r="D493" s="4"/>
      <c r="E493" s="4"/>
      <c r="F493" s="4"/>
      <c r="G493" s="4"/>
      <c r="H493" s="4"/>
      <c r="I493" s="4"/>
      <c r="J493" s="4"/>
      <c r="K493" s="4"/>
      <c r="L493" s="4"/>
      <c r="M493" s="4"/>
    </row>
    <row r="494" spans="1:13" s="34" customFormat="1">
      <c r="A494" s="4"/>
      <c r="B494" s="4"/>
      <c r="C494" s="4"/>
      <c r="D494" s="4"/>
      <c r="E494" s="4"/>
      <c r="F494" s="4"/>
      <c r="G494" s="4"/>
      <c r="H494" s="4"/>
      <c r="I494" s="4"/>
      <c r="J494" s="4"/>
      <c r="K494" s="4"/>
      <c r="L494" s="4"/>
      <c r="M494" s="4"/>
    </row>
    <row r="495" spans="1:13" s="34" customFormat="1">
      <c r="A495" s="4"/>
      <c r="B495" s="4"/>
      <c r="C495" s="4"/>
      <c r="D495" s="4"/>
      <c r="E495" s="4"/>
      <c r="F495" s="4"/>
      <c r="G495" s="4"/>
      <c r="H495" s="4"/>
      <c r="I495" s="4"/>
      <c r="J495" s="4"/>
      <c r="K495" s="4"/>
      <c r="L495" s="4"/>
      <c r="M495" s="4"/>
    </row>
    <row r="496" spans="1:13" s="34" customFormat="1">
      <c r="A496" s="4"/>
      <c r="B496" s="4"/>
      <c r="C496" s="4"/>
      <c r="D496" s="4"/>
      <c r="E496" s="4"/>
      <c r="F496" s="4"/>
      <c r="G496" s="4"/>
      <c r="H496" s="4"/>
      <c r="I496" s="4"/>
      <c r="J496" s="4"/>
      <c r="K496" s="4"/>
      <c r="L496" s="4"/>
      <c r="M496" s="4"/>
    </row>
    <row r="497" spans="1:13" s="34" customFormat="1">
      <c r="A497" s="4"/>
      <c r="B497" s="4"/>
      <c r="C497" s="4"/>
      <c r="D497" s="4"/>
      <c r="E497" s="4"/>
      <c r="F497" s="4"/>
      <c r="G497" s="4"/>
      <c r="H497" s="4"/>
      <c r="I497" s="4"/>
      <c r="J497" s="4"/>
      <c r="K497" s="4"/>
      <c r="L497" s="4"/>
      <c r="M497" s="4"/>
    </row>
    <row r="498" spans="1:13" s="34" customFormat="1">
      <c r="A498" s="4"/>
      <c r="B498" s="4"/>
      <c r="C498" s="4"/>
      <c r="D498" s="4"/>
      <c r="E498" s="4"/>
      <c r="F498" s="4"/>
      <c r="G498" s="4"/>
      <c r="H498" s="4"/>
      <c r="I498" s="4"/>
      <c r="J498" s="4"/>
      <c r="K498" s="4"/>
      <c r="L498" s="4"/>
      <c r="M498" s="4"/>
    </row>
    <row r="499" spans="1:13" s="34" customFormat="1">
      <c r="A499" s="4"/>
      <c r="B499" s="4"/>
      <c r="C499" s="4"/>
      <c r="D499" s="4"/>
      <c r="E499" s="4"/>
      <c r="F499" s="4"/>
      <c r="G499" s="4"/>
      <c r="H499" s="4"/>
      <c r="I499" s="4"/>
      <c r="J499" s="4"/>
      <c r="K499" s="4"/>
      <c r="L499" s="4"/>
      <c r="M499" s="4"/>
    </row>
    <row r="500" spans="1:13" s="34" customFormat="1">
      <c r="A500" s="4"/>
      <c r="B500" s="4"/>
      <c r="C500" s="4"/>
      <c r="D500" s="4"/>
      <c r="E500" s="4"/>
      <c r="F500" s="4"/>
      <c r="G500" s="4"/>
      <c r="H500" s="4"/>
      <c r="I500" s="4"/>
      <c r="J500" s="4"/>
      <c r="K500" s="4"/>
      <c r="L500" s="4"/>
      <c r="M500" s="4"/>
    </row>
    <row r="501" spans="1:13" s="34" customFormat="1">
      <c r="A501" s="4"/>
      <c r="B501" s="4"/>
      <c r="C501" s="4"/>
      <c r="D501" s="4"/>
      <c r="E501" s="4"/>
      <c r="F501" s="4"/>
      <c r="G501" s="4"/>
      <c r="H501" s="4"/>
      <c r="I501" s="4"/>
      <c r="J501" s="4"/>
      <c r="K501" s="4"/>
      <c r="L501" s="4"/>
      <c r="M501" s="4"/>
    </row>
    <row r="502" spans="1:13" s="34" customFormat="1">
      <c r="A502" s="4"/>
      <c r="B502" s="4"/>
      <c r="C502" s="4"/>
      <c r="D502" s="4"/>
      <c r="E502" s="4"/>
      <c r="F502" s="4"/>
      <c r="G502" s="4"/>
      <c r="H502" s="4"/>
      <c r="I502" s="4"/>
      <c r="J502" s="4"/>
      <c r="K502" s="4"/>
      <c r="L502" s="4"/>
      <c r="M502" s="4"/>
    </row>
    <row r="503" spans="1:13" s="34" customFormat="1">
      <c r="A503" s="4"/>
      <c r="B503" s="4"/>
      <c r="C503" s="4"/>
      <c r="D503" s="4"/>
      <c r="E503" s="4"/>
      <c r="F503" s="4"/>
      <c r="G503" s="4"/>
      <c r="H503" s="4"/>
      <c r="I503" s="4"/>
      <c r="J503" s="4"/>
      <c r="K503" s="4"/>
      <c r="L503" s="4"/>
      <c r="M503" s="4"/>
    </row>
    <row r="504" spans="1:13" s="34" customFormat="1">
      <c r="A504" s="4"/>
      <c r="B504" s="4"/>
      <c r="C504" s="4"/>
      <c r="D504" s="4"/>
      <c r="E504" s="4"/>
      <c r="F504" s="4"/>
      <c r="G504" s="4"/>
      <c r="H504" s="4"/>
      <c r="I504" s="4"/>
      <c r="J504" s="4"/>
      <c r="K504" s="4"/>
      <c r="L504" s="4"/>
      <c r="M504" s="4"/>
    </row>
    <row r="505" spans="1:13" s="34" customFormat="1">
      <c r="A505" s="4"/>
      <c r="B505" s="4"/>
      <c r="C505" s="4"/>
      <c r="D505" s="4"/>
      <c r="E505" s="4"/>
      <c r="F505" s="4"/>
      <c r="G505" s="4"/>
      <c r="H505" s="4"/>
      <c r="I505" s="4"/>
      <c r="J505" s="4"/>
      <c r="K505" s="4"/>
      <c r="L505" s="4"/>
      <c r="M505" s="4"/>
    </row>
    <row r="506" spans="1:13" s="34" customFormat="1">
      <c r="A506" s="4"/>
      <c r="B506" s="4"/>
      <c r="C506" s="4"/>
      <c r="D506" s="4"/>
      <c r="E506" s="4"/>
      <c r="F506" s="4"/>
      <c r="G506" s="4"/>
      <c r="H506" s="4"/>
      <c r="I506" s="4"/>
      <c r="J506" s="4"/>
      <c r="K506" s="4"/>
      <c r="L506" s="4"/>
      <c r="M506" s="4"/>
    </row>
    <row r="507" spans="1:13" s="34" customFormat="1">
      <c r="A507" s="4"/>
      <c r="B507" s="4"/>
      <c r="C507" s="4"/>
      <c r="D507" s="4"/>
      <c r="E507" s="4"/>
      <c r="F507" s="4"/>
      <c r="G507" s="4"/>
      <c r="H507" s="4"/>
      <c r="I507" s="4"/>
      <c r="J507" s="4"/>
      <c r="K507" s="4"/>
      <c r="L507" s="4"/>
      <c r="M507" s="4"/>
    </row>
    <row r="508" spans="1:13" s="34" customFormat="1">
      <c r="A508" s="4"/>
      <c r="B508" s="4"/>
      <c r="C508" s="4"/>
      <c r="D508" s="4"/>
      <c r="E508" s="4"/>
      <c r="F508" s="4"/>
      <c r="G508" s="4"/>
      <c r="H508" s="4"/>
      <c r="I508" s="4"/>
      <c r="J508" s="4"/>
      <c r="K508" s="4"/>
      <c r="L508" s="4"/>
      <c r="M508" s="4"/>
    </row>
    <row r="509" spans="1:13" s="34" customFormat="1">
      <c r="A509" s="4"/>
      <c r="B509" s="4"/>
      <c r="C509" s="4"/>
      <c r="D509" s="4"/>
      <c r="E509" s="4"/>
      <c r="F509" s="4"/>
      <c r="G509" s="4"/>
      <c r="H509" s="4"/>
      <c r="I509" s="4"/>
      <c r="J509" s="4"/>
      <c r="K509" s="4"/>
      <c r="L509" s="4"/>
      <c r="M509" s="4"/>
    </row>
    <row r="510" spans="1:13" s="34" customFormat="1">
      <c r="A510" s="4"/>
      <c r="B510" s="4"/>
      <c r="C510" s="4"/>
      <c r="D510" s="4"/>
      <c r="E510" s="4"/>
      <c r="F510" s="4"/>
      <c r="G510" s="4"/>
      <c r="H510" s="4"/>
      <c r="I510" s="4"/>
      <c r="J510" s="4"/>
      <c r="K510" s="4"/>
      <c r="L510" s="4"/>
      <c r="M510" s="4"/>
    </row>
    <row r="511" spans="1:13" s="34" customFormat="1">
      <c r="A511" s="4"/>
      <c r="B511" s="4"/>
      <c r="C511" s="4"/>
      <c r="D511" s="4"/>
      <c r="E511" s="4"/>
      <c r="F511" s="4"/>
      <c r="G511" s="4"/>
      <c r="H511" s="4"/>
      <c r="I511" s="4"/>
      <c r="J511" s="4"/>
      <c r="K511" s="4"/>
      <c r="L511" s="4"/>
      <c r="M511" s="4"/>
    </row>
    <row r="512" spans="1:13" s="34" customFormat="1">
      <c r="A512" s="4"/>
      <c r="B512" s="4"/>
      <c r="C512" s="4"/>
      <c r="D512" s="4"/>
      <c r="E512" s="4"/>
      <c r="F512" s="4"/>
      <c r="G512" s="4"/>
      <c r="H512" s="4"/>
      <c r="I512" s="4"/>
      <c r="J512" s="4"/>
      <c r="K512" s="4"/>
      <c r="L512" s="4"/>
      <c r="M512" s="4"/>
    </row>
    <row r="513" spans="1:13" s="34" customFormat="1">
      <c r="A513" s="4"/>
      <c r="B513" s="4"/>
      <c r="C513" s="4"/>
      <c r="D513" s="4"/>
      <c r="E513" s="4"/>
      <c r="F513" s="4"/>
      <c r="G513" s="4"/>
      <c r="H513" s="4"/>
      <c r="I513" s="4"/>
      <c r="J513" s="4"/>
      <c r="K513" s="4"/>
      <c r="L513" s="4"/>
      <c r="M513" s="4"/>
    </row>
    <row r="514" spans="1:13" s="34" customFormat="1">
      <c r="A514" s="4"/>
      <c r="B514" s="4"/>
      <c r="C514" s="4"/>
      <c r="D514" s="4"/>
      <c r="E514" s="4"/>
      <c r="F514" s="4"/>
      <c r="G514" s="4"/>
      <c r="H514" s="4"/>
      <c r="I514" s="4"/>
      <c r="J514" s="4"/>
      <c r="K514" s="4"/>
      <c r="L514" s="4"/>
      <c r="M514" s="4"/>
    </row>
    <row r="515" spans="1:13" s="34" customFormat="1">
      <c r="A515" s="4"/>
      <c r="B515" s="4"/>
      <c r="C515" s="4"/>
      <c r="D515" s="4"/>
      <c r="E515" s="4"/>
      <c r="F515" s="4"/>
      <c r="G515" s="4"/>
      <c r="H515" s="4"/>
      <c r="I515" s="4"/>
      <c r="J515" s="4"/>
      <c r="K515" s="4"/>
      <c r="L515" s="4"/>
      <c r="M515" s="4"/>
    </row>
    <row r="516" spans="1:13" s="34" customFormat="1">
      <c r="A516" s="4"/>
      <c r="B516" s="4"/>
      <c r="C516" s="4"/>
      <c r="D516" s="4"/>
      <c r="E516" s="4"/>
      <c r="F516" s="4"/>
      <c r="G516" s="4"/>
      <c r="H516" s="4"/>
      <c r="I516" s="4"/>
      <c r="J516" s="4"/>
      <c r="K516" s="4"/>
      <c r="L516" s="4"/>
      <c r="M516" s="4"/>
    </row>
    <row r="517" spans="1:13" s="34" customFormat="1">
      <c r="A517" s="4"/>
      <c r="B517" s="4"/>
      <c r="C517" s="4"/>
      <c r="D517" s="4"/>
      <c r="E517" s="4"/>
      <c r="F517" s="4"/>
      <c r="G517" s="4"/>
      <c r="H517" s="4"/>
      <c r="I517" s="4"/>
      <c r="J517" s="4"/>
      <c r="K517" s="4"/>
      <c r="L517" s="4"/>
      <c r="M517" s="4"/>
    </row>
    <row r="518" spans="1:13" s="34" customFormat="1">
      <c r="A518" s="4"/>
      <c r="B518" s="4"/>
      <c r="C518" s="4"/>
      <c r="D518" s="4"/>
      <c r="E518" s="4"/>
      <c r="F518" s="4"/>
      <c r="G518" s="4"/>
      <c r="H518" s="4"/>
      <c r="I518" s="4"/>
      <c r="J518" s="4"/>
      <c r="K518" s="4"/>
      <c r="L518" s="4"/>
      <c r="M518" s="4"/>
    </row>
    <row r="519" spans="1:13" s="34" customFormat="1">
      <c r="A519" s="4"/>
      <c r="B519" s="4"/>
      <c r="C519" s="4"/>
      <c r="D519" s="4"/>
      <c r="E519" s="4"/>
      <c r="F519" s="4"/>
      <c r="G519" s="4"/>
      <c r="H519" s="4"/>
      <c r="I519" s="4"/>
      <c r="J519" s="4"/>
      <c r="K519" s="4"/>
      <c r="L519" s="4"/>
      <c r="M519" s="4"/>
    </row>
    <row r="520" spans="1:13" s="34" customFormat="1">
      <c r="A520" s="4"/>
      <c r="B520" s="4"/>
      <c r="C520" s="4"/>
      <c r="D520" s="4"/>
      <c r="E520" s="4"/>
      <c r="F520" s="4"/>
      <c r="G520" s="4"/>
      <c r="H520" s="4"/>
      <c r="I520" s="4"/>
      <c r="J520" s="4"/>
      <c r="K520" s="4"/>
      <c r="L520" s="4"/>
      <c r="M520" s="4"/>
    </row>
    <row r="521" spans="1:13" s="34" customFormat="1">
      <c r="A521" s="4"/>
      <c r="B521" s="4"/>
      <c r="C521" s="4"/>
      <c r="D521" s="4"/>
      <c r="E521" s="4"/>
      <c r="F521" s="4"/>
      <c r="G521" s="4"/>
      <c r="H521" s="4"/>
      <c r="I521" s="4"/>
      <c r="J521" s="4"/>
      <c r="K521" s="4"/>
      <c r="L521" s="4"/>
      <c r="M521" s="4"/>
    </row>
    <row r="522" spans="1:13" s="34" customFormat="1">
      <c r="A522" s="4"/>
      <c r="B522" s="4"/>
      <c r="C522" s="4"/>
      <c r="D522" s="4"/>
      <c r="E522" s="4"/>
      <c r="F522" s="4"/>
      <c r="G522" s="4"/>
      <c r="H522" s="4"/>
      <c r="I522" s="4"/>
      <c r="J522" s="4"/>
      <c r="K522" s="4"/>
      <c r="L522" s="4"/>
      <c r="M522" s="4"/>
    </row>
    <row r="523" spans="1:13" s="34" customFormat="1">
      <c r="A523" s="4"/>
      <c r="B523" s="4"/>
      <c r="C523" s="4"/>
      <c r="D523" s="4"/>
      <c r="E523" s="4"/>
      <c r="F523" s="4"/>
      <c r="G523" s="4"/>
      <c r="H523" s="4"/>
      <c r="I523" s="4"/>
      <c r="J523" s="4"/>
      <c r="K523" s="4"/>
      <c r="L523" s="4"/>
      <c r="M523" s="4"/>
    </row>
    <row r="524" spans="1:13" s="34" customFormat="1">
      <c r="A524" s="4"/>
      <c r="B524" s="4"/>
      <c r="C524" s="4"/>
      <c r="D524" s="4"/>
      <c r="E524" s="4"/>
      <c r="F524" s="4"/>
      <c r="G524" s="4"/>
      <c r="H524" s="4"/>
      <c r="I524" s="4"/>
      <c r="J524" s="4"/>
      <c r="K524" s="4"/>
      <c r="L524" s="4"/>
      <c r="M524" s="4"/>
    </row>
    <row r="525" spans="1:13" s="34" customFormat="1">
      <c r="A525" s="4"/>
      <c r="B525" s="4"/>
      <c r="C525" s="4"/>
      <c r="D525" s="4"/>
      <c r="E525" s="4"/>
      <c r="F525" s="4"/>
      <c r="G525" s="4"/>
      <c r="H525" s="4"/>
      <c r="I525" s="4"/>
      <c r="J525" s="4"/>
      <c r="K525" s="4"/>
      <c r="L525" s="4"/>
      <c r="M525" s="4"/>
    </row>
    <row r="526" spans="1:13" s="34" customFormat="1">
      <c r="A526" s="4"/>
      <c r="B526" s="4"/>
      <c r="C526" s="4"/>
      <c r="D526" s="4"/>
      <c r="E526" s="4"/>
      <c r="F526" s="4"/>
      <c r="G526" s="4"/>
      <c r="H526" s="4"/>
      <c r="I526" s="4"/>
      <c r="J526" s="4"/>
      <c r="K526" s="4"/>
      <c r="L526" s="4"/>
      <c r="M526" s="4"/>
    </row>
    <row r="527" spans="1:13" s="34" customFormat="1">
      <c r="A527" s="4"/>
      <c r="B527" s="4"/>
      <c r="C527" s="4"/>
      <c r="D527" s="4"/>
      <c r="E527" s="4"/>
      <c r="F527" s="4"/>
      <c r="G527" s="4"/>
      <c r="H527" s="4"/>
      <c r="I527" s="4"/>
      <c r="J527" s="4"/>
      <c r="K527" s="4"/>
      <c r="L527" s="4"/>
      <c r="M527" s="4"/>
    </row>
    <row r="528" spans="1:13" s="34" customFormat="1">
      <c r="A528" s="4"/>
      <c r="B528" s="4"/>
      <c r="C528" s="4"/>
      <c r="D528" s="4"/>
      <c r="E528" s="4"/>
      <c r="F528" s="4"/>
      <c r="G528" s="4"/>
      <c r="H528" s="4"/>
      <c r="I528" s="4"/>
      <c r="J528" s="4"/>
      <c r="K528" s="4"/>
      <c r="L528" s="4"/>
      <c r="M528" s="4"/>
    </row>
    <row r="529" spans="1:13" s="34" customFormat="1">
      <c r="A529" s="4"/>
      <c r="B529" s="4"/>
      <c r="C529" s="4"/>
      <c r="D529" s="4"/>
      <c r="E529" s="4"/>
      <c r="F529" s="4"/>
      <c r="G529" s="4"/>
      <c r="H529" s="4"/>
      <c r="I529" s="4"/>
      <c r="J529" s="4"/>
      <c r="K529" s="4"/>
      <c r="L529" s="4"/>
      <c r="M529" s="4"/>
    </row>
    <row r="530" spans="1:13" s="34" customFormat="1">
      <c r="A530" s="4"/>
      <c r="B530" s="4"/>
      <c r="C530" s="4"/>
      <c r="D530" s="4"/>
      <c r="E530" s="4"/>
      <c r="F530" s="4"/>
      <c r="G530" s="4"/>
      <c r="H530" s="4"/>
      <c r="I530" s="4"/>
      <c r="J530" s="4"/>
      <c r="K530" s="4"/>
      <c r="L530" s="4"/>
      <c r="M530" s="4"/>
    </row>
    <row r="531" spans="1:13" s="34" customFormat="1">
      <c r="A531" s="4"/>
      <c r="B531" s="4"/>
      <c r="C531" s="4"/>
      <c r="D531" s="4"/>
      <c r="E531" s="4"/>
      <c r="F531" s="4"/>
      <c r="G531" s="4"/>
      <c r="H531" s="4"/>
      <c r="I531" s="4"/>
      <c r="J531" s="4"/>
      <c r="K531" s="4"/>
      <c r="L531" s="4"/>
      <c r="M531" s="4"/>
    </row>
    <row r="532" spans="1:13" s="34" customFormat="1">
      <c r="A532" s="4"/>
      <c r="B532" s="4"/>
      <c r="C532" s="4"/>
      <c r="D532" s="4"/>
      <c r="E532" s="4"/>
      <c r="F532" s="4"/>
      <c r="G532" s="4"/>
      <c r="H532" s="4"/>
      <c r="I532" s="4"/>
      <c r="J532" s="4"/>
      <c r="K532" s="4"/>
      <c r="L532" s="4"/>
      <c r="M532" s="4"/>
    </row>
    <row r="533" spans="1:13" s="34" customFormat="1">
      <c r="A533" s="4"/>
      <c r="B533" s="4"/>
      <c r="C533" s="4"/>
      <c r="D533" s="4"/>
      <c r="E533" s="4"/>
      <c r="F533" s="4"/>
      <c r="G533" s="4"/>
      <c r="H533" s="4"/>
      <c r="I533" s="4"/>
      <c r="J533" s="4"/>
      <c r="K533" s="4"/>
      <c r="L533" s="4"/>
      <c r="M533" s="4"/>
    </row>
    <row r="534" spans="1:13" s="34" customFormat="1">
      <c r="A534" s="4"/>
      <c r="B534" s="4"/>
      <c r="C534" s="4"/>
      <c r="D534" s="4"/>
      <c r="E534" s="4"/>
      <c r="F534" s="4"/>
      <c r="G534" s="4"/>
      <c r="H534" s="4"/>
      <c r="I534" s="4"/>
      <c r="J534" s="4"/>
      <c r="K534" s="4"/>
      <c r="L534" s="4"/>
      <c r="M534" s="4"/>
    </row>
    <row r="535" spans="1:13" s="34" customFormat="1">
      <c r="A535" s="4"/>
      <c r="B535" s="4"/>
      <c r="C535" s="4"/>
      <c r="D535" s="4"/>
      <c r="E535" s="4"/>
      <c r="F535" s="4"/>
      <c r="G535" s="4"/>
      <c r="H535" s="4"/>
      <c r="I535" s="4"/>
      <c r="J535" s="4"/>
      <c r="K535" s="4"/>
      <c r="L535" s="4"/>
      <c r="M535" s="4"/>
    </row>
    <row r="536" spans="1:13" s="34" customFormat="1">
      <c r="A536" s="4"/>
      <c r="B536" s="4"/>
      <c r="C536" s="4"/>
      <c r="D536" s="4"/>
      <c r="E536" s="4"/>
      <c r="F536" s="4"/>
      <c r="G536" s="4"/>
      <c r="H536" s="4"/>
      <c r="I536" s="4"/>
      <c r="J536" s="4"/>
      <c r="K536" s="4"/>
      <c r="L536" s="4"/>
      <c r="M536" s="4"/>
    </row>
    <row r="537" spans="1:13" s="34" customFormat="1">
      <c r="A537" s="4"/>
      <c r="B537" s="4"/>
      <c r="C537" s="4"/>
      <c r="D537" s="4"/>
      <c r="E537" s="4"/>
      <c r="F537" s="4"/>
      <c r="G537" s="4"/>
      <c r="H537" s="4"/>
      <c r="I537" s="4"/>
      <c r="J537" s="4"/>
      <c r="K537" s="4"/>
      <c r="L537" s="4"/>
      <c r="M537" s="4"/>
    </row>
    <row r="538" spans="1:13" s="34" customFormat="1">
      <c r="A538" s="4"/>
      <c r="B538" s="4"/>
      <c r="C538" s="4"/>
      <c r="D538" s="4"/>
      <c r="E538" s="4"/>
      <c r="F538" s="4"/>
      <c r="G538" s="4"/>
      <c r="H538" s="4"/>
      <c r="I538" s="4"/>
      <c r="J538" s="4"/>
      <c r="K538" s="4"/>
      <c r="L538" s="4"/>
      <c r="M538" s="4"/>
    </row>
    <row r="539" spans="1:13" s="34" customFormat="1">
      <c r="A539" s="4"/>
      <c r="B539" s="4"/>
      <c r="C539" s="4"/>
      <c r="D539" s="4"/>
      <c r="E539" s="4"/>
      <c r="F539" s="4"/>
      <c r="G539" s="4"/>
      <c r="H539" s="4"/>
      <c r="I539" s="4"/>
      <c r="J539" s="4"/>
      <c r="K539" s="4"/>
      <c r="L539" s="4"/>
      <c r="M539" s="4"/>
    </row>
    <row r="540" spans="1:13" s="34" customFormat="1">
      <c r="A540" s="4"/>
      <c r="B540" s="4"/>
      <c r="C540" s="4"/>
      <c r="D540" s="4"/>
      <c r="E540" s="4"/>
      <c r="F540" s="4"/>
      <c r="G540" s="4"/>
      <c r="H540" s="4"/>
      <c r="I540" s="4"/>
      <c r="J540" s="4"/>
      <c r="K540" s="4"/>
      <c r="L540" s="4"/>
      <c r="M540" s="4"/>
    </row>
    <row r="541" spans="1:13" s="34" customFormat="1">
      <c r="A541" s="4"/>
      <c r="B541" s="4"/>
      <c r="C541" s="4"/>
      <c r="D541" s="4"/>
      <c r="E541" s="4"/>
      <c r="F541" s="4"/>
      <c r="G541" s="4"/>
      <c r="H541" s="4"/>
      <c r="I541" s="4"/>
      <c r="J541" s="4"/>
      <c r="K541" s="4"/>
      <c r="L541" s="4"/>
      <c r="M541" s="4"/>
    </row>
    <row r="542" spans="1:13" s="34" customFormat="1">
      <c r="A542" s="4"/>
      <c r="B542" s="4"/>
      <c r="C542" s="4"/>
      <c r="D542" s="4"/>
      <c r="E542" s="4"/>
      <c r="F542" s="4"/>
      <c r="G542" s="4"/>
      <c r="H542" s="4"/>
      <c r="I542" s="4"/>
      <c r="J542" s="4"/>
      <c r="K542" s="4"/>
      <c r="L542" s="4"/>
      <c r="M542" s="4"/>
    </row>
    <row r="543" spans="1:13" s="34" customFormat="1">
      <c r="A543" s="4"/>
      <c r="B543" s="4"/>
      <c r="C543" s="4"/>
      <c r="D543" s="4"/>
      <c r="E543" s="4"/>
      <c r="F543" s="4"/>
      <c r="G543" s="4"/>
      <c r="H543" s="4"/>
      <c r="I543" s="4"/>
      <c r="J543" s="4"/>
      <c r="K543" s="4"/>
      <c r="L543" s="4"/>
      <c r="M543" s="4"/>
    </row>
    <row r="544" spans="1:13" s="34" customFormat="1">
      <c r="A544" s="4"/>
      <c r="B544" s="4"/>
      <c r="C544" s="4"/>
      <c r="D544" s="4"/>
      <c r="E544" s="4"/>
      <c r="F544" s="4"/>
      <c r="G544" s="4"/>
      <c r="H544" s="4"/>
      <c r="I544" s="4"/>
      <c r="J544" s="4"/>
      <c r="K544" s="4"/>
      <c r="L544" s="4"/>
      <c r="M544" s="4"/>
    </row>
    <row r="545" spans="1:13" s="34" customFormat="1">
      <c r="A545" s="4"/>
      <c r="B545" s="4"/>
      <c r="C545" s="4"/>
      <c r="D545" s="4"/>
      <c r="E545" s="4"/>
      <c r="F545" s="4"/>
      <c r="G545" s="4"/>
      <c r="H545" s="4"/>
      <c r="I545" s="4"/>
      <c r="J545" s="4"/>
      <c r="K545" s="4"/>
      <c r="L545" s="4"/>
      <c r="M545" s="4"/>
    </row>
    <row r="546" spans="1:13" s="34" customFormat="1">
      <c r="A546" s="4"/>
      <c r="B546" s="4"/>
      <c r="C546" s="4"/>
      <c r="D546" s="4"/>
      <c r="E546" s="4"/>
      <c r="F546" s="4"/>
      <c r="G546" s="4"/>
      <c r="H546" s="4"/>
      <c r="I546" s="4"/>
      <c r="J546" s="4"/>
      <c r="K546" s="4"/>
      <c r="L546" s="4"/>
      <c r="M546" s="4"/>
    </row>
    <row r="547" spans="1:13" s="34" customFormat="1">
      <c r="A547" s="4"/>
      <c r="B547" s="4"/>
      <c r="C547" s="4"/>
      <c r="D547" s="4"/>
      <c r="E547" s="4"/>
      <c r="F547" s="4"/>
      <c r="G547" s="4"/>
      <c r="H547" s="4"/>
      <c r="I547" s="4"/>
      <c r="J547" s="4"/>
      <c r="K547" s="4"/>
      <c r="L547" s="4"/>
      <c r="M547" s="4"/>
    </row>
    <row r="548" spans="1:13" s="34" customFormat="1">
      <c r="A548" s="4"/>
      <c r="B548" s="4"/>
      <c r="C548" s="4"/>
      <c r="D548" s="4"/>
      <c r="E548" s="4"/>
      <c r="F548" s="4"/>
      <c r="G548" s="4"/>
      <c r="H548" s="4"/>
      <c r="I548" s="4"/>
      <c r="J548" s="4"/>
      <c r="K548" s="4"/>
      <c r="L548" s="4"/>
      <c r="M548" s="4"/>
    </row>
    <row r="549" spans="1:13" s="34" customFormat="1">
      <c r="A549" s="4"/>
      <c r="B549" s="4"/>
      <c r="C549" s="4"/>
      <c r="D549" s="4"/>
      <c r="E549" s="4"/>
      <c r="F549" s="4"/>
      <c r="G549" s="4"/>
      <c r="H549" s="4"/>
      <c r="I549" s="4"/>
      <c r="J549" s="4"/>
      <c r="K549" s="4"/>
      <c r="L549" s="4"/>
      <c r="M549" s="4"/>
    </row>
    <row r="550" spans="1:13" s="34" customFormat="1">
      <c r="A550" s="4"/>
      <c r="B550" s="4"/>
      <c r="C550" s="4"/>
      <c r="D550" s="4"/>
      <c r="E550" s="4"/>
      <c r="F550" s="4"/>
      <c r="G550" s="4"/>
      <c r="H550" s="4"/>
      <c r="I550" s="4"/>
      <c r="J550" s="4"/>
      <c r="K550" s="4"/>
      <c r="L550" s="4"/>
      <c r="M550" s="4"/>
    </row>
    <row r="551" spans="1:13" s="34" customFormat="1">
      <c r="A551" s="4"/>
      <c r="B551" s="4"/>
      <c r="C551" s="4"/>
      <c r="D551" s="4"/>
      <c r="E551" s="4"/>
      <c r="F551" s="4"/>
      <c r="G551" s="4"/>
      <c r="H551" s="4"/>
      <c r="I551" s="4"/>
      <c r="J551" s="4"/>
      <c r="K551" s="4"/>
      <c r="L551" s="4"/>
      <c r="M551" s="4"/>
    </row>
    <row r="552" spans="1:13" s="34" customFormat="1">
      <c r="A552" s="4"/>
      <c r="B552" s="4"/>
      <c r="C552" s="4"/>
      <c r="D552" s="4"/>
      <c r="E552" s="4"/>
      <c r="F552" s="4"/>
      <c r="G552" s="4"/>
      <c r="H552" s="4"/>
      <c r="I552" s="4"/>
      <c r="J552" s="4"/>
      <c r="K552" s="4"/>
      <c r="L552" s="4"/>
      <c r="M552" s="4"/>
    </row>
    <row r="553" spans="1:13" s="34" customFormat="1">
      <c r="A553" s="4"/>
      <c r="B553" s="4"/>
      <c r="C553" s="4"/>
      <c r="D553" s="4"/>
      <c r="E553" s="4"/>
      <c r="F553" s="4"/>
      <c r="G553" s="4"/>
      <c r="H553" s="4"/>
      <c r="I553" s="4"/>
      <c r="J553" s="4"/>
      <c r="K553" s="4"/>
      <c r="L553" s="4"/>
      <c r="M553" s="4"/>
    </row>
    <row r="554" spans="1:13" s="34" customFormat="1">
      <c r="A554" s="4"/>
      <c r="B554" s="4"/>
      <c r="C554" s="4"/>
      <c r="D554" s="4"/>
      <c r="E554" s="4"/>
      <c r="F554" s="4"/>
      <c r="G554" s="4"/>
      <c r="H554" s="4"/>
      <c r="I554" s="4"/>
      <c r="J554" s="4"/>
      <c r="K554" s="4"/>
      <c r="L554" s="4"/>
      <c r="M554" s="4"/>
    </row>
    <row r="555" spans="1:13" s="34" customFormat="1">
      <c r="A555" s="4"/>
      <c r="B555" s="4"/>
      <c r="C555" s="4"/>
      <c r="D555" s="4"/>
      <c r="E555" s="4"/>
      <c r="F555" s="4"/>
      <c r="G555" s="4"/>
      <c r="H555" s="4"/>
      <c r="I555" s="4"/>
      <c r="J555" s="4"/>
      <c r="K555" s="4"/>
      <c r="L555" s="4"/>
      <c r="M555" s="4"/>
    </row>
    <row r="556" spans="1:13" s="34" customFormat="1">
      <c r="A556" s="4"/>
      <c r="B556" s="4"/>
      <c r="C556" s="4"/>
      <c r="D556" s="4"/>
      <c r="E556" s="4"/>
      <c r="F556" s="4"/>
      <c r="G556" s="4"/>
      <c r="H556" s="4"/>
      <c r="I556" s="4"/>
      <c r="J556" s="4"/>
      <c r="K556" s="4"/>
      <c r="L556" s="4"/>
      <c r="M556" s="4"/>
    </row>
    <row r="557" spans="1:13" s="34" customFormat="1">
      <c r="A557" s="4"/>
      <c r="B557" s="4"/>
      <c r="C557" s="4"/>
      <c r="D557" s="4"/>
      <c r="E557" s="4"/>
      <c r="F557" s="4"/>
      <c r="G557" s="4"/>
      <c r="H557" s="4"/>
      <c r="I557" s="4"/>
      <c r="J557" s="4"/>
      <c r="K557" s="4"/>
      <c r="L557" s="4"/>
      <c r="M557" s="4"/>
    </row>
    <row r="558" spans="1:13" s="34" customFormat="1">
      <c r="A558" s="4"/>
      <c r="B558" s="4"/>
      <c r="C558" s="4"/>
      <c r="D558" s="4"/>
      <c r="E558" s="4"/>
      <c r="F558" s="4"/>
      <c r="G558" s="4"/>
      <c r="H558" s="4"/>
      <c r="I558" s="4"/>
      <c r="J558" s="4"/>
      <c r="K558" s="4"/>
      <c r="L558" s="4"/>
      <c r="M558" s="4"/>
    </row>
    <row r="559" spans="1:13" s="34" customFormat="1">
      <c r="A559" s="4"/>
      <c r="B559" s="4"/>
      <c r="C559" s="4"/>
      <c r="D559" s="4"/>
      <c r="E559" s="4"/>
      <c r="F559" s="4"/>
      <c r="G559" s="4"/>
      <c r="H559" s="4"/>
      <c r="I559" s="4"/>
      <c r="J559" s="4"/>
      <c r="K559" s="4"/>
      <c r="L559" s="4"/>
      <c r="M559" s="4"/>
    </row>
    <row r="560" spans="1:13" s="34" customFormat="1">
      <c r="A560" s="4"/>
      <c r="B560" s="4"/>
      <c r="C560" s="4"/>
      <c r="D560" s="4"/>
      <c r="E560" s="4"/>
      <c r="F560" s="4"/>
      <c r="G560" s="4"/>
      <c r="H560" s="4"/>
      <c r="I560" s="4"/>
      <c r="J560" s="4"/>
      <c r="K560" s="4"/>
      <c r="L560" s="4"/>
      <c r="M560" s="4"/>
    </row>
    <row r="561" spans="1:13" s="34" customFormat="1">
      <c r="A561" s="4"/>
      <c r="B561" s="4"/>
      <c r="C561" s="4"/>
      <c r="D561" s="4"/>
      <c r="E561" s="4"/>
      <c r="F561" s="4"/>
      <c r="G561" s="4"/>
      <c r="H561" s="4"/>
      <c r="I561" s="4"/>
      <c r="J561" s="4"/>
      <c r="K561" s="4"/>
      <c r="L561" s="4"/>
      <c r="M561" s="4"/>
    </row>
    <row r="562" spans="1:13" s="34" customFormat="1">
      <c r="A562" s="4"/>
      <c r="B562" s="4"/>
      <c r="C562" s="4"/>
      <c r="D562" s="4"/>
      <c r="E562" s="4"/>
      <c r="F562" s="4"/>
      <c r="G562" s="4"/>
      <c r="H562" s="4"/>
      <c r="I562" s="4"/>
      <c r="J562" s="4"/>
      <c r="K562" s="4"/>
      <c r="L562" s="4"/>
      <c r="M562" s="4"/>
    </row>
    <row r="563" spans="1:13" s="34" customFormat="1">
      <c r="A563" s="4"/>
      <c r="B563" s="4"/>
      <c r="C563" s="4"/>
      <c r="D563" s="4"/>
      <c r="E563" s="4"/>
      <c r="F563" s="4"/>
      <c r="G563" s="4"/>
      <c r="H563" s="4"/>
      <c r="I563" s="4"/>
      <c r="J563" s="4"/>
      <c r="K563" s="4"/>
      <c r="L563" s="4"/>
      <c r="M563" s="4"/>
    </row>
    <row r="564" spans="1:13" s="34" customFormat="1">
      <c r="A564" s="4"/>
      <c r="B564" s="4"/>
      <c r="C564" s="4"/>
      <c r="D564" s="4"/>
      <c r="E564" s="4"/>
      <c r="F564" s="4"/>
      <c r="G564" s="4"/>
      <c r="H564" s="4"/>
      <c r="I564" s="4"/>
      <c r="J564" s="4"/>
      <c r="K564" s="4"/>
      <c r="L564" s="4"/>
      <c r="M564" s="4"/>
    </row>
    <row r="565" spans="1:13" s="34" customFormat="1">
      <c r="A565" s="4"/>
      <c r="B565" s="4"/>
      <c r="C565" s="4"/>
      <c r="D565" s="4"/>
      <c r="E565" s="4"/>
      <c r="F565" s="4"/>
      <c r="G565" s="4"/>
      <c r="H565" s="4"/>
      <c r="I565" s="4"/>
      <c r="J565" s="4"/>
      <c r="K565" s="4"/>
      <c r="L565" s="4"/>
      <c r="M565" s="4"/>
    </row>
    <row r="566" spans="1:13" s="34" customFormat="1">
      <c r="A566" s="4"/>
      <c r="B566" s="4"/>
      <c r="C566" s="4"/>
      <c r="D566" s="4"/>
      <c r="E566" s="4"/>
      <c r="F566" s="4"/>
      <c r="G566" s="4"/>
      <c r="H566" s="4"/>
      <c r="I566" s="4"/>
      <c r="J566" s="4"/>
      <c r="K566" s="4"/>
      <c r="L566" s="4"/>
      <c r="M566" s="4"/>
    </row>
    <row r="567" spans="1:13" s="34" customFormat="1">
      <c r="A567" s="4"/>
      <c r="B567" s="4"/>
      <c r="C567" s="4"/>
      <c r="D567" s="4"/>
      <c r="E567" s="4"/>
      <c r="F567" s="4"/>
      <c r="G567" s="4"/>
      <c r="H567" s="4"/>
      <c r="I567" s="4"/>
      <c r="J567" s="4"/>
      <c r="K567" s="4"/>
      <c r="L567" s="4"/>
      <c r="M567" s="4"/>
    </row>
    <row r="568" spans="1:13" s="34" customFormat="1">
      <c r="A568" s="4"/>
      <c r="B568" s="4"/>
      <c r="C568" s="4"/>
      <c r="D568" s="4"/>
      <c r="E568" s="4"/>
      <c r="F568" s="4"/>
      <c r="G568" s="4"/>
      <c r="H568" s="4"/>
      <c r="I568" s="4"/>
      <c r="J568" s="4"/>
      <c r="K568" s="4"/>
      <c r="L568" s="4"/>
      <c r="M568" s="4"/>
    </row>
    <row r="569" spans="1:13" s="34" customFormat="1">
      <c r="A569" s="4"/>
      <c r="B569" s="4"/>
      <c r="C569" s="4"/>
      <c r="D569" s="4"/>
      <c r="E569" s="4"/>
      <c r="F569" s="4"/>
      <c r="G569" s="4"/>
      <c r="H569" s="4"/>
      <c r="I569" s="4"/>
      <c r="J569" s="4"/>
      <c r="K569" s="4"/>
      <c r="L569" s="4"/>
      <c r="M569" s="4"/>
    </row>
    <row r="570" spans="1:13" s="34" customFormat="1">
      <c r="A570" s="4"/>
      <c r="B570" s="4"/>
      <c r="C570" s="4"/>
      <c r="D570" s="4"/>
      <c r="E570" s="4"/>
      <c r="F570" s="4"/>
      <c r="G570" s="4"/>
      <c r="H570" s="4"/>
      <c r="I570" s="4"/>
      <c r="J570" s="4"/>
      <c r="K570" s="4"/>
      <c r="L570" s="4"/>
      <c r="M570" s="4"/>
    </row>
    <row r="571" spans="1:13" s="34" customFormat="1">
      <c r="A571" s="4"/>
      <c r="B571" s="4"/>
      <c r="C571" s="4"/>
      <c r="D571" s="4"/>
      <c r="E571" s="4"/>
      <c r="F571" s="4"/>
      <c r="G571" s="4"/>
      <c r="H571" s="4"/>
      <c r="I571" s="4"/>
      <c r="J571" s="4"/>
      <c r="K571" s="4"/>
      <c r="L571" s="4"/>
      <c r="M571" s="4"/>
    </row>
    <row r="572" spans="1:13" s="34" customFormat="1">
      <c r="A572" s="4"/>
      <c r="B572" s="4"/>
      <c r="C572" s="4"/>
      <c r="D572" s="4"/>
      <c r="E572" s="4"/>
      <c r="F572" s="4"/>
      <c r="G572" s="4"/>
      <c r="H572" s="4"/>
      <c r="I572" s="4"/>
      <c r="J572" s="4"/>
      <c r="K572" s="4"/>
      <c r="L572" s="4"/>
      <c r="M572" s="4"/>
    </row>
    <row r="573" spans="1:13" s="34" customFormat="1">
      <c r="A573" s="4"/>
      <c r="B573" s="4"/>
      <c r="C573" s="4"/>
      <c r="D573" s="4"/>
      <c r="E573" s="4"/>
      <c r="F573" s="4"/>
      <c r="G573" s="4"/>
      <c r="H573" s="4"/>
      <c r="I573" s="4"/>
      <c r="J573" s="4"/>
      <c r="K573" s="4"/>
      <c r="L573" s="4"/>
      <c r="M573" s="4"/>
    </row>
    <row r="574" spans="1:13" s="34" customFormat="1">
      <c r="A574" s="4"/>
      <c r="B574" s="4"/>
      <c r="C574" s="4"/>
      <c r="D574" s="4"/>
      <c r="E574" s="4"/>
      <c r="F574" s="4"/>
      <c r="G574" s="4"/>
      <c r="H574" s="4"/>
      <c r="I574" s="4"/>
      <c r="J574" s="4"/>
      <c r="K574" s="4"/>
      <c r="L574" s="4"/>
      <c r="M574" s="4"/>
    </row>
    <row r="575" spans="1:13" s="34" customFormat="1">
      <c r="A575" s="4"/>
      <c r="B575" s="4"/>
      <c r="C575" s="4"/>
      <c r="D575" s="4"/>
      <c r="E575" s="4"/>
      <c r="F575" s="4"/>
      <c r="G575" s="4"/>
      <c r="H575" s="4"/>
      <c r="I575" s="4"/>
      <c r="J575" s="4"/>
      <c r="K575" s="4"/>
      <c r="L575" s="4"/>
      <c r="M575" s="4"/>
    </row>
    <row r="576" spans="1:13" s="34" customFormat="1">
      <c r="A576" s="4"/>
      <c r="B576" s="4"/>
      <c r="C576" s="4"/>
      <c r="D576" s="4"/>
      <c r="E576" s="4"/>
      <c r="F576" s="4"/>
      <c r="G576" s="4"/>
      <c r="H576" s="4"/>
      <c r="I576" s="4"/>
      <c r="J576" s="4"/>
      <c r="K576" s="4"/>
      <c r="L576" s="4"/>
      <c r="M576" s="4"/>
    </row>
    <row r="577" spans="1:13" s="34" customFormat="1">
      <c r="A577" s="4"/>
      <c r="B577" s="4"/>
      <c r="C577" s="4"/>
      <c r="D577" s="4"/>
      <c r="E577" s="4"/>
      <c r="F577" s="4"/>
      <c r="G577" s="4"/>
      <c r="H577" s="4"/>
      <c r="I577" s="4"/>
      <c r="J577" s="4"/>
      <c r="K577" s="4"/>
      <c r="L577" s="4"/>
      <c r="M577" s="4"/>
    </row>
    <row r="578" spans="1:13" s="34" customFormat="1">
      <c r="A578" s="4"/>
      <c r="B578" s="4"/>
      <c r="C578" s="4"/>
      <c r="D578" s="4"/>
      <c r="E578" s="4"/>
      <c r="F578" s="4"/>
      <c r="G578" s="4"/>
      <c r="H578" s="4"/>
      <c r="I578" s="4"/>
      <c r="J578" s="4"/>
      <c r="K578" s="4"/>
      <c r="L578" s="4"/>
      <c r="M578" s="4"/>
    </row>
    <row r="579" spans="1:13" s="34" customFormat="1">
      <c r="A579" s="4"/>
      <c r="B579" s="4"/>
      <c r="C579" s="4"/>
      <c r="D579" s="4"/>
      <c r="E579" s="4"/>
      <c r="F579" s="4"/>
      <c r="G579" s="4"/>
      <c r="H579" s="4"/>
      <c r="I579" s="4"/>
      <c r="J579" s="4"/>
      <c r="K579" s="4"/>
      <c r="L579" s="4"/>
      <c r="M579" s="4"/>
    </row>
    <row r="580" spans="1:13" s="34" customFormat="1">
      <c r="A580" s="4"/>
      <c r="B580" s="4"/>
      <c r="C580" s="4"/>
      <c r="D580" s="4"/>
      <c r="E580" s="4"/>
      <c r="F580" s="4"/>
      <c r="G580" s="4"/>
      <c r="H580" s="4"/>
      <c r="I580" s="4"/>
      <c r="J580" s="4"/>
      <c r="K580" s="4"/>
      <c r="L580" s="4"/>
      <c r="M580" s="4"/>
    </row>
    <row r="581" spans="1:13" s="34" customFormat="1">
      <c r="A581" s="4"/>
      <c r="B581" s="4"/>
      <c r="C581" s="4"/>
      <c r="D581" s="4"/>
      <c r="E581" s="4"/>
      <c r="F581" s="4"/>
      <c r="G581" s="4"/>
      <c r="H581" s="4"/>
      <c r="I581" s="4"/>
      <c r="J581" s="4"/>
      <c r="K581" s="4"/>
      <c r="L581" s="4"/>
      <c r="M581" s="4"/>
    </row>
    <row r="582" spans="1:13" s="34" customFormat="1">
      <c r="A582" s="4"/>
      <c r="B582" s="4"/>
      <c r="C582" s="4"/>
      <c r="D582" s="4"/>
      <c r="E582" s="4"/>
      <c r="F582" s="4"/>
      <c r="G582" s="4"/>
      <c r="H582" s="4"/>
      <c r="I582" s="4"/>
      <c r="J582" s="4"/>
      <c r="K582" s="4"/>
      <c r="L582" s="4"/>
      <c r="M582" s="4"/>
    </row>
    <row r="583" spans="1:13" s="34" customFormat="1">
      <c r="A583" s="4"/>
      <c r="B583" s="4"/>
      <c r="C583" s="4"/>
      <c r="D583" s="4"/>
      <c r="E583" s="4"/>
      <c r="F583" s="4"/>
      <c r="G583" s="4"/>
      <c r="H583" s="4"/>
      <c r="I583" s="4"/>
      <c r="J583" s="4"/>
      <c r="K583" s="4"/>
      <c r="L583" s="4"/>
      <c r="M583" s="4"/>
    </row>
    <row r="584" spans="1:13" s="34" customFormat="1">
      <c r="A584" s="4"/>
      <c r="B584" s="4"/>
      <c r="C584" s="4"/>
      <c r="D584" s="4"/>
      <c r="E584" s="4"/>
      <c r="F584" s="4"/>
      <c r="G584" s="4"/>
      <c r="H584" s="4"/>
      <c r="I584" s="4"/>
      <c r="J584" s="4"/>
      <c r="K584" s="4"/>
      <c r="L584" s="4"/>
      <c r="M584" s="4"/>
    </row>
    <row r="585" spans="1:13" s="34" customFormat="1">
      <c r="A585" s="4"/>
      <c r="B585" s="4"/>
      <c r="C585" s="4"/>
      <c r="D585" s="4"/>
      <c r="E585" s="4"/>
      <c r="F585" s="4"/>
      <c r="G585" s="4"/>
      <c r="H585" s="4"/>
      <c r="I585" s="4"/>
      <c r="J585" s="4"/>
      <c r="K585" s="4"/>
      <c r="L585" s="4"/>
      <c r="M585" s="4"/>
    </row>
    <row r="586" spans="1:13" s="34" customFormat="1">
      <c r="A586" s="4"/>
      <c r="B586" s="4"/>
      <c r="C586" s="4"/>
      <c r="D586" s="4"/>
      <c r="E586" s="4"/>
      <c r="F586" s="4"/>
      <c r="G586" s="4"/>
      <c r="H586" s="4"/>
      <c r="I586" s="4"/>
      <c r="J586" s="4"/>
      <c r="K586" s="4"/>
      <c r="L586" s="4"/>
      <c r="M586" s="4"/>
    </row>
    <row r="587" spans="1:13" s="34" customFormat="1">
      <c r="A587" s="4"/>
      <c r="B587" s="4"/>
      <c r="C587" s="4"/>
      <c r="D587" s="4"/>
      <c r="E587" s="4"/>
      <c r="F587" s="4"/>
      <c r="G587" s="4"/>
      <c r="H587" s="4"/>
      <c r="I587" s="4"/>
      <c r="J587" s="4"/>
      <c r="K587" s="4"/>
      <c r="L587" s="4"/>
      <c r="M587" s="4"/>
    </row>
    <row r="588" spans="1:13" s="34" customFormat="1">
      <c r="A588" s="4"/>
      <c r="B588" s="4"/>
      <c r="C588" s="4"/>
      <c r="D588" s="4"/>
      <c r="E588" s="4"/>
      <c r="F588" s="4"/>
      <c r="G588" s="4"/>
      <c r="H588" s="4"/>
      <c r="I588" s="4"/>
      <c r="J588" s="4"/>
      <c r="K588" s="4"/>
      <c r="L588" s="4"/>
      <c r="M588" s="4"/>
    </row>
    <row r="589" spans="1:13" s="34" customFormat="1">
      <c r="A589" s="4"/>
      <c r="B589" s="4"/>
      <c r="C589" s="4"/>
      <c r="D589" s="4"/>
      <c r="E589" s="4"/>
      <c r="F589" s="4"/>
      <c r="G589" s="4"/>
      <c r="H589" s="4"/>
      <c r="I589" s="4"/>
      <c r="J589" s="4"/>
      <c r="K589" s="4"/>
      <c r="L589" s="4"/>
      <c r="M589" s="4"/>
    </row>
    <row r="590" spans="1:13" s="34" customFormat="1">
      <c r="A590" s="4"/>
      <c r="B590" s="4"/>
      <c r="C590" s="4"/>
      <c r="D590" s="4"/>
      <c r="E590" s="4"/>
      <c r="F590" s="4"/>
      <c r="G590" s="4"/>
      <c r="H590" s="4"/>
      <c r="I590" s="4"/>
      <c r="J590" s="4"/>
      <c r="K590" s="4"/>
      <c r="L590" s="4"/>
      <c r="M590" s="4"/>
    </row>
    <row r="591" spans="1:13" s="34" customFormat="1">
      <c r="A591" s="4"/>
      <c r="B591" s="4"/>
      <c r="C591" s="4"/>
      <c r="D591" s="4"/>
      <c r="E591" s="4"/>
      <c r="F591" s="4"/>
      <c r="G591" s="4"/>
      <c r="H591" s="4"/>
      <c r="I591" s="4"/>
      <c r="J591" s="4"/>
      <c r="K591" s="4"/>
      <c r="L591" s="4"/>
      <c r="M591" s="4"/>
    </row>
    <row r="592" spans="1:13" s="34" customFormat="1">
      <c r="A592" s="4"/>
      <c r="B592" s="4"/>
      <c r="C592" s="4"/>
      <c r="D592" s="4"/>
      <c r="E592" s="4"/>
      <c r="F592" s="4"/>
      <c r="G592" s="4"/>
      <c r="H592" s="4"/>
      <c r="I592" s="4"/>
      <c r="J592" s="4"/>
      <c r="K592" s="4"/>
      <c r="L592" s="4"/>
      <c r="M592" s="4"/>
    </row>
    <row r="593" spans="1:13" s="34" customFormat="1">
      <c r="A593" s="4"/>
      <c r="B593" s="4"/>
      <c r="C593" s="4"/>
      <c r="D593" s="4"/>
      <c r="E593" s="4"/>
      <c r="F593" s="4"/>
      <c r="G593" s="4"/>
      <c r="H593" s="4"/>
      <c r="I593" s="4"/>
      <c r="J593" s="4"/>
      <c r="K593" s="4"/>
      <c r="L593" s="4"/>
      <c r="M593" s="4"/>
    </row>
    <row r="594" spans="1:13" s="34" customFormat="1">
      <c r="A594" s="4"/>
      <c r="B594" s="4"/>
      <c r="C594" s="4"/>
      <c r="D594" s="4"/>
      <c r="E594" s="4"/>
      <c r="F594" s="4"/>
      <c r="G594" s="4"/>
      <c r="H594" s="4"/>
      <c r="I594" s="4"/>
      <c r="J594" s="4"/>
      <c r="K594" s="4"/>
      <c r="L594" s="4"/>
      <c r="M594" s="4"/>
    </row>
    <row r="595" spans="1:13" s="34" customFormat="1">
      <c r="A595" s="4"/>
      <c r="B595" s="4"/>
      <c r="C595" s="4"/>
      <c r="D595" s="4"/>
      <c r="E595" s="4"/>
      <c r="F595" s="4"/>
      <c r="G595" s="4"/>
      <c r="H595" s="4"/>
      <c r="I595" s="4"/>
      <c r="J595" s="4"/>
      <c r="K595" s="4"/>
      <c r="L595" s="4"/>
      <c r="M595" s="4"/>
    </row>
    <row r="596" spans="1:13" s="34" customFormat="1">
      <c r="A596" s="4"/>
      <c r="B596" s="4"/>
      <c r="C596" s="4"/>
      <c r="D596" s="4"/>
      <c r="E596" s="4"/>
      <c r="F596" s="4"/>
      <c r="G596" s="4"/>
      <c r="H596" s="4"/>
      <c r="I596" s="4"/>
      <c r="J596" s="4"/>
      <c r="K596" s="4"/>
      <c r="L596" s="4"/>
      <c r="M596" s="4"/>
    </row>
    <row r="597" spans="1:13" s="34" customFormat="1">
      <c r="A597" s="4"/>
      <c r="B597" s="4"/>
      <c r="C597" s="4"/>
      <c r="D597" s="4"/>
      <c r="E597" s="4"/>
      <c r="F597" s="4"/>
      <c r="G597" s="4"/>
      <c r="H597" s="4"/>
      <c r="I597" s="4"/>
      <c r="J597" s="4"/>
      <c r="K597" s="4"/>
      <c r="L597" s="4"/>
      <c r="M597" s="4"/>
    </row>
    <row r="598" spans="1:13" s="34" customFormat="1">
      <c r="A598" s="4"/>
      <c r="B598" s="4"/>
      <c r="C598" s="4"/>
      <c r="D598" s="4"/>
      <c r="E598" s="4"/>
      <c r="F598" s="4"/>
      <c r="G598" s="4"/>
      <c r="H598" s="4"/>
      <c r="I598" s="4"/>
      <c r="J598" s="4"/>
      <c r="K598" s="4"/>
      <c r="L598" s="4"/>
      <c r="M598" s="4"/>
    </row>
    <row r="599" spans="1:13" s="34" customFormat="1">
      <c r="A599" s="4"/>
      <c r="B599" s="4"/>
      <c r="C599" s="4"/>
      <c r="D599" s="4"/>
      <c r="E599" s="4"/>
      <c r="F599" s="4"/>
      <c r="G599" s="4"/>
      <c r="H599" s="4"/>
      <c r="I599" s="4"/>
      <c r="J599" s="4"/>
      <c r="K599" s="4"/>
      <c r="L599" s="4"/>
      <c r="M599" s="4"/>
    </row>
    <row r="600" spans="1:13" s="34" customFormat="1">
      <c r="A600" s="4"/>
      <c r="B600" s="4"/>
      <c r="C600" s="4"/>
      <c r="D600" s="4"/>
      <c r="E600" s="4"/>
      <c r="F600" s="4"/>
      <c r="G600" s="4"/>
      <c r="H600" s="4"/>
      <c r="I600" s="4"/>
      <c r="J600" s="4"/>
      <c r="K600" s="4"/>
      <c r="L600" s="4"/>
      <c r="M600" s="4"/>
    </row>
    <row r="601" spans="1:13" s="34" customFormat="1">
      <c r="A601" s="4"/>
      <c r="B601" s="4"/>
      <c r="C601" s="4"/>
      <c r="D601" s="4"/>
      <c r="E601" s="4"/>
      <c r="F601" s="4"/>
      <c r="G601" s="4"/>
      <c r="H601" s="4"/>
      <c r="I601" s="4"/>
      <c r="J601" s="4"/>
      <c r="K601" s="4"/>
      <c r="L601" s="4"/>
      <c r="M601" s="4"/>
    </row>
    <row r="602" spans="1:13" s="34" customFormat="1">
      <c r="A602" s="4"/>
      <c r="B602" s="4"/>
      <c r="C602" s="4"/>
      <c r="D602" s="4"/>
      <c r="E602" s="4"/>
      <c r="F602" s="4"/>
      <c r="G602" s="4"/>
      <c r="H602" s="4"/>
      <c r="I602" s="4"/>
      <c r="J602" s="4"/>
      <c r="K602" s="4"/>
      <c r="L602" s="4"/>
      <c r="M602" s="4"/>
    </row>
    <row r="603" spans="1:13" s="34" customFormat="1">
      <c r="A603" s="4"/>
      <c r="B603" s="4"/>
      <c r="C603" s="4"/>
      <c r="D603" s="4"/>
      <c r="E603" s="4"/>
      <c r="F603" s="4"/>
      <c r="G603" s="4"/>
      <c r="H603" s="4"/>
      <c r="I603" s="4"/>
      <c r="J603" s="4"/>
      <c r="K603" s="4"/>
      <c r="L603" s="4"/>
      <c r="M603" s="4"/>
    </row>
    <row r="604" spans="1:13" s="34" customFormat="1">
      <c r="A604" s="4"/>
      <c r="B604" s="4"/>
      <c r="C604" s="4"/>
      <c r="D604" s="4"/>
      <c r="E604" s="4"/>
      <c r="F604" s="4"/>
      <c r="G604" s="4"/>
      <c r="H604" s="4"/>
      <c r="I604" s="4"/>
      <c r="J604" s="4"/>
      <c r="K604" s="4"/>
      <c r="L604" s="4"/>
      <c r="M604" s="4"/>
    </row>
    <row r="605" spans="1:13" s="34" customFormat="1">
      <c r="A605" s="4"/>
      <c r="B605" s="4"/>
      <c r="C605" s="4"/>
      <c r="D605" s="4"/>
      <c r="E605" s="4"/>
      <c r="F605" s="4"/>
      <c r="G605" s="4"/>
      <c r="H605" s="4"/>
      <c r="I605" s="4"/>
      <c r="J605" s="4"/>
      <c r="K605" s="4"/>
      <c r="L605" s="4"/>
      <c r="M605" s="4"/>
    </row>
    <row r="606" spans="1:13" s="34" customFormat="1">
      <c r="A606" s="4"/>
      <c r="B606" s="4"/>
      <c r="C606" s="4"/>
      <c r="D606" s="4"/>
      <c r="E606" s="4"/>
      <c r="F606" s="4"/>
      <c r="G606" s="4"/>
      <c r="H606" s="4"/>
      <c r="I606" s="4"/>
      <c r="J606" s="4"/>
      <c r="K606" s="4"/>
      <c r="L606" s="4"/>
      <c r="M606" s="4"/>
    </row>
    <row r="607" spans="1:13" s="34" customFormat="1">
      <c r="A607" s="4"/>
      <c r="B607" s="4"/>
      <c r="C607" s="4"/>
      <c r="D607" s="4"/>
      <c r="E607" s="4"/>
      <c r="F607" s="4"/>
      <c r="G607" s="4"/>
      <c r="H607" s="4"/>
      <c r="I607" s="4"/>
      <c r="J607" s="4"/>
      <c r="K607" s="4"/>
      <c r="L607" s="4"/>
      <c r="M607" s="4"/>
    </row>
    <row r="608" spans="1:13" s="34" customFormat="1">
      <c r="A608" s="4"/>
      <c r="B608" s="4"/>
      <c r="C608" s="4"/>
      <c r="D608" s="4"/>
      <c r="E608" s="4"/>
      <c r="F608" s="4"/>
      <c r="G608" s="4"/>
      <c r="H608" s="4"/>
      <c r="I608" s="4"/>
      <c r="J608" s="4"/>
      <c r="K608" s="4"/>
      <c r="L608" s="4"/>
      <c r="M608" s="4"/>
    </row>
    <row r="609" spans="1:13" s="34" customFormat="1">
      <c r="A609" s="4"/>
      <c r="B609" s="4"/>
      <c r="C609" s="4"/>
      <c r="D609" s="4"/>
      <c r="E609" s="4"/>
      <c r="F609" s="4"/>
      <c r="G609" s="4"/>
      <c r="H609" s="4"/>
      <c r="I609" s="4"/>
      <c r="J609" s="4"/>
      <c r="K609" s="4"/>
      <c r="L609" s="4"/>
      <c r="M609" s="4"/>
    </row>
    <row r="610" spans="1:13" s="34" customFormat="1">
      <c r="A610" s="4"/>
      <c r="B610" s="4"/>
      <c r="C610" s="4"/>
      <c r="D610" s="4"/>
      <c r="E610" s="4"/>
      <c r="F610" s="4"/>
      <c r="G610" s="4"/>
      <c r="H610" s="4"/>
      <c r="I610" s="4"/>
      <c r="J610" s="4"/>
      <c r="K610" s="4"/>
      <c r="L610" s="4"/>
      <c r="M610" s="4"/>
    </row>
    <row r="611" spans="1:13" s="34" customFormat="1">
      <c r="A611" s="4"/>
      <c r="B611" s="4"/>
      <c r="C611" s="4"/>
      <c r="D611" s="4"/>
      <c r="E611" s="4"/>
      <c r="F611" s="4"/>
      <c r="G611" s="4"/>
      <c r="H611" s="4"/>
      <c r="I611" s="4"/>
      <c r="J611" s="4"/>
      <c r="K611" s="4"/>
      <c r="L611" s="4"/>
      <c r="M611" s="4"/>
    </row>
    <row r="612" spans="1:13" s="34" customFormat="1">
      <c r="A612" s="4"/>
      <c r="B612" s="4"/>
      <c r="C612" s="4"/>
      <c r="D612" s="4"/>
      <c r="E612" s="4"/>
      <c r="F612" s="4"/>
      <c r="G612" s="4"/>
      <c r="H612" s="4"/>
      <c r="I612" s="4"/>
      <c r="J612" s="4"/>
      <c r="K612" s="4"/>
      <c r="L612" s="4"/>
      <c r="M612" s="4"/>
    </row>
    <row r="613" spans="1:13" s="34" customFormat="1">
      <c r="A613" s="4"/>
      <c r="B613" s="4"/>
      <c r="C613" s="4"/>
      <c r="D613" s="4"/>
      <c r="E613" s="4"/>
      <c r="F613" s="4"/>
      <c r="G613" s="4"/>
      <c r="H613" s="4"/>
      <c r="I613" s="4"/>
      <c r="J613" s="4"/>
      <c r="K613" s="4"/>
      <c r="L613" s="4"/>
      <c r="M613" s="4"/>
    </row>
    <row r="614" spans="1:13" s="34" customFormat="1">
      <c r="A614" s="4"/>
      <c r="B614" s="4"/>
      <c r="C614" s="4"/>
      <c r="D614" s="4"/>
      <c r="E614" s="4"/>
      <c r="F614" s="4"/>
      <c r="G614" s="4"/>
      <c r="H614" s="4"/>
      <c r="I614" s="4"/>
      <c r="J614" s="4"/>
      <c r="K614" s="4"/>
      <c r="L614" s="4"/>
      <c r="M614" s="4"/>
    </row>
    <row r="615" spans="1:13" s="34" customFormat="1">
      <c r="A615" s="4"/>
      <c r="B615" s="4"/>
      <c r="C615" s="4"/>
      <c r="D615" s="4"/>
      <c r="E615" s="4"/>
      <c r="F615" s="4"/>
      <c r="G615" s="4"/>
      <c r="H615" s="4"/>
      <c r="I615" s="4"/>
      <c r="J615" s="4"/>
      <c r="K615" s="4"/>
      <c r="L615" s="4"/>
      <c r="M615" s="4"/>
    </row>
    <row r="616" spans="1:13" s="34" customFormat="1">
      <c r="A616" s="4"/>
      <c r="B616" s="4"/>
      <c r="C616" s="4"/>
      <c r="D616" s="4"/>
      <c r="E616" s="4"/>
      <c r="F616" s="4"/>
      <c r="G616" s="4"/>
      <c r="H616" s="4"/>
      <c r="I616" s="4"/>
      <c r="J616" s="4"/>
      <c r="K616" s="4"/>
      <c r="L616" s="4"/>
      <c r="M616" s="4"/>
    </row>
    <row r="617" spans="1:13" s="34" customFormat="1">
      <c r="A617" s="4"/>
      <c r="B617" s="4"/>
      <c r="C617" s="4"/>
      <c r="D617" s="4"/>
      <c r="E617" s="4"/>
      <c r="F617" s="4"/>
      <c r="G617" s="4"/>
      <c r="H617" s="4"/>
      <c r="I617" s="4"/>
      <c r="J617" s="4"/>
      <c r="K617" s="4"/>
      <c r="L617" s="4"/>
      <c r="M617" s="4"/>
    </row>
    <row r="618" spans="1:13" s="34" customFormat="1">
      <c r="A618" s="4"/>
      <c r="B618" s="4"/>
      <c r="C618" s="4"/>
      <c r="D618" s="4"/>
      <c r="E618" s="4"/>
      <c r="F618" s="4"/>
      <c r="G618" s="4"/>
      <c r="H618" s="4"/>
      <c r="I618" s="4"/>
      <c r="J618" s="4"/>
      <c r="K618" s="4"/>
      <c r="L618" s="4"/>
      <c r="M618" s="4"/>
    </row>
    <row r="619" spans="1:13" s="34" customFormat="1">
      <c r="A619" s="4"/>
      <c r="B619" s="4"/>
      <c r="C619" s="4"/>
      <c r="D619" s="4"/>
      <c r="E619" s="4"/>
      <c r="F619" s="4"/>
      <c r="G619" s="4"/>
      <c r="H619" s="4"/>
      <c r="I619" s="4"/>
      <c r="J619" s="4"/>
      <c r="K619" s="4"/>
      <c r="L619" s="4"/>
      <c r="M619" s="4"/>
    </row>
    <row r="620" spans="1:13" s="34" customFormat="1">
      <c r="A620" s="4"/>
      <c r="B620" s="4"/>
      <c r="C620" s="4"/>
      <c r="D620" s="4"/>
      <c r="E620" s="4"/>
      <c r="F620" s="4"/>
      <c r="G620" s="4"/>
      <c r="H620" s="4"/>
      <c r="I620" s="4"/>
      <c r="J620" s="4"/>
      <c r="K620" s="4"/>
      <c r="L620" s="4"/>
      <c r="M620" s="4"/>
    </row>
    <row r="621" spans="1:13" s="34" customFormat="1">
      <c r="A621" s="4"/>
      <c r="B621" s="4"/>
      <c r="C621" s="4"/>
      <c r="D621" s="4"/>
      <c r="E621" s="4"/>
      <c r="F621" s="4"/>
      <c r="G621" s="4"/>
      <c r="H621" s="4"/>
      <c r="I621" s="4"/>
      <c r="J621" s="4"/>
      <c r="K621" s="4"/>
      <c r="L621" s="4"/>
      <c r="M621" s="4"/>
    </row>
    <row r="622" spans="1:13" s="34" customFormat="1">
      <c r="A622" s="4"/>
      <c r="B622" s="4"/>
      <c r="C622" s="4"/>
      <c r="D622" s="4"/>
      <c r="E622" s="4"/>
      <c r="F622" s="4"/>
      <c r="G622" s="4"/>
      <c r="H622" s="4"/>
      <c r="I622" s="4"/>
      <c r="J622" s="4"/>
      <c r="K622" s="4"/>
      <c r="L622" s="4"/>
      <c r="M622" s="4"/>
    </row>
    <row r="623" spans="1:13" s="34" customFormat="1">
      <c r="A623" s="4"/>
      <c r="B623" s="4"/>
      <c r="C623" s="4"/>
      <c r="D623" s="4"/>
      <c r="E623" s="4"/>
      <c r="F623" s="4"/>
      <c r="G623" s="4"/>
      <c r="H623" s="4"/>
      <c r="I623" s="4"/>
      <c r="J623" s="4"/>
      <c r="K623" s="4"/>
      <c r="L623" s="4"/>
      <c r="M623" s="4"/>
    </row>
    <row r="624" spans="1:13" s="34" customFormat="1">
      <c r="A624" s="4"/>
      <c r="B624" s="4"/>
      <c r="C624" s="4"/>
      <c r="D624" s="4"/>
      <c r="E624" s="4"/>
      <c r="F624" s="4"/>
      <c r="G624" s="4"/>
      <c r="H624" s="4"/>
      <c r="I624" s="4"/>
      <c r="J624" s="4"/>
      <c r="K624" s="4"/>
      <c r="L624" s="4"/>
      <c r="M624" s="4"/>
    </row>
    <row r="625" spans="1:13" s="34" customFormat="1">
      <c r="A625" s="4"/>
      <c r="B625" s="4"/>
      <c r="C625" s="4"/>
      <c r="D625" s="4"/>
      <c r="E625" s="4"/>
      <c r="F625" s="4"/>
      <c r="G625" s="4"/>
      <c r="H625" s="4"/>
      <c r="I625" s="4"/>
      <c r="J625" s="4"/>
      <c r="K625" s="4"/>
      <c r="L625" s="4"/>
      <c r="M625" s="4"/>
    </row>
    <row r="626" spans="1:13" s="34" customFormat="1">
      <c r="A626" s="4"/>
      <c r="B626" s="4"/>
      <c r="C626" s="4"/>
      <c r="D626" s="4"/>
      <c r="E626" s="4"/>
      <c r="F626" s="4"/>
      <c r="G626" s="4"/>
      <c r="H626" s="4"/>
      <c r="I626" s="4"/>
      <c r="J626" s="4"/>
      <c r="K626" s="4"/>
      <c r="L626" s="4"/>
      <c r="M626" s="4"/>
    </row>
    <row r="627" spans="1:13" s="34" customFormat="1">
      <c r="A627" s="4"/>
      <c r="B627" s="4"/>
      <c r="C627" s="4"/>
      <c r="D627" s="4"/>
      <c r="E627" s="4"/>
      <c r="F627" s="4"/>
      <c r="G627" s="4"/>
      <c r="H627" s="4"/>
      <c r="I627" s="4"/>
      <c r="J627" s="4"/>
      <c r="K627" s="4"/>
      <c r="L627" s="4"/>
      <c r="M627" s="4"/>
    </row>
    <row r="628" spans="1:13" s="34" customFormat="1">
      <c r="A628" s="4"/>
      <c r="B628" s="4"/>
      <c r="C628" s="4"/>
      <c r="D628" s="4"/>
      <c r="E628" s="4"/>
      <c r="F628" s="4"/>
      <c r="G628" s="4"/>
      <c r="H628" s="4"/>
      <c r="I628" s="4"/>
      <c r="J628" s="4"/>
      <c r="K628" s="4"/>
      <c r="L628" s="4"/>
      <c r="M628" s="4"/>
    </row>
    <row r="629" spans="1:13" s="34" customFormat="1">
      <c r="A629" s="4"/>
      <c r="B629" s="4"/>
      <c r="C629" s="4"/>
      <c r="D629" s="4"/>
      <c r="E629" s="4"/>
      <c r="F629" s="4"/>
      <c r="G629" s="4"/>
      <c r="H629" s="4"/>
      <c r="I629" s="4"/>
      <c r="J629" s="4"/>
      <c r="K629" s="4"/>
      <c r="L629" s="4"/>
      <c r="M629" s="4"/>
    </row>
    <row r="630" spans="1:13" s="34" customFormat="1">
      <c r="A630" s="4"/>
      <c r="B630" s="4"/>
      <c r="C630" s="4"/>
      <c r="D630" s="4"/>
      <c r="E630" s="4"/>
      <c r="F630" s="4"/>
      <c r="G630" s="4"/>
      <c r="H630" s="4"/>
      <c r="I630" s="4"/>
      <c r="J630" s="4"/>
      <c r="K630" s="4"/>
      <c r="L630" s="4"/>
      <c r="M630" s="4"/>
    </row>
    <row r="631" spans="1:13" s="34" customFormat="1">
      <c r="A631" s="4"/>
      <c r="B631" s="4"/>
      <c r="C631" s="4"/>
      <c r="D631" s="4"/>
      <c r="E631" s="4"/>
      <c r="F631" s="4"/>
      <c r="G631" s="4"/>
      <c r="H631" s="4"/>
      <c r="I631" s="4"/>
      <c r="J631" s="4"/>
      <c r="K631" s="4"/>
      <c r="L631" s="4"/>
      <c r="M631" s="4"/>
    </row>
    <row r="632" spans="1:13" s="34" customFormat="1">
      <c r="A632" s="4"/>
      <c r="B632" s="4"/>
      <c r="C632" s="4"/>
      <c r="D632" s="4"/>
      <c r="E632" s="4"/>
      <c r="F632" s="4"/>
      <c r="G632" s="4"/>
      <c r="H632" s="4"/>
      <c r="I632" s="4"/>
      <c r="J632" s="4"/>
      <c r="K632" s="4"/>
      <c r="L632" s="4"/>
      <c r="M632" s="4"/>
    </row>
    <row r="633" spans="1:13" s="34" customFormat="1">
      <c r="A633" s="4"/>
      <c r="B633" s="4"/>
      <c r="C633" s="4"/>
      <c r="D633" s="4"/>
      <c r="E633" s="4"/>
      <c r="F633" s="4"/>
      <c r="G633" s="4"/>
      <c r="H633" s="4"/>
      <c r="I633" s="4"/>
      <c r="J633" s="4"/>
      <c r="K633" s="4"/>
      <c r="L633" s="4"/>
      <c r="M633" s="4"/>
    </row>
    <row r="634" spans="1:13" s="34" customFormat="1">
      <c r="A634" s="4"/>
      <c r="B634" s="4"/>
      <c r="C634" s="4"/>
      <c r="D634" s="4"/>
      <c r="E634" s="4"/>
      <c r="F634" s="4"/>
      <c r="G634" s="4"/>
      <c r="H634" s="4"/>
      <c r="I634" s="4"/>
      <c r="J634" s="4"/>
      <c r="K634" s="4"/>
      <c r="L634" s="4"/>
      <c r="M634" s="4"/>
    </row>
    <row r="635" spans="1:13" s="34" customFormat="1">
      <c r="A635" s="4"/>
      <c r="B635" s="4"/>
      <c r="C635" s="4"/>
      <c r="D635" s="4"/>
      <c r="E635" s="4"/>
      <c r="F635" s="4"/>
      <c r="G635" s="4"/>
      <c r="H635" s="4"/>
      <c r="I635" s="4"/>
      <c r="J635" s="4"/>
      <c r="K635" s="4"/>
      <c r="L635" s="4"/>
      <c r="M635" s="4"/>
    </row>
    <row r="636" spans="1:13" s="34" customFormat="1">
      <c r="A636" s="4"/>
      <c r="B636" s="4"/>
      <c r="C636" s="4"/>
      <c r="D636" s="4"/>
      <c r="E636" s="4"/>
      <c r="F636" s="4"/>
      <c r="G636" s="4"/>
      <c r="H636" s="4"/>
      <c r="I636" s="4"/>
      <c r="J636" s="4"/>
      <c r="K636" s="4"/>
      <c r="L636" s="4"/>
      <c r="M636" s="4"/>
    </row>
    <row r="637" spans="1:13" s="34" customFormat="1">
      <c r="A637" s="4"/>
      <c r="B637" s="4"/>
      <c r="C637" s="4"/>
      <c r="D637" s="4"/>
      <c r="E637" s="4"/>
      <c r="F637" s="4"/>
      <c r="G637" s="4"/>
      <c r="H637" s="4"/>
      <c r="I637" s="4"/>
      <c r="J637" s="4"/>
      <c r="K637" s="4"/>
      <c r="L637" s="4"/>
      <c r="M637" s="4"/>
    </row>
    <row r="638" spans="1:13" s="34" customFormat="1">
      <c r="A638" s="4"/>
      <c r="B638" s="4"/>
      <c r="C638" s="4"/>
      <c r="D638" s="4"/>
      <c r="E638" s="4"/>
      <c r="F638" s="4"/>
      <c r="G638" s="4"/>
      <c r="H638" s="4"/>
      <c r="I638" s="4"/>
      <c r="J638" s="4"/>
      <c r="K638" s="4"/>
      <c r="L638" s="4"/>
      <c r="M638" s="4"/>
    </row>
    <row r="639" spans="1:13" s="34" customFormat="1">
      <c r="A639" s="4"/>
      <c r="B639" s="4"/>
      <c r="C639" s="4"/>
      <c r="D639" s="4"/>
      <c r="E639" s="4"/>
      <c r="F639" s="4"/>
      <c r="G639" s="4"/>
      <c r="H639" s="4"/>
      <c r="I639" s="4"/>
      <c r="J639" s="4"/>
      <c r="K639" s="4"/>
      <c r="L639" s="4"/>
      <c r="M639" s="4"/>
    </row>
    <row r="640" spans="1:13" s="34" customFormat="1">
      <c r="A640" s="4"/>
      <c r="B640" s="4"/>
      <c r="C640" s="4"/>
      <c r="D640" s="4"/>
      <c r="E640" s="4"/>
      <c r="F640" s="4"/>
      <c r="G640" s="4"/>
      <c r="H640" s="4"/>
      <c r="I640" s="4"/>
      <c r="J640" s="4"/>
      <c r="K640" s="4"/>
      <c r="L640" s="4"/>
      <c r="M640" s="4"/>
    </row>
    <row r="641" spans="1:13" s="34" customFormat="1">
      <c r="A641" s="4"/>
      <c r="B641" s="4"/>
      <c r="C641" s="4"/>
      <c r="D641" s="4"/>
      <c r="E641" s="4"/>
      <c r="F641" s="4"/>
      <c r="G641" s="4"/>
      <c r="H641" s="4"/>
      <c r="I641" s="4"/>
      <c r="J641" s="4"/>
      <c r="K641" s="4"/>
      <c r="L641" s="4"/>
      <c r="M641" s="4"/>
    </row>
    <row r="642" spans="1:13" s="34" customFormat="1">
      <c r="A642" s="4"/>
      <c r="B642" s="4"/>
      <c r="C642" s="4"/>
      <c r="D642" s="4"/>
      <c r="E642" s="4"/>
      <c r="F642" s="4"/>
      <c r="G642" s="4"/>
      <c r="H642" s="4"/>
      <c r="I642" s="4"/>
      <c r="J642" s="4"/>
      <c r="K642" s="4"/>
      <c r="L642" s="4"/>
      <c r="M642" s="4"/>
    </row>
    <row r="643" spans="1:13" s="34" customFormat="1">
      <c r="A643" s="4"/>
      <c r="B643" s="4"/>
      <c r="C643" s="4"/>
      <c r="D643" s="4"/>
      <c r="E643" s="4"/>
      <c r="F643" s="4"/>
      <c r="G643" s="4"/>
      <c r="H643" s="4"/>
      <c r="I643" s="4"/>
      <c r="J643" s="4"/>
      <c r="K643" s="4"/>
      <c r="L643" s="4"/>
      <c r="M643" s="4"/>
    </row>
    <row r="644" spans="1:13" s="34" customFormat="1">
      <c r="A644" s="4"/>
      <c r="B644" s="4"/>
      <c r="C644" s="4"/>
      <c r="D644" s="4"/>
      <c r="E644" s="4"/>
      <c r="F644" s="4"/>
      <c r="G644" s="4"/>
      <c r="H644" s="4"/>
      <c r="I644" s="4"/>
      <c r="J644" s="4"/>
      <c r="K644" s="4"/>
      <c r="L644" s="4"/>
      <c r="M644" s="4"/>
    </row>
    <row r="645" spans="1:13" s="34" customFormat="1">
      <c r="A645" s="4"/>
      <c r="B645" s="4"/>
      <c r="C645" s="4"/>
      <c r="D645" s="4"/>
      <c r="E645" s="4"/>
      <c r="F645" s="4"/>
      <c r="G645" s="4"/>
      <c r="H645" s="4"/>
      <c r="I645" s="4"/>
      <c r="J645" s="4"/>
      <c r="K645" s="4"/>
      <c r="L645" s="4"/>
      <c r="M645" s="4"/>
    </row>
    <row r="646" spans="1:13" s="34" customFormat="1">
      <c r="A646" s="4"/>
      <c r="B646" s="4"/>
      <c r="C646" s="4"/>
      <c r="D646" s="4"/>
      <c r="E646" s="4"/>
      <c r="F646" s="4"/>
      <c r="G646" s="4"/>
      <c r="H646" s="4"/>
      <c r="I646" s="4"/>
      <c r="J646" s="4"/>
      <c r="K646" s="4"/>
      <c r="L646" s="4"/>
      <c r="M646" s="4"/>
    </row>
    <row r="647" spans="1:13" s="34" customFormat="1">
      <c r="A647" s="4"/>
      <c r="B647" s="4"/>
      <c r="C647" s="4"/>
      <c r="D647" s="4"/>
      <c r="E647" s="4"/>
      <c r="F647" s="4"/>
      <c r="G647" s="4"/>
      <c r="H647" s="4"/>
      <c r="I647" s="4"/>
      <c r="J647" s="4"/>
      <c r="K647" s="4"/>
      <c r="L647" s="4"/>
      <c r="M647" s="4"/>
    </row>
    <row r="648" spans="1:13" s="34" customFormat="1">
      <c r="A648" s="4"/>
      <c r="B648" s="4"/>
      <c r="C648" s="4"/>
      <c r="D648" s="4"/>
      <c r="E648" s="4"/>
      <c r="F648" s="4"/>
      <c r="G648" s="4"/>
      <c r="H648" s="4"/>
      <c r="I648" s="4"/>
      <c r="J648" s="4"/>
      <c r="K648" s="4"/>
      <c r="L648" s="4"/>
      <c r="M648" s="4"/>
    </row>
    <row r="649" spans="1:13" s="34" customFormat="1">
      <c r="A649" s="4"/>
      <c r="B649" s="4"/>
      <c r="C649" s="4"/>
      <c r="D649" s="4"/>
      <c r="E649" s="4"/>
      <c r="F649" s="4"/>
      <c r="G649" s="4"/>
      <c r="H649" s="4"/>
      <c r="I649" s="4"/>
      <c r="J649" s="4"/>
      <c r="K649" s="4"/>
      <c r="L649" s="4"/>
      <c r="M649" s="4"/>
    </row>
    <row r="650" spans="1:13" s="34" customFormat="1">
      <c r="A650" s="4"/>
      <c r="B650" s="4"/>
      <c r="C650" s="4"/>
      <c r="D650" s="4"/>
      <c r="E650" s="4"/>
      <c r="F650" s="4"/>
      <c r="G650" s="4"/>
      <c r="H650" s="4"/>
      <c r="I650" s="4"/>
      <c r="J650" s="4"/>
      <c r="K650" s="4"/>
      <c r="L650" s="4"/>
      <c r="M650" s="4"/>
    </row>
    <row r="651" spans="1:13" s="34" customFormat="1">
      <c r="A651" s="4"/>
      <c r="B651" s="4"/>
      <c r="C651" s="4"/>
      <c r="D651" s="4"/>
      <c r="E651" s="4"/>
      <c r="F651" s="4"/>
      <c r="G651" s="4"/>
      <c r="H651" s="4"/>
      <c r="I651" s="4"/>
      <c r="J651" s="4"/>
      <c r="K651" s="4"/>
      <c r="L651" s="4"/>
      <c r="M651" s="4"/>
    </row>
    <row r="652" spans="1:13" s="34" customFormat="1">
      <c r="A652" s="4"/>
      <c r="B652" s="4"/>
      <c r="C652" s="4"/>
      <c r="D652" s="4"/>
      <c r="E652" s="4"/>
      <c r="F652" s="4"/>
      <c r="G652" s="4"/>
      <c r="H652" s="4"/>
      <c r="I652" s="4"/>
      <c r="J652" s="4"/>
      <c r="K652" s="4"/>
      <c r="L652" s="4"/>
      <c r="M652" s="4"/>
    </row>
    <row r="653" spans="1:13" s="34" customFormat="1">
      <c r="A653" s="4"/>
      <c r="B653" s="4"/>
      <c r="C653" s="4"/>
      <c r="D653" s="4"/>
      <c r="E653" s="4"/>
      <c r="F653" s="4"/>
      <c r="G653" s="4"/>
      <c r="H653" s="4"/>
      <c r="I653" s="4"/>
      <c r="J653" s="4"/>
      <c r="K653" s="4"/>
      <c r="L653" s="4"/>
      <c r="M653" s="4"/>
    </row>
    <row r="654" spans="1:13" s="34" customFormat="1">
      <c r="A654" s="4"/>
      <c r="B654" s="4"/>
      <c r="C654" s="4"/>
      <c r="D654" s="4"/>
      <c r="E654" s="4"/>
      <c r="F654" s="4"/>
      <c r="G654" s="4"/>
      <c r="H654" s="4"/>
      <c r="I654" s="4"/>
      <c r="J654" s="4"/>
      <c r="K654" s="4"/>
      <c r="L654" s="4"/>
      <c r="M654" s="4"/>
    </row>
    <row r="655" spans="1:13" s="34" customFormat="1">
      <c r="A655" s="4"/>
      <c r="B655" s="4"/>
      <c r="C655" s="4"/>
      <c r="D655" s="4"/>
      <c r="E655" s="4"/>
      <c r="F655" s="4"/>
      <c r="G655" s="4"/>
      <c r="H655" s="4"/>
      <c r="I655" s="4"/>
      <c r="J655" s="4"/>
      <c r="K655" s="4"/>
      <c r="L655" s="4"/>
      <c r="M655" s="4"/>
    </row>
    <row r="656" spans="1:13" s="34" customFormat="1">
      <c r="A656" s="4"/>
      <c r="B656" s="4"/>
      <c r="C656" s="4"/>
      <c r="D656" s="4"/>
      <c r="E656" s="4"/>
      <c r="F656" s="4"/>
      <c r="G656" s="4"/>
      <c r="H656" s="4"/>
      <c r="I656" s="4"/>
      <c r="J656" s="4"/>
      <c r="K656" s="4"/>
      <c r="L656" s="4"/>
      <c r="M656" s="4"/>
    </row>
    <row r="657" spans="1:13" s="34" customFormat="1">
      <c r="A657" s="4"/>
      <c r="B657" s="4"/>
      <c r="C657" s="4"/>
      <c r="D657" s="4"/>
      <c r="E657" s="4"/>
      <c r="F657" s="4"/>
      <c r="G657" s="4"/>
      <c r="H657" s="4"/>
      <c r="I657" s="4"/>
      <c r="J657" s="4"/>
      <c r="K657" s="4"/>
      <c r="L657" s="4"/>
      <c r="M657" s="4"/>
    </row>
    <row r="658" spans="1:13" s="34" customFormat="1">
      <c r="A658" s="4"/>
      <c r="B658" s="4"/>
      <c r="C658" s="4"/>
      <c r="D658" s="4"/>
      <c r="E658" s="4"/>
      <c r="F658" s="4"/>
      <c r="G658" s="4"/>
      <c r="H658" s="4"/>
      <c r="I658" s="4"/>
      <c r="J658" s="4"/>
      <c r="K658" s="4"/>
      <c r="L658" s="4"/>
      <c r="M658" s="4"/>
    </row>
    <row r="659" spans="1:13" s="34" customFormat="1">
      <c r="A659" s="4"/>
      <c r="B659" s="4"/>
      <c r="C659" s="4"/>
      <c r="D659" s="4"/>
      <c r="E659" s="4"/>
      <c r="F659" s="4"/>
      <c r="G659" s="4"/>
      <c r="H659" s="4"/>
      <c r="I659" s="4"/>
      <c r="J659" s="4"/>
      <c r="K659" s="4"/>
      <c r="L659" s="4"/>
      <c r="M659" s="4"/>
    </row>
    <row r="660" spans="1:13" s="34" customFormat="1">
      <c r="A660" s="4"/>
      <c r="B660" s="4"/>
      <c r="C660" s="4"/>
      <c r="D660" s="4"/>
      <c r="E660" s="4"/>
      <c r="F660" s="4"/>
      <c r="G660" s="4"/>
      <c r="H660" s="4"/>
      <c r="I660" s="4"/>
      <c r="J660" s="4"/>
      <c r="K660" s="4"/>
      <c r="L660" s="4"/>
      <c r="M660" s="4"/>
    </row>
    <row r="661" spans="1:13" s="34" customFormat="1">
      <c r="A661" s="4"/>
      <c r="B661" s="4"/>
      <c r="C661" s="4"/>
      <c r="D661" s="4"/>
      <c r="E661" s="4"/>
      <c r="F661" s="4"/>
      <c r="G661" s="4"/>
      <c r="H661" s="4"/>
      <c r="I661" s="4"/>
      <c r="J661" s="4"/>
      <c r="K661" s="4"/>
      <c r="L661" s="4"/>
      <c r="M661" s="4"/>
    </row>
    <row r="662" spans="1:13" s="34" customFormat="1">
      <c r="A662" s="4"/>
      <c r="B662" s="4"/>
      <c r="C662" s="4"/>
      <c r="D662" s="4"/>
      <c r="E662" s="4"/>
      <c r="F662" s="4"/>
      <c r="G662" s="4"/>
      <c r="H662" s="4"/>
      <c r="I662" s="4"/>
      <c r="J662" s="4"/>
      <c r="K662" s="4"/>
      <c r="L662" s="4"/>
      <c r="M662" s="4"/>
    </row>
    <row r="663" spans="1:13" s="34" customFormat="1">
      <c r="A663" s="4"/>
      <c r="B663" s="4"/>
      <c r="C663" s="4"/>
      <c r="D663" s="4"/>
      <c r="E663" s="4"/>
      <c r="F663" s="4"/>
      <c r="G663" s="4"/>
      <c r="H663" s="4"/>
      <c r="I663" s="4"/>
      <c r="J663" s="4"/>
      <c r="K663" s="4"/>
      <c r="L663" s="4"/>
      <c r="M663" s="4"/>
    </row>
    <row r="664" spans="1:13" s="34" customFormat="1">
      <c r="A664" s="4"/>
      <c r="B664" s="4"/>
      <c r="C664" s="4"/>
      <c r="D664" s="4"/>
      <c r="E664" s="4"/>
      <c r="F664" s="4"/>
      <c r="G664" s="4"/>
      <c r="H664" s="4"/>
      <c r="I664" s="4"/>
      <c r="J664" s="4"/>
      <c r="K664" s="4"/>
      <c r="L664" s="4"/>
      <c r="M664" s="4"/>
    </row>
    <row r="665" spans="1:13" s="34" customFormat="1">
      <c r="A665" s="4"/>
      <c r="B665" s="4"/>
      <c r="C665" s="4"/>
      <c r="D665" s="4"/>
      <c r="E665" s="4"/>
      <c r="F665" s="4"/>
      <c r="G665" s="4"/>
      <c r="H665" s="4"/>
      <c r="I665" s="4"/>
      <c r="J665" s="4"/>
      <c r="K665" s="4"/>
      <c r="L665" s="4"/>
      <c r="M665" s="4"/>
    </row>
    <row r="666" spans="1:13" s="34" customFormat="1">
      <c r="A666" s="4"/>
      <c r="B666" s="4"/>
      <c r="C666" s="4"/>
      <c r="D666" s="4"/>
      <c r="E666" s="4"/>
      <c r="F666" s="4"/>
      <c r="G666" s="4"/>
      <c r="H666" s="4"/>
      <c r="I666" s="4"/>
      <c r="J666" s="4"/>
      <c r="K666" s="4"/>
      <c r="L666" s="4"/>
      <c r="M666" s="4"/>
    </row>
    <row r="667" spans="1:13" s="34" customFormat="1">
      <c r="A667" s="4"/>
      <c r="B667" s="4"/>
      <c r="C667" s="4"/>
      <c r="D667" s="4"/>
      <c r="E667" s="4"/>
      <c r="F667" s="4"/>
      <c r="G667" s="4"/>
      <c r="H667" s="4"/>
      <c r="I667" s="4"/>
      <c r="J667" s="4"/>
      <c r="K667" s="4"/>
      <c r="L667" s="4"/>
      <c r="M667" s="4"/>
    </row>
    <row r="668" spans="1:13" s="34" customFormat="1">
      <c r="A668" s="4"/>
      <c r="B668" s="4"/>
      <c r="C668" s="4"/>
      <c r="D668" s="4"/>
      <c r="E668" s="4"/>
      <c r="F668" s="4"/>
      <c r="G668" s="4"/>
      <c r="H668" s="4"/>
      <c r="I668" s="4"/>
      <c r="J668" s="4"/>
      <c r="K668" s="4"/>
      <c r="L668" s="4"/>
      <c r="M668" s="4"/>
    </row>
    <row r="669" spans="1:13" s="34" customFormat="1">
      <c r="A669" s="4"/>
      <c r="B669" s="4"/>
      <c r="C669" s="4"/>
      <c r="D669" s="4"/>
      <c r="E669" s="4"/>
      <c r="F669" s="4"/>
      <c r="G669" s="4"/>
      <c r="H669" s="4"/>
      <c r="I669" s="4"/>
      <c r="J669" s="4"/>
      <c r="K669" s="4"/>
      <c r="L669" s="4"/>
      <c r="M669" s="4"/>
    </row>
    <row r="670" spans="1:13" s="34" customFormat="1">
      <c r="A670" s="4"/>
      <c r="B670" s="4"/>
      <c r="C670" s="4"/>
      <c r="D670" s="4"/>
      <c r="E670" s="4"/>
      <c r="F670" s="4"/>
      <c r="G670" s="4"/>
      <c r="H670" s="4"/>
      <c r="I670" s="4"/>
      <c r="J670" s="4"/>
      <c r="K670" s="4"/>
      <c r="L670" s="4"/>
      <c r="M670" s="4"/>
    </row>
    <row r="671" spans="1:13" s="34" customFormat="1">
      <c r="A671" s="4"/>
      <c r="B671" s="4"/>
      <c r="C671" s="4"/>
      <c r="D671" s="4"/>
      <c r="E671" s="4"/>
      <c r="F671" s="4"/>
      <c r="G671" s="4"/>
      <c r="H671" s="4"/>
      <c r="I671" s="4"/>
      <c r="J671" s="4"/>
      <c r="K671" s="4"/>
      <c r="L671" s="4"/>
      <c r="M671" s="4"/>
    </row>
    <row r="672" spans="1:13" s="34" customFormat="1">
      <c r="A672" s="4"/>
      <c r="B672" s="4"/>
      <c r="C672" s="4"/>
      <c r="D672" s="4"/>
      <c r="E672" s="4"/>
      <c r="F672" s="4"/>
      <c r="G672" s="4"/>
      <c r="H672" s="4"/>
      <c r="I672" s="4"/>
      <c r="J672" s="4"/>
      <c r="K672" s="4"/>
      <c r="L672" s="4"/>
      <c r="M672" s="4"/>
    </row>
    <row r="673" spans="1:13" s="34" customFormat="1">
      <c r="A673" s="4"/>
      <c r="B673" s="4"/>
      <c r="C673" s="4"/>
      <c r="D673" s="4"/>
      <c r="E673" s="4"/>
      <c r="F673" s="4"/>
      <c r="G673" s="4"/>
      <c r="H673" s="4"/>
      <c r="I673" s="4"/>
      <c r="J673" s="4"/>
      <c r="K673" s="4"/>
      <c r="L673" s="4"/>
      <c r="M673" s="4"/>
    </row>
    <row r="674" spans="1:13" s="34" customFormat="1">
      <c r="A674" s="4"/>
      <c r="B674" s="4"/>
      <c r="C674" s="4"/>
      <c r="D674" s="4"/>
      <c r="E674" s="4"/>
      <c r="F674" s="4"/>
      <c r="G674" s="4"/>
      <c r="H674" s="4"/>
      <c r="I674" s="4"/>
      <c r="J674" s="4"/>
      <c r="K674" s="4"/>
      <c r="L674" s="4"/>
      <c r="M674" s="4"/>
    </row>
    <row r="675" spans="1:13" s="34" customFormat="1">
      <c r="A675" s="4"/>
      <c r="B675" s="4"/>
      <c r="C675" s="4"/>
      <c r="D675" s="4"/>
      <c r="E675" s="4"/>
      <c r="F675" s="4"/>
      <c r="G675" s="4"/>
      <c r="H675" s="4"/>
      <c r="I675" s="4"/>
      <c r="J675" s="4"/>
      <c r="K675" s="4"/>
      <c r="L675" s="4"/>
      <c r="M675" s="4"/>
    </row>
    <row r="676" spans="1:13" s="34" customFormat="1">
      <c r="A676" s="4"/>
      <c r="B676" s="4"/>
      <c r="C676" s="4"/>
      <c r="D676" s="4"/>
      <c r="E676" s="4"/>
      <c r="F676" s="4"/>
      <c r="G676" s="4"/>
      <c r="H676" s="4"/>
      <c r="I676" s="4"/>
      <c r="J676" s="4"/>
      <c r="K676" s="4"/>
      <c r="L676" s="4"/>
      <c r="M676" s="4"/>
    </row>
    <row r="677" spans="1:13" s="34" customFormat="1">
      <c r="A677" s="4"/>
      <c r="B677" s="4"/>
      <c r="C677" s="4"/>
      <c r="D677" s="4"/>
      <c r="E677" s="4"/>
      <c r="F677" s="4"/>
      <c r="G677" s="4"/>
      <c r="H677" s="4"/>
      <c r="I677" s="4"/>
      <c r="J677" s="4"/>
      <c r="K677" s="4"/>
      <c r="L677" s="4"/>
      <c r="M677" s="4"/>
    </row>
    <row r="678" spans="1:13" s="34" customFormat="1">
      <c r="A678" s="4"/>
      <c r="B678" s="4"/>
      <c r="C678" s="4"/>
      <c r="D678" s="4"/>
      <c r="E678" s="4"/>
      <c r="F678" s="4"/>
      <c r="G678" s="4"/>
      <c r="H678" s="4"/>
      <c r="I678" s="4"/>
      <c r="J678" s="4"/>
      <c r="K678" s="4"/>
      <c r="L678" s="4"/>
      <c r="M678" s="4"/>
    </row>
    <row r="679" spans="1:13" s="34" customFormat="1">
      <c r="A679" s="4"/>
      <c r="B679" s="4"/>
      <c r="C679" s="4"/>
      <c r="D679" s="4"/>
      <c r="E679" s="4"/>
      <c r="F679" s="4"/>
      <c r="G679" s="4"/>
      <c r="H679" s="4"/>
      <c r="I679" s="4"/>
      <c r="J679" s="4"/>
      <c r="K679" s="4"/>
      <c r="L679" s="4"/>
      <c r="M679" s="4"/>
    </row>
    <row r="680" spans="1:13" s="34" customFormat="1">
      <c r="A680" s="4"/>
      <c r="B680" s="4"/>
      <c r="C680" s="4"/>
      <c r="D680" s="4"/>
      <c r="E680" s="4"/>
      <c r="F680" s="4"/>
      <c r="G680" s="4"/>
      <c r="H680" s="4"/>
      <c r="I680" s="4"/>
      <c r="J680" s="4"/>
      <c r="K680" s="4"/>
      <c r="L680" s="4"/>
      <c r="M680" s="4"/>
    </row>
    <row r="681" spans="1:13" s="34" customFormat="1">
      <c r="A681" s="4"/>
      <c r="B681" s="4"/>
      <c r="C681" s="4"/>
      <c r="D681" s="4"/>
      <c r="E681" s="4"/>
      <c r="F681" s="4"/>
      <c r="G681" s="4"/>
      <c r="H681" s="4"/>
      <c r="I681" s="4"/>
      <c r="J681" s="4"/>
      <c r="K681" s="4"/>
      <c r="L681" s="4"/>
      <c r="M681" s="4"/>
    </row>
    <row r="682" spans="1:13" s="34" customFormat="1">
      <c r="A682" s="4"/>
      <c r="B682" s="4"/>
      <c r="C682" s="4"/>
      <c r="D682" s="4"/>
      <c r="E682" s="4"/>
      <c r="F682" s="4"/>
      <c r="G682" s="4"/>
      <c r="H682" s="4"/>
      <c r="I682" s="4"/>
      <c r="J682" s="4"/>
      <c r="K682" s="4"/>
      <c r="L682" s="4"/>
      <c r="M682" s="4"/>
    </row>
    <row r="683" spans="1:13" s="34" customFormat="1">
      <c r="A683" s="4"/>
      <c r="B683" s="4"/>
      <c r="C683" s="4"/>
      <c r="D683" s="4"/>
      <c r="E683" s="4"/>
      <c r="F683" s="4"/>
      <c r="G683" s="4"/>
      <c r="H683" s="4"/>
      <c r="I683" s="4"/>
      <c r="J683" s="4"/>
      <c r="K683" s="4"/>
      <c r="L683" s="4"/>
      <c r="M683" s="4"/>
    </row>
    <row r="684" spans="1:13" s="34" customFormat="1">
      <c r="A684" s="4"/>
      <c r="B684" s="4"/>
      <c r="C684" s="4"/>
      <c r="D684" s="4"/>
      <c r="E684" s="4"/>
      <c r="F684" s="4"/>
      <c r="G684" s="4"/>
      <c r="H684" s="4"/>
      <c r="I684" s="4"/>
      <c r="J684" s="4"/>
      <c r="K684" s="4"/>
      <c r="L684" s="4"/>
      <c r="M684" s="4"/>
    </row>
    <row r="685" spans="1:13" s="34" customFormat="1">
      <c r="A685" s="4"/>
      <c r="B685" s="4"/>
      <c r="C685" s="4"/>
      <c r="D685" s="4"/>
      <c r="E685" s="4"/>
      <c r="F685" s="4"/>
      <c r="G685" s="4"/>
      <c r="H685" s="4"/>
      <c r="I685" s="4"/>
      <c r="J685" s="4"/>
      <c r="K685" s="4"/>
      <c r="L685" s="4"/>
      <c r="M685" s="4"/>
    </row>
    <row r="686" spans="1:13" s="34" customFormat="1">
      <c r="A686" s="4"/>
      <c r="B686" s="4"/>
      <c r="C686" s="4"/>
      <c r="D686" s="4"/>
      <c r="E686" s="4"/>
      <c r="F686" s="4"/>
      <c r="G686" s="4"/>
      <c r="H686" s="4"/>
      <c r="I686" s="4"/>
      <c r="J686" s="4"/>
      <c r="K686" s="4"/>
      <c r="L686" s="4"/>
      <c r="M686" s="4"/>
    </row>
    <row r="687" spans="1:13" s="34" customFormat="1">
      <c r="A687" s="4"/>
      <c r="B687" s="4"/>
      <c r="C687" s="4"/>
      <c r="D687" s="4"/>
      <c r="E687" s="4"/>
      <c r="F687" s="4"/>
      <c r="G687" s="4"/>
      <c r="H687" s="4"/>
      <c r="I687" s="4"/>
      <c r="J687" s="4"/>
      <c r="K687" s="4"/>
      <c r="L687" s="4"/>
      <c r="M687" s="4"/>
    </row>
    <row r="688" spans="1:13" s="34" customFormat="1">
      <c r="A688" s="4"/>
      <c r="B688" s="4"/>
      <c r="C688" s="4"/>
      <c r="D688" s="4"/>
      <c r="E688" s="4"/>
      <c r="F688" s="4"/>
      <c r="G688" s="4"/>
      <c r="H688" s="4"/>
      <c r="I688" s="4"/>
      <c r="J688" s="4"/>
      <c r="K688" s="4"/>
      <c r="L688" s="4"/>
      <c r="M688" s="4"/>
    </row>
    <row r="689" spans="1:13" s="34" customFormat="1">
      <c r="A689" s="4"/>
      <c r="B689" s="4"/>
      <c r="C689" s="4"/>
      <c r="D689" s="4"/>
      <c r="E689" s="4"/>
      <c r="F689" s="4"/>
      <c r="G689" s="4"/>
      <c r="H689" s="4"/>
      <c r="I689" s="4"/>
      <c r="J689" s="4"/>
      <c r="K689" s="4"/>
      <c r="L689" s="4"/>
      <c r="M689" s="4"/>
    </row>
    <row r="690" spans="1:13" s="34" customFormat="1">
      <c r="A690" s="4"/>
      <c r="B690" s="4"/>
      <c r="C690" s="4"/>
      <c r="D690" s="4"/>
      <c r="E690" s="4"/>
      <c r="F690" s="4"/>
      <c r="G690" s="4"/>
      <c r="H690" s="4"/>
      <c r="I690" s="4"/>
      <c r="J690" s="4"/>
      <c r="K690" s="4"/>
      <c r="L690" s="4"/>
      <c r="M690" s="4"/>
    </row>
    <row r="691" spans="1:13" s="34" customFormat="1">
      <c r="A691" s="4"/>
      <c r="B691" s="4"/>
      <c r="C691" s="4"/>
      <c r="D691" s="4"/>
      <c r="E691" s="4"/>
      <c r="F691" s="4"/>
      <c r="G691" s="4"/>
      <c r="H691" s="4"/>
      <c r="I691" s="4"/>
      <c r="J691" s="4"/>
      <c r="K691" s="4"/>
      <c r="L691" s="4"/>
      <c r="M691" s="4"/>
    </row>
    <row r="692" spans="1:13" s="34" customFormat="1">
      <c r="A692" s="4"/>
      <c r="B692" s="4"/>
      <c r="C692" s="4"/>
      <c r="D692" s="4"/>
      <c r="E692" s="4"/>
      <c r="F692" s="4"/>
      <c r="G692" s="4"/>
      <c r="H692" s="4"/>
      <c r="I692" s="4"/>
      <c r="J692" s="4"/>
      <c r="K692" s="4"/>
      <c r="L692" s="4"/>
      <c r="M692" s="4"/>
    </row>
    <row r="693" spans="1:13" s="34" customFormat="1">
      <c r="A693" s="4"/>
      <c r="B693" s="4"/>
      <c r="C693" s="4"/>
      <c r="D693" s="4"/>
      <c r="E693" s="4"/>
      <c r="F693" s="4"/>
      <c r="G693" s="4"/>
      <c r="H693" s="4"/>
      <c r="I693" s="4"/>
      <c r="J693" s="4"/>
      <c r="K693" s="4"/>
      <c r="L693" s="4"/>
      <c r="M693" s="4"/>
    </row>
    <row r="694" spans="1:13" s="34" customFormat="1">
      <c r="A694" s="4"/>
      <c r="B694" s="4"/>
      <c r="C694" s="4"/>
      <c r="D694" s="4"/>
      <c r="E694" s="4"/>
      <c r="F694" s="4"/>
      <c r="G694" s="4"/>
      <c r="H694" s="4"/>
      <c r="I694" s="4"/>
      <c r="J694" s="4"/>
      <c r="K694" s="4"/>
      <c r="L694" s="4"/>
      <c r="M694" s="4"/>
    </row>
    <row r="695" spans="1:13" s="34" customFormat="1">
      <c r="A695" s="4"/>
      <c r="B695" s="4"/>
      <c r="C695" s="4"/>
      <c r="D695" s="4"/>
      <c r="E695" s="4"/>
      <c r="F695" s="4"/>
      <c r="G695" s="4"/>
      <c r="H695" s="4"/>
      <c r="I695" s="4"/>
      <c r="J695" s="4"/>
      <c r="K695" s="4"/>
      <c r="L695" s="4"/>
      <c r="M695" s="4"/>
    </row>
    <row r="696" spans="1:13" s="34" customFormat="1">
      <c r="A696" s="4"/>
      <c r="B696" s="4"/>
      <c r="C696" s="4"/>
      <c r="D696" s="4"/>
      <c r="E696" s="4"/>
      <c r="F696" s="4"/>
      <c r="G696" s="4"/>
      <c r="H696" s="4"/>
      <c r="I696" s="4"/>
      <c r="J696" s="4"/>
      <c r="K696" s="4"/>
      <c r="L696" s="4"/>
      <c r="M696" s="4"/>
    </row>
    <row r="697" spans="1:13" s="34" customFormat="1">
      <c r="A697" s="4"/>
      <c r="B697" s="4"/>
      <c r="C697" s="4"/>
      <c r="D697" s="4"/>
      <c r="E697" s="4"/>
      <c r="F697" s="4"/>
      <c r="G697" s="4"/>
      <c r="H697" s="4"/>
      <c r="I697" s="4"/>
      <c r="J697" s="4"/>
      <c r="K697" s="4"/>
      <c r="L697" s="4"/>
      <c r="M697" s="4"/>
    </row>
    <row r="698" spans="1:13" s="34" customFormat="1">
      <c r="A698" s="4"/>
      <c r="B698" s="4"/>
      <c r="C698" s="4"/>
      <c r="D698" s="4"/>
      <c r="E698" s="4"/>
      <c r="F698" s="4"/>
      <c r="G698" s="4"/>
      <c r="H698" s="4"/>
      <c r="I698" s="4"/>
      <c r="J698" s="4"/>
      <c r="K698" s="4"/>
      <c r="L698" s="4"/>
      <c r="M698" s="4"/>
    </row>
    <row r="699" spans="1:13" s="34" customFormat="1">
      <c r="A699" s="4"/>
      <c r="B699" s="4"/>
      <c r="C699" s="4"/>
      <c r="D699" s="4"/>
      <c r="E699" s="4"/>
      <c r="F699" s="4"/>
      <c r="G699" s="4"/>
      <c r="H699" s="4"/>
      <c r="I699" s="4"/>
      <c r="J699" s="4"/>
      <c r="K699" s="4"/>
      <c r="L699" s="4"/>
      <c r="M699" s="4"/>
    </row>
    <row r="700" spans="1:13" s="34" customFormat="1">
      <c r="A700" s="4"/>
      <c r="B700" s="4"/>
      <c r="C700" s="4"/>
      <c r="D700" s="4"/>
      <c r="E700" s="4"/>
      <c r="F700" s="4"/>
      <c r="G700" s="4"/>
      <c r="H700" s="4"/>
      <c r="I700" s="4"/>
      <c r="J700" s="4"/>
      <c r="K700" s="4"/>
      <c r="L700" s="4"/>
      <c r="M700" s="4"/>
    </row>
    <row r="701" spans="1:13" s="34" customFormat="1">
      <c r="A701" s="4"/>
      <c r="B701" s="4"/>
      <c r="C701" s="4"/>
      <c r="D701" s="4"/>
      <c r="E701" s="4"/>
      <c r="F701" s="4"/>
      <c r="G701" s="4"/>
      <c r="H701" s="4"/>
      <c r="I701" s="4"/>
      <c r="J701" s="4"/>
      <c r="K701" s="4"/>
      <c r="L701" s="4"/>
      <c r="M701" s="4"/>
    </row>
    <row r="702" spans="1:13" s="34" customFormat="1">
      <c r="A702" s="4"/>
      <c r="B702" s="4"/>
      <c r="C702" s="4"/>
      <c r="D702" s="4"/>
      <c r="E702" s="4"/>
      <c r="F702" s="4"/>
      <c r="G702" s="4"/>
      <c r="H702" s="4"/>
      <c r="I702" s="4"/>
      <c r="J702" s="4"/>
      <c r="K702" s="4"/>
      <c r="L702" s="4"/>
      <c r="M702" s="4"/>
    </row>
    <row r="703" spans="1:13" s="34" customFormat="1">
      <c r="A703" s="4"/>
      <c r="B703" s="4"/>
      <c r="C703" s="4"/>
      <c r="D703" s="4"/>
      <c r="E703" s="4"/>
      <c r="F703" s="4"/>
      <c r="G703" s="4"/>
      <c r="H703" s="4"/>
      <c r="I703" s="4"/>
      <c r="J703" s="4"/>
      <c r="K703" s="4"/>
      <c r="L703" s="4"/>
      <c r="M703" s="4"/>
    </row>
    <row r="704" spans="1:13" s="34" customFormat="1">
      <c r="A704" s="4"/>
      <c r="B704" s="4"/>
      <c r="C704" s="4"/>
      <c r="D704" s="4"/>
      <c r="E704" s="4"/>
      <c r="F704" s="4"/>
      <c r="G704" s="4"/>
      <c r="H704" s="4"/>
      <c r="I704" s="4"/>
      <c r="J704" s="4"/>
      <c r="K704" s="4"/>
      <c r="L704" s="4"/>
      <c r="M704" s="4"/>
    </row>
    <row r="705" spans="1:13" s="34" customFormat="1">
      <c r="A705" s="4"/>
      <c r="B705" s="4"/>
      <c r="C705" s="4"/>
      <c r="D705" s="4"/>
      <c r="E705" s="4"/>
      <c r="F705" s="4"/>
      <c r="G705" s="4"/>
      <c r="H705" s="4"/>
      <c r="I705" s="4"/>
      <c r="J705" s="4"/>
      <c r="K705" s="4"/>
      <c r="L705" s="4"/>
      <c r="M705" s="4"/>
    </row>
    <row r="706" spans="1:13" s="34" customFormat="1">
      <c r="A706" s="4"/>
      <c r="B706" s="4"/>
      <c r="C706" s="4"/>
      <c r="D706" s="4"/>
      <c r="E706" s="4"/>
      <c r="F706" s="4"/>
      <c r="G706" s="4"/>
      <c r="H706" s="4"/>
      <c r="I706" s="4"/>
      <c r="J706" s="4"/>
      <c r="K706" s="4"/>
      <c r="L706" s="4"/>
      <c r="M706" s="4"/>
    </row>
    <row r="707" spans="1:13" s="34" customFormat="1">
      <c r="A707" s="4"/>
      <c r="B707" s="4"/>
      <c r="C707" s="4"/>
      <c r="D707" s="4"/>
      <c r="E707" s="4"/>
      <c r="F707" s="4"/>
      <c r="G707" s="4"/>
      <c r="H707" s="4"/>
      <c r="I707" s="4"/>
      <c r="J707" s="4"/>
      <c r="K707" s="4"/>
      <c r="L707" s="4"/>
      <c r="M707" s="4"/>
    </row>
    <row r="708" spans="1:13" s="34" customFormat="1">
      <c r="A708" s="4"/>
      <c r="B708" s="4"/>
      <c r="C708" s="4"/>
      <c r="D708" s="4"/>
      <c r="E708" s="4"/>
      <c r="F708" s="4"/>
      <c r="G708" s="4"/>
      <c r="H708" s="4"/>
      <c r="I708" s="4"/>
      <c r="J708" s="4"/>
      <c r="K708" s="4"/>
      <c r="L708" s="4"/>
      <c r="M708" s="4"/>
    </row>
    <row r="709" spans="1:13" s="34" customFormat="1">
      <c r="A709" s="4"/>
      <c r="B709" s="4"/>
      <c r="C709" s="4"/>
      <c r="D709" s="4"/>
      <c r="E709" s="4"/>
      <c r="F709" s="4"/>
      <c r="G709" s="4"/>
      <c r="H709" s="4"/>
      <c r="I709" s="4"/>
      <c r="J709" s="4"/>
      <c r="K709" s="4"/>
      <c r="L709" s="4"/>
      <c r="M709" s="4"/>
    </row>
    <row r="710" spans="1:13" s="34" customFormat="1">
      <c r="A710" s="4"/>
      <c r="B710" s="4"/>
      <c r="C710" s="4"/>
      <c r="D710" s="4"/>
      <c r="E710" s="4"/>
      <c r="F710" s="4"/>
      <c r="G710" s="4"/>
      <c r="H710" s="4"/>
      <c r="I710" s="4"/>
      <c r="J710" s="4"/>
      <c r="K710" s="4"/>
      <c r="L710" s="4"/>
      <c r="M710" s="4"/>
    </row>
    <row r="711" spans="1:13" s="34" customFormat="1">
      <c r="A711" s="4"/>
      <c r="B711" s="4"/>
      <c r="C711" s="4"/>
      <c r="D711" s="4"/>
      <c r="E711" s="4"/>
      <c r="F711" s="4"/>
      <c r="G711" s="4"/>
      <c r="H711" s="4"/>
      <c r="I711" s="4"/>
      <c r="J711" s="4"/>
      <c r="K711" s="4"/>
      <c r="L711" s="4"/>
      <c r="M711" s="4"/>
    </row>
    <row r="712" spans="1:13" s="34" customFormat="1">
      <c r="A712" s="4"/>
      <c r="B712" s="4"/>
      <c r="C712" s="4"/>
      <c r="D712" s="4"/>
      <c r="E712" s="4"/>
      <c r="F712" s="4"/>
      <c r="G712" s="4"/>
      <c r="H712" s="4"/>
      <c r="I712" s="4"/>
      <c r="J712" s="4"/>
      <c r="K712" s="4"/>
      <c r="L712" s="4"/>
      <c r="M712" s="4"/>
    </row>
    <row r="713" spans="1:13" s="34" customFormat="1">
      <c r="A713" s="4"/>
      <c r="B713" s="4"/>
      <c r="C713" s="4"/>
      <c r="D713" s="4"/>
      <c r="E713" s="4"/>
      <c r="F713" s="4"/>
      <c r="G713" s="4"/>
      <c r="H713" s="4"/>
      <c r="I713" s="4"/>
      <c r="J713" s="4"/>
      <c r="K713" s="4"/>
      <c r="L713" s="4"/>
      <c r="M713" s="4"/>
    </row>
    <row r="714" spans="1:13" s="34" customFormat="1">
      <c r="A714" s="4"/>
      <c r="B714" s="4"/>
      <c r="C714" s="4"/>
      <c r="D714" s="4"/>
      <c r="E714" s="4"/>
      <c r="F714" s="4"/>
      <c r="G714" s="4"/>
      <c r="H714" s="4"/>
      <c r="I714" s="4"/>
      <c r="J714" s="4"/>
      <c r="K714" s="4"/>
      <c r="L714" s="4"/>
      <c r="M714" s="4"/>
    </row>
    <row r="715" spans="1:13" s="34" customFormat="1">
      <c r="A715" s="4"/>
      <c r="B715" s="4"/>
      <c r="C715" s="4"/>
      <c r="D715" s="4"/>
      <c r="E715" s="4"/>
      <c r="F715" s="4"/>
      <c r="G715" s="4"/>
      <c r="H715" s="4"/>
      <c r="I715" s="4"/>
      <c r="J715" s="4"/>
      <c r="K715" s="4"/>
      <c r="L715" s="4"/>
      <c r="M715" s="4"/>
    </row>
    <row r="716" spans="1:13" s="34" customFormat="1">
      <c r="A716" s="4"/>
      <c r="B716" s="4"/>
      <c r="C716" s="4"/>
      <c r="D716" s="4"/>
      <c r="E716" s="4"/>
      <c r="F716" s="4"/>
      <c r="G716" s="4"/>
      <c r="H716" s="4"/>
      <c r="I716" s="4"/>
      <c r="J716" s="4"/>
      <c r="K716" s="4"/>
      <c r="L716" s="4"/>
      <c r="M716" s="4"/>
    </row>
    <row r="717" spans="1:13" s="34" customFormat="1">
      <c r="A717" s="4"/>
      <c r="B717" s="4"/>
      <c r="C717" s="4"/>
      <c r="D717" s="4"/>
      <c r="E717" s="4"/>
      <c r="F717" s="4"/>
      <c r="G717" s="4"/>
      <c r="H717" s="4"/>
      <c r="I717" s="4"/>
      <c r="J717" s="4"/>
      <c r="K717" s="4"/>
      <c r="L717" s="4"/>
      <c r="M717" s="4"/>
    </row>
    <row r="718" spans="1:13" s="34" customFormat="1">
      <c r="A718" s="4"/>
      <c r="B718" s="4"/>
      <c r="C718" s="4"/>
      <c r="D718" s="4"/>
      <c r="E718" s="4"/>
      <c r="F718" s="4"/>
      <c r="G718" s="4"/>
      <c r="H718" s="4"/>
      <c r="I718" s="4"/>
      <c r="J718" s="4"/>
      <c r="K718" s="4"/>
      <c r="L718" s="4"/>
      <c r="M718" s="4"/>
    </row>
    <row r="719" spans="1:13" s="34" customFormat="1">
      <c r="A719" s="4"/>
      <c r="B719" s="4"/>
      <c r="C719" s="4"/>
      <c r="D719" s="4"/>
      <c r="E719" s="4"/>
      <c r="F719" s="4"/>
      <c r="G719" s="4"/>
      <c r="H719" s="4"/>
      <c r="I719" s="4"/>
      <c r="J719" s="4"/>
      <c r="K719" s="4"/>
      <c r="L719" s="4"/>
      <c r="M719" s="4"/>
    </row>
    <row r="720" spans="1:13" s="34" customFormat="1">
      <c r="A720" s="4"/>
      <c r="B720" s="4"/>
      <c r="C720" s="4"/>
      <c r="D720" s="4"/>
      <c r="E720" s="4"/>
      <c r="F720" s="4"/>
      <c r="G720" s="4"/>
      <c r="H720" s="4"/>
      <c r="I720" s="4"/>
      <c r="J720" s="4"/>
      <c r="K720" s="4"/>
      <c r="L720" s="4"/>
      <c r="M720" s="4"/>
    </row>
    <row r="721" spans="1:13" s="34" customFormat="1">
      <c r="A721" s="4"/>
      <c r="B721" s="4"/>
      <c r="C721" s="4"/>
      <c r="D721" s="4"/>
      <c r="E721" s="4"/>
      <c r="F721" s="4"/>
      <c r="G721" s="4"/>
      <c r="H721" s="4"/>
      <c r="I721" s="4"/>
      <c r="J721" s="4"/>
      <c r="K721" s="4"/>
      <c r="L721" s="4"/>
      <c r="M721" s="4"/>
    </row>
    <row r="722" spans="1:13" s="34" customFormat="1">
      <c r="A722" s="4"/>
      <c r="B722" s="4"/>
      <c r="C722" s="4"/>
      <c r="D722" s="4"/>
      <c r="E722" s="4"/>
      <c r="F722" s="4"/>
      <c r="G722" s="4"/>
      <c r="H722" s="4"/>
      <c r="I722" s="4"/>
      <c r="J722" s="4"/>
      <c r="K722" s="4"/>
      <c r="L722" s="4"/>
      <c r="M722" s="4"/>
    </row>
    <row r="723" spans="1:13" s="34" customFormat="1">
      <c r="A723" s="4"/>
      <c r="B723" s="4"/>
      <c r="C723" s="4"/>
      <c r="D723" s="4"/>
      <c r="E723" s="4"/>
      <c r="F723" s="4"/>
      <c r="G723" s="4"/>
      <c r="H723" s="4"/>
      <c r="I723" s="4"/>
      <c r="J723" s="4"/>
      <c r="K723" s="4"/>
      <c r="L723" s="4"/>
      <c r="M723" s="4"/>
    </row>
    <row r="724" spans="1:13" s="34" customFormat="1">
      <c r="A724" s="4"/>
      <c r="B724" s="4"/>
      <c r="C724" s="4"/>
      <c r="D724" s="4"/>
      <c r="E724" s="4"/>
      <c r="F724" s="4"/>
      <c r="G724" s="4"/>
      <c r="H724" s="4"/>
      <c r="I724" s="4"/>
      <c r="J724" s="4"/>
      <c r="K724" s="4"/>
      <c r="L724" s="4"/>
      <c r="M724" s="4"/>
    </row>
    <row r="725" spans="1:13" s="34" customFormat="1">
      <c r="A725" s="4"/>
      <c r="B725" s="4"/>
      <c r="C725" s="4"/>
      <c r="D725" s="4"/>
      <c r="E725" s="4"/>
      <c r="F725" s="4"/>
      <c r="G725" s="4"/>
      <c r="H725" s="4"/>
      <c r="I725" s="4"/>
      <c r="J725" s="4"/>
      <c r="K725" s="4"/>
      <c r="L725" s="4"/>
      <c r="M725" s="4"/>
    </row>
    <row r="726" spans="1:13" s="34" customFormat="1">
      <c r="A726" s="4"/>
      <c r="B726" s="4"/>
      <c r="C726" s="4"/>
      <c r="D726" s="4"/>
      <c r="E726" s="4"/>
      <c r="F726" s="4"/>
      <c r="G726" s="4"/>
      <c r="H726" s="4"/>
      <c r="I726" s="4"/>
      <c r="J726" s="4"/>
      <c r="K726" s="4"/>
      <c r="L726" s="4"/>
      <c r="M726" s="4"/>
    </row>
    <row r="727" spans="1:13" s="34" customFormat="1">
      <c r="A727" s="4"/>
      <c r="B727" s="4"/>
      <c r="C727" s="4"/>
      <c r="D727" s="4"/>
      <c r="E727" s="4"/>
      <c r="F727" s="4"/>
      <c r="G727" s="4"/>
      <c r="H727" s="4"/>
      <c r="I727" s="4"/>
      <c r="J727" s="4"/>
      <c r="K727" s="4"/>
      <c r="L727" s="4"/>
      <c r="M727" s="4"/>
    </row>
    <row r="728" spans="1:13" s="34" customFormat="1">
      <c r="A728" s="4"/>
      <c r="B728" s="4"/>
      <c r="C728" s="4"/>
      <c r="D728" s="4"/>
      <c r="E728" s="4"/>
      <c r="F728" s="4"/>
      <c r="G728" s="4"/>
      <c r="H728" s="4"/>
      <c r="I728" s="4"/>
      <c r="J728" s="4"/>
      <c r="K728" s="4"/>
      <c r="L728" s="4"/>
      <c r="M728" s="4"/>
    </row>
    <row r="729" spans="1:13" s="34" customFormat="1">
      <c r="A729" s="4"/>
      <c r="B729" s="4"/>
      <c r="C729" s="4"/>
      <c r="D729" s="4"/>
      <c r="E729" s="4"/>
      <c r="F729" s="4"/>
      <c r="G729" s="4"/>
      <c r="H729" s="4"/>
      <c r="I729" s="4"/>
      <c r="J729" s="4"/>
      <c r="K729" s="4"/>
      <c r="L729" s="4"/>
      <c r="M729" s="4"/>
    </row>
    <row r="730" spans="1:13" s="34" customFormat="1">
      <c r="A730" s="4"/>
      <c r="B730" s="4"/>
      <c r="C730" s="4"/>
      <c r="D730" s="4"/>
      <c r="E730" s="4"/>
      <c r="F730" s="4"/>
      <c r="G730" s="4"/>
      <c r="H730" s="4"/>
      <c r="I730" s="4"/>
      <c r="J730" s="4"/>
      <c r="K730" s="4"/>
      <c r="L730" s="4"/>
      <c r="M730" s="4"/>
    </row>
    <row r="731" spans="1:13" s="34" customFormat="1">
      <c r="A731" s="4"/>
      <c r="B731" s="4"/>
      <c r="C731" s="4"/>
      <c r="D731" s="4"/>
      <c r="E731" s="4"/>
      <c r="F731" s="4"/>
      <c r="G731" s="4"/>
      <c r="H731" s="4"/>
      <c r="I731" s="4"/>
      <c r="J731" s="4"/>
      <c r="K731" s="4"/>
      <c r="L731" s="4"/>
      <c r="M731" s="4"/>
    </row>
    <row r="732" spans="1:13" s="34" customFormat="1">
      <c r="A732" s="4"/>
      <c r="B732" s="4"/>
      <c r="C732" s="4"/>
      <c r="D732" s="4"/>
      <c r="E732" s="4"/>
      <c r="F732" s="4"/>
      <c r="G732" s="4"/>
      <c r="H732" s="4"/>
      <c r="I732" s="4"/>
      <c r="J732" s="4"/>
      <c r="K732" s="4"/>
      <c r="L732" s="4"/>
      <c r="M732" s="4"/>
    </row>
    <row r="733" spans="1:13" s="34" customFormat="1">
      <c r="A733" s="4"/>
      <c r="B733" s="4"/>
      <c r="C733" s="4"/>
      <c r="D733" s="4"/>
      <c r="E733" s="4"/>
      <c r="F733" s="4"/>
      <c r="G733" s="4"/>
      <c r="H733" s="4"/>
      <c r="I733" s="4"/>
      <c r="J733" s="4"/>
      <c r="K733" s="4"/>
      <c r="L733" s="4"/>
      <c r="M733" s="4"/>
    </row>
    <row r="734" spans="1:13" s="34" customFormat="1">
      <c r="A734" s="4"/>
      <c r="B734" s="4"/>
      <c r="C734" s="4"/>
      <c r="D734" s="4"/>
      <c r="E734" s="4"/>
      <c r="F734" s="4"/>
      <c r="G734" s="4"/>
      <c r="H734" s="4"/>
      <c r="I734" s="4"/>
      <c r="J734" s="4"/>
      <c r="K734" s="4"/>
      <c r="L734" s="4"/>
      <c r="M734" s="4"/>
    </row>
    <row r="735" spans="1:13" s="34" customFormat="1">
      <c r="A735" s="4"/>
      <c r="B735" s="4"/>
      <c r="C735" s="4"/>
      <c r="D735" s="4"/>
      <c r="E735" s="4"/>
      <c r="F735" s="4"/>
      <c r="G735" s="4"/>
      <c r="H735" s="4"/>
      <c r="I735" s="4"/>
      <c r="J735" s="4"/>
      <c r="K735" s="4"/>
      <c r="L735" s="4"/>
      <c r="M735" s="4"/>
    </row>
    <row r="736" spans="1:13" s="34" customFormat="1">
      <c r="A736" s="4"/>
      <c r="B736" s="4"/>
      <c r="C736" s="4"/>
      <c r="D736" s="4"/>
      <c r="E736" s="4"/>
      <c r="F736" s="4"/>
      <c r="G736" s="4"/>
      <c r="H736" s="4"/>
      <c r="I736" s="4"/>
      <c r="J736" s="4"/>
      <c r="K736" s="4"/>
      <c r="L736" s="4"/>
      <c r="M736" s="4"/>
    </row>
    <row r="737" spans="1:13" s="34" customFormat="1">
      <c r="A737" s="4"/>
      <c r="B737" s="4"/>
      <c r="C737" s="4"/>
      <c r="D737" s="4"/>
      <c r="E737" s="4"/>
      <c r="F737" s="4"/>
      <c r="G737" s="4"/>
      <c r="H737" s="4"/>
      <c r="I737" s="4"/>
      <c r="J737" s="4"/>
      <c r="K737" s="4"/>
      <c r="L737" s="4"/>
      <c r="M737" s="4"/>
    </row>
    <row r="738" spans="1:13" s="34" customFormat="1">
      <c r="A738" s="4"/>
      <c r="B738" s="4"/>
      <c r="C738" s="4"/>
      <c r="D738" s="4"/>
      <c r="E738" s="4"/>
      <c r="F738" s="4"/>
      <c r="G738" s="4"/>
      <c r="H738" s="4"/>
      <c r="I738" s="4"/>
      <c r="J738" s="4"/>
      <c r="K738" s="4"/>
      <c r="L738" s="4"/>
      <c r="M738" s="4"/>
    </row>
    <row r="739" spans="1:13" s="34" customFormat="1">
      <c r="A739" s="4"/>
      <c r="B739" s="4"/>
      <c r="C739" s="4"/>
      <c r="D739" s="4"/>
      <c r="E739" s="4"/>
      <c r="F739" s="4"/>
      <c r="G739" s="4"/>
      <c r="H739" s="4"/>
      <c r="I739" s="4"/>
      <c r="J739" s="4"/>
      <c r="K739" s="4"/>
      <c r="L739" s="4"/>
      <c r="M739" s="4"/>
    </row>
    <row r="740" spans="1:13" s="34" customFormat="1">
      <c r="A740" s="4"/>
      <c r="B740" s="4"/>
      <c r="C740" s="4"/>
      <c r="D740" s="4"/>
      <c r="E740" s="4"/>
      <c r="F740" s="4"/>
      <c r="G740" s="4"/>
      <c r="H740" s="4"/>
      <c r="I740" s="4"/>
      <c r="J740" s="4"/>
      <c r="K740" s="4"/>
      <c r="L740" s="4"/>
      <c r="M740" s="4"/>
    </row>
    <row r="741" spans="1:13" s="34" customFormat="1">
      <c r="A741" s="4"/>
      <c r="B741" s="4"/>
      <c r="C741" s="4"/>
      <c r="D741" s="4"/>
      <c r="E741" s="4"/>
      <c r="F741" s="4"/>
      <c r="G741" s="4"/>
      <c r="H741" s="4"/>
      <c r="I741" s="4"/>
      <c r="J741" s="4"/>
      <c r="K741" s="4"/>
      <c r="L741" s="4"/>
      <c r="M741" s="4"/>
    </row>
    <row r="742" spans="1:13" s="34" customFormat="1">
      <c r="A742" s="4"/>
      <c r="B742" s="4"/>
      <c r="C742" s="4"/>
      <c r="D742" s="4"/>
      <c r="E742" s="4"/>
      <c r="F742" s="4"/>
      <c r="G742" s="4"/>
      <c r="H742" s="4"/>
      <c r="I742" s="4"/>
      <c r="J742" s="4"/>
      <c r="K742" s="4"/>
      <c r="L742" s="4"/>
      <c r="M742" s="4"/>
    </row>
    <row r="743" spans="1:13" s="34" customFormat="1">
      <c r="A743" s="4"/>
      <c r="B743" s="4"/>
      <c r="C743" s="4"/>
      <c r="D743" s="4"/>
      <c r="E743" s="4"/>
      <c r="F743" s="4"/>
      <c r="G743" s="4"/>
      <c r="H743" s="4"/>
      <c r="I743" s="4"/>
      <c r="J743" s="4"/>
      <c r="K743" s="4"/>
      <c r="L743" s="4"/>
      <c r="M743" s="4"/>
    </row>
    <row r="744" spans="1:13" s="34" customFormat="1">
      <c r="A744" s="4"/>
      <c r="B744" s="4"/>
      <c r="C744" s="4"/>
      <c r="D744" s="4"/>
      <c r="E744" s="4"/>
      <c r="F744" s="4"/>
      <c r="G744" s="4"/>
      <c r="H744" s="4"/>
      <c r="I744" s="4"/>
      <c r="J744" s="4"/>
      <c r="K744" s="4"/>
      <c r="L744" s="4"/>
      <c r="M744" s="4"/>
    </row>
    <row r="745" spans="1:13" s="34" customFormat="1">
      <c r="A745" s="4"/>
      <c r="B745" s="4"/>
      <c r="C745" s="4"/>
      <c r="D745" s="4"/>
      <c r="E745" s="4"/>
      <c r="F745" s="4"/>
      <c r="G745" s="4"/>
      <c r="H745" s="4"/>
      <c r="I745" s="4"/>
      <c r="J745" s="4"/>
      <c r="K745" s="4"/>
      <c r="L745" s="4"/>
      <c r="M745" s="4"/>
    </row>
    <row r="746" spans="1:13" s="34" customFormat="1">
      <c r="A746" s="4"/>
      <c r="B746" s="4"/>
      <c r="C746" s="4"/>
      <c r="D746" s="4"/>
      <c r="E746" s="4"/>
      <c r="F746" s="4"/>
      <c r="G746" s="4"/>
      <c r="H746" s="4"/>
      <c r="I746" s="4"/>
      <c r="J746" s="4"/>
      <c r="K746" s="4"/>
      <c r="L746" s="4"/>
      <c r="M746" s="4"/>
    </row>
    <row r="747" spans="1:13" s="34" customFormat="1">
      <c r="A747" s="4"/>
      <c r="B747" s="4"/>
      <c r="C747" s="4"/>
      <c r="D747" s="4"/>
      <c r="E747" s="4"/>
      <c r="F747" s="4"/>
      <c r="G747" s="4"/>
      <c r="H747" s="4"/>
      <c r="I747" s="4"/>
      <c r="J747" s="4"/>
      <c r="K747" s="4"/>
      <c r="L747" s="4"/>
      <c r="M747" s="4"/>
    </row>
    <row r="748" spans="1:13" s="34" customFormat="1">
      <c r="A748" s="4"/>
      <c r="B748" s="4"/>
      <c r="C748" s="4"/>
      <c r="D748" s="4"/>
      <c r="E748" s="4"/>
      <c r="F748" s="4"/>
      <c r="G748" s="4"/>
      <c r="H748" s="4"/>
      <c r="I748" s="4"/>
      <c r="J748" s="4"/>
      <c r="K748" s="4"/>
      <c r="L748" s="4"/>
      <c r="M748" s="4"/>
    </row>
    <row r="749" spans="1:13" s="34" customFormat="1">
      <c r="A749" s="4"/>
      <c r="B749" s="4"/>
      <c r="C749" s="4"/>
      <c r="D749" s="4"/>
      <c r="E749" s="4"/>
      <c r="F749" s="4"/>
      <c r="G749" s="4"/>
      <c r="H749" s="4"/>
      <c r="I749" s="4"/>
      <c r="J749" s="4"/>
      <c r="K749" s="4"/>
      <c r="L749" s="4"/>
      <c r="M749" s="4"/>
    </row>
    <row r="750" spans="1:13" s="34" customFormat="1">
      <c r="A750" s="4"/>
      <c r="B750" s="4"/>
      <c r="C750" s="4"/>
      <c r="D750" s="4"/>
      <c r="E750" s="4"/>
      <c r="F750" s="4"/>
      <c r="G750" s="4"/>
      <c r="H750" s="4"/>
      <c r="I750" s="4"/>
      <c r="J750" s="4"/>
      <c r="K750" s="4"/>
      <c r="L750" s="4"/>
      <c r="M750" s="4"/>
    </row>
    <row r="751" spans="1:13" s="34" customFormat="1">
      <c r="A751" s="4"/>
      <c r="B751" s="4"/>
      <c r="C751" s="4"/>
      <c r="D751" s="4"/>
      <c r="E751" s="4"/>
      <c r="F751" s="4"/>
      <c r="G751" s="4"/>
      <c r="H751" s="4"/>
      <c r="I751" s="4"/>
      <c r="J751" s="4"/>
      <c r="K751" s="4"/>
      <c r="L751" s="4"/>
      <c r="M751" s="4"/>
    </row>
    <row r="752" spans="1:13" s="34" customFormat="1">
      <c r="A752" s="4"/>
      <c r="B752" s="4"/>
      <c r="C752" s="4"/>
      <c r="D752" s="4"/>
      <c r="E752" s="4"/>
      <c r="F752" s="4"/>
      <c r="G752" s="4"/>
      <c r="H752" s="4"/>
      <c r="I752" s="4"/>
      <c r="J752" s="4"/>
      <c r="K752" s="4"/>
      <c r="L752" s="4"/>
      <c r="M752" s="4"/>
    </row>
    <row r="753" spans="1:13" s="34" customFormat="1">
      <c r="A753" s="4"/>
      <c r="B753" s="4"/>
      <c r="C753" s="4"/>
      <c r="D753" s="4"/>
      <c r="E753" s="4"/>
      <c r="F753" s="4"/>
      <c r="G753" s="4"/>
      <c r="H753" s="4"/>
      <c r="I753" s="4"/>
      <c r="J753" s="4"/>
      <c r="K753" s="4"/>
      <c r="L753" s="4"/>
      <c r="M753" s="4"/>
    </row>
    <row r="754" spans="1:13" s="34" customFormat="1">
      <c r="A754" s="4"/>
      <c r="B754" s="4"/>
      <c r="C754" s="4"/>
      <c r="D754" s="4"/>
      <c r="E754" s="4"/>
      <c r="F754" s="4"/>
      <c r="G754" s="4"/>
      <c r="H754" s="4"/>
      <c r="I754" s="4"/>
      <c r="J754" s="4"/>
      <c r="K754" s="4"/>
      <c r="L754" s="4"/>
      <c r="M754" s="4"/>
    </row>
    <row r="755" spans="1:13" s="34" customFormat="1">
      <c r="A755" s="4"/>
      <c r="B755" s="4"/>
      <c r="C755" s="4"/>
      <c r="D755" s="4"/>
      <c r="E755" s="4"/>
      <c r="F755" s="4"/>
      <c r="G755" s="4"/>
      <c r="H755" s="4"/>
      <c r="I755" s="4"/>
      <c r="J755" s="4"/>
      <c r="K755" s="4"/>
      <c r="L755" s="4"/>
      <c r="M755" s="4"/>
    </row>
    <row r="756" spans="1:13" s="34" customFormat="1">
      <c r="A756" s="4"/>
      <c r="B756" s="4"/>
      <c r="C756" s="4"/>
      <c r="D756" s="4"/>
      <c r="E756" s="4"/>
      <c r="F756" s="4"/>
      <c r="G756" s="4"/>
      <c r="H756" s="4"/>
      <c r="I756" s="4"/>
      <c r="J756" s="4"/>
      <c r="K756" s="4"/>
      <c r="L756" s="4"/>
      <c r="M756" s="4"/>
    </row>
    <row r="757" spans="1:13" s="34" customFormat="1">
      <c r="A757" s="4"/>
      <c r="B757" s="4"/>
      <c r="C757" s="4"/>
      <c r="D757" s="4"/>
      <c r="E757" s="4"/>
      <c r="F757" s="4"/>
      <c r="G757" s="4"/>
      <c r="H757" s="4"/>
      <c r="I757" s="4"/>
      <c r="J757" s="4"/>
      <c r="K757" s="4"/>
      <c r="L757" s="4"/>
      <c r="M757" s="4"/>
    </row>
    <row r="758" spans="1:13" s="34" customFormat="1">
      <c r="A758" s="4"/>
      <c r="B758" s="4"/>
      <c r="C758" s="4"/>
      <c r="D758" s="4"/>
      <c r="E758" s="4"/>
      <c r="F758" s="4"/>
      <c r="G758" s="4"/>
      <c r="H758" s="4"/>
      <c r="I758" s="4"/>
      <c r="J758" s="4"/>
      <c r="K758" s="4"/>
      <c r="L758" s="4"/>
      <c r="M758" s="4"/>
    </row>
    <row r="759" spans="1:13" s="34" customFormat="1">
      <c r="A759" s="4"/>
      <c r="B759" s="4"/>
      <c r="C759" s="4"/>
      <c r="D759" s="4"/>
      <c r="E759" s="4"/>
      <c r="F759" s="4"/>
      <c r="G759" s="4"/>
      <c r="H759" s="4"/>
      <c r="I759" s="4"/>
      <c r="J759" s="4"/>
      <c r="K759" s="4"/>
      <c r="L759" s="4"/>
      <c r="M759" s="4"/>
    </row>
    <row r="760" spans="1:13" s="34" customFormat="1">
      <c r="A760" s="4"/>
      <c r="B760" s="4"/>
      <c r="C760" s="4"/>
      <c r="D760" s="4"/>
      <c r="E760" s="4"/>
      <c r="F760" s="4"/>
      <c r="G760" s="4"/>
      <c r="H760" s="4"/>
      <c r="I760" s="4"/>
      <c r="J760" s="4"/>
      <c r="K760" s="4"/>
      <c r="L760" s="4"/>
      <c r="M760" s="4"/>
    </row>
    <row r="761" spans="1:13" s="34" customFormat="1">
      <c r="A761" s="4"/>
      <c r="B761" s="4"/>
      <c r="C761" s="4"/>
      <c r="D761" s="4"/>
      <c r="E761" s="4"/>
      <c r="F761" s="4"/>
      <c r="G761" s="4"/>
      <c r="H761" s="4"/>
      <c r="I761" s="4"/>
      <c r="J761" s="4"/>
      <c r="K761" s="4"/>
      <c r="L761" s="4"/>
      <c r="M761" s="4"/>
    </row>
    <row r="762" spans="1:13" s="34" customFormat="1">
      <c r="A762" s="4"/>
      <c r="B762" s="4"/>
      <c r="C762" s="4"/>
      <c r="D762" s="4"/>
      <c r="E762" s="4"/>
      <c r="F762" s="4"/>
      <c r="G762" s="4"/>
      <c r="H762" s="4"/>
      <c r="I762" s="4"/>
      <c r="J762" s="4"/>
      <c r="K762" s="4"/>
      <c r="L762" s="4"/>
      <c r="M762" s="4"/>
    </row>
    <row r="763" spans="1:13" s="34" customFormat="1">
      <c r="A763" s="4"/>
      <c r="B763" s="4"/>
      <c r="C763" s="4"/>
      <c r="D763" s="4"/>
      <c r="E763" s="4"/>
      <c r="F763" s="4"/>
      <c r="G763" s="4"/>
      <c r="H763" s="4"/>
      <c r="I763" s="4"/>
      <c r="J763" s="4"/>
      <c r="K763" s="4"/>
      <c r="L763" s="4"/>
      <c r="M763" s="4"/>
    </row>
    <row r="764" spans="1:13" s="34" customFormat="1">
      <c r="A764" s="4"/>
      <c r="B764" s="4"/>
      <c r="C764" s="4"/>
      <c r="D764" s="4"/>
      <c r="E764" s="4"/>
      <c r="F764" s="4"/>
      <c r="G764" s="4"/>
      <c r="H764" s="4"/>
      <c r="I764" s="4"/>
      <c r="J764" s="4"/>
      <c r="K764" s="4"/>
      <c r="L764" s="4"/>
      <c r="M764" s="4"/>
    </row>
    <row r="765" spans="1:13" s="34" customFormat="1">
      <c r="A765" s="4"/>
      <c r="B765" s="4"/>
      <c r="C765" s="4"/>
      <c r="D765" s="4"/>
      <c r="E765" s="4"/>
      <c r="F765" s="4"/>
      <c r="G765" s="4"/>
      <c r="H765" s="4"/>
      <c r="I765" s="4"/>
      <c r="J765" s="4"/>
      <c r="K765" s="4"/>
      <c r="L765" s="4"/>
      <c r="M765" s="4"/>
    </row>
    <row r="766" spans="1:13" s="34" customFormat="1">
      <c r="A766" s="4"/>
      <c r="B766" s="4"/>
      <c r="C766" s="4"/>
      <c r="D766" s="4"/>
      <c r="E766" s="4"/>
      <c r="F766" s="4"/>
      <c r="G766" s="4"/>
      <c r="H766" s="4"/>
      <c r="I766" s="4"/>
      <c r="J766" s="4"/>
      <c r="K766" s="4"/>
      <c r="L766" s="4"/>
      <c r="M766" s="4"/>
    </row>
    <row r="767" spans="1:13" s="34" customFormat="1">
      <c r="A767" s="4"/>
      <c r="B767" s="4"/>
      <c r="C767" s="4"/>
      <c r="D767" s="4"/>
      <c r="E767" s="4"/>
      <c r="F767" s="4"/>
      <c r="G767" s="4"/>
      <c r="H767" s="4"/>
      <c r="I767" s="4"/>
      <c r="J767" s="4"/>
      <c r="K767" s="4"/>
      <c r="L767" s="4"/>
      <c r="M767" s="4"/>
    </row>
    <row r="768" spans="1:13" s="34" customFormat="1">
      <c r="A768" s="4"/>
      <c r="B768" s="4"/>
      <c r="C768" s="4"/>
      <c r="D768" s="4"/>
      <c r="E768" s="4"/>
      <c r="F768" s="4"/>
      <c r="G768" s="4"/>
      <c r="H768" s="4"/>
      <c r="I768" s="4"/>
      <c r="J768" s="4"/>
      <c r="K768" s="4"/>
      <c r="L768" s="4"/>
      <c r="M768" s="4"/>
    </row>
    <row r="769" spans="1:13" s="34" customFormat="1">
      <c r="A769" s="4"/>
      <c r="B769" s="4"/>
      <c r="C769" s="4"/>
      <c r="D769" s="4"/>
      <c r="E769" s="4"/>
      <c r="F769" s="4"/>
      <c r="G769" s="4"/>
      <c r="H769" s="4"/>
      <c r="I769" s="4"/>
      <c r="J769" s="4"/>
      <c r="K769" s="4"/>
      <c r="L769" s="4"/>
      <c r="M769" s="4"/>
    </row>
    <row r="770" spans="1:13" s="34" customFormat="1">
      <c r="A770" s="4"/>
      <c r="B770" s="4"/>
      <c r="C770" s="4"/>
      <c r="D770" s="4"/>
      <c r="E770" s="4"/>
      <c r="F770" s="4"/>
      <c r="G770" s="4"/>
      <c r="H770" s="4"/>
      <c r="I770" s="4"/>
      <c r="J770" s="4"/>
      <c r="K770" s="4"/>
      <c r="L770" s="4"/>
      <c r="M770" s="4"/>
    </row>
    <row r="771" spans="1:13" s="34" customFormat="1">
      <c r="A771" s="4"/>
      <c r="B771" s="4"/>
      <c r="C771" s="4"/>
      <c r="D771" s="4"/>
      <c r="E771" s="4"/>
      <c r="F771" s="4"/>
      <c r="G771" s="4"/>
      <c r="H771" s="4"/>
      <c r="I771" s="4"/>
      <c r="J771" s="4"/>
      <c r="K771" s="4"/>
      <c r="L771" s="4"/>
      <c r="M771" s="4"/>
    </row>
    <row r="772" spans="1:13" s="34" customFormat="1">
      <c r="A772" s="4"/>
      <c r="B772" s="4"/>
      <c r="C772" s="4"/>
      <c r="D772" s="4"/>
      <c r="E772" s="4"/>
      <c r="F772" s="4"/>
      <c r="G772" s="4"/>
      <c r="H772" s="4"/>
      <c r="I772" s="4"/>
      <c r="J772" s="4"/>
      <c r="K772" s="4"/>
      <c r="L772" s="4"/>
      <c r="M772" s="4"/>
    </row>
    <row r="773" spans="1:13" s="34" customFormat="1">
      <c r="A773" s="4"/>
      <c r="B773" s="4"/>
      <c r="C773" s="4"/>
      <c r="D773" s="4"/>
      <c r="E773" s="4"/>
      <c r="F773" s="4"/>
      <c r="G773" s="4"/>
      <c r="H773" s="4"/>
      <c r="I773" s="4"/>
      <c r="J773" s="4"/>
      <c r="K773" s="4"/>
      <c r="L773" s="4"/>
      <c r="M773" s="4"/>
    </row>
    <row r="774" spans="1:13" s="34" customFormat="1">
      <c r="A774" s="4"/>
      <c r="B774" s="4"/>
      <c r="C774" s="4"/>
      <c r="D774" s="4"/>
      <c r="E774" s="4"/>
      <c r="F774" s="4"/>
      <c r="G774" s="4"/>
      <c r="H774" s="4"/>
      <c r="I774" s="4"/>
      <c r="J774" s="4"/>
      <c r="K774" s="4"/>
      <c r="L774" s="4"/>
      <c r="M774" s="4"/>
    </row>
    <row r="775" spans="1:13" s="34" customFormat="1">
      <c r="A775" s="3"/>
      <c r="B775" s="4"/>
      <c r="C775" s="4"/>
      <c r="D775" s="4"/>
      <c r="E775" s="4"/>
      <c r="F775" s="4"/>
      <c r="G775" s="4"/>
      <c r="H775" s="4"/>
      <c r="I775" s="4"/>
      <c r="J775" s="4"/>
      <c r="K775" s="4"/>
      <c r="L775" s="4"/>
      <c r="M775" s="4"/>
    </row>
    <row r="776" spans="1:13" s="34" customFormat="1">
      <c r="A776" s="3"/>
      <c r="B776" s="4"/>
      <c r="C776" s="4"/>
      <c r="D776" s="4"/>
      <c r="E776" s="4"/>
      <c r="F776" s="4"/>
      <c r="G776" s="4"/>
      <c r="H776" s="4"/>
      <c r="I776" s="4"/>
      <c r="J776" s="4"/>
      <c r="K776" s="4"/>
      <c r="L776" s="4"/>
      <c r="M776" s="4"/>
    </row>
    <row r="777" spans="1:13" s="34" customFormat="1">
      <c r="A777" s="3"/>
      <c r="B777" s="4"/>
      <c r="C777" s="4"/>
      <c r="D777" s="4"/>
      <c r="E777" s="4"/>
      <c r="F777" s="4"/>
      <c r="G777" s="4"/>
      <c r="H777" s="4"/>
      <c r="I777" s="4"/>
      <c r="J777" s="4"/>
      <c r="K777" s="4"/>
      <c r="L777" s="4"/>
      <c r="M777" s="4"/>
    </row>
    <row r="778" spans="1:13" s="34" customFormat="1">
      <c r="A778" s="3"/>
      <c r="B778" s="4"/>
      <c r="C778" s="4"/>
      <c r="D778" s="4"/>
      <c r="E778" s="4"/>
      <c r="F778" s="4"/>
      <c r="G778" s="4"/>
      <c r="H778" s="4"/>
      <c r="I778" s="4"/>
      <c r="J778" s="4"/>
      <c r="K778" s="4"/>
      <c r="L778" s="4"/>
      <c r="M778" s="4"/>
    </row>
    <row r="779" spans="1:13" s="34" customFormat="1">
      <c r="A779" s="3"/>
      <c r="B779" s="4"/>
      <c r="C779" s="4"/>
      <c r="D779" s="4"/>
      <c r="E779" s="4"/>
      <c r="F779" s="4"/>
      <c r="G779" s="4"/>
      <c r="H779" s="4"/>
      <c r="I779" s="4"/>
      <c r="J779" s="4"/>
      <c r="K779" s="4"/>
      <c r="L779" s="4"/>
      <c r="M779" s="4"/>
    </row>
    <row r="780" spans="1:13" s="34" customFormat="1">
      <c r="A780" s="3"/>
      <c r="B780" s="4"/>
      <c r="C780" s="4"/>
      <c r="D780" s="4"/>
      <c r="E780" s="4"/>
      <c r="F780" s="4"/>
      <c r="G780" s="4"/>
      <c r="H780" s="4"/>
      <c r="I780" s="4"/>
      <c r="J780" s="4"/>
      <c r="K780" s="4"/>
      <c r="L780" s="4"/>
      <c r="M780" s="4"/>
    </row>
    <row r="781" spans="1:13" s="34" customFormat="1">
      <c r="A781" s="3"/>
      <c r="B781" s="4"/>
      <c r="C781" s="4"/>
      <c r="D781" s="4"/>
      <c r="E781" s="4"/>
      <c r="F781" s="4"/>
      <c r="G781" s="4"/>
      <c r="H781" s="4"/>
      <c r="I781" s="4"/>
      <c r="J781" s="4"/>
      <c r="K781" s="4"/>
      <c r="L781" s="4"/>
      <c r="M781" s="4"/>
    </row>
    <row r="782" spans="1:13" s="34" customFormat="1">
      <c r="A782" s="3"/>
      <c r="B782" s="4"/>
      <c r="C782" s="4"/>
      <c r="D782" s="4"/>
      <c r="E782" s="4"/>
      <c r="F782" s="4"/>
      <c r="G782" s="4"/>
      <c r="H782" s="4"/>
      <c r="I782" s="4"/>
      <c r="J782" s="4"/>
      <c r="K782" s="4"/>
      <c r="L782" s="4"/>
      <c r="M782" s="4"/>
    </row>
    <row r="783" spans="1:13" s="34" customFormat="1">
      <c r="A783" s="3"/>
      <c r="B783" s="4"/>
      <c r="C783" s="4"/>
      <c r="D783" s="4"/>
      <c r="E783" s="4"/>
      <c r="F783" s="4"/>
      <c r="G783" s="4"/>
      <c r="H783" s="4"/>
      <c r="I783" s="4"/>
      <c r="J783" s="4"/>
      <c r="K783" s="4"/>
      <c r="L783" s="4"/>
      <c r="M783" s="4"/>
    </row>
    <row r="784" spans="1:13" s="34" customFormat="1">
      <c r="A784" s="3"/>
      <c r="B784" s="4"/>
      <c r="C784" s="4"/>
      <c r="D784" s="4"/>
      <c r="E784" s="4"/>
      <c r="F784" s="4"/>
      <c r="G784" s="4"/>
      <c r="H784" s="4"/>
      <c r="I784" s="4"/>
      <c r="J784" s="4"/>
      <c r="K784" s="4"/>
      <c r="L784" s="4"/>
      <c r="M784" s="4"/>
    </row>
    <row r="785" spans="1:13" s="34" customFormat="1">
      <c r="A785" s="3"/>
      <c r="B785" s="4"/>
      <c r="C785" s="4"/>
      <c r="D785" s="4"/>
      <c r="E785" s="4"/>
      <c r="F785" s="4"/>
      <c r="G785" s="4"/>
      <c r="H785" s="4"/>
      <c r="I785" s="4"/>
      <c r="J785" s="4"/>
      <c r="K785" s="4"/>
      <c r="L785" s="4"/>
      <c r="M785" s="4"/>
    </row>
    <row r="786" spans="1:13" s="34" customFormat="1">
      <c r="A786" s="3"/>
      <c r="B786" s="4"/>
      <c r="C786" s="4"/>
      <c r="D786" s="4"/>
      <c r="E786" s="4"/>
      <c r="F786" s="4"/>
      <c r="G786" s="4"/>
      <c r="H786" s="4"/>
      <c r="I786" s="4"/>
      <c r="J786" s="4"/>
      <c r="K786" s="4"/>
      <c r="L786" s="4"/>
      <c r="M786" s="4"/>
    </row>
    <row r="787" spans="1:13" s="34" customFormat="1">
      <c r="A787" s="3"/>
      <c r="B787" s="4"/>
      <c r="C787" s="4"/>
      <c r="D787" s="4"/>
      <c r="E787" s="4"/>
      <c r="F787" s="4"/>
      <c r="G787" s="4"/>
      <c r="H787" s="4"/>
      <c r="I787" s="4"/>
      <c r="J787" s="4"/>
      <c r="K787" s="4"/>
      <c r="L787" s="4"/>
      <c r="M787" s="4"/>
    </row>
    <row r="788" spans="1:13" s="34" customFormat="1">
      <c r="A788" s="3"/>
      <c r="B788" s="4"/>
      <c r="C788" s="4"/>
      <c r="D788" s="4"/>
      <c r="E788" s="4"/>
      <c r="F788" s="4"/>
      <c r="G788" s="4"/>
      <c r="H788" s="4"/>
      <c r="I788" s="4"/>
      <c r="J788" s="4"/>
      <c r="K788" s="4"/>
      <c r="L788" s="4"/>
      <c r="M788" s="4"/>
    </row>
    <row r="789" spans="1:13" s="34" customFormat="1">
      <c r="A789" s="3"/>
      <c r="B789" s="4"/>
      <c r="C789" s="4"/>
      <c r="D789" s="4"/>
      <c r="E789" s="4"/>
      <c r="F789" s="4"/>
      <c r="G789" s="4"/>
      <c r="H789" s="4"/>
      <c r="I789" s="4"/>
      <c r="J789" s="4"/>
      <c r="K789" s="4"/>
      <c r="L789" s="4"/>
      <c r="M789" s="4"/>
    </row>
    <row r="790" spans="1:13" s="34" customFormat="1">
      <c r="A790" s="3"/>
      <c r="B790" s="4"/>
      <c r="C790" s="4"/>
      <c r="D790" s="4"/>
      <c r="E790" s="4"/>
      <c r="F790" s="4"/>
      <c r="G790" s="4"/>
      <c r="H790" s="4"/>
      <c r="I790" s="4"/>
      <c r="J790" s="4"/>
      <c r="K790" s="4"/>
      <c r="L790" s="4"/>
      <c r="M790" s="4"/>
    </row>
    <row r="791" spans="1:13" s="34" customFormat="1">
      <c r="A791" s="3"/>
      <c r="B791" s="4"/>
      <c r="C791" s="4"/>
      <c r="D791" s="4"/>
      <c r="E791" s="4"/>
      <c r="F791" s="4"/>
      <c r="G791" s="4"/>
      <c r="H791" s="4"/>
      <c r="I791" s="4"/>
      <c r="J791" s="4"/>
      <c r="K791" s="4"/>
      <c r="L791" s="4"/>
      <c r="M791" s="4"/>
    </row>
    <row r="792" spans="1:13" s="34" customFormat="1">
      <c r="A792" s="3"/>
      <c r="B792" s="4"/>
      <c r="C792" s="4"/>
      <c r="D792" s="4"/>
      <c r="E792" s="4"/>
      <c r="F792" s="4"/>
      <c r="G792" s="4"/>
      <c r="H792" s="4"/>
      <c r="I792" s="4"/>
      <c r="J792" s="4"/>
      <c r="K792" s="4"/>
      <c r="L792" s="4"/>
      <c r="M792" s="4"/>
    </row>
    <row r="793" spans="1:13" s="34" customFormat="1">
      <c r="A793" s="3"/>
      <c r="B793" s="4"/>
      <c r="C793" s="4"/>
      <c r="D793" s="4"/>
      <c r="E793" s="4"/>
      <c r="F793" s="4"/>
      <c r="G793" s="4"/>
      <c r="H793" s="4"/>
      <c r="I793" s="4"/>
      <c r="J793" s="4"/>
      <c r="K793" s="4"/>
      <c r="L793" s="4"/>
      <c r="M793" s="4"/>
    </row>
    <row r="794" spans="1:13" s="34" customFormat="1">
      <c r="A794" s="3"/>
      <c r="B794" s="4"/>
      <c r="C794" s="4"/>
      <c r="D794" s="4"/>
      <c r="E794" s="4"/>
      <c r="F794" s="4"/>
      <c r="G794" s="4"/>
      <c r="H794" s="4"/>
      <c r="I794" s="4"/>
      <c r="J794" s="4"/>
      <c r="K794" s="4"/>
      <c r="L794" s="4"/>
      <c r="M794" s="4"/>
    </row>
    <row r="795" spans="1:13" s="34" customFormat="1">
      <c r="A795" s="3"/>
      <c r="B795" s="4"/>
      <c r="C795" s="4"/>
      <c r="D795" s="4"/>
      <c r="E795" s="4"/>
      <c r="F795" s="4"/>
      <c r="G795" s="4"/>
      <c r="H795" s="4"/>
      <c r="I795" s="4"/>
      <c r="J795" s="4"/>
      <c r="K795" s="4"/>
      <c r="L795" s="4"/>
      <c r="M795" s="4"/>
    </row>
    <row r="796" spans="1:13" s="34" customFormat="1">
      <c r="A796" s="3"/>
      <c r="B796" s="4"/>
      <c r="C796" s="4"/>
      <c r="D796" s="4"/>
      <c r="E796" s="4"/>
      <c r="F796" s="4"/>
      <c r="G796" s="4"/>
      <c r="H796" s="4"/>
      <c r="I796" s="4"/>
      <c r="J796" s="4"/>
      <c r="K796" s="4"/>
      <c r="L796" s="4"/>
      <c r="M796" s="4"/>
    </row>
    <row r="797" spans="1:13" s="34" customFormat="1">
      <c r="A797" s="3"/>
      <c r="B797" s="4"/>
      <c r="C797" s="4"/>
      <c r="D797" s="4"/>
      <c r="E797" s="4"/>
      <c r="F797" s="4"/>
      <c r="G797" s="4"/>
      <c r="H797" s="4"/>
      <c r="I797" s="4"/>
      <c r="J797" s="4"/>
      <c r="K797" s="4"/>
      <c r="L797" s="4"/>
      <c r="M797" s="4"/>
    </row>
    <row r="798" spans="1:13" s="34" customFormat="1">
      <c r="A798" s="3"/>
      <c r="B798" s="4"/>
      <c r="C798" s="4"/>
      <c r="D798" s="4"/>
      <c r="E798" s="4"/>
      <c r="F798" s="4"/>
      <c r="G798" s="4"/>
      <c r="H798" s="4"/>
      <c r="I798" s="4"/>
      <c r="J798" s="4"/>
      <c r="K798" s="4"/>
      <c r="L798" s="4"/>
      <c r="M798" s="4"/>
    </row>
    <row r="799" spans="1:13" s="34" customFormat="1">
      <c r="A799" s="3"/>
      <c r="B799" s="4"/>
      <c r="C799" s="4"/>
      <c r="D799" s="4"/>
      <c r="E799" s="4"/>
      <c r="F799" s="4"/>
      <c r="G799" s="4"/>
      <c r="H799" s="4"/>
      <c r="I799" s="4"/>
      <c r="J799" s="4"/>
      <c r="K799" s="4"/>
      <c r="L799" s="4"/>
      <c r="M799" s="4"/>
    </row>
    <row r="800" spans="1:13" s="34" customFormat="1">
      <c r="A800" s="3"/>
      <c r="B800" s="4"/>
      <c r="C800" s="4"/>
      <c r="D800" s="4"/>
      <c r="E800" s="4"/>
      <c r="F800" s="4"/>
      <c r="G800" s="4"/>
      <c r="H800" s="4"/>
      <c r="I800" s="4"/>
      <c r="J800" s="4"/>
      <c r="K800" s="4"/>
      <c r="L800" s="4"/>
      <c r="M800" s="4"/>
    </row>
    <row r="801" spans="1:13" s="34" customFormat="1">
      <c r="A801" s="3"/>
      <c r="B801" s="4"/>
      <c r="C801" s="4"/>
      <c r="D801" s="4"/>
      <c r="E801" s="4"/>
      <c r="F801" s="4"/>
      <c r="G801" s="4"/>
      <c r="H801" s="4"/>
      <c r="I801" s="4"/>
      <c r="J801" s="4"/>
      <c r="K801" s="4"/>
      <c r="L801" s="4"/>
      <c r="M801" s="4"/>
    </row>
    <row r="802" spans="1:13" s="34" customFormat="1">
      <c r="A802" s="3"/>
      <c r="B802" s="4"/>
      <c r="C802" s="4"/>
      <c r="D802" s="4"/>
      <c r="E802" s="4"/>
      <c r="F802" s="4"/>
      <c r="G802" s="4"/>
      <c r="H802" s="4"/>
      <c r="I802" s="4"/>
      <c r="J802" s="4"/>
      <c r="K802" s="4"/>
      <c r="L802" s="4"/>
      <c r="M802" s="4"/>
    </row>
    <row r="803" spans="1:13" s="34" customFormat="1">
      <c r="A803" s="3"/>
      <c r="B803" s="4"/>
      <c r="C803" s="4"/>
      <c r="D803" s="4"/>
      <c r="E803" s="4"/>
      <c r="F803" s="4"/>
      <c r="G803" s="4"/>
      <c r="H803" s="4"/>
      <c r="I803" s="4"/>
      <c r="J803" s="4"/>
      <c r="K803" s="4"/>
      <c r="L803" s="4"/>
      <c r="M803" s="4"/>
    </row>
    <row r="804" spans="1:13" s="34" customFormat="1">
      <c r="A804" s="3"/>
      <c r="B804" s="4"/>
      <c r="C804" s="4"/>
      <c r="D804" s="4"/>
      <c r="E804" s="4"/>
      <c r="F804" s="4"/>
      <c r="G804" s="4"/>
      <c r="H804" s="4"/>
      <c r="I804" s="4"/>
      <c r="J804" s="4"/>
      <c r="K804" s="4"/>
      <c r="L804" s="4"/>
      <c r="M804" s="4"/>
    </row>
    <row r="805" spans="1:13" s="34" customFormat="1">
      <c r="A805" s="3"/>
      <c r="B805" s="4"/>
      <c r="C805" s="4"/>
      <c r="D805" s="4"/>
      <c r="E805" s="4"/>
      <c r="F805" s="4"/>
      <c r="G805" s="4"/>
      <c r="H805" s="4"/>
      <c r="I805" s="4"/>
      <c r="J805" s="4"/>
      <c r="K805" s="4"/>
      <c r="L805" s="4"/>
      <c r="M805" s="4"/>
    </row>
    <row r="806" spans="1:13" s="34" customFormat="1">
      <c r="A806" s="3"/>
      <c r="B806" s="4"/>
      <c r="C806" s="4"/>
      <c r="D806" s="4"/>
      <c r="E806" s="4"/>
      <c r="F806" s="4"/>
      <c r="G806" s="4"/>
      <c r="H806" s="4"/>
      <c r="I806" s="4"/>
      <c r="J806" s="4"/>
      <c r="K806" s="4"/>
      <c r="L806" s="4"/>
      <c r="M806" s="4"/>
    </row>
    <row r="807" spans="1:13" s="34" customFormat="1">
      <c r="A807" s="3"/>
      <c r="B807" s="4"/>
      <c r="C807" s="4"/>
      <c r="D807" s="4"/>
      <c r="E807" s="4"/>
      <c r="F807" s="4"/>
      <c r="G807" s="4"/>
      <c r="H807" s="4"/>
      <c r="I807" s="4"/>
      <c r="J807" s="4"/>
      <c r="K807" s="4"/>
      <c r="L807" s="4"/>
      <c r="M807" s="4"/>
    </row>
    <row r="808" spans="1:13" s="34" customFormat="1">
      <c r="A808" s="3"/>
      <c r="B808" s="4"/>
      <c r="C808" s="4"/>
      <c r="D808" s="4"/>
      <c r="E808" s="4"/>
      <c r="F808" s="4"/>
      <c r="G808" s="4"/>
      <c r="H808" s="4"/>
      <c r="I808" s="4"/>
      <c r="J808" s="4"/>
      <c r="K808" s="4"/>
      <c r="L808" s="4"/>
      <c r="M808" s="4"/>
    </row>
    <row r="809" spans="1:13" s="34" customFormat="1">
      <c r="A809" s="3"/>
      <c r="B809" s="4"/>
      <c r="C809" s="4"/>
      <c r="D809" s="4"/>
      <c r="E809" s="4"/>
      <c r="F809" s="4"/>
      <c r="G809" s="4"/>
      <c r="H809" s="4"/>
      <c r="I809" s="4"/>
      <c r="J809" s="4"/>
      <c r="K809" s="4"/>
      <c r="L809" s="4"/>
      <c r="M809" s="4"/>
    </row>
    <row r="810" spans="1:13" s="34" customFormat="1">
      <c r="A810" s="3"/>
      <c r="B810" s="4"/>
      <c r="C810" s="4"/>
      <c r="D810" s="4"/>
      <c r="E810" s="4"/>
      <c r="F810" s="4"/>
      <c r="G810" s="4"/>
      <c r="H810" s="4"/>
      <c r="I810" s="4"/>
      <c r="J810" s="4"/>
      <c r="K810" s="4"/>
      <c r="L810" s="4"/>
      <c r="M810" s="4"/>
    </row>
    <row r="811" spans="1:13" s="34" customFormat="1">
      <c r="A811" s="3"/>
      <c r="B811" s="4"/>
      <c r="C811" s="4"/>
      <c r="D811" s="4"/>
      <c r="E811" s="4"/>
      <c r="F811" s="4"/>
      <c r="G811" s="4"/>
      <c r="H811" s="4"/>
      <c r="I811" s="4"/>
      <c r="J811" s="4"/>
      <c r="K811" s="4"/>
      <c r="L811" s="4"/>
      <c r="M811" s="4"/>
    </row>
    <row r="812" spans="1:13" s="34" customFormat="1">
      <c r="A812" s="3"/>
      <c r="B812" s="4"/>
      <c r="C812" s="4"/>
      <c r="D812" s="4"/>
      <c r="E812" s="4"/>
      <c r="F812" s="4"/>
      <c r="G812" s="4"/>
      <c r="H812" s="4"/>
      <c r="I812" s="4"/>
      <c r="J812" s="4"/>
      <c r="K812" s="4"/>
      <c r="L812" s="4"/>
      <c r="M812" s="4"/>
    </row>
    <row r="813" spans="1:13" s="34" customFormat="1">
      <c r="A813" s="3"/>
      <c r="B813" s="4"/>
      <c r="C813" s="4"/>
      <c r="D813" s="4"/>
      <c r="E813" s="4"/>
      <c r="F813" s="4"/>
      <c r="G813" s="4"/>
      <c r="H813" s="4"/>
      <c r="I813" s="4"/>
      <c r="J813" s="4"/>
      <c r="K813" s="4"/>
      <c r="L813" s="4"/>
      <c r="M813" s="4"/>
    </row>
    <row r="814" spans="1:13" s="34" customFormat="1">
      <c r="A814" s="3"/>
      <c r="B814" s="4"/>
      <c r="C814" s="4"/>
      <c r="D814" s="4"/>
      <c r="E814" s="4"/>
      <c r="F814" s="4"/>
      <c r="G814" s="4"/>
      <c r="H814" s="4"/>
      <c r="I814" s="4"/>
      <c r="J814" s="4"/>
      <c r="K814" s="4"/>
      <c r="L814" s="4"/>
      <c r="M814" s="4"/>
    </row>
    <row r="815" spans="1:13" s="34" customFormat="1">
      <c r="A815" s="3"/>
      <c r="B815" s="4"/>
      <c r="C815" s="4"/>
      <c r="D815" s="4"/>
      <c r="E815" s="4"/>
      <c r="F815" s="4"/>
      <c r="G815" s="4"/>
      <c r="H815" s="4"/>
      <c r="I815" s="4"/>
      <c r="J815" s="4"/>
      <c r="K815" s="4"/>
      <c r="L815" s="4"/>
      <c r="M815" s="4"/>
    </row>
    <row r="816" spans="1:13" s="34" customFormat="1">
      <c r="A816" s="3"/>
      <c r="B816" s="4"/>
      <c r="C816" s="4"/>
      <c r="D816" s="4"/>
      <c r="E816" s="4"/>
      <c r="F816" s="4"/>
      <c r="G816" s="4"/>
      <c r="H816" s="4"/>
      <c r="I816" s="4"/>
      <c r="J816" s="4"/>
      <c r="K816" s="4"/>
      <c r="L816" s="4"/>
      <c r="M816" s="4"/>
    </row>
    <row r="817" spans="1:13" s="34" customFormat="1">
      <c r="A817" s="3"/>
      <c r="B817" s="4"/>
      <c r="C817" s="4"/>
      <c r="D817" s="4"/>
      <c r="E817" s="4"/>
      <c r="F817" s="4"/>
      <c r="G817" s="4"/>
      <c r="H817" s="4"/>
      <c r="I817" s="4"/>
      <c r="J817" s="4"/>
      <c r="K817" s="4"/>
      <c r="L817" s="4"/>
      <c r="M817" s="4"/>
    </row>
    <row r="818" spans="1:13" s="34" customFormat="1">
      <c r="A818" s="3"/>
      <c r="B818" s="4"/>
      <c r="C818" s="4"/>
      <c r="D818" s="4"/>
      <c r="E818" s="4"/>
      <c r="F818" s="4"/>
      <c r="G818" s="4"/>
      <c r="H818" s="4"/>
      <c r="I818" s="4"/>
      <c r="J818" s="4"/>
      <c r="K818" s="4"/>
      <c r="L818" s="4"/>
      <c r="M818" s="4"/>
    </row>
    <row r="819" spans="1:13" s="34" customFormat="1">
      <c r="A819" s="3"/>
      <c r="B819" s="4"/>
      <c r="C819" s="4"/>
      <c r="D819" s="4"/>
      <c r="E819" s="4"/>
      <c r="F819" s="4"/>
      <c r="G819" s="4"/>
      <c r="H819" s="4"/>
      <c r="I819" s="4"/>
      <c r="J819" s="4"/>
      <c r="K819" s="4"/>
      <c r="L819" s="4"/>
      <c r="M819" s="4"/>
    </row>
    <row r="820" spans="1:13" s="34" customFormat="1">
      <c r="A820" s="3"/>
      <c r="B820" s="4"/>
      <c r="C820" s="4"/>
      <c r="D820" s="4"/>
      <c r="E820" s="4"/>
      <c r="F820" s="4"/>
      <c r="G820" s="4"/>
      <c r="H820" s="4"/>
      <c r="I820" s="4"/>
      <c r="J820" s="4"/>
      <c r="K820" s="4"/>
      <c r="L820" s="4"/>
      <c r="M820" s="4"/>
    </row>
    <row r="821" spans="1:13" s="34" customFormat="1">
      <c r="A821" s="3"/>
      <c r="B821" s="4"/>
      <c r="C821" s="4"/>
      <c r="D821" s="4"/>
      <c r="E821" s="4"/>
      <c r="F821" s="4"/>
      <c r="G821" s="4"/>
      <c r="H821" s="4"/>
      <c r="I821" s="4"/>
      <c r="J821" s="4"/>
      <c r="K821" s="4"/>
      <c r="L821" s="4"/>
      <c r="M821" s="4"/>
    </row>
    <row r="822" spans="1:13" s="34" customFormat="1">
      <c r="A822" s="3"/>
      <c r="B822" s="4"/>
      <c r="C822" s="4"/>
      <c r="D822" s="4"/>
      <c r="E822" s="4"/>
      <c r="F822" s="4"/>
      <c r="G822" s="4"/>
      <c r="H822" s="4"/>
      <c r="I822" s="4"/>
      <c r="J822" s="4"/>
      <c r="K822" s="4"/>
      <c r="L822" s="4"/>
      <c r="M822" s="4"/>
    </row>
    <row r="823" spans="1:13" s="34" customFormat="1">
      <c r="A823" s="3"/>
      <c r="B823" s="4"/>
      <c r="C823" s="4"/>
      <c r="D823" s="4"/>
      <c r="E823" s="4"/>
      <c r="F823" s="4"/>
      <c r="G823" s="4"/>
      <c r="H823" s="4"/>
      <c r="I823" s="4"/>
      <c r="J823" s="4"/>
      <c r="K823" s="4"/>
      <c r="L823" s="4"/>
      <c r="M823" s="4"/>
    </row>
    <row r="824" spans="1:13" s="34" customFormat="1">
      <c r="A824" s="3"/>
      <c r="B824" s="4"/>
      <c r="C824" s="4"/>
      <c r="D824" s="4"/>
      <c r="E824" s="4"/>
      <c r="F824" s="4"/>
      <c r="G824" s="4"/>
      <c r="H824" s="4"/>
      <c r="I824" s="4"/>
      <c r="J824" s="4"/>
      <c r="K824" s="4"/>
      <c r="L824" s="4"/>
      <c r="M824" s="4"/>
    </row>
    <row r="825" spans="1:13" s="34" customFormat="1">
      <c r="A825" s="3"/>
      <c r="B825" s="4"/>
      <c r="C825" s="4"/>
      <c r="D825" s="4"/>
      <c r="E825" s="4"/>
      <c r="F825" s="4"/>
      <c r="G825" s="4"/>
      <c r="H825" s="4"/>
      <c r="I825" s="4"/>
      <c r="J825" s="4"/>
      <c r="K825" s="4"/>
      <c r="L825" s="4"/>
      <c r="M825" s="4"/>
    </row>
    <row r="826" spans="1:13" s="34" customFormat="1">
      <c r="A826" s="3"/>
      <c r="B826" s="4"/>
      <c r="C826" s="4"/>
      <c r="D826" s="4"/>
      <c r="E826" s="4"/>
      <c r="F826" s="4"/>
      <c r="G826" s="4"/>
      <c r="H826" s="4"/>
      <c r="I826" s="4"/>
      <c r="J826" s="4"/>
      <c r="K826" s="4"/>
      <c r="L826" s="4"/>
      <c r="M826" s="4"/>
    </row>
    <row r="827" spans="1:13" s="34" customFormat="1">
      <c r="A827" s="3"/>
      <c r="B827" s="4"/>
      <c r="C827" s="4"/>
      <c r="D827" s="4"/>
      <c r="E827" s="4"/>
      <c r="F827" s="4"/>
      <c r="G827" s="4"/>
      <c r="H827" s="4"/>
      <c r="I827" s="4"/>
      <c r="J827" s="4"/>
      <c r="K827" s="4"/>
      <c r="L827" s="4"/>
      <c r="M827" s="4"/>
    </row>
    <row r="828" spans="1:13" s="34" customFormat="1">
      <c r="A828" s="3"/>
      <c r="B828" s="4"/>
      <c r="C828" s="4"/>
      <c r="D828" s="4"/>
      <c r="E828" s="4"/>
      <c r="F828" s="4"/>
      <c r="G828" s="4"/>
      <c r="H828" s="4"/>
      <c r="I828" s="4"/>
      <c r="J828" s="4"/>
      <c r="K828" s="4"/>
      <c r="L828" s="4"/>
      <c r="M828" s="4"/>
    </row>
    <row r="829" spans="1:13" s="34" customFormat="1">
      <c r="A829" s="3"/>
      <c r="B829" s="4"/>
      <c r="C829" s="4"/>
      <c r="D829" s="4"/>
      <c r="E829" s="4"/>
      <c r="F829" s="4"/>
      <c r="G829" s="4"/>
      <c r="H829" s="4"/>
      <c r="I829" s="4"/>
      <c r="J829" s="4"/>
      <c r="K829" s="4"/>
      <c r="L829" s="4"/>
      <c r="M829" s="4"/>
    </row>
    <row r="830" spans="1:13" s="34" customFormat="1">
      <c r="A830" s="3"/>
      <c r="B830" s="4"/>
      <c r="C830" s="4"/>
      <c r="D830" s="4"/>
      <c r="E830" s="4"/>
      <c r="F830" s="4"/>
      <c r="G830" s="4"/>
      <c r="H830" s="4"/>
      <c r="I830" s="4"/>
      <c r="J830" s="4"/>
      <c r="K830" s="4"/>
      <c r="L830" s="4"/>
      <c r="M830" s="4"/>
    </row>
    <row r="831" spans="1:13" s="34" customFormat="1">
      <c r="A831" s="3"/>
      <c r="B831" s="4"/>
      <c r="C831" s="4"/>
      <c r="D831" s="4"/>
      <c r="E831" s="4"/>
      <c r="F831" s="4"/>
      <c r="G831" s="4"/>
      <c r="H831" s="4"/>
      <c r="I831" s="4"/>
      <c r="J831" s="4"/>
      <c r="K831" s="4"/>
      <c r="L831" s="4"/>
      <c r="M831" s="4"/>
    </row>
    <row r="832" spans="1:13" s="34" customFormat="1">
      <c r="A832" s="3"/>
      <c r="B832" s="4"/>
      <c r="C832" s="4"/>
      <c r="D832" s="4"/>
      <c r="E832" s="4"/>
      <c r="F832" s="4"/>
      <c r="G832" s="4"/>
      <c r="H832" s="4"/>
      <c r="I832" s="4"/>
      <c r="J832" s="4"/>
      <c r="K832" s="4"/>
      <c r="L832" s="4"/>
      <c r="M832" s="4"/>
    </row>
    <row r="833" spans="1:13" s="34" customFormat="1">
      <c r="A833" s="3"/>
      <c r="B833" s="4"/>
      <c r="C833" s="4"/>
      <c r="D833" s="4"/>
      <c r="E833" s="4"/>
      <c r="F833" s="4"/>
      <c r="G833" s="4"/>
      <c r="H833" s="4"/>
      <c r="I833" s="4"/>
      <c r="J833" s="4"/>
      <c r="K833" s="4"/>
      <c r="L833" s="4"/>
      <c r="M833" s="4"/>
    </row>
    <row r="834" spans="1:13" s="34" customFormat="1">
      <c r="A834" s="3"/>
      <c r="B834" s="4"/>
      <c r="C834" s="4"/>
      <c r="D834" s="4"/>
      <c r="E834" s="4"/>
      <c r="F834" s="4"/>
      <c r="G834" s="4"/>
      <c r="H834" s="4"/>
      <c r="I834" s="4"/>
      <c r="J834" s="4"/>
      <c r="K834" s="4"/>
      <c r="L834" s="4"/>
      <c r="M834" s="4"/>
    </row>
    <row r="835" spans="1:13" s="34" customFormat="1">
      <c r="A835" s="3"/>
      <c r="B835" s="4"/>
      <c r="C835" s="4"/>
      <c r="D835" s="4"/>
      <c r="E835" s="4"/>
      <c r="F835" s="4"/>
      <c r="G835" s="4"/>
      <c r="H835" s="4"/>
      <c r="I835" s="4"/>
      <c r="J835" s="4"/>
      <c r="K835" s="4"/>
      <c r="L835" s="4"/>
      <c r="M835" s="4"/>
    </row>
    <row r="836" spans="1:13" s="34" customFormat="1">
      <c r="A836" s="3"/>
      <c r="B836" s="4"/>
      <c r="C836" s="4"/>
      <c r="D836" s="4"/>
      <c r="E836" s="4"/>
      <c r="F836" s="4"/>
      <c r="G836" s="4"/>
      <c r="H836" s="4"/>
      <c r="I836" s="4"/>
      <c r="J836" s="4"/>
      <c r="K836" s="4"/>
      <c r="L836" s="4"/>
      <c r="M836" s="4"/>
    </row>
    <row r="837" spans="1:13" s="34" customFormat="1">
      <c r="A837" s="3"/>
      <c r="B837" s="4"/>
      <c r="C837" s="4"/>
      <c r="D837" s="4"/>
      <c r="E837" s="4"/>
      <c r="F837" s="4"/>
      <c r="G837" s="4"/>
      <c r="H837" s="4"/>
      <c r="I837" s="4"/>
      <c r="J837" s="4"/>
      <c r="K837" s="4"/>
      <c r="L837" s="4"/>
      <c r="M837" s="4"/>
    </row>
    <row r="838" spans="1:13" s="34" customFormat="1">
      <c r="A838" s="3"/>
      <c r="B838" s="4"/>
      <c r="C838" s="4"/>
      <c r="D838" s="4"/>
      <c r="E838" s="4"/>
      <c r="F838" s="4"/>
      <c r="G838" s="4"/>
      <c r="H838" s="4"/>
      <c r="I838" s="4"/>
      <c r="J838" s="4"/>
      <c r="K838" s="4"/>
      <c r="L838" s="4"/>
      <c r="M838" s="4"/>
    </row>
    <row r="839" spans="1:13" s="34" customFormat="1">
      <c r="A839" s="3"/>
      <c r="B839" s="4"/>
      <c r="C839" s="4"/>
      <c r="D839" s="4"/>
      <c r="E839" s="4"/>
      <c r="F839" s="4"/>
      <c r="G839" s="4"/>
      <c r="H839" s="4"/>
      <c r="I839" s="4"/>
      <c r="J839" s="4"/>
      <c r="K839" s="4"/>
      <c r="L839" s="4"/>
      <c r="M839" s="4"/>
    </row>
    <row r="840" spans="1:13" s="34" customFormat="1">
      <c r="A840" s="3"/>
      <c r="B840" s="4"/>
      <c r="C840" s="4"/>
      <c r="D840" s="4"/>
      <c r="E840" s="4"/>
      <c r="F840" s="4"/>
      <c r="G840" s="4"/>
      <c r="H840" s="4"/>
      <c r="I840" s="4"/>
      <c r="J840" s="4"/>
      <c r="K840" s="4"/>
      <c r="L840" s="4"/>
      <c r="M840" s="4"/>
    </row>
    <row r="841" spans="1:13" s="34" customFormat="1">
      <c r="A841" s="3"/>
      <c r="B841" s="4"/>
      <c r="C841" s="4"/>
      <c r="D841" s="4"/>
      <c r="E841" s="4"/>
      <c r="F841" s="4"/>
      <c r="G841" s="4"/>
      <c r="H841" s="4"/>
      <c r="I841" s="4"/>
      <c r="J841" s="4"/>
      <c r="K841" s="4"/>
      <c r="L841" s="4"/>
      <c r="M841" s="4"/>
    </row>
    <row r="842" spans="1:13" s="34" customFormat="1">
      <c r="A842" s="3"/>
      <c r="B842" s="4"/>
      <c r="C842" s="4"/>
      <c r="D842" s="4"/>
      <c r="E842" s="4"/>
      <c r="F842" s="4"/>
      <c r="G842" s="4"/>
      <c r="H842" s="4"/>
      <c r="I842" s="4"/>
      <c r="J842" s="4"/>
      <c r="K842" s="4"/>
      <c r="L842" s="4"/>
      <c r="M842" s="4"/>
    </row>
    <row r="843" spans="1:13" s="34" customFormat="1">
      <c r="A843" s="3"/>
      <c r="B843" s="4"/>
      <c r="C843" s="4"/>
      <c r="D843" s="4"/>
      <c r="E843" s="4"/>
      <c r="F843" s="4"/>
      <c r="G843" s="4"/>
      <c r="H843" s="4"/>
      <c r="I843" s="4"/>
      <c r="J843" s="4"/>
      <c r="K843" s="4"/>
      <c r="L843" s="4"/>
      <c r="M843" s="4"/>
    </row>
    <row r="844" spans="1:13" s="34" customFormat="1">
      <c r="A844" s="3"/>
      <c r="B844" s="4"/>
      <c r="C844" s="4"/>
      <c r="D844" s="4"/>
      <c r="E844" s="4"/>
      <c r="F844" s="4"/>
      <c r="G844" s="4"/>
      <c r="H844" s="4"/>
      <c r="I844" s="4"/>
      <c r="J844" s="4"/>
      <c r="K844" s="4"/>
      <c r="L844" s="4"/>
      <c r="M844" s="4"/>
    </row>
    <row r="845" spans="1:13" s="34" customFormat="1">
      <c r="A845" s="3"/>
      <c r="B845" s="4"/>
      <c r="C845" s="4"/>
      <c r="D845" s="4"/>
      <c r="E845" s="4"/>
      <c r="F845" s="4"/>
      <c r="G845" s="4"/>
      <c r="H845" s="4"/>
      <c r="I845" s="4"/>
      <c r="J845" s="4"/>
      <c r="K845" s="4"/>
      <c r="L845" s="4"/>
      <c r="M845" s="4"/>
    </row>
    <row r="846" spans="1:13" s="34" customFormat="1">
      <c r="A846" s="3"/>
      <c r="B846" s="4"/>
      <c r="C846" s="4"/>
      <c r="D846" s="4"/>
      <c r="E846" s="4"/>
      <c r="F846" s="4"/>
      <c r="G846" s="4"/>
      <c r="H846" s="4"/>
      <c r="I846" s="4"/>
      <c r="J846" s="4"/>
      <c r="K846" s="4"/>
      <c r="L846" s="4"/>
      <c r="M846" s="4"/>
    </row>
    <row r="847" spans="1:13" s="34" customFormat="1">
      <c r="A847" s="3"/>
      <c r="B847" s="4"/>
      <c r="C847" s="4"/>
      <c r="D847" s="4"/>
      <c r="E847" s="4"/>
      <c r="F847" s="4"/>
      <c r="G847" s="4"/>
      <c r="H847" s="4"/>
      <c r="I847" s="4"/>
      <c r="J847" s="4"/>
      <c r="K847" s="4"/>
      <c r="L847" s="4"/>
      <c r="M847" s="4"/>
    </row>
    <row r="848" spans="1:13" s="34" customFormat="1">
      <c r="A848" s="3"/>
      <c r="B848" s="4"/>
      <c r="C848" s="4"/>
      <c r="D848" s="4"/>
      <c r="E848" s="4"/>
      <c r="F848" s="4"/>
      <c r="G848" s="4"/>
      <c r="H848" s="4"/>
      <c r="I848" s="4"/>
      <c r="J848" s="4"/>
      <c r="K848" s="4"/>
      <c r="L848" s="4"/>
      <c r="M848" s="4"/>
    </row>
    <row r="849" spans="1:13" s="34" customFormat="1">
      <c r="A849" s="3"/>
      <c r="B849" s="4"/>
      <c r="C849" s="4"/>
      <c r="D849" s="4"/>
      <c r="E849" s="4"/>
      <c r="F849" s="4"/>
      <c r="G849" s="4"/>
      <c r="H849" s="4"/>
      <c r="I849" s="4"/>
      <c r="J849" s="4"/>
      <c r="K849" s="4"/>
      <c r="L849" s="4"/>
      <c r="M849" s="4"/>
    </row>
    <row r="850" spans="1:13" s="34" customFormat="1">
      <c r="A850" s="3"/>
      <c r="B850" s="4"/>
      <c r="C850" s="4"/>
      <c r="D850" s="4"/>
      <c r="E850" s="4"/>
      <c r="F850" s="4"/>
      <c r="G850" s="4"/>
      <c r="H850" s="4"/>
      <c r="I850" s="4"/>
      <c r="J850" s="4"/>
      <c r="K850" s="4"/>
      <c r="L850" s="4"/>
      <c r="M850" s="4"/>
    </row>
    <row r="851" spans="1:13" s="34" customFormat="1">
      <c r="A851" s="3"/>
      <c r="B851" s="4"/>
      <c r="C851" s="4"/>
      <c r="D851" s="4"/>
      <c r="E851" s="4"/>
      <c r="F851" s="4"/>
      <c r="G851" s="4"/>
      <c r="H851" s="4"/>
      <c r="I851" s="4"/>
      <c r="J851" s="4"/>
      <c r="K851" s="4"/>
      <c r="L851" s="4"/>
      <c r="M851" s="4"/>
    </row>
    <row r="852" spans="1:13" s="34" customFormat="1">
      <c r="A852" s="3"/>
      <c r="B852" s="4"/>
      <c r="C852" s="4"/>
      <c r="D852" s="4"/>
      <c r="E852" s="4"/>
      <c r="F852" s="4"/>
      <c r="G852" s="4"/>
      <c r="H852" s="4"/>
      <c r="I852" s="4"/>
      <c r="J852" s="4"/>
      <c r="K852" s="4"/>
      <c r="L852" s="4"/>
      <c r="M852" s="4"/>
    </row>
    <row r="853" spans="1:13" s="34" customFormat="1">
      <c r="A853" s="3"/>
      <c r="B853" s="4"/>
      <c r="C853" s="4"/>
      <c r="D853" s="4"/>
      <c r="E853" s="4"/>
      <c r="F853" s="4"/>
      <c r="G853" s="4"/>
      <c r="H853" s="4"/>
      <c r="I853" s="4"/>
      <c r="J853" s="4"/>
      <c r="K853" s="4"/>
      <c r="L853" s="4"/>
      <c r="M853" s="4"/>
    </row>
    <row r="854" spans="1:13" s="34" customFormat="1">
      <c r="A854" s="3"/>
      <c r="B854" s="4"/>
      <c r="C854" s="4"/>
      <c r="D854" s="4"/>
      <c r="E854" s="4"/>
      <c r="F854" s="4"/>
      <c r="G854" s="4"/>
      <c r="H854" s="4"/>
      <c r="I854" s="4"/>
      <c r="J854" s="4"/>
      <c r="K854" s="4"/>
      <c r="L854" s="4"/>
      <c r="M854" s="4"/>
    </row>
    <row r="855" spans="1:13" s="34" customFormat="1">
      <c r="A855" s="3"/>
      <c r="B855" s="4"/>
      <c r="C855" s="4"/>
      <c r="D855" s="4"/>
      <c r="E855" s="4"/>
      <c r="F855" s="4"/>
      <c r="G855" s="4"/>
      <c r="H855" s="4"/>
      <c r="I855" s="4"/>
      <c r="J855" s="4"/>
      <c r="K855" s="4"/>
      <c r="L855" s="4"/>
      <c r="M855" s="4"/>
    </row>
    <row r="856" spans="1:13" s="34" customFormat="1">
      <c r="A856" s="3"/>
      <c r="B856" s="4"/>
      <c r="C856" s="4"/>
      <c r="D856" s="4"/>
      <c r="E856" s="4"/>
      <c r="F856" s="4"/>
      <c r="G856" s="4"/>
      <c r="H856" s="4"/>
      <c r="I856" s="4"/>
      <c r="J856" s="4"/>
      <c r="K856" s="4"/>
      <c r="L856" s="4"/>
      <c r="M856" s="4"/>
    </row>
    <row r="857" spans="1:13" s="34" customFormat="1">
      <c r="A857" s="3"/>
      <c r="B857" s="4"/>
      <c r="C857" s="4"/>
      <c r="D857" s="4"/>
      <c r="E857" s="4"/>
      <c r="F857" s="4"/>
      <c r="G857" s="4"/>
      <c r="H857" s="4"/>
      <c r="I857" s="4"/>
      <c r="J857" s="4"/>
      <c r="K857" s="4"/>
      <c r="L857" s="4"/>
      <c r="M857" s="4"/>
    </row>
    <row r="858" spans="1:13" s="34" customFormat="1">
      <c r="A858" s="3"/>
      <c r="B858" s="4"/>
      <c r="C858" s="4"/>
      <c r="D858" s="4"/>
      <c r="E858" s="4"/>
      <c r="F858" s="4"/>
      <c r="G858" s="4"/>
      <c r="H858" s="4"/>
      <c r="I858" s="4"/>
      <c r="J858" s="4"/>
      <c r="K858" s="4"/>
      <c r="L858" s="4"/>
      <c r="M858" s="4"/>
    </row>
    <row r="859" spans="1:13" s="34" customFormat="1">
      <c r="A859" s="3"/>
      <c r="B859" s="4"/>
      <c r="C859" s="4"/>
      <c r="D859" s="4"/>
      <c r="E859" s="4"/>
      <c r="F859" s="4"/>
      <c r="G859" s="4"/>
      <c r="H859" s="4"/>
      <c r="I859" s="4"/>
      <c r="J859" s="4"/>
      <c r="K859" s="4"/>
      <c r="L859" s="4"/>
      <c r="M859" s="4"/>
    </row>
    <row r="860" spans="1:13" s="34" customFormat="1">
      <c r="A860" s="3"/>
      <c r="B860" s="4"/>
      <c r="C860" s="4"/>
      <c r="D860" s="4"/>
      <c r="E860" s="4"/>
      <c r="F860" s="4"/>
      <c r="G860" s="4"/>
      <c r="H860" s="4"/>
      <c r="I860" s="4"/>
      <c r="J860" s="4"/>
      <c r="K860" s="4"/>
      <c r="L860" s="4"/>
      <c r="M860" s="4"/>
    </row>
    <row r="861" spans="1:13" s="34" customFormat="1">
      <c r="A861" s="3"/>
      <c r="B861" s="4"/>
      <c r="C861" s="4"/>
      <c r="D861" s="4"/>
      <c r="E861" s="4"/>
      <c r="F861" s="4"/>
      <c r="G861" s="4"/>
      <c r="H861" s="4"/>
      <c r="I861" s="4"/>
      <c r="J861" s="4"/>
      <c r="K861" s="4"/>
      <c r="L861" s="4"/>
      <c r="M861" s="4"/>
    </row>
    <row r="862" spans="1:13" s="34" customFormat="1">
      <c r="A862" s="3"/>
      <c r="B862" s="4"/>
      <c r="C862" s="4"/>
      <c r="D862" s="4"/>
      <c r="E862" s="4"/>
      <c r="F862" s="4"/>
      <c r="G862" s="4"/>
      <c r="H862" s="4"/>
      <c r="I862" s="4"/>
      <c r="J862" s="4"/>
      <c r="K862" s="4"/>
      <c r="L862" s="4"/>
      <c r="M862" s="4"/>
    </row>
    <row r="863" spans="1:13" s="34" customFormat="1">
      <c r="A863" s="3"/>
      <c r="B863" s="4"/>
      <c r="C863" s="4"/>
      <c r="D863" s="4"/>
      <c r="E863" s="4"/>
      <c r="F863" s="4"/>
      <c r="G863" s="4"/>
      <c r="H863" s="4"/>
      <c r="I863" s="4"/>
      <c r="J863" s="4"/>
      <c r="K863" s="4"/>
      <c r="L863" s="4"/>
      <c r="M863" s="4"/>
    </row>
    <row r="864" spans="1:13" s="34" customFormat="1">
      <c r="A864" s="3"/>
      <c r="B864" s="4"/>
      <c r="C864" s="4"/>
      <c r="D864" s="4"/>
      <c r="E864" s="4"/>
      <c r="F864" s="4"/>
      <c r="G864" s="4"/>
      <c r="H864" s="4"/>
      <c r="I864" s="4"/>
      <c r="J864" s="4"/>
      <c r="K864" s="4"/>
      <c r="L864" s="4"/>
      <c r="M864" s="4"/>
    </row>
    <row r="865" spans="1:13" s="34" customFormat="1">
      <c r="A865" s="3"/>
      <c r="B865" s="4"/>
      <c r="C865" s="4"/>
      <c r="D865" s="4"/>
      <c r="E865" s="4"/>
      <c r="F865" s="4"/>
      <c r="G865" s="4"/>
      <c r="H865" s="4"/>
      <c r="I865" s="4"/>
      <c r="J865" s="4"/>
      <c r="K865" s="4"/>
      <c r="L865" s="4"/>
      <c r="M865" s="4"/>
    </row>
    <row r="866" spans="1:13" s="34" customFormat="1">
      <c r="A866" s="3"/>
      <c r="B866" s="4"/>
      <c r="C866" s="4"/>
      <c r="D866" s="4"/>
      <c r="E866" s="4"/>
      <c r="F866" s="4"/>
      <c r="G866" s="4"/>
      <c r="H866" s="4"/>
      <c r="I866" s="4"/>
      <c r="J866" s="4"/>
      <c r="K866" s="4"/>
      <c r="L866" s="4"/>
      <c r="M866" s="4"/>
    </row>
    <row r="867" spans="1:13" s="34" customFormat="1">
      <c r="A867" s="3"/>
      <c r="B867" s="4"/>
      <c r="C867" s="4"/>
      <c r="D867" s="4"/>
      <c r="E867" s="4"/>
      <c r="F867" s="4"/>
      <c r="G867" s="4"/>
      <c r="H867" s="4"/>
      <c r="I867" s="4"/>
      <c r="J867" s="4"/>
      <c r="K867" s="4"/>
      <c r="L867" s="4"/>
      <c r="M867" s="4"/>
    </row>
    <row r="868" spans="1:13" s="34" customFormat="1">
      <c r="A868" s="3"/>
      <c r="B868" s="4"/>
      <c r="C868" s="4"/>
      <c r="D868" s="4"/>
      <c r="E868" s="4"/>
      <c r="F868" s="4"/>
      <c r="G868" s="4"/>
      <c r="H868" s="4"/>
      <c r="I868" s="4"/>
      <c r="J868" s="4"/>
      <c r="K868" s="4"/>
      <c r="L868" s="4"/>
      <c r="M868" s="4"/>
    </row>
    <row r="869" spans="1:13" s="34" customFormat="1">
      <c r="A869" s="3"/>
      <c r="B869" s="4"/>
      <c r="C869" s="4"/>
      <c r="D869" s="4"/>
      <c r="E869" s="4"/>
      <c r="F869" s="4"/>
      <c r="G869" s="4"/>
      <c r="H869" s="4"/>
      <c r="I869" s="4"/>
      <c r="J869" s="4"/>
      <c r="K869" s="4"/>
      <c r="L869" s="4"/>
      <c r="M869" s="4"/>
    </row>
    <row r="870" spans="1:13" s="34" customFormat="1">
      <c r="A870" s="3"/>
      <c r="B870" s="4"/>
      <c r="C870" s="4"/>
      <c r="D870" s="4"/>
      <c r="E870" s="4"/>
      <c r="F870" s="4"/>
      <c r="G870" s="4"/>
      <c r="H870" s="4"/>
      <c r="I870" s="4"/>
      <c r="J870" s="4"/>
      <c r="K870" s="4"/>
      <c r="L870" s="4"/>
      <c r="M870" s="4"/>
    </row>
    <row r="871" spans="1:13" s="34" customFormat="1">
      <c r="A871" s="3"/>
      <c r="B871" s="4"/>
      <c r="C871" s="4"/>
      <c r="D871" s="4"/>
      <c r="E871" s="4"/>
      <c r="F871" s="4"/>
      <c r="G871" s="4"/>
      <c r="H871" s="4"/>
      <c r="I871" s="4"/>
      <c r="J871" s="4"/>
      <c r="K871" s="4"/>
      <c r="L871" s="4"/>
      <c r="M871" s="4"/>
    </row>
    <row r="872" spans="1:13" s="34" customFormat="1">
      <c r="A872" s="3"/>
      <c r="B872" s="4"/>
      <c r="C872" s="4"/>
      <c r="D872" s="4"/>
      <c r="E872" s="4"/>
      <c r="F872" s="4"/>
      <c r="G872" s="4"/>
      <c r="H872" s="4"/>
      <c r="I872" s="4"/>
      <c r="J872" s="4"/>
      <c r="K872" s="4"/>
      <c r="L872" s="4"/>
      <c r="M872" s="4"/>
    </row>
    <row r="873" spans="1:13" s="34" customFormat="1">
      <c r="A873" s="3"/>
      <c r="B873" s="4"/>
      <c r="C873" s="4"/>
      <c r="D873" s="4"/>
      <c r="E873" s="4"/>
      <c r="F873" s="4"/>
      <c r="G873" s="4"/>
      <c r="H873" s="4"/>
      <c r="I873" s="4"/>
      <c r="J873" s="4"/>
      <c r="K873" s="4"/>
      <c r="L873" s="4"/>
      <c r="M873" s="4"/>
    </row>
    <row r="874" spans="1:13" s="34" customFormat="1">
      <c r="A874" s="3"/>
      <c r="B874" s="4"/>
      <c r="C874" s="4"/>
      <c r="D874" s="4"/>
      <c r="E874" s="4"/>
      <c r="F874" s="4"/>
      <c r="G874" s="4"/>
      <c r="H874" s="4"/>
      <c r="I874" s="4"/>
      <c r="J874" s="4"/>
      <c r="K874" s="4"/>
      <c r="L874" s="4"/>
      <c r="M874" s="4"/>
    </row>
    <row r="875" spans="1:13" s="34" customFormat="1">
      <c r="A875" s="3"/>
      <c r="B875" s="4"/>
      <c r="C875" s="4"/>
      <c r="D875" s="4"/>
      <c r="E875" s="4"/>
      <c r="F875" s="4"/>
      <c r="G875" s="4"/>
      <c r="H875" s="4"/>
      <c r="I875" s="4"/>
      <c r="J875" s="4"/>
      <c r="K875" s="4"/>
      <c r="L875" s="4"/>
      <c r="M875" s="4"/>
    </row>
    <row r="876" spans="1:13" s="34" customFormat="1">
      <c r="A876" s="3"/>
      <c r="B876" s="4"/>
      <c r="C876" s="4"/>
      <c r="D876" s="4"/>
      <c r="E876" s="4"/>
      <c r="F876" s="4"/>
      <c r="G876" s="4"/>
      <c r="H876" s="4"/>
      <c r="I876" s="4"/>
      <c r="J876" s="4"/>
      <c r="K876" s="4"/>
      <c r="L876" s="4"/>
      <c r="M876" s="4"/>
    </row>
    <row r="877" spans="1:13" s="34" customFormat="1">
      <c r="A877" s="3"/>
      <c r="B877" s="4"/>
      <c r="C877" s="4"/>
      <c r="D877" s="4"/>
      <c r="E877" s="4"/>
      <c r="F877" s="4"/>
      <c r="G877" s="4"/>
      <c r="H877" s="4"/>
      <c r="I877" s="4"/>
      <c r="J877" s="4"/>
      <c r="K877" s="4"/>
      <c r="L877" s="4"/>
      <c r="M877" s="4"/>
    </row>
    <row r="878" spans="1:13" s="34" customFormat="1">
      <c r="A878" s="3"/>
      <c r="B878" s="4"/>
      <c r="C878" s="4"/>
      <c r="D878" s="4"/>
      <c r="E878" s="4"/>
      <c r="F878" s="4"/>
      <c r="G878" s="4"/>
      <c r="H878" s="4"/>
      <c r="I878" s="4"/>
      <c r="J878" s="4"/>
      <c r="K878" s="4"/>
      <c r="L878" s="4"/>
      <c r="M878" s="4"/>
    </row>
    <row r="879" spans="1:13" s="34" customFormat="1">
      <c r="A879" s="3"/>
      <c r="B879" s="4"/>
      <c r="C879" s="4"/>
      <c r="D879" s="4"/>
      <c r="E879" s="4"/>
      <c r="F879" s="4"/>
      <c r="G879" s="4"/>
      <c r="H879" s="4"/>
      <c r="I879" s="4"/>
      <c r="J879" s="4"/>
      <c r="K879" s="4"/>
      <c r="L879" s="4"/>
      <c r="M879" s="4"/>
    </row>
    <row r="880" spans="1:13" s="34" customFormat="1">
      <c r="A880" s="3"/>
      <c r="B880" s="4"/>
      <c r="C880" s="4"/>
      <c r="D880" s="4"/>
      <c r="E880" s="4"/>
      <c r="F880" s="4"/>
      <c r="G880" s="4"/>
      <c r="H880" s="4"/>
      <c r="I880" s="4"/>
      <c r="J880" s="4"/>
      <c r="K880" s="4"/>
      <c r="L880" s="4"/>
      <c r="M880" s="4"/>
    </row>
    <row r="881" spans="1:13" s="34" customFormat="1">
      <c r="A881" s="3"/>
      <c r="B881" s="4"/>
      <c r="C881" s="4"/>
      <c r="D881" s="4"/>
      <c r="E881" s="4"/>
      <c r="F881" s="4"/>
      <c r="G881" s="4"/>
      <c r="H881" s="4"/>
      <c r="I881" s="4"/>
      <c r="J881" s="4"/>
      <c r="K881" s="4"/>
      <c r="L881" s="4"/>
      <c r="M881" s="4"/>
    </row>
    <row r="882" spans="1:13" s="34" customFormat="1">
      <c r="A882" s="3"/>
      <c r="B882" s="4"/>
      <c r="C882" s="4"/>
      <c r="D882" s="4"/>
      <c r="E882" s="4"/>
      <c r="F882" s="4"/>
      <c r="G882" s="4"/>
      <c r="H882" s="4"/>
      <c r="I882" s="4"/>
      <c r="J882" s="4"/>
      <c r="K882" s="4"/>
      <c r="L882" s="4"/>
      <c r="M882" s="4"/>
    </row>
    <row r="883" spans="1:13" s="34" customFormat="1">
      <c r="A883" s="3"/>
      <c r="B883" s="4"/>
      <c r="C883" s="4"/>
      <c r="D883" s="4"/>
      <c r="E883" s="4"/>
      <c r="F883" s="4"/>
      <c r="G883" s="4"/>
      <c r="H883" s="4"/>
      <c r="I883" s="4"/>
      <c r="J883" s="4"/>
      <c r="K883" s="4"/>
      <c r="L883" s="4"/>
      <c r="M883" s="4"/>
    </row>
    <row r="884" spans="1:13" s="34" customFormat="1">
      <c r="A884" s="3"/>
      <c r="B884" s="4"/>
      <c r="C884" s="4"/>
      <c r="D884" s="4"/>
      <c r="E884" s="4"/>
      <c r="F884" s="4"/>
      <c r="G884" s="4"/>
      <c r="H884" s="4"/>
      <c r="I884" s="4"/>
      <c r="J884" s="4"/>
      <c r="K884" s="4"/>
      <c r="L884" s="4"/>
      <c r="M884" s="4"/>
    </row>
    <row r="885" spans="1:13" s="34" customFormat="1">
      <c r="A885" s="3"/>
      <c r="B885" s="4"/>
      <c r="C885" s="4"/>
      <c r="D885" s="4"/>
      <c r="E885" s="4"/>
      <c r="F885" s="4"/>
      <c r="G885" s="4"/>
      <c r="H885" s="4"/>
      <c r="I885" s="4"/>
      <c r="J885" s="4"/>
      <c r="K885" s="4"/>
      <c r="L885" s="4"/>
      <c r="M885" s="4"/>
    </row>
    <row r="886" spans="1:13" s="34" customFormat="1">
      <c r="A886" s="3"/>
      <c r="B886" s="4"/>
      <c r="C886" s="4"/>
      <c r="D886" s="4"/>
      <c r="E886" s="4"/>
      <c r="F886" s="4"/>
      <c r="G886" s="4"/>
      <c r="H886" s="4"/>
      <c r="I886" s="4"/>
      <c r="J886" s="4"/>
      <c r="K886" s="4"/>
      <c r="L886" s="4"/>
      <c r="M886" s="4"/>
    </row>
    <row r="887" spans="1:13" s="34" customFormat="1">
      <c r="A887" s="3"/>
      <c r="B887" s="4"/>
      <c r="C887" s="4"/>
      <c r="D887" s="4"/>
      <c r="E887" s="4"/>
      <c r="F887" s="4"/>
      <c r="G887" s="4"/>
      <c r="H887" s="4"/>
      <c r="I887" s="4"/>
      <c r="J887" s="4"/>
      <c r="K887" s="4"/>
      <c r="L887" s="4"/>
      <c r="M887" s="4"/>
    </row>
    <row r="888" spans="1:13" s="34" customFormat="1">
      <c r="A888" s="3"/>
      <c r="B888" s="4"/>
      <c r="C888" s="4"/>
      <c r="D888" s="4"/>
      <c r="E888" s="4"/>
      <c r="F888" s="4"/>
      <c r="G888" s="4"/>
      <c r="H888" s="4"/>
      <c r="I888" s="4"/>
      <c r="J888" s="4"/>
      <c r="K888" s="4"/>
      <c r="L888" s="4"/>
      <c r="M888" s="4"/>
    </row>
    <row r="889" spans="1:13" s="34" customFormat="1">
      <c r="A889" s="3"/>
      <c r="B889" s="4"/>
      <c r="C889" s="4"/>
      <c r="D889" s="4"/>
      <c r="E889" s="4"/>
      <c r="F889" s="4"/>
      <c r="G889" s="4"/>
      <c r="H889" s="4"/>
      <c r="I889" s="4"/>
      <c r="J889" s="4"/>
      <c r="K889" s="4"/>
      <c r="L889" s="4"/>
      <c r="M889" s="4"/>
    </row>
    <row r="890" spans="1:13" s="34" customFormat="1">
      <c r="A890" s="3"/>
      <c r="B890" s="4"/>
      <c r="C890" s="4"/>
      <c r="D890" s="4"/>
      <c r="E890" s="4"/>
      <c r="F890" s="4"/>
      <c r="G890" s="4"/>
      <c r="H890" s="4"/>
      <c r="I890" s="4"/>
      <c r="J890" s="4"/>
      <c r="K890" s="4"/>
      <c r="L890" s="4"/>
      <c r="M890" s="4"/>
    </row>
    <row r="891" spans="1:13" s="34" customFormat="1">
      <c r="A891" s="3"/>
      <c r="B891" s="4"/>
      <c r="C891" s="4"/>
      <c r="D891" s="4"/>
      <c r="E891" s="4"/>
      <c r="F891" s="4"/>
      <c r="G891" s="4"/>
      <c r="H891" s="4"/>
      <c r="I891" s="4"/>
      <c r="J891" s="4"/>
      <c r="K891" s="4"/>
      <c r="L891" s="4"/>
      <c r="M891" s="4"/>
    </row>
    <row r="892" spans="1:13" s="34" customFormat="1">
      <c r="A892" s="3"/>
      <c r="B892" s="4"/>
      <c r="C892" s="4"/>
      <c r="D892" s="4"/>
      <c r="E892" s="4"/>
      <c r="F892" s="4"/>
      <c r="G892" s="4"/>
      <c r="H892" s="4"/>
      <c r="I892" s="4"/>
      <c r="J892" s="4"/>
      <c r="K892" s="4"/>
      <c r="L892" s="4"/>
      <c r="M892" s="4"/>
    </row>
    <row r="893" spans="1:13" s="34" customFormat="1">
      <c r="A893" s="3"/>
      <c r="B893" s="4"/>
      <c r="C893" s="4"/>
      <c r="D893" s="4"/>
      <c r="E893" s="4"/>
      <c r="F893" s="4"/>
      <c r="G893" s="4"/>
      <c r="H893" s="4"/>
      <c r="I893" s="4"/>
      <c r="J893" s="4"/>
      <c r="K893" s="4"/>
      <c r="L893" s="4"/>
      <c r="M893" s="4"/>
    </row>
    <row r="894" spans="1:13" s="34" customFormat="1">
      <c r="A894" s="3"/>
      <c r="B894" s="4"/>
      <c r="C894" s="4"/>
      <c r="D894" s="4"/>
      <c r="E894" s="4"/>
      <c r="F894" s="4"/>
      <c r="G894" s="4"/>
      <c r="H894" s="4"/>
      <c r="I894" s="4"/>
      <c r="J894" s="4"/>
      <c r="K894" s="4"/>
      <c r="L894" s="4"/>
      <c r="M894" s="4"/>
    </row>
    <row r="895" spans="1:13" s="34" customFormat="1">
      <c r="A895" s="3"/>
      <c r="B895" s="4"/>
      <c r="C895" s="4"/>
      <c r="D895" s="4"/>
      <c r="E895" s="4"/>
      <c r="F895" s="4"/>
      <c r="G895" s="4"/>
      <c r="H895" s="4"/>
      <c r="I895" s="4"/>
      <c r="J895" s="4"/>
      <c r="K895" s="4"/>
      <c r="L895" s="4"/>
      <c r="M895" s="4"/>
    </row>
    <row r="896" spans="1:13" s="34" customFormat="1">
      <c r="A896" s="3"/>
      <c r="B896" s="4"/>
      <c r="C896" s="4"/>
      <c r="D896" s="4"/>
      <c r="E896" s="4"/>
      <c r="F896" s="4"/>
      <c r="G896" s="4"/>
      <c r="H896" s="4"/>
      <c r="I896" s="4"/>
      <c r="J896" s="4"/>
      <c r="K896" s="4"/>
      <c r="L896" s="4"/>
      <c r="M896" s="4"/>
    </row>
    <row r="897" spans="1:13" s="34" customFormat="1">
      <c r="A897" s="3"/>
      <c r="B897" s="4"/>
      <c r="C897" s="4"/>
      <c r="D897" s="4"/>
      <c r="E897" s="4"/>
      <c r="F897" s="4"/>
      <c r="G897" s="4"/>
      <c r="H897" s="4"/>
      <c r="I897" s="4"/>
      <c r="J897" s="4"/>
      <c r="K897" s="4"/>
      <c r="L897" s="4"/>
      <c r="M897" s="4"/>
    </row>
    <row r="898" spans="1:13" s="34" customFormat="1">
      <c r="A898" s="3"/>
      <c r="B898" s="4"/>
      <c r="C898" s="4"/>
      <c r="D898" s="4"/>
      <c r="E898" s="4"/>
      <c r="F898" s="4"/>
      <c r="G898" s="4"/>
      <c r="H898" s="4"/>
      <c r="I898" s="4"/>
      <c r="J898" s="4"/>
      <c r="K898" s="4"/>
      <c r="L898" s="4"/>
      <c r="M898" s="4"/>
    </row>
    <row r="899" spans="1:13" s="34" customFormat="1">
      <c r="A899" s="3"/>
      <c r="B899" s="4"/>
      <c r="C899" s="4"/>
      <c r="D899" s="4"/>
      <c r="E899" s="4"/>
      <c r="F899" s="4"/>
      <c r="G899" s="4"/>
      <c r="H899" s="4"/>
      <c r="I899" s="4"/>
      <c r="J899" s="4"/>
      <c r="K899" s="4"/>
      <c r="L899" s="4"/>
      <c r="M899" s="4"/>
    </row>
    <row r="900" spans="1:13" s="34" customFormat="1">
      <c r="A900" s="3"/>
      <c r="B900" s="4"/>
      <c r="C900" s="4"/>
      <c r="D900" s="4"/>
      <c r="E900" s="4"/>
      <c r="F900" s="4"/>
      <c r="G900" s="4"/>
      <c r="H900" s="4"/>
      <c r="I900" s="4"/>
      <c r="J900" s="4"/>
      <c r="K900" s="4"/>
      <c r="L900" s="4"/>
      <c r="M900" s="4"/>
    </row>
    <row r="901" spans="1:13" s="34" customFormat="1">
      <c r="A901" s="3"/>
      <c r="B901" s="4"/>
      <c r="C901" s="4"/>
      <c r="D901" s="4"/>
      <c r="E901" s="4"/>
      <c r="F901" s="4"/>
      <c r="G901" s="4"/>
      <c r="H901" s="4"/>
      <c r="I901" s="4"/>
      <c r="J901" s="4"/>
      <c r="K901" s="4"/>
      <c r="L901" s="4"/>
      <c r="M901" s="4"/>
    </row>
    <row r="902" spans="1:13" s="34" customFormat="1">
      <c r="A902" s="3"/>
      <c r="B902" s="4"/>
      <c r="C902" s="4"/>
      <c r="D902" s="4"/>
      <c r="E902" s="4"/>
      <c r="F902" s="4"/>
      <c r="G902" s="4"/>
      <c r="H902" s="4"/>
      <c r="I902" s="4"/>
      <c r="J902" s="4"/>
      <c r="K902" s="4"/>
      <c r="L902" s="4"/>
      <c r="M902" s="4"/>
    </row>
    <row r="903" spans="1:13" s="34" customFormat="1">
      <c r="A903" s="3"/>
      <c r="B903" s="4"/>
      <c r="C903" s="4"/>
      <c r="D903" s="4"/>
      <c r="E903" s="4"/>
      <c r="F903" s="4"/>
      <c r="G903" s="4"/>
      <c r="H903" s="4"/>
      <c r="I903" s="4"/>
      <c r="J903" s="4"/>
      <c r="K903" s="4"/>
      <c r="L903" s="4"/>
      <c r="M903" s="4"/>
    </row>
    <row r="904" spans="1:13" s="34" customFormat="1">
      <c r="A904" s="3"/>
      <c r="B904" s="4"/>
      <c r="C904" s="4"/>
      <c r="D904" s="4"/>
      <c r="E904" s="4"/>
      <c r="F904" s="4"/>
      <c r="G904" s="4"/>
      <c r="H904" s="4"/>
      <c r="I904" s="4"/>
      <c r="J904" s="4"/>
      <c r="K904" s="4"/>
      <c r="L904" s="4"/>
      <c r="M904" s="4"/>
    </row>
    <row r="905" spans="1:13" s="34" customFormat="1">
      <c r="A905" s="3"/>
      <c r="B905" s="4"/>
      <c r="C905" s="4"/>
      <c r="D905" s="4"/>
      <c r="E905" s="4"/>
      <c r="F905" s="4"/>
      <c r="G905" s="4"/>
      <c r="H905" s="4"/>
      <c r="I905" s="4"/>
      <c r="J905" s="4"/>
      <c r="K905" s="4"/>
      <c r="L905" s="4"/>
      <c r="M905" s="4"/>
    </row>
    <row r="906" spans="1:13" s="34" customFormat="1">
      <c r="A906" s="3"/>
      <c r="B906" s="4"/>
      <c r="C906" s="4"/>
      <c r="D906" s="4"/>
      <c r="E906" s="4"/>
      <c r="F906" s="4"/>
      <c r="G906" s="4"/>
      <c r="H906" s="4"/>
      <c r="I906" s="4"/>
      <c r="J906" s="4"/>
      <c r="K906" s="4"/>
      <c r="L906" s="4"/>
      <c r="M906" s="4"/>
    </row>
    <row r="907" spans="1:13" s="34" customFormat="1">
      <c r="A907" s="3"/>
      <c r="B907" s="4"/>
      <c r="C907" s="4"/>
      <c r="D907" s="4"/>
      <c r="E907" s="4"/>
      <c r="F907" s="4"/>
      <c r="G907" s="4"/>
      <c r="H907" s="4"/>
      <c r="I907" s="4"/>
      <c r="J907" s="4"/>
      <c r="K907" s="4"/>
      <c r="L907" s="4"/>
      <c r="M907" s="4"/>
    </row>
    <row r="908" spans="1:13" s="34" customFormat="1">
      <c r="A908" s="3"/>
      <c r="B908" s="4"/>
      <c r="C908" s="4"/>
      <c r="D908" s="4"/>
      <c r="E908" s="4"/>
      <c r="F908" s="4"/>
      <c r="G908" s="4"/>
      <c r="H908" s="4"/>
      <c r="I908" s="4"/>
      <c r="J908" s="4"/>
      <c r="K908" s="4"/>
      <c r="L908" s="4"/>
      <c r="M908" s="4"/>
    </row>
    <row r="909" spans="1:13" s="34" customFormat="1">
      <c r="A909" s="3"/>
      <c r="B909" s="4"/>
      <c r="C909" s="4"/>
      <c r="D909" s="4"/>
      <c r="E909" s="4"/>
      <c r="F909" s="4"/>
      <c r="G909" s="4"/>
      <c r="H909" s="4"/>
      <c r="I909" s="4"/>
      <c r="J909" s="4"/>
      <c r="K909" s="4"/>
      <c r="L909" s="4"/>
      <c r="M909" s="4"/>
    </row>
    <row r="910" spans="1:13" s="34" customFormat="1">
      <c r="A910" s="3"/>
      <c r="B910" s="4"/>
      <c r="C910" s="4"/>
      <c r="D910" s="4"/>
      <c r="E910" s="4"/>
      <c r="F910" s="4"/>
      <c r="G910" s="4"/>
      <c r="H910" s="4"/>
      <c r="I910" s="4"/>
      <c r="J910" s="4"/>
      <c r="K910" s="4"/>
      <c r="L910" s="4"/>
      <c r="M910" s="4"/>
    </row>
    <row r="911" spans="1:13" s="34" customFormat="1">
      <c r="A911" s="3"/>
      <c r="B911" s="4"/>
      <c r="C911" s="4"/>
      <c r="D911" s="4"/>
      <c r="E911" s="4"/>
      <c r="F911" s="4"/>
      <c r="G911" s="4"/>
      <c r="H911" s="4"/>
      <c r="I911" s="4"/>
      <c r="J911" s="4"/>
      <c r="K911" s="4"/>
      <c r="L911" s="4"/>
      <c r="M911" s="4"/>
    </row>
    <row r="912" spans="1:13" s="34" customFormat="1">
      <c r="A912" s="3"/>
      <c r="B912" s="4"/>
      <c r="C912" s="4"/>
      <c r="D912" s="4"/>
      <c r="E912" s="4"/>
      <c r="F912" s="4"/>
      <c r="G912" s="4"/>
      <c r="H912" s="4"/>
      <c r="I912" s="4"/>
      <c r="J912" s="4"/>
      <c r="K912" s="4"/>
      <c r="L912" s="4"/>
      <c r="M912" s="4"/>
    </row>
    <row r="913" spans="1:13" s="34" customFormat="1">
      <c r="A913" s="3"/>
      <c r="B913" s="4"/>
      <c r="C913" s="4"/>
      <c r="D913" s="4"/>
      <c r="E913" s="4"/>
      <c r="F913" s="4"/>
      <c r="G913" s="4"/>
      <c r="H913" s="4"/>
      <c r="I913" s="4"/>
      <c r="J913" s="4"/>
      <c r="K913" s="4"/>
      <c r="L913" s="4"/>
      <c r="M913" s="4"/>
    </row>
    <row r="914" spans="1:13" s="34" customFormat="1">
      <c r="A914" s="3"/>
      <c r="B914" s="4"/>
      <c r="C914" s="4"/>
      <c r="D914" s="4"/>
      <c r="E914" s="4"/>
      <c r="F914" s="4"/>
      <c r="G914" s="4"/>
      <c r="H914" s="4"/>
      <c r="I914" s="4"/>
      <c r="J914" s="4"/>
      <c r="K914" s="4"/>
      <c r="L914" s="4"/>
      <c r="M914" s="4"/>
    </row>
    <row r="915" spans="1:13" s="34" customFormat="1">
      <c r="A915" s="3"/>
      <c r="B915" s="4"/>
      <c r="C915" s="4"/>
      <c r="D915" s="4"/>
      <c r="E915" s="4"/>
      <c r="F915" s="4"/>
      <c r="G915" s="4"/>
      <c r="H915" s="4"/>
      <c r="I915" s="4"/>
      <c r="J915" s="4"/>
      <c r="K915" s="4"/>
      <c r="L915" s="4"/>
      <c r="M915" s="4"/>
    </row>
    <row r="916" spans="1:13" s="34" customFormat="1">
      <c r="A916" s="3"/>
      <c r="B916" s="4"/>
      <c r="C916" s="4"/>
      <c r="D916" s="4"/>
      <c r="E916" s="4"/>
      <c r="F916" s="4"/>
      <c r="G916" s="4"/>
      <c r="H916" s="4"/>
      <c r="I916" s="4"/>
      <c r="J916" s="4"/>
      <c r="K916" s="4"/>
      <c r="L916" s="4"/>
      <c r="M916" s="4"/>
    </row>
    <row r="917" spans="1:13" s="34" customFormat="1">
      <c r="A917" s="3"/>
      <c r="B917" s="4"/>
      <c r="C917" s="4"/>
      <c r="D917" s="4"/>
      <c r="E917" s="4"/>
      <c r="F917" s="4"/>
      <c r="G917" s="4"/>
      <c r="H917" s="4"/>
      <c r="I917" s="4"/>
      <c r="J917" s="4"/>
      <c r="K917" s="4"/>
      <c r="L917" s="4"/>
      <c r="M917" s="4"/>
    </row>
    <row r="918" spans="1:13" s="34" customFormat="1">
      <c r="A918" s="3"/>
      <c r="B918" s="4"/>
      <c r="C918" s="4"/>
      <c r="D918" s="4"/>
      <c r="E918" s="4"/>
      <c r="F918" s="4"/>
      <c r="G918" s="4"/>
      <c r="H918" s="4"/>
      <c r="I918" s="4"/>
      <c r="J918" s="4"/>
      <c r="K918" s="4"/>
      <c r="L918" s="4"/>
      <c r="M918" s="4"/>
    </row>
    <row r="919" spans="1:13" s="34" customFormat="1">
      <c r="A919" s="3"/>
      <c r="B919" s="4"/>
      <c r="C919" s="4"/>
      <c r="D919" s="4"/>
      <c r="E919" s="4"/>
      <c r="F919" s="4"/>
      <c r="G919" s="4"/>
      <c r="H919" s="4"/>
      <c r="I919" s="4"/>
      <c r="J919" s="4"/>
      <c r="K919" s="4"/>
      <c r="L919" s="4"/>
      <c r="M919" s="4"/>
    </row>
    <row r="920" spans="1:13" s="34" customFormat="1">
      <c r="A920" s="3"/>
      <c r="B920" s="4"/>
      <c r="C920" s="4"/>
      <c r="D920" s="4"/>
      <c r="E920" s="4"/>
      <c r="F920" s="4"/>
      <c r="G920" s="4"/>
      <c r="H920" s="4"/>
      <c r="I920" s="4"/>
      <c r="J920" s="4"/>
      <c r="K920" s="4"/>
      <c r="L920" s="4"/>
      <c r="M920" s="4"/>
    </row>
    <row r="921" spans="1:13" s="34" customFormat="1">
      <c r="A921" s="3"/>
      <c r="B921" s="4"/>
      <c r="C921" s="4"/>
      <c r="D921" s="4"/>
      <c r="E921" s="4"/>
      <c r="F921" s="4"/>
      <c r="G921" s="4"/>
      <c r="H921" s="4"/>
      <c r="I921" s="4"/>
      <c r="J921" s="4"/>
      <c r="K921" s="4"/>
      <c r="L921" s="4"/>
      <c r="M921" s="4"/>
    </row>
    <row r="922" spans="1:13" s="34" customFormat="1">
      <c r="A922" s="3"/>
      <c r="B922" s="4"/>
      <c r="C922" s="4"/>
      <c r="D922" s="4"/>
      <c r="E922" s="4"/>
      <c r="F922" s="4"/>
      <c r="G922" s="4"/>
      <c r="H922" s="4"/>
      <c r="I922" s="4"/>
      <c r="J922" s="4"/>
      <c r="K922" s="4"/>
      <c r="L922" s="4"/>
      <c r="M922" s="4"/>
    </row>
    <row r="923" spans="1:13" s="34" customFormat="1">
      <c r="A923" s="3"/>
      <c r="B923" s="4"/>
      <c r="C923" s="4"/>
      <c r="D923" s="4"/>
      <c r="E923" s="4"/>
      <c r="F923" s="4"/>
      <c r="G923" s="4"/>
      <c r="H923" s="4"/>
      <c r="I923" s="4"/>
      <c r="J923" s="4"/>
      <c r="K923" s="4"/>
      <c r="L923" s="4"/>
      <c r="M923" s="4"/>
    </row>
    <row r="924" spans="1:13" s="34" customFormat="1">
      <c r="A924" s="3"/>
      <c r="B924" s="4"/>
      <c r="C924" s="4"/>
      <c r="D924" s="4"/>
      <c r="E924" s="4"/>
      <c r="F924" s="4"/>
      <c r="G924" s="4"/>
      <c r="H924" s="4"/>
      <c r="I924" s="4"/>
      <c r="J924" s="4"/>
      <c r="K924" s="4"/>
      <c r="L924" s="4"/>
      <c r="M924" s="4"/>
    </row>
    <row r="925" spans="1:13" s="34" customFormat="1">
      <c r="A925" s="3"/>
      <c r="B925" s="4"/>
      <c r="C925" s="4"/>
      <c r="D925" s="4"/>
      <c r="E925" s="4"/>
      <c r="F925" s="4"/>
      <c r="G925" s="4"/>
      <c r="H925" s="4"/>
      <c r="I925" s="4"/>
      <c r="J925" s="4"/>
      <c r="K925" s="4"/>
      <c r="L925" s="4"/>
      <c r="M925" s="4"/>
    </row>
    <row r="926" spans="1:13" s="34" customFormat="1">
      <c r="A926" s="3"/>
      <c r="B926" s="4"/>
      <c r="C926" s="4"/>
      <c r="D926" s="4"/>
      <c r="E926" s="4"/>
      <c r="F926" s="4"/>
      <c r="G926" s="4"/>
      <c r="H926" s="4"/>
      <c r="I926" s="4"/>
      <c r="J926" s="4"/>
      <c r="K926" s="4"/>
      <c r="L926" s="4"/>
      <c r="M926" s="4"/>
    </row>
    <row r="927" spans="1:13" s="34" customFormat="1">
      <c r="A927" s="3"/>
      <c r="B927" s="4"/>
      <c r="C927" s="4"/>
      <c r="D927" s="4"/>
      <c r="E927" s="4"/>
      <c r="F927" s="4"/>
      <c r="G927" s="4"/>
      <c r="H927" s="4"/>
      <c r="I927" s="4"/>
      <c r="J927" s="4"/>
      <c r="K927" s="4"/>
      <c r="L927" s="4"/>
      <c r="M927" s="4"/>
    </row>
    <row r="928" spans="1:13" s="34" customFormat="1">
      <c r="A928" s="3"/>
      <c r="B928" s="4"/>
      <c r="C928" s="4"/>
      <c r="D928" s="4"/>
      <c r="E928" s="4"/>
      <c r="F928" s="4"/>
      <c r="G928" s="4"/>
      <c r="H928" s="4"/>
      <c r="I928" s="4"/>
      <c r="J928" s="4"/>
      <c r="K928" s="4"/>
      <c r="L928" s="4"/>
      <c r="M928" s="4"/>
    </row>
    <row r="929" spans="1:13" s="34" customFormat="1">
      <c r="A929" s="3"/>
      <c r="B929" s="4"/>
      <c r="C929" s="4"/>
      <c r="D929" s="4"/>
      <c r="E929" s="4"/>
      <c r="F929" s="4"/>
      <c r="G929" s="4"/>
      <c r="H929" s="4"/>
      <c r="I929" s="4"/>
      <c r="J929" s="4"/>
      <c r="K929" s="4"/>
      <c r="L929" s="4"/>
      <c r="M929" s="4"/>
    </row>
    <row r="930" spans="1:13" s="34" customFormat="1">
      <c r="A930" s="3"/>
      <c r="B930" s="4"/>
      <c r="C930" s="4"/>
      <c r="D930" s="4"/>
      <c r="E930" s="4"/>
      <c r="F930" s="4"/>
      <c r="G930" s="4"/>
      <c r="H930" s="4"/>
      <c r="I930" s="4"/>
      <c r="J930" s="4"/>
      <c r="K930" s="4"/>
      <c r="L930" s="4"/>
      <c r="M930" s="4"/>
    </row>
    <row r="931" spans="1:13" s="34" customFormat="1">
      <c r="A931" s="3"/>
      <c r="B931" s="4"/>
      <c r="C931" s="4"/>
      <c r="D931" s="4"/>
      <c r="E931" s="4"/>
      <c r="F931" s="4"/>
      <c r="G931" s="4"/>
      <c r="H931" s="4"/>
      <c r="I931" s="4"/>
      <c r="J931" s="4"/>
      <c r="K931" s="4"/>
      <c r="L931" s="4"/>
      <c r="M931" s="4"/>
    </row>
    <row r="932" spans="1:13" s="34" customFormat="1">
      <c r="A932" s="3"/>
      <c r="B932" s="4"/>
      <c r="C932" s="4"/>
      <c r="D932" s="4"/>
      <c r="E932" s="4"/>
      <c r="F932" s="4"/>
      <c r="G932" s="4"/>
      <c r="H932" s="4"/>
      <c r="I932" s="4"/>
      <c r="J932" s="4"/>
      <c r="K932" s="4"/>
      <c r="L932" s="4"/>
      <c r="M932" s="4"/>
    </row>
    <row r="933" spans="1:13" s="34" customFormat="1">
      <c r="A933" s="3"/>
      <c r="B933" s="4"/>
      <c r="C933" s="4"/>
      <c r="D933" s="4"/>
      <c r="E933" s="4"/>
      <c r="F933" s="4"/>
      <c r="G933" s="4"/>
      <c r="H933" s="4"/>
      <c r="I933" s="4"/>
      <c r="J933" s="4"/>
      <c r="K933" s="4"/>
      <c r="L933" s="4"/>
      <c r="M933" s="4"/>
    </row>
    <row r="934" spans="1:13" s="34" customFormat="1">
      <c r="A934" s="3"/>
      <c r="B934" s="4"/>
      <c r="C934" s="4"/>
      <c r="D934" s="4"/>
      <c r="E934" s="4"/>
      <c r="F934" s="4"/>
      <c r="G934" s="4"/>
      <c r="H934" s="4"/>
      <c r="I934" s="4"/>
      <c r="J934" s="4"/>
      <c r="K934" s="4"/>
      <c r="L934" s="4"/>
      <c r="M934" s="4"/>
    </row>
    <row r="935" spans="1:13" s="34" customFormat="1">
      <c r="A935" s="3"/>
      <c r="B935" s="4"/>
      <c r="C935" s="4"/>
      <c r="D935" s="4"/>
      <c r="E935" s="4"/>
      <c r="F935" s="4"/>
      <c r="G935" s="4"/>
      <c r="H935" s="4"/>
      <c r="I935" s="4"/>
      <c r="J935" s="4"/>
      <c r="K935" s="4"/>
      <c r="L935" s="4"/>
      <c r="M935" s="4"/>
    </row>
    <row r="936" spans="1:13" s="34" customFormat="1">
      <c r="A936" s="3"/>
      <c r="B936" s="4"/>
      <c r="C936" s="4"/>
      <c r="D936" s="4"/>
      <c r="E936" s="4"/>
      <c r="F936" s="4"/>
      <c r="G936" s="4"/>
      <c r="H936" s="4"/>
      <c r="I936" s="4"/>
      <c r="J936" s="4"/>
      <c r="K936" s="4"/>
      <c r="L936" s="4"/>
      <c r="M936" s="4"/>
    </row>
    <row r="937" spans="1:13" s="34" customFormat="1">
      <c r="A937" s="3"/>
      <c r="B937" s="4"/>
      <c r="C937" s="4"/>
      <c r="D937" s="4"/>
      <c r="E937" s="4"/>
      <c r="F937" s="4"/>
      <c r="G937" s="4"/>
      <c r="H937" s="4"/>
      <c r="I937" s="4"/>
      <c r="J937" s="4"/>
      <c r="K937" s="4"/>
      <c r="L937" s="4"/>
      <c r="M937" s="4"/>
    </row>
    <row r="938" spans="1:13" s="34" customFormat="1">
      <c r="A938" s="3"/>
      <c r="B938" s="4"/>
      <c r="C938" s="4"/>
      <c r="D938" s="4"/>
      <c r="E938" s="4"/>
      <c r="F938" s="4"/>
      <c r="G938" s="4"/>
      <c r="H938" s="4"/>
      <c r="I938" s="4"/>
      <c r="J938" s="4"/>
      <c r="K938" s="4"/>
      <c r="L938" s="4"/>
      <c r="M938" s="4"/>
    </row>
    <row r="939" spans="1:13" s="34" customFormat="1">
      <c r="A939" s="3"/>
      <c r="B939" s="4"/>
      <c r="C939" s="4"/>
      <c r="D939" s="4"/>
      <c r="E939" s="4"/>
      <c r="F939" s="4"/>
      <c r="G939" s="4"/>
      <c r="H939" s="4"/>
      <c r="I939" s="4"/>
      <c r="J939" s="4"/>
      <c r="K939" s="4"/>
      <c r="L939" s="4"/>
      <c r="M939" s="4"/>
    </row>
    <row r="940" spans="1:13" s="34" customFormat="1">
      <c r="A940" s="3"/>
      <c r="B940" s="4"/>
      <c r="C940" s="4"/>
      <c r="D940" s="4"/>
      <c r="E940" s="4"/>
      <c r="F940" s="4"/>
      <c r="G940" s="4"/>
      <c r="H940" s="4"/>
      <c r="I940" s="4"/>
      <c r="J940" s="4"/>
      <c r="K940" s="4"/>
      <c r="L940" s="4"/>
      <c r="M940" s="4"/>
    </row>
    <row r="941" spans="1:13" s="34" customFormat="1">
      <c r="A941" s="3"/>
      <c r="B941" s="4"/>
      <c r="C941" s="4"/>
      <c r="D941" s="4"/>
      <c r="E941" s="4"/>
      <c r="F941" s="4"/>
      <c r="G941" s="4"/>
      <c r="H941" s="4"/>
      <c r="I941" s="4"/>
      <c r="J941" s="4"/>
      <c r="K941" s="4"/>
      <c r="L941" s="4"/>
      <c r="M941" s="4"/>
    </row>
    <row r="942" spans="1:13" s="34" customFormat="1">
      <c r="A942" s="3"/>
      <c r="B942" s="4"/>
      <c r="C942" s="4"/>
      <c r="D942" s="4"/>
      <c r="E942" s="4"/>
      <c r="F942" s="4"/>
      <c r="G942" s="4"/>
      <c r="H942" s="4"/>
      <c r="I942" s="4"/>
      <c r="J942" s="4"/>
      <c r="K942" s="4"/>
      <c r="L942" s="4"/>
      <c r="M942" s="4"/>
    </row>
    <row r="943" spans="1:13" s="34" customFormat="1">
      <c r="A943" s="3"/>
      <c r="B943" s="4"/>
      <c r="C943" s="4"/>
      <c r="D943" s="4"/>
      <c r="E943" s="4"/>
      <c r="F943" s="4"/>
      <c r="G943" s="4"/>
      <c r="H943" s="4"/>
      <c r="I943" s="4"/>
      <c r="J943" s="4"/>
      <c r="K943" s="4"/>
      <c r="L943" s="4"/>
      <c r="M943" s="4"/>
    </row>
    <row r="944" spans="1:13" s="34" customFormat="1">
      <c r="A944" s="3"/>
      <c r="B944" s="4"/>
      <c r="C944" s="4"/>
      <c r="D944" s="4"/>
      <c r="E944" s="4"/>
      <c r="F944" s="4"/>
      <c r="G944" s="4"/>
      <c r="H944" s="4"/>
      <c r="I944" s="4"/>
      <c r="J944" s="4"/>
      <c r="K944" s="4"/>
      <c r="L944" s="4"/>
      <c r="M944" s="4"/>
    </row>
    <row r="945" spans="1:13" s="34" customFormat="1">
      <c r="A945" s="3"/>
      <c r="B945" s="4"/>
      <c r="C945" s="4"/>
      <c r="D945" s="4"/>
      <c r="E945" s="4"/>
      <c r="F945" s="4"/>
      <c r="G945" s="4"/>
      <c r="H945" s="4"/>
      <c r="I945" s="4"/>
      <c r="J945" s="4"/>
      <c r="K945" s="4"/>
      <c r="L945" s="4"/>
      <c r="M945" s="4"/>
    </row>
    <row r="946" spans="1:13" s="34" customFormat="1">
      <c r="A946" s="3"/>
      <c r="B946" s="4"/>
      <c r="C946" s="4"/>
      <c r="D946" s="4"/>
      <c r="E946" s="4"/>
      <c r="F946" s="4"/>
      <c r="G946" s="4"/>
      <c r="H946" s="4"/>
      <c r="I946" s="4"/>
      <c r="J946" s="4"/>
      <c r="K946" s="4"/>
      <c r="L946" s="4"/>
      <c r="M946" s="4"/>
    </row>
    <row r="947" spans="1:13" s="34" customFormat="1">
      <c r="A947" s="3"/>
      <c r="B947" s="4"/>
      <c r="C947" s="4"/>
      <c r="D947" s="4"/>
      <c r="E947" s="4"/>
      <c r="F947" s="4"/>
      <c r="G947" s="4"/>
      <c r="H947" s="4"/>
      <c r="I947" s="4"/>
      <c r="J947" s="4"/>
      <c r="K947" s="4"/>
      <c r="L947" s="4"/>
      <c r="M947" s="4"/>
    </row>
    <row r="948" spans="1:13" s="34" customFormat="1">
      <c r="A948" s="3"/>
      <c r="B948" s="4"/>
      <c r="C948" s="4"/>
      <c r="D948" s="4"/>
      <c r="E948" s="4"/>
      <c r="F948" s="4"/>
      <c r="G948" s="4"/>
      <c r="H948" s="4"/>
      <c r="I948" s="4"/>
      <c r="J948" s="4"/>
      <c r="K948" s="4"/>
      <c r="L948" s="4"/>
      <c r="M948" s="4"/>
    </row>
    <row r="949" spans="1:13" s="34" customFormat="1">
      <c r="A949" s="3"/>
      <c r="B949" s="4"/>
      <c r="C949" s="4"/>
      <c r="D949" s="4"/>
      <c r="E949" s="4"/>
      <c r="F949" s="4"/>
      <c r="G949" s="4"/>
      <c r="H949" s="4"/>
      <c r="I949" s="4"/>
      <c r="J949" s="4"/>
      <c r="K949" s="4"/>
      <c r="L949" s="4"/>
      <c r="M949" s="4"/>
    </row>
    <row r="950" spans="1:13" s="34" customFormat="1">
      <c r="A950" s="3"/>
      <c r="B950" s="4"/>
      <c r="C950" s="4"/>
      <c r="D950" s="4"/>
      <c r="E950" s="4"/>
      <c r="F950" s="4"/>
      <c r="G950" s="4"/>
      <c r="H950" s="4"/>
      <c r="I950" s="4"/>
      <c r="J950" s="4"/>
      <c r="K950" s="4"/>
      <c r="L950" s="4"/>
      <c r="M950" s="4"/>
    </row>
    <row r="951" spans="1:13" s="34" customFormat="1">
      <c r="A951" s="3"/>
      <c r="B951" s="4"/>
      <c r="C951" s="4"/>
      <c r="D951" s="4"/>
      <c r="E951" s="4"/>
      <c r="F951" s="4"/>
      <c r="G951" s="4"/>
      <c r="H951" s="4"/>
      <c r="I951" s="4"/>
      <c r="J951" s="4"/>
      <c r="K951" s="4"/>
      <c r="L951" s="4"/>
      <c r="M951" s="4"/>
    </row>
    <row r="952" spans="1:13" s="34" customFormat="1">
      <c r="A952" s="3"/>
      <c r="B952" s="4"/>
      <c r="C952" s="4"/>
      <c r="D952" s="4"/>
      <c r="E952" s="4"/>
      <c r="F952" s="4"/>
      <c r="G952" s="4"/>
      <c r="H952" s="4"/>
      <c r="I952" s="4"/>
      <c r="J952" s="4"/>
      <c r="K952" s="4"/>
      <c r="L952" s="4"/>
      <c r="M952" s="4"/>
    </row>
    <row r="953" spans="1:13" s="34" customFormat="1">
      <c r="A953" s="3"/>
      <c r="B953" s="4"/>
      <c r="C953" s="4"/>
      <c r="D953" s="4"/>
      <c r="E953" s="4"/>
      <c r="F953" s="4"/>
      <c r="G953" s="4"/>
      <c r="H953" s="4"/>
      <c r="I953" s="4"/>
      <c r="J953" s="4"/>
      <c r="K953" s="4"/>
      <c r="L953" s="4"/>
      <c r="M953" s="4"/>
    </row>
    <row r="954" spans="1:13" s="34" customFormat="1">
      <c r="A954" s="3"/>
      <c r="B954" s="4"/>
      <c r="C954" s="4"/>
      <c r="D954" s="4"/>
      <c r="E954" s="4"/>
      <c r="F954" s="4"/>
      <c r="G954" s="4"/>
      <c r="H954" s="4"/>
      <c r="I954" s="4"/>
      <c r="J954" s="4"/>
      <c r="K954" s="4"/>
      <c r="L954" s="4"/>
      <c r="M954" s="4"/>
    </row>
    <row r="955" spans="1:13" s="34" customFormat="1">
      <c r="A955" s="3"/>
      <c r="B955" s="4"/>
      <c r="C955" s="4"/>
      <c r="D955" s="4"/>
      <c r="E955" s="4"/>
      <c r="F955" s="4"/>
      <c r="G955" s="4"/>
      <c r="H955" s="4"/>
      <c r="I955" s="4"/>
      <c r="J955" s="4"/>
      <c r="K955" s="4"/>
      <c r="L955" s="4"/>
      <c r="M955" s="4"/>
    </row>
    <row r="956" spans="1:13" s="34" customFormat="1">
      <c r="A956" s="3"/>
      <c r="B956" s="4"/>
      <c r="C956" s="4"/>
      <c r="D956" s="4"/>
      <c r="E956" s="4"/>
      <c r="F956" s="4"/>
      <c r="G956" s="4"/>
      <c r="H956" s="4"/>
      <c r="I956" s="4"/>
      <c r="J956" s="4"/>
      <c r="K956" s="4"/>
      <c r="L956" s="4"/>
      <c r="M956" s="4"/>
    </row>
    <row r="957" spans="1:13" s="34" customFormat="1">
      <c r="A957" s="3"/>
      <c r="B957" s="4"/>
      <c r="C957" s="4"/>
      <c r="D957" s="4"/>
      <c r="E957" s="4"/>
      <c r="F957" s="4"/>
      <c r="G957" s="4"/>
      <c r="H957" s="4"/>
      <c r="I957" s="4"/>
      <c r="J957" s="4"/>
      <c r="K957" s="4"/>
      <c r="L957" s="4"/>
      <c r="M957" s="4"/>
    </row>
    <row r="958" spans="1:13" s="34" customFormat="1">
      <c r="A958" s="3"/>
      <c r="B958" s="4"/>
      <c r="C958" s="4"/>
      <c r="D958" s="4"/>
      <c r="E958" s="4"/>
      <c r="F958" s="4"/>
      <c r="G958" s="4"/>
      <c r="H958" s="4"/>
      <c r="I958" s="4"/>
      <c r="J958" s="4"/>
      <c r="K958" s="4"/>
      <c r="L958" s="4"/>
      <c r="M958" s="4"/>
    </row>
    <row r="959" spans="1:13" s="34" customFormat="1">
      <c r="A959" s="3"/>
      <c r="B959" s="4"/>
      <c r="C959" s="4"/>
      <c r="D959" s="4"/>
      <c r="E959" s="4"/>
      <c r="F959" s="4"/>
      <c r="G959" s="4"/>
      <c r="H959" s="4"/>
      <c r="I959" s="4"/>
      <c r="J959" s="4"/>
      <c r="K959" s="4"/>
      <c r="L959" s="4"/>
      <c r="M959" s="4"/>
    </row>
    <row r="960" spans="1:13" s="34" customFormat="1">
      <c r="A960" s="3"/>
      <c r="B960" s="4"/>
      <c r="C960" s="4"/>
      <c r="D960" s="4"/>
      <c r="E960" s="4"/>
      <c r="F960" s="4"/>
      <c r="G960" s="4"/>
      <c r="H960" s="4"/>
      <c r="I960" s="4"/>
      <c r="J960" s="4"/>
      <c r="K960" s="4"/>
      <c r="L960" s="4"/>
      <c r="M960" s="4"/>
    </row>
    <row r="961" spans="1:13" s="34" customFormat="1">
      <c r="A961" s="3"/>
      <c r="B961" s="4"/>
      <c r="C961" s="4"/>
      <c r="D961" s="4"/>
      <c r="E961" s="4"/>
      <c r="F961" s="4"/>
      <c r="G961" s="4"/>
      <c r="H961" s="4"/>
      <c r="I961" s="4"/>
      <c r="J961" s="4"/>
      <c r="K961" s="4"/>
      <c r="L961" s="4"/>
      <c r="M961" s="4"/>
    </row>
    <row r="962" spans="1:13" s="34" customFormat="1">
      <c r="A962" s="3"/>
      <c r="B962" s="4"/>
      <c r="C962" s="4"/>
      <c r="D962" s="4"/>
      <c r="E962" s="4"/>
      <c r="F962" s="4"/>
      <c r="G962" s="4"/>
      <c r="H962" s="4"/>
      <c r="I962" s="4"/>
      <c r="J962" s="4"/>
      <c r="K962" s="4"/>
      <c r="L962" s="4"/>
      <c r="M962" s="4"/>
    </row>
    <row r="963" spans="1:13" s="34" customFormat="1">
      <c r="A963" s="3"/>
      <c r="B963" s="4"/>
      <c r="C963" s="4"/>
      <c r="D963" s="4"/>
      <c r="E963" s="4"/>
      <c r="F963" s="4"/>
      <c r="G963" s="4"/>
      <c r="H963" s="4"/>
      <c r="I963" s="4"/>
      <c r="J963" s="4"/>
      <c r="K963" s="4"/>
      <c r="L963" s="4"/>
      <c r="M963" s="4"/>
    </row>
    <row r="964" spans="1:13" s="34" customFormat="1">
      <c r="A964" s="3"/>
      <c r="B964" s="4"/>
      <c r="C964" s="4"/>
      <c r="D964" s="4"/>
      <c r="E964" s="4"/>
      <c r="F964" s="4"/>
      <c r="G964" s="4"/>
      <c r="H964" s="4"/>
      <c r="I964" s="4"/>
      <c r="J964" s="4"/>
      <c r="K964" s="4"/>
      <c r="L964" s="4"/>
      <c r="M964" s="4"/>
    </row>
    <row r="965" spans="1:13" s="34" customFormat="1">
      <c r="A965" s="3"/>
      <c r="B965" s="4"/>
      <c r="C965" s="4"/>
      <c r="D965" s="4"/>
      <c r="E965" s="4"/>
      <c r="F965" s="4"/>
      <c r="G965" s="4"/>
      <c r="H965" s="4"/>
      <c r="I965" s="4"/>
      <c r="J965" s="4"/>
      <c r="K965" s="4"/>
      <c r="L965" s="4"/>
      <c r="M965" s="4"/>
    </row>
    <row r="966" spans="1:13" s="34" customFormat="1">
      <c r="A966" s="3"/>
      <c r="B966" s="4"/>
      <c r="C966" s="4"/>
      <c r="D966" s="4"/>
      <c r="E966" s="4"/>
      <c r="F966" s="4"/>
      <c r="G966" s="4"/>
      <c r="H966" s="4"/>
      <c r="I966" s="4"/>
      <c r="J966" s="4"/>
      <c r="K966" s="4"/>
      <c r="L966" s="4"/>
      <c r="M966" s="4"/>
    </row>
    <row r="967" spans="1:13" s="34" customFormat="1">
      <c r="A967" s="3"/>
      <c r="B967" s="4"/>
      <c r="C967" s="4"/>
      <c r="D967" s="4"/>
      <c r="E967" s="4"/>
      <c r="F967" s="4"/>
      <c r="G967" s="4"/>
      <c r="H967" s="4"/>
      <c r="I967" s="4"/>
      <c r="J967" s="4"/>
      <c r="K967" s="4"/>
      <c r="L967" s="4"/>
      <c r="M967" s="4"/>
    </row>
    <row r="968" spans="1:13" s="34" customFormat="1">
      <c r="A968" s="3"/>
      <c r="B968" s="4"/>
      <c r="C968" s="4"/>
      <c r="D968" s="4"/>
      <c r="E968" s="4"/>
      <c r="F968" s="4"/>
      <c r="G968" s="4"/>
      <c r="H968" s="4"/>
      <c r="I968" s="4"/>
      <c r="J968" s="4"/>
      <c r="K968" s="4"/>
      <c r="L968" s="4"/>
      <c r="M968" s="4"/>
    </row>
    <row r="969" spans="1:13" s="34" customFormat="1">
      <c r="A969" s="3"/>
      <c r="B969" s="4"/>
      <c r="C969" s="4"/>
      <c r="D969" s="4"/>
      <c r="E969" s="4"/>
      <c r="F969" s="4"/>
      <c r="G969" s="4"/>
      <c r="H969" s="4"/>
      <c r="I969" s="4"/>
      <c r="J969" s="4"/>
      <c r="K969" s="4"/>
      <c r="L969" s="4"/>
      <c r="M969" s="4"/>
    </row>
    <row r="970" spans="1:13" s="34" customFormat="1">
      <c r="A970" s="3"/>
      <c r="B970" s="4"/>
      <c r="C970" s="4"/>
      <c r="D970" s="4"/>
      <c r="E970" s="4"/>
      <c r="F970" s="4"/>
      <c r="G970" s="4"/>
      <c r="H970" s="4"/>
      <c r="I970" s="4"/>
      <c r="J970" s="4"/>
      <c r="K970" s="4"/>
      <c r="L970" s="4"/>
      <c r="M970" s="4"/>
    </row>
    <row r="971" spans="1:13" s="34" customFormat="1">
      <c r="A971" s="3"/>
      <c r="B971" s="4"/>
      <c r="C971" s="4"/>
      <c r="D971" s="4"/>
      <c r="E971" s="4"/>
      <c r="F971" s="4"/>
      <c r="G971" s="4"/>
      <c r="H971" s="4"/>
      <c r="I971" s="4"/>
      <c r="J971" s="4"/>
      <c r="K971" s="4"/>
      <c r="L971" s="4"/>
      <c r="M971" s="4"/>
    </row>
    <row r="972" spans="1:13" s="34" customFormat="1">
      <c r="A972" s="3"/>
      <c r="B972" s="4"/>
      <c r="C972" s="4"/>
      <c r="D972" s="4"/>
      <c r="E972" s="4"/>
      <c r="F972" s="4"/>
      <c r="G972" s="4"/>
      <c r="H972" s="4"/>
      <c r="I972" s="4"/>
      <c r="J972" s="4"/>
      <c r="K972" s="4"/>
      <c r="L972" s="4"/>
      <c r="M972" s="4"/>
    </row>
    <row r="973" spans="1:13" s="34" customFormat="1">
      <c r="A973" s="3"/>
      <c r="B973" s="4"/>
      <c r="C973" s="4"/>
      <c r="D973" s="4"/>
      <c r="E973" s="4"/>
      <c r="F973" s="4"/>
      <c r="G973" s="4"/>
      <c r="H973" s="4"/>
      <c r="I973" s="4"/>
      <c r="J973" s="4"/>
      <c r="K973" s="4"/>
      <c r="L973" s="4"/>
      <c r="M973" s="4"/>
    </row>
    <row r="974" spans="1:13" s="34" customFormat="1">
      <c r="A974" s="3"/>
      <c r="B974" s="4"/>
      <c r="C974" s="4"/>
      <c r="D974" s="4"/>
      <c r="E974" s="4"/>
      <c r="F974" s="4"/>
      <c r="G974" s="4"/>
      <c r="H974" s="4"/>
      <c r="I974" s="4"/>
      <c r="J974" s="4"/>
      <c r="K974" s="4"/>
      <c r="L974" s="4"/>
      <c r="M974" s="4"/>
    </row>
    <row r="975" spans="1:13" s="34" customFormat="1">
      <c r="A975" s="3"/>
      <c r="B975" s="4"/>
      <c r="C975" s="4"/>
      <c r="D975" s="4"/>
      <c r="E975" s="4"/>
      <c r="F975" s="4"/>
      <c r="G975" s="4"/>
      <c r="H975" s="4"/>
      <c r="I975" s="4"/>
      <c r="J975" s="4"/>
      <c r="K975" s="4"/>
      <c r="L975" s="4"/>
      <c r="M975" s="4"/>
    </row>
    <row r="976" spans="1:13" s="34" customFormat="1">
      <c r="A976" s="3"/>
      <c r="B976" s="4"/>
      <c r="C976" s="4"/>
      <c r="D976" s="4"/>
      <c r="E976" s="4"/>
      <c r="F976" s="4"/>
      <c r="G976" s="4"/>
      <c r="H976" s="4"/>
      <c r="I976" s="4"/>
      <c r="J976" s="4"/>
      <c r="K976" s="4"/>
      <c r="L976" s="4"/>
      <c r="M976" s="4"/>
    </row>
    <row r="977" spans="1:13" s="34" customFormat="1">
      <c r="A977" s="3"/>
      <c r="B977" s="4"/>
      <c r="C977" s="4"/>
      <c r="D977" s="4"/>
      <c r="E977" s="4"/>
      <c r="F977" s="4"/>
      <c r="G977" s="4"/>
      <c r="H977" s="4"/>
      <c r="I977" s="4"/>
      <c r="J977" s="4"/>
      <c r="K977" s="4"/>
      <c r="L977" s="4"/>
      <c r="M977" s="4"/>
    </row>
    <row r="978" spans="1:13" s="34" customFormat="1">
      <c r="A978" s="3"/>
      <c r="B978" s="4"/>
      <c r="C978" s="4"/>
      <c r="D978" s="4"/>
      <c r="E978" s="4"/>
      <c r="F978" s="4"/>
      <c r="G978" s="4"/>
      <c r="H978" s="4"/>
      <c r="I978" s="4"/>
      <c r="J978" s="4"/>
      <c r="K978" s="4"/>
      <c r="L978" s="4"/>
      <c r="M978" s="4"/>
    </row>
    <row r="979" spans="1:13" s="34" customFormat="1">
      <c r="A979" s="3"/>
      <c r="B979" s="4"/>
      <c r="C979" s="4"/>
      <c r="D979" s="4"/>
      <c r="E979" s="4"/>
      <c r="F979" s="4"/>
      <c r="G979" s="4"/>
      <c r="H979" s="4"/>
      <c r="I979" s="4"/>
      <c r="J979" s="4"/>
      <c r="K979" s="4"/>
      <c r="L979" s="4"/>
      <c r="M979" s="4"/>
    </row>
    <row r="980" spans="1:13" s="34" customFormat="1">
      <c r="A980" s="3"/>
      <c r="B980" s="4"/>
      <c r="C980" s="4"/>
      <c r="D980" s="4"/>
      <c r="E980" s="4"/>
      <c r="F980" s="4"/>
      <c r="G980" s="4"/>
      <c r="H980" s="4"/>
      <c r="I980" s="4"/>
      <c r="J980" s="4"/>
      <c r="K980" s="4"/>
      <c r="L980" s="4"/>
      <c r="M980" s="4"/>
    </row>
    <row r="981" spans="1:13" s="34" customFormat="1">
      <c r="A981" s="3"/>
      <c r="B981" s="4"/>
      <c r="C981" s="4"/>
      <c r="D981" s="4"/>
      <c r="E981" s="4"/>
      <c r="F981" s="4"/>
      <c r="G981" s="4"/>
      <c r="H981" s="4"/>
      <c r="I981" s="4"/>
      <c r="J981" s="4"/>
      <c r="K981" s="4"/>
      <c r="L981" s="4"/>
      <c r="M981" s="4"/>
    </row>
    <row r="982" spans="1:13" s="34" customFormat="1">
      <c r="A982" s="3"/>
      <c r="B982" s="4"/>
      <c r="C982" s="4"/>
      <c r="D982" s="4"/>
      <c r="E982" s="4"/>
      <c r="F982" s="4"/>
      <c r="G982" s="4"/>
      <c r="H982" s="4"/>
      <c r="I982" s="4"/>
      <c r="J982" s="4"/>
      <c r="K982" s="4"/>
      <c r="L982" s="4"/>
      <c r="M982" s="4"/>
    </row>
    <row r="983" spans="1:13" s="34" customFormat="1">
      <c r="A983" s="3"/>
      <c r="B983" s="4"/>
      <c r="C983" s="4"/>
      <c r="D983" s="4"/>
      <c r="E983" s="4"/>
      <c r="F983" s="4"/>
      <c r="G983" s="4"/>
      <c r="H983" s="4"/>
      <c r="I983" s="4"/>
      <c r="J983" s="4"/>
      <c r="K983" s="4"/>
      <c r="L983" s="4"/>
      <c r="M983" s="4"/>
    </row>
    <row r="984" spans="1:13" s="34" customFormat="1">
      <c r="A984" s="3"/>
      <c r="B984" s="4"/>
      <c r="C984" s="4"/>
      <c r="D984" s="4"/>
      <c r="E984" s="4"/>
      <c r="F984" s="4"/>
      <c r="G984" s="4"/>
      <c r="H984" s="4"/>
      <c r="I984" s="4"/>
      <c r="J984" s="4"/>
      <c r="K984" s="4"/>
      <c r="L984" s="4"/>
      <c r="M984" s="4"/>
    </row>
    <row r="985" spans="1:13" s="34" customFormat="1">
      <c r="A985" s="3"/>
      <c r="B985" s="4"/>
      <c r="C985" s="4"/>
      <c r="D985" s="4"/>
      <c r="E985" s="4"/>
      <c r="F985" s="4"/>
      <c r="G985" s="4"/>
      <c r="H985" s="4"/>
      <c r="I985" s="4"/>
      <c r="J985" s="4"/>
      <c r="K985" s="4"/>
      <c r="L985" s="4"/>
      <c r="M985" s="4"/>
    </row>
    <row r="986" spans="1:13" s="34" customFormat="1">
      <c r="A986" s="3"/>
      <c r="B986" s="4"/>
      <c r="C986" s="4"/>
      <c r="D986" s="4"/>
      <c r="E986" s="4"/>
      <c r="F986" s="4"/>
      <c r="G986" s="4"/>
      <c r="H986" s="4"/>
      <c r="I986" s="4"/>
      <c r="J986" s="4"/>
      <c r="K986" s="4"/>
      <c r="L986" s="4"/>
      <c r="M986" s="4"/>
    </row>
    <row r="987" spans="1:13" s="34" customFormat="1">
      <c r="A987" s="3"/>
      <c r="B987" s="4"/>
      <c r="C987" s="4"/>
      <c r="D987" s="4"/>
      <c r="E987" s="4"/>
      <c r="F987" s="4"/>
      <c r="G987" s="4"/>
      <c r="H987" s="4"/>
      <c r="I987" s="4"/>
      <c r="J987" s="4"/>
      <c r="K987" s="4"/>
      <c r="L987" s="4"/>
      <c r="M987" s="4"/>
    </row>
    <row r="988" spans="1:13" s="34" customFormat="1">
      <c r="A988" s="3"/>
      <c r="B988" s="4"/>
      <c r="C988" s="4"/>
      <c r="D988" s="4"/>
      <c r="E988" s="4"/>
      <c r="F988" s="4"/>
      <c r="G988" s="4"/>
      <c r="H988" s="4"/>
      <c r="I988" s="4"/>
      <c r="J988" s="4"/>
      <c r="K988" s="4"/>
      <c r="L988" s="4"/>
      <c r="M988" s="4"/>
    </row>
    <row r="989" spans="1:13" s="34" customFormat="1">
      <c r="A989" s="3"/>
      <c r="B989" s="4"/>
      <c r="C989" s="4"/>
      <c r="D989" s="4"/>
      <c r="E989" s="4"/>
      <c r="F989" s="4"/>
      <c r="G989" s="4"/>
      <c r="H989" s="4"/>
      <c r="I989" s="4"/>
      <c r="J989" s="4"/>
      <c r="K989" s="4"/>
      <c r="L989" s="4"/>
      <c r="M989" s="4"/>
    </row>
    <row r="990" spans="1:13" s="34" customFormat="1">
      <c r="A990" s="3"/>
      <c r="B990" s="4"/>
      <c r="C990" s="4"/>
      <c r="D990" s="4"/>
      <c r="E990" s="4"/>
      <c r="F990" s="4"/>
      <c r="G990" s="4"/>
      <c r="H990" s="4"/>
      <c r="I990" s="4"/>
      <c r="J990" s="4"/>
      <c r="K990" s="4"/>
      <c r="L990" s="4"/>
      <c r="M990" s="4"/>
    </row>
    <row r="991" spans="1:13" s="34" customFormat="1">
      <c r="A991" s="3"/>
      <c r="B991" s="4"/>
      <c r="C991" s="4"/>
      <c r="D991" s="4"/>
      <c r="E991" s="4"/>
      <c r="F991" s="4"/>
      <c r="G991" s="4"/>
      <c r="H991" s="4"/>
      <c r="I991" s="4"/>
      <c r="J991" s="4"/>
      <c r="K991" s="4"/>
      <c r="L991" s="4"/>
      <c r="M991" s="4"/>
    </row>
    <row r="992" spans="1:13" s="34" customFormat="1">
      <c r="A992" s="3"/>
      <c r="B992" s="4"/>
      <c r="C992" s="4"/>
      <c r="D992" s="4"/>
      <c r="E992" s="4"/>
      <c r="F992" s="4"/>
      <c r="G992" s="4"/>
      <c r="H992" s="4"/>
      <c r="I992" s="4"/>
      <c r="J992" s="4"/>
      <c r="K992" s="4"/>
      <c r="L992" s="4"/>
      <c r="M992" s="4"/>
    </row>
    <row r="993" spans="1:13" s="34" customFormat="1">
      <c r="A993" s="3"/>
      <c r="B993" s="4"/>
      <c r="C993" s="4"/>
      <c r="D993" s="4"/>
      <c r="E993" s="4"/>
      <c r="F993" s="4"/>
      <c r="G993" s="4"/>
      <c r="H993" s="4"/>
      <c r="I993" s="4"/>
      <c r="J993" s="4"/>
      <c r="K993" s="4"/>
      <c r="L993" s="4"/>
      <c r="M993" s="4"/>
    </row>
    <row r="994" spans="1:13" s="34" customFormat="1">
      <c r="A994" s="3"/>
      <c r="B994" s="4"/>
      <c r="C994" s="4"/>
      <c r="D994" s="4"/>
      <c r="E994" s="4"/>
      <c r="F994" s="4"/>
      <c r="G994" s="4"/>
      <c r="H994" s="4"/>
      <c r="I994" s="4"/>
      <c r="J994" s="4"/>
      <c r="K994" s="4"/>
      <c r="L994" s="4"/>
      <c r="M994" s="4"/>
    </row>
    <row r="995" spans="1:13" s="34" customFormat="1">
      <c r="A995" s="3"/>
      <c r="B995" s="4"/>
      <c r="C995" s="4"/>
      <c r="D995" s="4"/>
      <c r="E995" s="4"/>
      <c r="F995" s="4"/>
      <c r="G995" s="4"/>
      <c r="H995" s="4"/>
      <c r="I995" s="4"/>
      <c r="J995" s="4"/>
      <c r="K995" s="4"/>
      <c r="L995" s="4"/>
      <c r="M995" s="4"/>
    </row>
    <row r="996" spans="1:13" s="34" customFormat="1">
      <c r="A996" s="3"/>
      <c r="B996" s="4"/>
      <c r="C996" s="4"/>
      <c r="D996" s="4"/>
      <c r="E996" s="4"/>
      <c r="F996" s="4"/>
      <c r="G996" s="4"/>
      <c r="H996" s="4"/>
      <c r="I996" s="4"/>
      <c r="J996" s="4"/>
      <c r="K996" s="4"/>
      <c r="L996" s="4"/>
      <c r="M996" s="4"/>
    </row>
    <row r="997" spans="1:13" s="34" customFormat="1">
      <c r="A997" s="3"/>
      <c r="B997" s="4"/>
      <c r="C997" s="4"/>
      <c r="D997" s="4"/>
      <c r="E997" s="4"/>
      <c r="F997" s="4"/>
      <c r="G997" s="4"/>
      <c r="H997" s="4"/>
      <c r="I997" s="4"/>
      <c r="J997" s="4"/>
      <c r="K997" s="4"/>
      <c r="L997" s="4"/>
      <c r="M997" s="4"/>
    </row>
    <row r="998" spans="1:13" s="34" customFormat="1">
      <c r="A998" s="3"/>
      <c r="B998" s="4"/>
      <c r="C998" s="4"/>
      <c r="D998" s="4"/>
      <c r="E998" s="4"/>
      <c r="F998" s="4"/>
      <c r="G998" s="4"/>
      <c r="H998" s="4"/>
      <c r="I998" s="4"/>
      <c r="J998" s="4"/>
      <c r="K998" s="4"/>
      <c r="L998" s="4"/>
      <c r="M998" s="4"/>
    </row>
    <row r="999" spans="1:13" s="34" customFormat="1">
      <c r="A999" s="3"/>
      <c r="B999" s="4"/>
      <c r="C999" s="4"/>
      <c r="D999" s="4"/>
      <c r="E999" s="4"/>
      <c r="F999" s="4"/>
      <c r="G999" s="4"/>
      <c r="H999" s="4"/>
      <c r="I999" s="4"/>
      <c r="J999" s="4"/>
      <c r="K999" s="4"/>
      <c r="L999" s="4"/>
      <c r="M999" s="4"/>
    </row>
    <row r="1000" spans="1:13" s="34" customFormat="1">
      <c r="A1000" s="3"/>
      <c r="B1000" s="4"/>
      <c r="C1000" s="4"/>
      <c r="D1000" s="4"/>
      <c r="E1000" s="4"/>
      <c r="F1000" s="4"/>
      <c r="G1000" s="4"/>
      <c r="H1000" s="4"/>
      <c r="I1000" s="4"/>
      <c r="J1000" s="4"/>
      <c r="K1000" s="4"/>
      <c r="L1000" s="4"/>
      <c r="M1000" s="4"/>
    </row>
    <row r="1001" spans="1:13" s="34" customFormat="1">
      <c r="A1001" s="3"/>
      <c r="B1001" s="4"/>
      <c r="C1001" s="4"/>
      <c r="D1001" s="4"/>
      <c r="E1001" s="4"/>
      <c r="F1001" s="4"/>
      <c r="G1001" s="4"/>
      <c r="H1001" s="4"/>
      <c r="I1001" s="4"/>
      <c r="J1001" s="4"/>
      <c r="K1001" s="4"/>
      <c r="L1001" s="4"/>
      <c r="M1001" s="4"/>
    </row>
    <row r="1002" spans="1:13" s="34" customFormat="1">
      <c r="A1002" s="3"/>
      <c r="B1002" s="4"/>
      <c r="C1002" s="4"/>
      <c r="D1002" s="4"/>
      <c r="E1002" s="4"/>
      <c r="F1002" s="4"/>
      <c r="G1002" s="4"/>
      <c r="H1002" s="4"/>
      <c r="I1002" s="4"/>
      <c r="J1002" s="4"/>
      <c r="K1002" s="4"/>
      <c r="L1002" s="4"/>
      <c r="M1002" s="4"/>
    </row>
    <row r="1003" spans="1:13" s="34" customFormat="1">
      <c r="A1003" s="3"/>
      <c r="B1003" s="4"/>
      <c r="C1003" s="4"/>
      <c r="D1003" s="4"/>
      <c r="E1003" s="4"/>
      <c r="F1003" s="4"/>
      <c r="G1003" s="4"/>
      <c r="H1003" s="4"/>
      <c r="I1003" s="4"/>
      <c r="J1003" s="4"/>
      <c r="K1003" s="4"/>
      <c r="L1003" s="4"/>
      <c r="M1003" s="4"/>
    </row>
    <row r="1004" spans="1:13" s="34" customFormat="1">
      <c r="A1004" s="3"/>
      <c r="B1004" s="4"/>
      <c r="C1004" s="4"/>
      <c r="D1004" s="4"/>
      <c r="E1004" s="4"/>
      <c r="F1004" s="4"/>
      <c r="G1004" s="4"/>
      <c r="H1004" s="4"/>
      <c r="I1004" s="4"/>
      <c r="J1004" s="4"/>
      <c r="K1004" s="4"/>
      <c r="L1004" s="4"/>
      <c r="M1004" s="4"/>
    </row>
    <row r="1005" spans="1:13" s="34" customFormat="1">
      <c r="A1005" s="3"/>
      <c r="B1005" s="4"/>
      <c r="C1005" s="4"/>
      <c r="D1005" s="4"/>
      <c r="E1005" s="4"/>
      <c r="F1005" s="4"/>
      <c r="G1005" s="4"/>
      <c r="H1005" s="4"/>
      <c r="I1005" s="4"/>
      <c r="J1005" s="4"/>
      <c r="K1005" s="4"/>
      <c r="L1005" s="4"/>
      <c r="M1005" s="4"/>
    </row>
    <row r="1006" spans="1:13" s="34" customFormat="1">
      <c r="A1006" s="3"/>
      <c r="B1006" s="4"/>
      <c r="C1006" s="4"/>
      <c r="D1006" s="4"/>
      <c r="E1006" s="4"/>
      <c r="F1006" s="4"/>
      <c r="G1006" s="4"/>
      <c r="H1006" s="4"/>
      <c r="I1006" s="4"/>
      <c r="J1006" s="4"/>
      <c r="K1006" s="4"/>
      <c r="L1006" s="4"/>
      <c r="M1006" s="4"/>
    </row>
    <row r="1007" spans="1:13" s="34" customFormat="1">
      <c r="A1007" s="3"/>
      <c r="B1007" s="4"/>
      <c r="C1007" s="4"/>
      <c r="D1007" s="4"/>
      <c r="E1007" s="4"/>
      <c r="F1007" s="4"/>
      <c r="G1007" s="4"/>
      <c r="H1007" s="4"/>
      <c r="I1007" s="4"/>
      <c r="J1007" s="4"/>
      <c r="K1007" s="4"/>
      <c r="L1007" s="4"/>
      <c r="M1007" s="4"/>
    </row>
    <row r="1008" spans="1:13" s="34" customFormat="1">
      <c r="A1008" s="3"/>
      <c r="B1008" s="4"/>
      <c r="C1008" s="4"/>
      <c r="D1008" s="4"/>
      <c r="E1008" s="4"/>
      <c r="F1008" s="4"/>
      <c r="G1008" s="4"/>
      <c r="H1008" s="4"/>
      <c r="I1008" s="4"/>
      <c r="J1008" s="4"/>
      <c r="K1008" s="4"/>
      <c r="L1008" s="4"/>
      <c r="M1008" s="4"/>
    </row>
    <row r="1009" spans="1:13" s="34" customFormat="1">
      <c r="A1009" s="3"/>
      <c r="B1009" s="4"/>
      <c r="C1009" s="4"/>
      <c r="D1009" s="4"/>
      <c r="E1009" s="4"/>
      <c r="F1009" s="4"/>
      <c r="G1009" s="4"/>
      <c r="H1009" s="4"/>
      <c r="I1009" s="4"/>
      <c r="J1009" s="4"/>
      <c r="K1009" s="4"/>
      <c r="L1009" s="4"/>
      <c r="M1009" s="4"/>
    </row>
    <row r="1010" spans="1:13" s="34" customFormat="1">
      <c r="A1010" s="3"/>
      <c r="B1010" s="4"/>
      <c r="C1010" s="4"/>
      <c r="D1010" s="4"/>
      <c r="E1010" s="4"/>
      <c r="F1010" s="4"/>
      <c r="G1010" s="4"/>
      <c r="H1010" s="4"/>
      <c r="I1010" s="4"/>
      <c r="J1010" s="4"/>
      <c r="K1010" s="4"/>
      <c r="L1010" s="4"/>
      <c r="M1010" s="4"/>
    </row>
    <row r="1011" spans="1:13" s="34" customFormat="1">
      <c r="A1011" s="3"/>
      <c r="B1011" s="4"/>
      <c r="C1011" s="4"/>
      <c r="D1011" s="4"/>
      <c r="E1011" s="4"/>
      <c r="F1011" s="4"/>
      <c r="G1011" s="4"/>
      <c r="H1011" s="4"/>
      <c r="I1011" s="4"/>
      <c r="J1011" s="4"/>
      <c r="K1011" s="4"/>
      <c r="L1011" s="4"/>
      <c r="M1011" s="4"/>
    </row>
    <row r="1012" spans="1:13" s="34" customFormat="1">
      <c r="A1012" s="3"/>
      <c r="B1012" s="4"/>
      <c r="C1012" s="4"/>
      <c r="D1012" s="4"/>
      <c r="E1012" s="4"/>
      <c r="F1012" s="4"/>
      <c r="G1012" s="4"/>
      <c r="H1012" s="4"/>
      <c r="I1012" s="4"/>
      <c r="J1012" s="4"/>
      <c r="K1012" s="4"/>
      <c r="L1012" s="4"/>
      <c r="M1012" s="4"/>
    </row>
    <row r="1013" spans="1:13" s="34" customFormat="1">
      <c r="A1013" s="3"/>
      <c r="B1013" s="4"/>
      <c r="C1013" s="4"/>
      <c r="D1013" s="4"/>
      <c r="E1013" s="4"/>
      <c r="F1013" s="4"/>
      <c r="G1013" s="4"/>
      <c r="H1013" s="4"/>
      <c r="I1013" s="4"/>
      <c r="J1013" s="4"/>
      <c r="K1013" s="4"/>
      <c r="L1013" s="4"/>
      <c r="M1013" s="4"/>
    </row>
    <row r="1014" spans="1:13" s="34" customFormat="1">
      <c r="A1014" s="3"/>
      <c r="B1014" s="4"/>
      <c r="C1014" s="4"/>
      <c r="D1014" s="4"/>
      <c r="E1014" s="4"/>
      <c r="F1014" s="4"/>
      <c r="G1014" s="4"/>
      <c r="H1014" s="4"/>
      <c r="I1014" s="4"/>
      <c r="J1014" s="4"/>
      <c r="K1014" s="4"/>
      <c r="L1014" s="4"/>
      <c r="M1014" s="4"/>
    </row>
    <row r="1015" spans="1:13" s="34" customFormat="1">
      <c r="A1015" s="3"/>
      <c r="B1015" s="4"/>
      <c r="C1015" s="4"/>
      <c r="D1015" s="4"/>
      <c r="E1015" s="4"/>
      <c r="F1015" s="4"/>
      <c r="G1015" s="4"/>
      <c r="H1015" s="4"/>
      <c r="I1015" s="4"/>
      <c r="J1015" s="4"/>
      <c r="K1015" s="4"/>
      <c r="L1015" s="4"/>
      <c r="M1015" s="4"/>
    </row>
    <row r="1016" spans="1:13" s="34" customFormat="1">
      <c r="A1016" s="3"/>
      <c r="B1016" s="4"/>
      <c r="C1016" s="4"/>
      <c r="D1016" s="4"/>
      <c r="E1016" s="4"/>
      <c r="F1016" s="4"/>
      <c r="G1016" s="4"/>
      <c r="H1016" s="4"/>
      <c r="I1016" s="4"/>
      <c r="J1016" s="4"/>
      <c r="K1016" s="4"/>
      <c r="L1016" s="4"/>
      <c r="M1016" s="4"/>
    </row>
    <row r="1017" spans="1:13" s="34" customFormat="1">
      <c r="A1017" s="3"/>
      <c r="B1017" s="4"/>
      <c r="C1017" s="4"/>
      <c r="D1017" s="4"/>
      <c r="E1017" s="4"/>
      <c r="F1017" s="4"/>
      <c r="G1017" s="4"/>
      <c r="H1017" s="4"/>
      <c r="I1017" s="4"/>
      <c r="J1017" s="4"/>
      <c r="K1017" s="4"/>
      <c r="L1017" s="4"/>
      <c r="M1017" s="4"/>
    </row>
    <row r="1018" spans="1:13" s="34" customFormat="1">
      <c r="A1018" s="3"/>
      <c r="B1018" s="4"/>
      <c r="C1018" s="4"/>
      <c r="D1018" s="4"/>
      <c r="E1018" s="4"/>
      <c r="F1018" s="4"/>
      <c r="G1018" s="4"/>
      <c r="H1018" s="4"/>
      <c r="I1018" s="4"/>
      <c r="J1018" s="4"/>
      <c r="K1018" s="4"/>
      <c r="L1018" s="4"/>
      <c r="M1018" s="4"/>
    </row>
    <row r="1019" spans="1:13" s="34" customFormat="1">
      <c r="A1019" s="3"/>
      <c r="B1019" s="4"/>
      <c r="C1019" s="4"/>
      <c r="D1019" s="4"/>
      <c r="E1019" s="4"/>
      <c r="F1019" s="4"/>
      <c r="G1019" s="4"/>
      <c r="H1019" s="4"/>
      <c r="I1019" s="4"/>
      <c r="J1019" s="4"/>
      <c r="K1019" s="4"/>
      <c r="L1019" s="4"/>
      <c r="M1019" s="4"/>
    </row>
    <row r="1020" spans="1:13" s="34" customFormat="1">
      <c r="A1020" s="3"/>
      <c r="B1020" s="4"/>
      <c r="C1020" s="4"/>
      <c r="D1020" s="4"/>
      <c r="E1020" s="4"/>
      <c r="F1020" s="4"/>
      <c r="G1020" s="4"/>
      <c r="H1020" s="4"/>
      <c r="I1020" s="4"/>
      <c r="J1020" s="4"/>
      <c r="K1020" s="4"/>
      <c r="L1020" s="4"/>
      <c r="M1020" s="4"/>
    </row>
    <row r="1021" spans="1:13" s="34" customFormat="1">
      <c r="A1021" s="3"/>
      <c r="B1021" s="4"/>
      <c r="C1021" s="4"/>
      <c r="D1021" s="4"/>
      <c r="E1021" s="4"/>
      <c r="F1021" s="4"/>
      <c r="G1021" s="4"/>
      <c r="H1021" s="4"/>
      <c r="I1021" s="4"/>
      <c r="J1021" s="4"/>
      <c r="K1021" s="4"/>
      <c r="L1021" s="4"/>
      <c r="M1021" s="4"/>
    </row>
    <row r="1022" spans="1:13" s="34" customFormat="1">
      <c r="A1022" s="3"/>
      <c r="B1022" s="4"/>
      <c r="C1022" s="4"/>
      <c r="D1022" s="4"/>
      <c r="E1022" s="4"/>
      <c r="F1022" s="4"/>
      <c r="G1022" s="4"/>
      <c r="H1022" s="4"/>
      <c r="I1022" s="4"/>
      <c r="J1022" s="4"/>
      <c r="K1022" s="4"/>
      <c r="L1022" s="4"/>
      <c r="M1022" s="4"/>
    </row>
    <row r="1023" spans="1:13" s="34" customFormat="1">
      <c r="A1023" s="3"/>
      <c r="B1023" s="4"/>
      <c r="C1023" s="4"/>
      <c r="D1023" s="4"/>
      <c r="E1023" s="4"/>
      <c r="F1023" s="4"/>
      <c r="G1023" s="4"/>
      <c r="H1023" s="4"/>
      <c r="I1023" s="4"/>
      <c r="J1023" s="4"/>
      <c r="K1023" s="4"/>
      <c r="L1023" s="4"/>
      <c r="M1023" s="4"/>
    </row>
    <row r="1024" spans="1:13" s="34" customFormat="1">
      <c r="A1024" s="3"/>
      <c r="B1024" s="4"/>
      <c r="C1024" s="4"/>
      <c r="D1024" s="4"/>
      <c r="E1024" s="4"/>
      <c r="F1024" s="4"/>
      <c r="G1024" s="4"/>
      <c r="H1024" s="4"/>
      <c r="I1024" s="4"/>
      <c r="J1024" s="4"/>
      <c r="K1024" s="4"/>
      <c r="L1024" s="4"/>
      <c r="M1024" s="4"/>
    </row>
    <row r="1025" spans="1:13" s="34" customFormat="1">
      <c r="A1025" s="3"/>
      <c r="B1025" s="4"/>
      <c r="C1025" s="4"/>
      <c r="D1025" s="4"/>
      <c r="E1025" s="4"/>
      <c r="F1025" s="4"/>
      <c r="G1025" s="4"/>
      <c r="H1025" s="4"/>
      <c r="I1025" s="4"/>
      <c r="J1025" s="4"/>
      <c r="K1025" s="4"/>
      <c r="L1025" s="4"/>
      <c r="M1025" s="4"/>
    </row>
    <row r="1026" spans="1:13" s="34" customFormat="1">
      <c r="A1026" s="3"/>
      <c r="B1026" s="4"/>
      <c r="C1026" s="4"/>
      <c r="D1026" s="4"/>
      <c r="E1026" s="4"/>
      <c r="F1026" s="4"/>
      <c r="G1026" s="4"/>
      <c r="H1026" s="4"/>
      <c r="I1026" s="4"/>
      <c r="J1026" s="4"/>
      <c r="K1026" s="4"/>
      <c r="L1026" s="4"/>
      <c r="M1026" s="4"/>
    </row>
    <row r="1027" spans="1:13" s="34" customFormat="1">
      <c r="A1027" s="3"/>
      <c r="B1027" s="4"/>
      <c r="C1027" s="4"/>
      <c r="D1027" s="4"/>
      <c r="E1027" s="4"/>
      <c r="F1027" s="4"/>
      <c r="G1027" s="4"/>
      <c r="H1027" s="4"/>
      <c r="I1027" s="4"/>
      <c r="J1027" s="4"/>
      <c r="K1027" s="4"/>
      <c r="L1027" s="4"/>
      <c r="M1027" s="4"/>
    </row>
    <row r="1028" spans="1:13" s="34" customFormat="1">
      <c r="A1028" s="3"/>
      <c r="B1028" s="4"/>
      <c r="C1028" s="4"/>
      <c r="D1028" s="4"/>
      <c r="E1028" s="4"/>
      <c r="F1028" s="4"/>
      <c r="G1028" s="4"/>
      <c r="H1028" s="4"/>
      <c r="I1028" s="4"/>
      <c r="J1028" s="4"/>
      <c r="K1028" s="4"/>
      <c r="L1028" s="4"/>
      <c r="M1028" s="4"/>
    </row>
    <row r="1029" spans="1:13" s="34" customFormat="1">
      <c r="A1029" s="3"/>
      <c r="B1029" s="4"/>
      <c r="C1029" s="4"/>
      <c r="D1029" s="4"/>
      <c r="E1029" s="4"/>
      <c r="F1029" s="4"/>
      <c r="G1029" s="4"/>
      <c r="H1029" s="4"/>
      <c r="I1029" s="4"/>
      <c r="J1029" s="4"/>
      <c r="K1029" s="4"/>
      <c r="L1029" s="4"/>
      <c r="M1029" s="4"/>
    </row>
    <row r="1030" spans="1:13" s="34" customFormat="1">
      <c r="A1030" s="3"/>
      <c r="B1030" s="4"/>
      <c r="C1030" s="4"/>
      <c r="D1030" s="4"/>
      <c r="E1030" s="4"/>
      <c r="F1030" s="4"/>
      <c r="G1030" s="4"/>
      <c r="H1030" s="4"/>
      <c r="I1030" s="4"/>
      <c r="J1030" s="4"/>
      <c r="K1030" s="4"/>
      <c r="L1030" s="4"/>
      <c r="M1030" s="4"/>
    </row>
    <row r="1031" spans="1:13" s="34" customFormat="1">
      <c r="A1031" s="3"/>
      <c r="B1031" s="4"/>
      <c r="C1031" s="4"/>
      <c r="D1031" s="4"/>
      <c r="E1031" s="4"/>
      <c r="F1031" s="4"/>
      <c r="G1031" s="4"/>
      <c r="H1031" s="4"/>
      <c r="I1031" s="4"/>
      <c r="J1031" s="4"/>
      <c r="K1031" s="4"/>
      <c r="L1031" s="4"/>
      <c r="M1031" s="4"/>
    </row>
    <row r="1032" spans="1:13" s="34" customFormat="1">
      <c r="A1032" s="3"/>
      <c r="B1032" s="4"/>
      <c r="C1032" s="4"/>
      <c r="D1032" s="4"/>
      <c r="E1032" s="4"/>
      <c r="F1032" s="4"/>
      <c r="G1032" s="4"/>
      <c r="H1032" s="4"/>
      <c r="I1032" s="4"/>
      <c r="J1032" s="4"/>
      <c r="K1032" s="4"/>
      <c r="L1032" s="4"/>
      <c r="M1032" s="4"/>
    </row>
    <row r="1033" spans="1:13" s="34" customFormat="1">
      <c r="A1033" s="3"/>
      <c r="B1033" s="4"/>
      <c r="C1033" s="4"/>
      <c r="D1033" s="4"/>
      <c r="E1033" s="4"/>
      <c r="F1033" s="4"/>
      <c r="G1033" s="4"/>
      <c r="H1033" s="4"/>
      <c r="I1033" s="4"/>
      <c r="J1033" s="4"/>
      <c r="K1033" s="4"/>
      <c r="L1033" s="4"/>
      <c r="M1033" s="4"/>
    </row>
    <row r="1034" spans="1:13" s="34" customFormat="1">
      <c r="A1034" s="3"/>
      <c r="B1034" s="4"/>
      <c r="C1034" s="4"/>
      <c r="D1034" s="4"/>
      <c r="E1034" s="4"/>
      <c r="F1034" s="4"/>
      <c r="G1034" s="4"/>
      <c r="H1034" s="4"/>
      <c r="I1034" s="4"/>
      <c r="J1034" s="4"/>
      <c r="K1034" s="4"/>
      <c r="L1034" s="4"/>
      <c r="M1034" s="4"/>
    </row>
    <row r="1035" spans="1:13" s="34" customFormat="1">
      <c r="A1035" s="3"/>
      <c r="B1035" s="4"/>
      <c r="C1035" s="4"/>
      <c r="D1035" s="4"/>
      <c r="E1035" s="4"/>
      <c r="F1035" s="4"/>
      <c r="G1035" s="4"/>
      <c r="H1035" s="4"/>
      <c r="I1035" s="4"/>
      <c r="J1035" s="4"/>
      <c r="K1035" s="4"/>
      <c r="L1035" s="4"/>
      <c r="M1035" s="4"/>
    </row>
    <row r="1036" spans="1:13" s="34" customFormat="1">
      <c r="A1036" s="3"/>
      <c r="B1036" s="4"/>
      <c r="C1036" s="4"/>
      <c r="D1036" s="4"/>
      <c r="E1036" s="4"/>
      <c r="F1036" s="4"/>
      <c r="G1036" s="4"/>
      <c r="H1036" s="4"/>
      <c r="I1036" s="4"/>
      <c r="J1036" s="4"/>
      <c r="K1036" s="4"/>
      <c r="L1036" s="4"/>
      <c r="M1036" s="4"/>
    </row>
    <row r="1037" spans="1:13" s="34" customFormat="1">
      <c r="A1037" s="3"/>
      <c r="B1037" s="4"/>
      <c r="C1037" s="4"/>
      <c r="D1037" s="4"/>
      <c r="E1037" s="4"/>
      <c r="F1037" s="4"/>
      <c r="G1037" s="4"/>
      <c r="H1037" s="4"/>
      <c r="I1037" s="4"/>
      <c r="J1037" s="4"/>
      <c r="K1037" s="4"/>
      <c r="L1037" s="4"/>
      <c r="M1037" s="4"/>
    </row>
    <row r="1038" spans="1:13" s="34" customFormat="1">
      <c r="A1038" s="3"/>
      <c r="B1038" s="4"/>
      <c r="C1038" s="4"/>
      <c r="D1038" s="4"/>
      <c r="E1038" s="4"/>
      <c r="F1038" s="4"/>
      <c r="G1038" s="4"/>
      <c r="H1038" s="4"/>
      <c r="I1038" s="4"/>
      <c r="J1038" s="4"/>
      <c r="K1038" s="4"/>
      <c r="L1038" s="4"/>
      <c r="M1038" s="4"/>
    </row>
    <row r="1039" spans="1:13" s="34" customFormat="1">
      <c r="A1039" s="3"/>
      <c r="B1039" s="4"/>
      <c r="C1039" s="4"/>
      <c r="D1039" s="4"/>
      <c r="E1039" s="4"/>
      <c r="F1039" s="4"/>
      <c r="G1039" s="4"/>
      <c r="H1039" s="4"/>
      <c r="I1039" s="4"/>
      <c r="J1039" s="4"/>
      <c r="K1039" s="4"/>
      <c r="L1039" s="4"/>
      <c r="M1039" s="4"/>
    </row>
    <row r="1040" spans="1:13" s="34" customFormat="1">
      <c r="A1040" s="3"/>
      <c r="B1040" s="4"/>
      <c r="C1040" s="4"/>
      <c r="D1040" s="4"/>
      <c r="E1040" s="4"/>
      <c r="F1040" s="4"/>
      <c r="G1040" s="4"/>
      <c r="H1040" s="4"/>
      <c r="I1040" s="4"/>
      <c r="J1040" s="4"/>
      <c r="K1040" s="4"/>
      <c r="L1040" s="4"/>
      <c r="M1040" s="4"/>
    </row>
    <row r="1041" spans="1:13" s="34" customFormat="1">
      <c r="A1041" s="3"/>
      <c r="B1041" s="4"/>
      <c r="C1041" s="4"/>
      <c r="D1041" s="4"/>
      <c r="E1041" s="4"/>
      <c r="F1041" s="4"/>
      <c r="G1041" s="4"/>
      <c r="H1041" s="4"/>
      <c r="I1041" s="4"/>
      <c r="J1041" s="4"/>
      <c r="K1041" s="4"/>
      <c r="L1041" s="4"/>
      <c r="M1041" s="4"/>
    </row>
    <row r="1042" spans="1:13" s="34" customFormat="1">
      <c r="A1042" s="3"/>
      <c r="B1042" s="4"/>
      <c r="C1042" s="4"/>
      <c r="D1042" s="4"/>
      <c r="E1042" s="4"/>
      <c r="F1042" s="4"/>
      <c r="G1042" s="4"/>
      <c r="H1042" s="4"/>
      <c r="I1042" s="4"/>
      <c r="J1042" s="4"/>
      <c r="K1042" s="4"/>
      <c r="L1042" s="4"/>
      <c r="M1042" s="4"/>
    </row>
    <row r="1043" spans="1:13" s="34" customFormat="1">
      <c r="A1043" s="3"/>
      <c r="B1043" s="4"/>
      <c r="C1043" s="4"/>
      <c r="D1043" s="4"/>
      <c r="E1043" s="4"/>
      <c r="F1043" s="4"/>
      <c r="G1043" s="4"/>
      <c r="H1043" s="4"/>
      <c r="I1043" s="4"/>
      <c r="J1043" s="4"/>
      <c r="K1043" s="4"/>
      <c r="L1043" s="4"/>
      <c r="M1043" s="4"/>
    </row>
    <row r="1044" spans="1:13" s="34" customFormat="1">
      <c r="A1044" s="3"/>
      <c r="B1044" s="4"/>
      <c r="C1044" s="4"/>
      <c r="D1044" s="4"/>
      <c r="E1044" s="4"/>
      <c r="F1044" s="4"/>
      <c r="G1044" s="4"/>
      <c r="H1044" s="4"/>
      <c r="I1044" s="4"/>
      <c r="J1044" s="4"/>
      <c r="K1044" s="4"/>
      <c r="L1044" s="4"/>
      <c r="M1044" s="4"/>
    </row>
    <row r="1045" spans="1:13" s="34" customFormat="1">
      <c r="A1045" s="3"/>
      <c r="B1045" s="4"/>
      <c r="C1045" s="4"/>
      <c r="D1045" s="4"/>
      <c r="E1045" s="4"/>
      <c r="F1045" s="4"/>
      <c r="G1045" s="4"/>
      <c r="H1045" s="4"/>
      <c r="I1045" s="4"/>
      <c r="J1045" s="4"/>
      <c r="K1045" s="4"/>
      <c r="L1045" s="4"/>
      <c r="M1045" s="4"/>
    </row>
    <row r="1046" spans="1:13" s="34" customFormat="1">
      <c r="A1046" s="3"/>
      <c r="B1046" s="4"/>
      <c r="C1046" s="4"/>
      <c r="D1046" s="4"/>
      <c r="E1046" s="4"/>
      <c r="F1046" s="4"/>
      <c r="G1046" s="4"/>
      <c r="H1046" s="4"/>
      <c r="I1046" s="4"/>
      <c r="J1046" s="4"/>
      <c r="K1046" s="4"/>
      <c r="L1046" s="4"/>
      <c r="M1046" s="4"/>
    </row>
    <row r="1047" spans="1:13" s="34" customFormat="1">
      <c r="A1047" s="3"/>
      <c r="B1047" s="4"/>
      <c r="C1047" s="4"/>
      <c r="D1047" s="4"/>
      <c r="E1047" s="4"/>
      <c r="F1047" s="4"/>
      <c r="G1047" s="4"/>
      <c r="H1047" s="4"/>
      <c r="I1047" s="4"/>
      <c r="J1047" s="4"/>
      <c r="K1047" s="4"/>
      <c r="L1047" s="4"/>
      <c r="M1047" s="4"/>
    </row>
    <row r="1048" spans="1:13" s="34" customFormat="1">
      <c r="A1048" s="3"/>
      <c r="B1048" s="4"/>
      <c r="C1048" s="4"/>
      <c r="D1048" s="4"/>
      <c r="E1048" s="4"/>
      <c r="F1048" s="4"/>
      <c r="G1048" s="4"/>
      <c r="H1048" s="4"/>
      <c r="I1048" s="4"/>
      <c r="J1048" s="4"/>
      <c r="K1048" s="4"/>
      <c r="L1048" s="4"/>
      <c r="M1048" s="4"/>
    </row>
    <row r="1049" spans="1:13" s="34" customFormat="1">
      <c r="A1049" s="3"/>
      <c r="B1049" s="4"/>
      <c r="C1049" s="4"/>
      <c r="D1049" s="4"/>
      <c r="E1049" s="4"/>
      <c r="F1049" s="4"/>
      <c r="G1049" s="4"/>
      <c r="H1049" s="4"/>
      <c r="I1049" s="4"/>
      <c r="J1049" s="4"/>
      <c r="K1049" s="4"/>
      <c r="L1049" s="4"/>
      <c r="M1049" s="4"/>
    </row>
    <row r="1050" spans="1:13" s="34" customFormat="1">
      <c r="A1050" s="3"/>
      <c r="B1050" s="4"/>
      <c r="C1050" s="4"/>
      <c r="D1050" s="4"/>
      <c r="E1050" s="4"/>
      <c r="F1050" s="4"/>
      <c r="G1050" s="4"/>
      <c r="H1050" s="4"/>
      <c r="I1050" s="4"/>
      <c r="J1050" s="4"/>
      <c r="K1050" s="4"/>
      <c r="L1050" s="4"/>
      <c r="M1050" s="4"/>
    </row>
    <row r="1051" spans="1:13" s="34" customFormat="1">
      <c r="A1051" s="3"/>
      <c r="B1051" s="4"/>
      <c r="C1051" s="4"/>
      <c r="D1051" s="4"/>
      <c r="E1051" s="4"/>
      <c r="F1051" s="4"/>
      <c r="G1051" s="4"/>
      <c r="H1051" s="4"/>
      <c r="I1051" s="4"/>
      <c r="J1051" s="4"/>
      <c r="K1051" s="4"/>
      <c r="L1051" s="4"/>
      <c r="M1051" s="4"/>
    </row>
    <row r="1052" spans="1:13" s="34" customFormat="1">
      <c r="A1052" s="3"/>
      <c r="B1052" s="4"/>
      <c r="C1052" s="4"/>
      <c r="D1052" s="4"/>
      <c r="E1052" s="4"/>
      <c r="F1052" s="4"/>
      <c r="G1052" s="4"/>
      <c r="H1052" s="4"/>
      <c r="I1052" s="4"/>
      <c r="J1052" s="4"/>
      <c r="K1052" s="4"/>
      <c r="L1052" s="4"/>
      <c r="M1052" s="4"/>
    </row>
    <row r="1053" spans="1:13" s="34" customFormat="1">
      <c r="A1053" s="3"/>
      <c r="B1053" s="4"/>
      <c r="C1053" s="4"/>
      <c r="D1053" s="4"/>
      <c r="E1053" s="4"/>
      <c r="F1053" s="4"/>
      <c r="G1053" s="4"/>
      <c r="H1053" s="4"/>
      <c r="I1053" s="4"/>
      <c r="J1053" s="4"/>
      <c r="K1053" s="4"/>
      <c r="L1053" s="4"/>
      <c r="M1053" s="4"/>
    </row>
    <row r="1054" spans="1:13" s="34" customFormat="1">
      <c r="A1054" s="3"/>
      <c r="B1054" s="4"/>
      <c r="C1054" s="4"/>
      <c r="D1054" s="4"/>
      <c r="E1054" s="4"/>
      <c r="F1054" s="4"/>
      <c r="G1054" s="4"/>
      <c r="H1054" s="4"/>
      <c r="I1054" s="4"/>
      <c r="J1054" s="4"/>
      <c r="K1054" s="4"/>
      <c r="L1054" s="4"/>
      <c r="M1054" s="4"/>
    </row>
    <row r="1055" spans="1:13" s="34" customFormat="1">
      <c r="A1055" s="3"/>
      <c r="B1055" s="4"/>
      <c r="C1055" s="4"/>
      <c r="D1055" s="4"/>
      <c r="E1055" s="4"/>
      <c r="F1055" s="4"/>
      <c r="G1055" s="4"/>
      <c r="H1055" s="4"/>
      <c r="I1055" s="4"/>
      <c r="J1055" s="4"/>
      <c r="K1055" s="4"/>
      <c r="L1055" s="4"/>
      <c r="M1055" s="4"/>
    </row>
    <row r="1056" spans="1:13" s="34" customFormat="1">
      <c r="A1056" s="3"/>
      <c r="B1056" s="4"/>
      <c r="C1056" s="4"/>
      <c r="D1056" s="4"/>
      <c r="E1056" s="4"/>
      <c r="F1056" s="4"/>
      <c r="G1056" s="4"/>
      <c r="H1056" s="4"/>
      <c r="I1056" s="4"/>
      <c r="J1056" s="4"/>
      <c r="K1056" s="4"/>
      <c r="L1056" s="4"/>
      <c r="M1056" s="4"/>
    </row>
    <row r="1057" spans="1:13" s="34" customFormat="1">
      <c r="A1057" s="3"/>
      <c r="B1057" s="4"/>
      <c r="C1057" s="4"/>
      <c r="D1057" s="4"/>
      <c r="E1057" s="4"/>
      <c r="F1057" s="4"/>
      <c r="G1057" s="4"/>
      <c r="H1057" s="4"/>
      <c r="I1057" s="4"/>
      <c r="J1057" s="4"/>
      <c r="K1057" s="4"/>
      <c r="L1057" s="4"/>
      <c r="M1057" s="4"/>
    </row>
    <row r="1058" spans="1:13" s="34" customFormat="1">
      <c r="A1058" s="3"/>
      <c r="B1058" s="4"/>
      <c r="C1058" s="4"/>
      <c r="D1058" s="4"/>
      <c r="E1058" s="4"/>
      <c r="F1058" s="4"/>
      <c r="G1058" s="4"/>
      <c r="H1058" s="4"/>
      <c r="I1058" s="4"/>
      <c r="J1058" s="4"/>
      <c r="K1058" s="4"/>
      <c r="L1058" s="4"/>
      <c r="M1058" s="4"/>
    </row>
    <row r="1059" spans="1:13" s="34" customFormat="1">
      <c r="A1059" s="3"/>
      <c r="B1059" s="4"/>
      <c r="C1059" s="4"/>
      <c r="D1059" s="4"/>
      <c r="E1059" s="4"/>
      <c r="F1059" s="4"/>
      <c r="G1059" s="4"/>
      <c r="H1059" s="4"/>
      <c r="I1059" s="4"/>
      <c r="J1059" s="4"/>
      <c r="K1059" s="4"/>
      <c r="L1059" s="4"/>
      <c r="M1059" s="4"/>
    </row>
    <row r="1060" spans="1:13" s="34" customFormat="1">
      <c r="A1060" s="3"/>
      <c r="B1060" s="4"/>
      <c r="C1060" s="4"/>
      <c r="D1060" s="4"/>
      <c r="E1060" s="4"/>
      <c r="F1060" s="4"/>
      <c r="G1060" s="4"/>
      <c r="H1060" s="4"/>
      <c r="I1060" s="4"/>
      <c r="J1060" s="4"/>
      <c r="K1060" s="4"/>
      <c r="L1060" s="4"/>
      <c r="M1060" s="4"/>
    </row>
    <row r="1061" spans="1:13" s="34" customFormat="1">
      <c r="A1061" s="3"/>
      <c r="B1061" s="4"/>
      <c r="C1061" s="4"/>
      <c r="D1061" s="4"/>
      <c r="E1061" s="4"/>
      <c r="F1061" s="4"/>
      <c r="G1061" s="4"/>
      <c r="H1061" s="4"/>
      <c r="I1061" s="4"/>
      <c r="J1061" s="4"/>
      <c r="K1061" s="4"/>
      <c r="L1061" s="4"/>
      <c r="M1061" s="4"/>
    </row>
    <row r="1062" spans="1:13" s="34" customFormat="1">
      <c r="A1062" s="3"/>
      <c r="B1062" s="4"/>
      <c r="C1062" s="4"/>
      <c r="D1062" s="4"/>
      <c r="E1062" s="4"/>
      <c r="F1062" s="4"/>
      <c r="G1062" s="4"/>
      <c r="H1062" s="4"/>
      <c r="I1062" s="4"/>
      <c r="J1062" s="4"/>
      <c r="K1062" s="4"/>
      <c r="L1062" s="4"/>
      <c r="M1062" s="4"/>
    </row>
    <row r="1063" spans="1:13" s="34" customFormat="1">
      <c r="A1063" s="3"/>
      <c r="B1063" s="4"/>
      <c r="C1063" s="4"/>
      <c r="D1063" s="4"/>
      <c r="E1063" s="4"/>
      <c r="F1063" s="4"/>
      <c r="G1063" s="4"/>
      <c r="H1063" s="4"/>
      <c r="I1063" s="4"/>
      <c r="J1063" s="4"/>
      <c r="K1063" s="4"/>
      <c r="L1063" s="4"/>
      <c r="M1063" s="4"/>
    </row>
    <row r="1064" spans="1:13" s="34" customFormat="1">
      <c r="A1064" s="3"/>
      <c r="B1064" s="4"/>
      <c r="C1064" s="4"/>
      <c r="D1064" s="4"/>
      <c r="E1064" s="4"/>
      <c r="F1064" s="4"/>
      <c r="G1064" s="4"/>
      <c r="H1064" s="4"/>
      <c r="I1064" s="4"/>
      <c r="J1064" s="4"/>
      <c r="K1064" s="4"/>
      <c r="L1064" s="4"/>
      <c r="M1064" s="4"/>
    </row>
    <row r="1065" spans="1:13" s="34" customFormat="1">
      <c r="A1065" s="3"/>
      <c r="B1065" s="4"/>
      <c r="C1065" s="4"/>
      <c r="D1065" s="4"/>
      <c r="E1065" s="4"/>
      <c r="F1065" s="4"/>
      <c r="G1065" s="4"/>
      <c r="H1065" s="4"/>
      <c r="I1065" s="4"/>
      <c r="J1065" s="4"/>
      <c r="K1065" s="4"/>
      <c r="L1065" s="4"/>
      <c r="M1065" s="4"/>
    </row>
    <row r="1066" spans="1:13" s="34" customFormat="1">
      <c r="A1066" s="3"/>
      <c r="B1066" s="4"/>
      <c r="C1066" s="4"/>
      <c r="D1066" s="4"/>
      <c r="E1066" s="4"/>
      <c r="F1066" s="4"/>
      <c r="G1066" s="4"/>
      <c r="H1066" s="4"/>
      <c r="I1066" s="4"/>
      <c r="J1066" s="4"/>
      <c r="K1066" s="4"/>
      <c r="L1066" s="4"/>
      <c r="M1066" s="4"/>
    </row>
    <row r="1067" spans="1:13" s="34" customFormat="1">
      <c r="A1067" s="3"/>
      <c r="B1067" s="4"/>
      <c r="C1067" s="4"/>
      <c r="D1067" s="4"/>
      <c r="E1067" s="4"/>
      <c r="F1067" s="4"/>
      <c r="G1067" s="4"/>
      <c r="H1067" s="4"/>
      <c r="I1067" s="4"/>
      <c r="J1067" s="4"/>
      <c r="K1067" s="4"/>
      <c r="L1067" s="4"/>
      <c r="M1067" s="4"/>
    </row>
    <row r="1068" spans="1:13" s="34" customFormat="1">
      <c r="A1068" s="3"/>
      <c r="B1068" s="4"/>
      <c r="C1068" s="4"/>
      <c r="D1068" s="4"/>
      <c r="E1068" s="4"/>
      <c r="F1068" s="4"/>
      <c r="G1068" s="4"/>
      <c r="H1068" s="4"/>
      <c r="I1068" s="4"/>
      <c r="J1068" s="4"/>
      <c r="K1068" s="4"/>
      <c r="L1068" s="4"/>
      <c r="M1068" s="4"/>
    </row>
    <row r="1069" spans="1:13" s="34" customFormat="1">
      <c r="A1069" s="3"/>
      <c r="B1069" s="4"/>
      <c r="C1069" s="4"/>
      <c r="D1069" s="4"/>
      <c r="E1069" s="4"/>
      <c r="F1069" s="4"/>
      <c r="G1069" s="4"/>
      <c r="H1069" s="4"/>
      <c r="I1069" s="4"/>
      <c r="J1069" s="4"/>
      <c r="K1069" s="4"/>
      <c r="L1069" s="4"/>
      <c r="M1069" s="4"/>
    </row>
    <row r="1070" spans="1:13" s="34" customFormat="1">
      <c r="A1070" s="3"/>
      <c r="B1070" s="4"/>
      <c r="C1070" s="4"/>
      <c r="D1070" s="4"/>
      <c r="E1070" s="4"/>
      <c r="F1070" s="4"/>
      <c r="G1070" s="4"/>
      <c r="H1070" s="4"/>
      <c r="I1070" s="4"/>
      <c r="J1070" s="4"/>
      <c r="K1070" s="4"/>
      <c r="L1070" s="4"/>
      <c r="M1070" s="4"/>
    </row>
    <row r="1071" spans="1:13" s="34" customFormat="1">
      <c r="A1071" s="3"/>
      <c r="B1071" s="4"/>
      <c r="C1071" s="4"/>
      <c r="D1071" s="4"/>
      <c r="E1071" s="4"/>
      <c r="F1071" s="4"/>
      <c r="G1071" s="4"/>
      <c r="H1071" s="4"/>
      <c r="I1071" s="4"/>
      <c r="J1071" s="4"/>
      <c r="K1071" s="4"/>
      <c r="L1071" s="4"/>
      <c r="M1071" s="4"/>
    </row>
    <row r="1072" spans="1:13" s="34" customFormat="1">
      <c r="A1072" s="3"/>
      <c r="B1072" s="4"/>
      <c r="C1072" s="4"/>
      <c r="D1072" s="4"/>
      <c r="E1072" s="4"/>
      <c r="F1072" s="4"/>
      <c r="G1072" s="4"/>
      <c r="H1072" s="4"/>
      <c r="I1072" s="4"/>
      <c r="J1072" s="4"/>
      <c r="K1072" s="4"/>
      <c r="L1072" s="4"/>
      <c r="M1072" s="4"/>
    </row>
    <row r="1073" spans="1:13" s="34" customFormat="1">
      <c r="A1073" s="3"/>
      <c r="B1073" s="4"/>
      <c r="C1073" s="4"/>
      <c r="D1073" s="4"/>
      <c r="E1073" s="4"/>
      <c r="F1073" s="4"/>
      <c r="G1073" s="4"/>
      <c r="H1073" s="4"/>
      <c r="I1073" s="4"/>
      <c r="J1073" s="4"/>
      <c r="K1073" s="4"/>
      <c r="L1073" s="4"/>
      <c r="M1073" s="4"/>
    </row>
    <row r="1074" spans="1:13" s="34" customFormat="1">
      <c r="A1074" s="3"/>
      <c r="B1074" s="4"/>
      <c r="C1074" s="4"/>
      <c r="D1074" s="4"/>
      <c r="E1074" s="4"/>
      <c r="F1074" s="4"/>
      <c r="G1074" s="4"/>
      <c r="H1074" s="4"/>
      <c r="I1074" s="4"/>
      <c r="J1074" s="4"/>
      <c r="K1074" s="4"/>
      <c r="L1074" s="4"/>
      <c r="M1074" s="4"/>
    </row>
    <row r="1075" spans="1:13" s="34" customFormat="1">
      <c r="A1075" s="3"/>
      <c r="B1075" s="4"/>
      <c r="C1075" s="4"/>
      <c r="D1075" s="4"/>
      <c r="E1075" s="4"/>
      <c r="F1075" s="4"/>
      <c r="G1075" s="4"/>
      <c r="H1075" s="4"/>
      <c r="I1075" s="4"/>
      <c r="J1075" s="4"/>
      <c r="K1075" s="4"/>
      <c r="L1075" s="4"/>
      <c r="M1075" s="4"/>
    </row>
    <row r="1076" spans="1:13" s="34" customFormat="1">
      <c r="A1076" s="3"/>
      <c r="B1076" s="4"/>
      <c r="C1076" s="4"/>
      <c r="D1076" s="4"/>
      <c r="E1076" s="4"/>
      <c r="F1076" s="4"/>
      <c r="G1076" s="4"/>
      <c r="H1076" s="4"/>
      <c r="I1076" s="4"/>
      <c r="J1076" s="4"/>
      <c r="K1076" s="4"/>
      <c r="L1076" s="4"/>
      <c r="M1076" s="4"/>
    </row>
    <row r="1077" spans="1:13" s="34" customFormat="1">
      <c r="A1077" s="3"/>
      <c r="B1077" s="4"/>
      <c r="C1077" s="4"/>
      <c r="D1077" s="4"/>
      <c r="E1077" s="4"/>
      <c r="F1077" s="4"/>
      <c r="G1077" s="4"/>
      <c r="H1077" s="4"/>
      <c r="I1077" s="4"/>
      <c r="J1077" s="4"/>
      <c r="K1077" s="4"/>
      <c r="L1077" s="4"/>
      <c r="M1077" s="4"/>
    </row>
    <row r="1078" spans="1:13" s="34" customFormat="1">
      <c r="A1078" s="3"/>
      <c r="B1078" s="4"/>
      <c r="C1078" s="4"/>
      <c r="D1078" s="4"/>
      <c r="E1078" s="4"/>
      <c r="F1078" s="4"/>
      <c r="G1078" s="4"/>
      <c r="H1078" s="4"/>
      <c r="I1078" s="4"/>
      <c r="J1078" s="4"/>
      <c r="K1078" s="4"/>
      <c r="L1078" s="4"/>
      <c r="M1078" s="4"/>
    </row>
    <row r="1079" spans="1:13" s="34" customFormat="1">
      <c r="A1079" s="3"/>
      <c r="B1079" s="4"/>
      <c r="C1079" s="4"/>
      <c r="D1079" s="4"/>
      <c r="E1079" s="4"/>
      <c r="F1079" s="4"/>
      <c r="G1079" s="4"/>
      <c r="H1079" s="4"/>
      <c r="I1079" s="4"/>
      <c r="J1079" s="4"/>
      <c r="K1079" s="4"/>
      <c r="L1079" s="4"/>
      <c r="M1079" s="4"/>
    </row>
    <row r="1080" spans="1:13" s="34" customFormat="1">
      <c r="A1080" s="3"/>
      <c r="B1080" s="4"/>
      <c r="C1080" s="4"/>
      <c r="D1080" s="4"/>
      <c r="E1080" s="4"/>
      <c r="F1080" s="4"/>
      <c r="G1080" s="4"/>
      <c r="H1080" s="4"/>
      <c r="I1080" s="4"/>
      <c r="J1080" s="4"/>
      <c r="K1080" s="4"/>
      <c r="L1080" s="4"/>
      <c r="M1080" s="4"/>
    </row>
    <row r="1081" spans="1:13" s="34" customFormat="1">
      <c r="A1081" s="3"/>
      <c r="B1081" s="4"/>
      <c r="C1081" s="4"/>
      <c r="D1081" s="4"/>
      <c r="E1081" s="4"/>
      <c r="F1081" s="4"/>
      <c r="G1081" s="4"/>
      <c r="H1081" s="4"/>
      <c r="I1081" s="4"/>
      <c r="J1081" s="4"/>
      <c r="K1081" s="4"/>
      <c r="L1081" s="4"/>
      <c r="M1081" s="4"/>
    </row>
    <row r="1082" spans="1:13" s="34" customFormat="1">
      <c r="A1082" s="3"/>
      <c r="B1082" s="4"/>
      <c r="C1082" s="4"/>
      <c r="D1082" s="4"/>
      <c r="E1082" s="4"/>
      <c r="F1082" s="4"/>
      <c r="G1082" s="4"/>
      <c r="H1082" s="4"/>
      <c r="I1082" s="4"/>
      <c r="J1082" s="4"/>
      <c r="K1082" s="4"/>
      <c r="L1082" s="4"/>
      <c r="M1082" s="4"/>
    </row>
    <row r="1083" spans="1:13" s="34" customFormat="1">
      <c r="A1083" s="3"/>
      <c r="B1083" s="4"/>
      <c r="C1083" s="4"/>
      <c r="D1083" s="4"/>
      <c r="E1083" s="4"/>
      <c r="F1083" s="4"/>
      <c r="G1083" s="4"/>
      <c r="H1083" s="4"/>
      <c r="I1083" s="4"/>
      <c r="J1083" s="4"/>
      <c r="K1083" s="4"/>
      <c r="L1083" s="4"/>
      <c r="M1083" s="4"/>
    </row>
    <row r="1084" spans="1:13" s="34" customFormat="1">
      <c r="A1084" s="3"/>
      <c r="B1084" s="4"/>
      <c r="C1084" s="4"/>
      <c r="D1084" s="4"/>
      <c r="E1084" s="4"/>
      <c r="F1084" s="4"/>
      <c r="G1084" s="4"/>
      <c r="H1084" s="4"/>
      <c r="I1084" s="4"/>
      <c r="J1084" s="4"/>
      <c r="K1084" s="4"/>
      <c r="L1084" s="4"/>
      <c r="M1084" s="4"/>
    </row>
    <row r="1085" spans="1:13" s="34" customFormat="1">
      <c r="A1085" s="3"/>
      <c r="B1085" s="4"/>
      <c r="C1085" s="4"/>
      <c r="D1085" s="4"/>
      <c r="E1085" s="4"/>
      <c r="F1085" s="4"/>
      <c r="G1085" s="4"/>
      <c r="H1085" s="4"/>
      <c r="I1085" s="4"/>
      <c r="J1085" s="4"/>
      <c r="K1085" s="4"/>
      <c r="L1085" s="4"/>
      <c r="M1085" s="4"/>
    </row>
    <row r="1086" spans="1:13" s="34" customFormat="1">
      <c r="A1086" s="3"/>
      <c r="B1086" s="4"/>
      <c r="C1086" s="4"/>
      <c r="D1086" s="4"/>
      <c r="E1086" s="4"/>
      <c r="F1086" s="4"/>
      <c r="G1086" s="4"/>
      <c r="H1086" s="4"/>
      <c r="I1086" s="4"/>
      <c r="J1086" s="4"/>
      <c r="K1086" s="4"/>
      <c r="L1086" s="4"/>
      <c r="M1086" s="4"/>
    </row>
    <row r="1087" spans="1:13" s="34" customFormat="1">
      <c r="A1087" s="3"/>
      <c r="B1087" s="4"/>
      <c r="C1087" s="4"/>
      <c r="D1087" s="4"/>
      <c r="E1087" s="4"/>
      <c r="F1087" s="4"/>
      <c r="G1087" s="4"/>
      <c r="H1087" s="4"/>
      <c r="I1087" s="4"/>
      <c r="J1087" s="4"/>
      <c r="K1087" s="4"/>
      <c r="L1087" s="4"/>
      <c r="M1087" s="4"/>
    </row>
    <row r="1088" spans="1:13" s="34" customFormat="1">
      <c r="A1088" s="3"/>
      <c r="B1088" s="4"/>
      <c r="C1088" s="4"/>
      <c r="D1088" s="4"/>
      <c r="E1088" s="4"/>
      <c r="F1088" s="4"/>
      <c r="G1088" s="4"/>
      <c r="H1088" s="4"/>
      <c r="I1088" s="4"/>
      <c r="J1088" s="4"/>
      <c r="K1088" s="4"/>
      <c r="L1088" s="4"/>
      <c r="M1088" s="4"/>
    </row>
    <row r="1089" spans="1:13" s="34" customFormat="1">
      <c r="A1089" s="3"/>
      <c r="B1089" s="4"/>
      <c r="C1089" s="4"/>
      <c r="D1089" s="4"/>
      <c r="E1089" s="4"/>
      <c r="F1089" s="4"/>
      <c r="G1089" s="4"/>
      <c r="H1089" s="4"/>
      <c r="I1089" s="4"/>
      <c r="J1089" s="4"/>
      <c r="K1089" s="4"/>
      <c r="L1089" s="4"/>
      <c r="M1089" s="4"/>
    </row>
    <row r="1090" spans="1:13" s="34" customFormat="1">
      <c r="A1090" s="3"/>
      <c r="B1090" s="4"/>
      <c r="C1090" s="4"/>
      <c r="D1090" s="4"/>
      <c r="E1090" s="4"/>
      <c r="F1090" s="4"/>
      <c r="G1090" s="4"/>
      <c r="H1090" s="4"/>
      <c r="I1090" s="4"/>
      <c r="J1090" s="4"/>
      <c r="K1090" s="4"/>
      <c r="L1090" s="4"/>
      <c r="M1090" s="4"/>
    </row>
    <row r="1091" spans="1:13" s="34" customFormat="1">
      <c r="A1091" s="3"/>
      <c r="B1091" s="4"/>
      <c r="C1091" s="4"/>
      <c r="D1091" s="4"/>
      <c r="E1091" s="4"/>
      <c r="F1091" s="4"/>
      <c r="G1091" s="4"/>
      <c r="H1091" s="4"/>
      <c r="I1091" s="4"/>
      <c r="J1091" s="4"/>
      <c r="K1091" s="4"/>
      <c r="L1091" s="4"/>
      <c r="M1091" s="4"/>
    </row>
    <row r="1092" spans="1:13" s="34" customFormat="1">
      <c r="A1092" s="3"/>
      <c r="B1092" s="4"/>
      <c r="C1092" s="4"/>
      <c r="D1092" s="4"/>
      <c r="E1092" s="4"/>
      <c r="F1092" s="4"/>
      <c r="G1092" s="4"/>
      <c r="H1092" s="4"/>
      <c r="I1092" s="4"/>
      <c r="J1092" s="4"/>
      <c r="K1092" s="4"/>
      <c r="L1092" s="4"/>
      <c r="M1092" s="4"/>
    </row>
    <row r="1093" spans="1:13" s="34" customFormat="1">
      <c r="A1093" s="3"/>
      <c r="B1093" s="4"/>
      <c r="C1093" s="4"/>
      <c r="D1093" s="4"/>
      <c r="E1093" s="4"/>
      <c r="F1093" s="4"/>
      <c r="G1093" s="4"/>
      <c r="H1093" s="4"/>
      <c r="I1093" s="4"/>
      <c r="J1093" s="4"/>
      <c r="K1093" s="4"/>
      <c r="L1093" s="4"/>
      <c r="M1093" s="4"/>
    </row>
    <row r="1094" spans="1:13" s="34" customFormat="1">
      <c r="A1094" s="3"/>
      <c r="B1094" s="4"/>
      <c r="C1094" s="4"/>
      <c r="D1094" s="4"/>
      <c r="E1094" s="4"/>
      <c r="F1094" s="4"/>
      <c r="G1094" s="4"/>
      <c r="H1094" s="4"/>
      <c r="I1094" s="4"/>
      <c r="J1094" s="4"/>
      <c r="K1094" s="4"/>
      <c r="L1094" s="4"/>
      <c r="M1094" s="4"/>
    </row>
    <row r="1095" spans="1:13" s="34" customFormat="1">
      <c r="A1095" s="3"/>
      <c r="B1095" s="4"/>
      <c r="C1095" s="4"/>
      <c r="D1095" s="4"/>
      <c r="E1095" s="4"/>
      <c r="F1095" s="4"/>
      <c r="G1095" s="4"/>
      <c r="H1095" s="4"/>
      <c r="I1095" s="4"/>
      <c r="J1095" s="4"/>
      <c r="K1095" s="4"/>
      <c r="L1095" s="4"/>
      <c r="M1095" s="4"/>
    </row>
    <row r="1096" spans="1:13" s="34" customFormat="1">
      <c r="A1096" s="3"/>
      <c r="B1096" s="4"/>
      <c r="C1096" s="4"/>
      <c r="D1096" s="4"/>
      <c r="E1096" s="4"/>
      <c r="F1096" s="4"/>
      <c r="G1096" s="4"/>
      <c r="H1096" s="4"/>
      <c r="I1096" s="4"/>
      <c r="J1096" s="4"/>
      <c r="K1096" s="4"/>
      <c r="L1096" s="4"/>
      <c r="M1096" s="4"/>
    </row>
    <row r="1097" spans="1:13" s="34" customFormat="1">
      <c r="A1097" s="3"/>
      <c r="B1097" s="4"/>
      <c r="C1097" s="4"/>
      <c r="D1097" s="4"/>
      <c r="E1097" s="4"/>
      <c r="F1097" s="4"/>
      <c r="G1097" s="4"/>
      <c r="H1097" s="4"/>
      <c r="I1097" s="4"/>
      <c r="J1097" s="4"/>
      <c r="K1097" s="4"/>
      <c r="L1097" s="4"/>
      <c r="M1097" s="4"/>
    </row>
    <row r="1098" spans="1:13" s="34" customFormat="1">
      <c r="A1098" s="3"/>
      <c r="B1098" s="4"/>
      <c r="C1098" s="4"/>
      <c r="D1098" s="4"/>
      <c r="E1098" s="4"/>
      <c r="F1098" s="4"/>
      <c r="G1098" s="4"/>
      <c r="H1098" s="4"/>
      <c r="I1098" s="4"/>
      <c r="J1098" s="4"/>
      <c r="K1098" s="4"/>
      <c r="L1098" s="4"/>
      <c r="M1098" s="4"/>
    </row>
    <row r="1099" spans="1:13" s="34" customFormat="1">
      <c r="A1099" s="3"/>
      <c r="B1099" s="4"/>
      <c r="C1099" s="4"/>
      <c r="D1099" s="4"/>
      <c r="E1099" s="4"/>
      <c r="F1099" s="4"/>
      <c r="G1099" s="4"/>
      <c r="H1099" s="4"/>
      <c r="I1099" s="4"/>
      <c r="J1099" s="4"/>
      <c r="K1099" s="4"/>
      <c r="L1099" s="4"/>
      <c r="M1099" s="4"/>
    </row>
    <row r="1100" spans="1:13" s="34" customFormat="1">
      <c r="A1100" s="3"/>
      <c r="B1100" s="4"/>
      <c r="C1100" s="4"/>
      <c r="D1100" s="4"/>
      <c r="E1100" s="4"/>
      <c r="F1100" s="4"/>
      <c r="G1100" s="4"/>
      <c r="H1100" s="4"/>
      <c r="I1100" s="4"/>
      <c r="J1100" s="4"/>
      <c r="K1100" s="4"/>
      <c r="L1100" s="4"/>
      <c r="M1100" s="4"/>
    </row>
    <row r="1101" spans="1:13" s="34" customFormat="1">
      <c r="A1101" s="3"/>
      <c r="B1101" s="4"/>
      <c r="C1101" s="4"/>
      <c r="D1101" s="4"/>
      <c r="E1101" s="4"/>
      <c r="F1101" s="4"/>
      <c r="G1101" s="4"/>
      <c r="H1101" s="4"/>
      <c r="I1101" s="4"/>
      <c r="J1101" s="4"/>
      <c r="K1101" s="4"/>
      <c r="L1101" s="4"/>
      <c r="M1101" s="4"/>
    </row>
    <row r="1102" spans="1:13" s="34" customFormat="1">
      <c r="A1102" s="3"/>
      <c r="B1102" s="4"/>
      <c r="C1102" s="4"/>
      <c r="D1102" s="4"/>
      <c r="E1102" s="4"/>
      <c r="F1102" s="4"/>
      <c r="G1102" s="4"/>
      <c r="H1102" s="4"/>
      <c r="I1102" s="4"/>
      <c r="J1102" s="4"/>
      <c r="K1102" s="4"/>
      <c r="L1102" s="4"/>
      <c r="M1102" s="4"/>
    </row>
    <row r="1103" spans="1:13" s="34" customFormat="1">
      <c r="A1103" s="3"/>
      <c r="B1103" s="4"/>
      <c r="C1103" s="4"/>
      <c r="D1103" s="4"/>
      <c r="E1103" s="4"/>
      <c r="F1103" s="4"/>
      <c r="G1103" s="4"/>
      <c r="H1103" s="4"/>
      <c r="I1103" s="4"/>
      <c r="J1103" s="4"/>
      <c r="K1103" s="4"/>
      <c r="L1103" s="4"/>
      <c r="M1103" s="4"/>
    </row>
    <row r="1104" spans="1:13" s="34" customFormat="1">
      <c r="A1104" s="3"/>
      <c r="B1104" s="4"/>
      <c r="C1104" s="4"/>
      <c r="D1104" s="4"/>
      <c r="E1104" s="4"/>
      <c r="F1104" s="4"/>
      <c r="G1104" s="4"/>
      <c r="H1104" s="4"/>
      <c r="I1104" s="4"/>
      <c r="J1104" s="4"/>
      <c r="K1104" s="4"/>
      <c r="L1104" s="4"/>
      <c r="M1104" s="4"/>
    </row>
    <row r="1105" spans="1:13" s="34" customFormat="1">
      <c r="A1105" s="3"/>
      <c r="B1105" s="4"/>
      <c r="C1105" s="4"/>
      <c r="D1105" s="4"/>
      <c r="E1105" s="4"/>
      <c r="F1105" s="4"/>
      <c r="G1105" s="4"/>
      <c r="H1105" s="4"/>
      <c r="I1105" s="4"/>
      <c r="J1105" s="4"/>
      <c r="K1105" s="4"/>
      <c r="L1105" s="4"/>
      <c r="M1105" s="4"/>
    </row>
    <row r="1106" spans="1:13" s="34" customFormat="1">
      <c r="A1106" s="3"/>
      <c r="B1106" s="4"/>
      <c r="C1106" s="4"/>
      <c r="D1106" s="4"/>
      <c r="E1106" s="4"/>
      <c r="F1106" s="4"/>
      <c r="G1106" s="4"/>
      <c r="H1106" s="4"/>
      <c r="I1106" s="4"/>
      <c r="J1106" s="4"/>
      <c r="K1106" s="4"/>
      <c r="L1106" s="4"/>
      <c r="M1106" s="4"/>
    </row>
    <row r="1107" spans="1:13" s="34" customFormat="1">
      <c r="A1107" s="3"/>
      <c r="B1107" s="4"/>
      <c r="C1107" s="4"/>
      <c r="D1107" s="4"/>
      <c r="E1107" s="4"/>
      <c r="F1107" s="4"/>
      <c r="G1107" s="4"/>
      <c r="H1107" s="4"/>
      <c r="I1107" s="4"/>
      <c r="J1107" s="4"/>
      <c r="K1107" s="4"/>
      <c r="L1107" s="4"/>
      <c r="M1107" s="4"/>
    </row>
    <row r="1108" spans="1:13" s="34" customFormat="1">
      <c r="A1108" s="3"/>
      <c r="B1108" s="4"/>
      <c r="C1108" s="4"/>
      <c r="D1108" s="4"/>
      <c r="E1108" s="4"/>
      <c r="F1108" s="4"/>
      <c r="G1108" s="4"/>
      <c r="H1108" s="4"/>
      <c r="I1108" s="4"/>
      <c r="J1108" s="4"/>
      <c r="K1108" s="4"/>
      <c r="L1108" s="4"/>
      <c r="M1108" s="4"/>
    </row>
    <row r="1109" spans="1:13" s="34" customFormat="1">
      <c r="A1109" s="3"/>
      <c r="B1109" s="4"/>
      <c r="C1109" s="4"/>
      <c r="D1109" s="4"/>
      <c r="E1109" s="4"/>
      <c r="F1109" s="4"/>
      <c r="G1109" s="4"/>
      <c r="H1109" s="4"/>
      <c r="I1109" s="4"/>
      <c r="J1109" s="4"/>
      <c r="K1109" s="4"/>
      <c r="L1109" s="4"/>
      <c r="M1109" s="4"/>
    </row>
    <row r="1110" spans="1:13" s="34" customFormat="1">
      <c r="A1110" s="3"/>
      <c r="B1110" s="4"/>
      <c r="C1110" s="4"/>
      <c r="D1110" s="4"/>
      <c r="E1110" s="4"/>
      <c r="F1110" s="4"/>
      <c r="G1110" s="4"/>
      <c r="H1110" s="4"/>
      <c r="I1110" s="4"/>
      <c r="J1110" s="4"/>
      <c r="K1110" s="4"/>
      <c r="L1110" s="4"/>
      <c r="M1110" s="4"/>
    </row>
    <row r="1111" spans="1:13" s="34" customFormat="1">
      <c r="A1111" s="3"/>
      <c r="B1111" s="4"/>
      <c r="C1111" s="4"/>
      <c r="D1111" s="4"/>
      <c r="E1111" s="4"/>
      <c r="F1111" s="4"/>
      <c r="G1111" s="4"/>
      <c r="H1111" s="4"/>
      <c r="I1111" s="4"/>
      <c r="J1111" s="4"/>
      <c r="K1111" s="4"/>
      <c r="L1111" s="4"/>
      <c r="M1111" s="4"/>
    </row>
    <row r="1112" spans="1:13" s="34" customFormat="1">
      <c r="A1112" s="3"/>
      <c r="B1112" s="4"/>
      <c r="C1112" s="4"/>
      <c r="D1112" s="4"/>
      <c r="E1112" s="4"/>
      <c r="F1112" s="4"/>
      <c r="G1112" s="4"/>
      <c r="H1112" s="4"/>
      <c r="I1112" s="4"/>
      <c r="J1112" s="4"/>
      <c r="K1112" s="4"/>
      <c r="L1112" s="4"/>
      <c r="M1112" s="4"/>
    </row>
    <row r="1113" spans="1:13" s="34" customFormat="1">
      <c r="A1113" s="3"/>
      <c r="B1113" s="4"/>
      <c r="C1113" s="4"/>
      <c r="D1113" s="4"/>
      <c r="E1113" s="4"/>
      <c r="F1113" s="4"/>
      <c r="G1113" s="4"/>
      <c r="H1113" s="4"/>
      <c r="I1113" s="4"/>
      <c r="J1113" s="4"/>
      <c r="K1113" s="4"/>
      <c r="L1113" s="4"/>
      <c r="M1113" s="4"/>
    </row>
    <row r="1114" spans="1:13" s="34" customFormat="1">
      <c r="A1114" s="3"/>
      <c r="B1114" s="4"/>
      <c r="C1114" s="4"/>
      <c r="D1114" s="4"/>
      <c r="E1114" s="4"/>
      <c r="F1114" s="4"/>
      <c r="G1114" s="4"/>
      <c r="H1114" s="4"/>
      <c r="I1114" s="4"/>
      <c r="J1114" s="4"/>
      <c r="K1114" s="4"/>
      <c r="L1114" s="4"/>
      <c r="M1114" s="4"/>
    </row>
    <row r="1115" spans="1:13" s="34" customFormat="1">
      <c r="A1115" s="3"/>
      <c r="B1115" s="4"/>
      <c r="C1115" s="4"/>
      <c r="D1115" s="4"/>
      <c r="E1115" s="4"/>
      <c r="F1115" s="4"/>
      <c r="G1115" s="4"/>
      <c r="H1115" s="4"/>
      <c r="I1115" s="4"/>
      <c r="J1115" s="4"/>
      <c r="K1115" s="4"/>
      <c r="L1115" s="4"/>
      <c r="M1115" s="4"/>
    </row>
    <row r="1116" spans="1:13" s="34" customFormat="1">
      <c r="A1116" s="3"/>
      <c r="B1116" s="4"/>
      <c r="C1116" s="4"/>
      <c r="D1116" s="4"/>
      <c r="E1116" s="4"/>
      <c r="F1116" s="4"/>
      <c r="G1116" s="4"/>
      <c r="H1116" s="4"/>
      <c r="I1116" s="4"/>
      <c r="J1116" s="4"/>
      <c r="K1116" s="4"/>
      <c r="L1116" s="4"/>
      <c r="M1116" s="4"/>
    </row>
    <row r="1117" spans="1:13" s="34" customFormat="1">
      <c r="A1117" s="3"/>
      <c r="B1117" s="4"/>
      <c r="C1117" s="4"/>
      <c r="D1117" s="4"/>
      <c r="E1117" s="4"/>
      <c r="F1117" s="4"/>
      <c r="G1117" s="4"/>
      <c r="H1117" s="4"/>
      <c r="I1117" s="4"/>
      <c r="J1117" s="4"/>
      <c r="K1117" s="4"/>
      <c r="L1117" s="4"/>
      <c r="M1117" s="4"/>
    </row>
    <row r="1118" spans="1:13" s="34" customFormat="1">
      <c r="A1118" s="3"/>
      <c r="B1118" s="4"/>
      <c r="C1118" s="4"/>
      <c r="D1118" s="4"/>
      <c r="E1118" s="4"/>
      <c r="F1118" s="4"/>
      <c r="G1118" s="4"/>
      <c r="H1118" s="4"/>
      <c r="I1118" s="4"/>
      <c r="J1118" s="4"/>
      <c r="K1118" s="4"/>
      <c r="L1118" s="4"/>
      <c r="M1118" s="4"/>
    </row>
    <row r="1119" spans="1:13" s="34" customFormat="1">
      <c r="A1119" s="3"/>
      <c r="B1119" s="4"/>
      <c r="C1119" s="4"/>
      <c r="D1119" s="4"/>
      <c r="E1119" s="4"/>
      <c r="F1119" s="4"/>
      <c r="G1119" s="4"/>
      <c r="H1119" s="4"/>
      <c r="I1119" s="4"/>
      <c r="J1119" s="4"/>
      <c r="K1119" s="4"/>
      <c r="L1119" s="4"/>
      <c r="M1119" s="4"/>
    </row>
    <row r="1120" spans="1:13" s="34" customFormat="1">
      <c r="A1120" s="3"/>
      <c r="B1120" s="4"/>
      <c r="C1120" s="4"/>
      <c r="D1120" s="4"/>
      <c r="E1120" s="4"/>
      <c r="F1120" s="4"/>
      <c r="G1120" s="4"/>
      <c r="H1120" s="4"/>
      <c r="I1120" s="4"/>
      <c r="J1120" s="4"/>
      <c r="K1120" s="4"/>
      <c r="L1120" s="4"/>
      <c r="M1120" s="4"/>
    </row>
    <row r="1121" spans="1:13" s="34" customFormat="1">
      <c r="A1121" s="3"/>
      <c r="B1121" s="4"/>
      <c r="C1121" s="4"/>
      <c r="D1121" s="4"/>
      <c r="E1121" s="4"/>
      <c r="F1121" s="4"/>
      <c r="G1121" s="4"/>
      <c r="H1121" s="4"/>
      <c r="I1121" s="4"/>
      <c r="J1121" s="4"/>
      <c r="K1121" s="4"/>
      <c r="L1121" s="4"/>
      <c r="M1121" s="4"/>
    </row>
    <row r="1122" spans="1:13" s="34" customFormat="1">
      <c r="A1122" s="3"/>
      <c r="B1122" s="4"/>
      <c r="C1122" s="4"/>
      <c r="D1122" s="4"/>
      <c r="E1122" s="4"/>
      <c r="F1122" s="4"/>
      <c r="G1122" s="4"/>
      <c r="H1122" s="4"/>
      <c r="I1122" s="4"/>
      <c r="J1122" s="4"/>
      <c r="K1122" s="4"/>
      <c r="L1122" s="4"/>
      <c r="M1122" s="4"/>
    </row>
    <row r="1123" spans="1:13" s="34" customFormat="1">
      <c r="A1123" s="3"/>
      <c r="B1123" s="4"/>
      <c r="C1123" s="4"/>
      <c r="D1123" s="4"/>
      <c r="E1123" s="4"/>
      <c r="F1123" s="4"/>
      <c r="G1123" s="4"/>
      <c r="H1123" s="4"/>
      <c r="I1123" s="4"/>
      <c r="J1123" s="4"/>
      <c r="K1123" s="4"/>
      <c r="L1123" s="4"/>
      <c r="M1123" s="4"/>
    </row>
    <row r="1124" spans="1:13" s="34" customFormat="1">
      <c r="A1124" s="3"/>
      <c r="B1124" s="4"/>
      <c r="C1124" s="4"/>
      <c r="D1124" s="4"/>
      <c r="E1124" s="4"/>
      <c r="F1124" s="4"/>
      <c r="G1124" s="4"/>
      <c r="H1124" s="4"/>
      <c r="I1124" s="4"/>
      <c r="J1124" s="4"/>
      <c r="K1124" s="4"/>
      <c r="L1124" s="4"/>
      <c r="M1124" s="4"/>
    </row>
    <row r="1125" spans="1:13" s="34" customFormat="1">
      <c r="A1125" s="3"/>
      <c r="B1125" s="4"/>
      <c r="C1125" s="4"/>
      <c r="D1125" s="4"/>
      <c r="E1125" s="4"/>
      <c r="F1125" s="4"/>
      <c r="G1125" s="4"/>
      <c r="H1125" s="4"/>
      <c r="I1125" s="4"/>
      <c r="J1125" s="4"/>
      <c r="K1125" s="4"/>
      <c r="L1125" s="4"/>
      <c r="M1125" s="4"/>
    </row>
    <row r="1126" spans="1:13" s="34" customFormat="1">
      <c r="A1126" s="3"/>
      <c r="B1126" s="4"/>
      <c r="C1126" s="4"/>
      <c r="D1126" s="4"/>
      <c r="E1126" s="4"/>
      <c r="F1126" s="4"/>
      <c r="G1126" s="4"/>
      <c r="H1126" s="4"/>
      <c r="I1126" s="4"/>
      <c r="J1126" s="4"/>
      <c r="K1126" s="4"/>
      <c r="L1126" s="4"/>
      <c r="M1126" s="4"/>
    </row>
    <row r="1127" spans="1:13" s="34" customFormat="1">
      <c r="A1127" s="3"/>
      <c r="B1127" s="4"/>
      <c r="C1127" s="4"/>
      <c r="D1127" s="4"/>
      <c r="E1127" s="4"/>
      <c r="F1127" s="4"/>
      <c r="G1127" s="4"/>
      <c r="H1127" s="4"/>
      <c r="I1127" s="4"/>
      <c r="J1127" s="4"/>
      <c r="K1127" s="4"/>
      <c r="L1127" s="4"/>
      <c r="M1127" s="4"/>
    </row>
    <row r="1128" spans="1:13" s="34" customFormat="1">
      <c r="A1128" s="3"/>
      <c r="B1128" s="4"/>
      <c r="C1128" s="4"/>
      <c r="D1128" s="4"/>
      <c r="E1128" s="4"/>
      <c r="F1128" s="4"/>
      <c r="G1128" s="4"/>
      <c r="H1128" s="4"/>
      <c r="I1128" s="4"/>
      <c r="J1128" s="4"/>
      <c r="K1128" s="4"/>
      <c r="L1128" s="4"/>
      <c r="M1128" s="4"/>
    </row>
    <row r="1129" spans="1:13" s="34" customFormat="1">
      <c r="A1129" s="3"/>
      <c r="B1129" s="4"/>
      <c r="C1129" s="4"/>
      <c r="D1129" s="4"/>
      <c r="E1129" s="4"/>
      <c r="F1129" s="4"/>
      <c r="G1129" s="4"/>
      <c r="H1129" s="4"/>
      <c r="I1129" s="4"/>
      <c r="J1129" s="4"/>
      <c r="K1129" s="4"/>
      <c r="L1129" s="4"/>
      <c r="M1129" s="4"/>
    </row>
    <row r="1130" spans="1:13" s="34" customFormat="1">
      <c r="A1130" s="3"/>
      <c r="B1130" s="4"/>
      <c r="C1130" s="4"/>
      <c r="D1130" s="4"/>
      <c r="E1130" s="4"/>
      <c r="F1130" s="4"/>
      <c r="G1130" s="4"/>
      <c r="H1130" s="4"/>
      <c r="I1130" s="4"/>
      <c r="J1130" s="4"/>
      <c r="K1130" s="4"/>
      <c r="L1130" s="4"/>
      <c r="M1130" s="4"/>
    </row>
    <row r="1131" spans="1:13" s="34" customFormat="1">
      <c r="A1131" s="3"/>
      <c r="B1131" s="4"/>
      <c r="C1131" s="4"/>
      <c r="D1131" s="4"/>
      <c r="E1131" s="4"/>
      <c r="F1131" s="4"/>
      <c r="G1131" s="4"/>
      <c r="H1131" s="4"/>
      <c r="I1131" s="4"/>
      <c r="J1131" s="4"/>
      <c r="K1131" s="4"/>
      <c r="L1131" s="4"/>
      <c r="M1131" s="4"/>
    </row>
    <row r="1132" spans="1:13" s="34" customFormat="1">
      <c r="A1132" s="3"/>
      <c r="B1132" s="4"/>
      <c r="C1132" s="4"/>
      <c r="D1132" s="4"/>
      <c r="E1132" s="4"/>
      <c r="F1132" s="4"/>
      <c r="G1132" s="4"/>
      <c r="H1132" s="4"/>
      <c r="I1132" s="4"/>
      <c r="J1132" s="4"/>
      <c r="K1132" s="4"/>
      <c r="L1132" s="4"/>
      <c r="M1132" s="4"/>
    </row>
    <row r="1133" spans="1:13" s="34" customFormat="1">
      <c r="A1133" s="3"/>
      <c r="B1133" s="4"/>
      <c r="C1133" s="4"/>
      <c r="D1133" s="4"/>
      <c r="E1133" s="4"/>
      <c r="F1133" s="4"/>
      <c r="G1133" s="4"/>
      <c r="H1133" s="4"/>
      <c r="I1133" s="4"/>
      <c r="J1133" s="4"/>
      <c r="K1133" s="4"/>
      <c r="L1133" s="4"/>
      <c r="M1133" s="4"/>
    </row>
    <row r="1134" spans="1:13" s="34" customFormat="1">
      <c r="A1134" s="3"/>
      <c r="B1134" s="4"/>
      <c r="C1134" s="4"/>
      <c r="D1134" s="4"/>
      <c r="E1134" s="4"/>
      <c r="F1134" s="4"/>
      <c r="G1134" s="4"/>
      <c r="H1134" s="4"/>
      <c r="I1134" s="4"/>
      <c r="J1134" s="4"/>
      <c r="K1134" s="4"/>
      <c r="L1134" s="4"/>
      <c r="M1134" s="4"/>
    </row>
    <row r="1135" spans="1:13" s="34" customFormat="1">
      <c r="A1135" s="3"/>
      <c r="B1135" s="4"/>
      <c r="C1135" s="4"/>
      <c r="D1135" s="4"/>
      <c r="E1135" s="4"/>
      <c r="F1135" s="4"/>
      <c r="G1135" s="4"/>
      <c r="H1135" s="4"/>
      <c r="I1135" s="4"/>
      <c r="J1135" s="4"/>
      <c r="K1135" s="4"/>
      <c r="L1135" s="4"/>
      <c r="M1135" s="4"/>
    </row>
    <row r="1136" spans="1:13" s="34" customFormat="1">
      <c r="A1136" s="3"/>
      <c r="B1136" s="4"/>
      <c r="C1136" s="4"/>
      <c r="D1136" s="4"/>
      <c r="E1136" s="4"/>
      <c r="F1136" s="4"/>
      <c r="G1136" s="4"/>
      <c r="H1136" s="4"/>
      <c r="I1136" s="4"/>
      <c r="J1136" s="4"/>
      <c r="K1136" s="4"/>
      <c r="L1136" s="4"/>
      <c r="M1136" s="4"/>
    </row>
    <row r="1137" spans="1:13" s="34" customFormat="1">
      <c r="A1137" s="3"/>
      <c r="B1137" s="4"/>
      <c r="C1137" s="4"/>
      <c r="D1137" s="4"/>
      <c r="E1137" s="4"/>
      <c r="F1137" s="4"/>
      <c r="G1137" s="4"/>
      <c r="H1137" s="4"/>
      <c r="I1137" s="4"/>
      <c r="J1137" s="4"/>
      <c r="K1137" s="4"/>
      <c r="L1137" s="4"/>
      <c r="M1137" s="4"/>
    </row>
    <row r="1138" spans="1:13" s="34" customFormat="1">
      <c r="A1138" s="3"/>
      <c r="B1138" s="4"/>
      <c r="C1138" s="4"/>
      <c r="D1138" s="4"/>
      <c r="E1138" s="4"/>
      <c r="F1138" s="4"/>
      <c r="G1138" s="4"/>
      <c r="H1138" s="4"/>
      <c r="I1138" s="4"/>
      <c r="J1138" s="4"/>
      <c r="K1138" s="4"/>
      <c r="L1138" s="4"/>
      <c r="M1138" s="4"/>
    </row>
    <row r="1139" spans="1:13" s="34" customFormat="1">
      <c r="A1139" s="3"/>
      <c r="B1139" s="4"/>
      <c r="C1139" s="4"/>
      <c r="D1139" s="4"/>
      <c r="E1139" s="4"/>
      <c r="F1139" s="4"/>
      <c r="G1139" s="4"/>
      <c r="H1139" s="4"/>
      <c r="I1139" s="4"/>
      <c r="J1139" s="4"/>
      <c r="K1139" s="4"/>
      <c r="L1139" s="4"/>
      <c r="M1139" s="4"/>
    </row>
    <row r="1140" spans="1:13" s="34" customFormat="1">
      <c r="A1140" s="3"/>
      <c r="B1140" s="4"/>
      <c r="C1140" s="4"/>
      <c r="D1140" s="4"/>
      <c r="E1140" s="4"/>
      <c r="F1140" s="4"/>
      <c r="G1140" s="4"/>
      <c r="H1140" s="4"/>
      <c r="I1140" s="4"/>
      <c r="J1140" s="4"/>
      <c r="K1140" s="4"/>
      <c r="L1140" s="4"/>
      <c r="M1140" s="4"/>
    </row>
    <row r="1141" spans="1:13" s="34" customFormat="1">
      <c r="A1141" s="3"/>
      <c r="B1141" s="4"/>
      <c r="C1141" s="4"/>
      <c r="D1141" s="4"/>
      <c r="E1141" s="4"/>
      <c r="F1141" s="4"/>
      <c r="G1141" s="4"/>
      <c r="H1141" s="4"/>
      <c r="I1141" s="4"/>
      <c r="J1141" s="4"/>
      <c r="K1141" s="4"/>
      <c r="L1141" s="4"/>
      <c r="M1141" s="4"/>
    </row>
    <row r="1142" spans="1:13" s="34" customFormat="1">
      <c r="A1142" s="3"/>
      <c r="B1142" s="4"/>
      <c r="C1142" s="4"/>
      <c r="D1142" s="4"/>
      <c r="E1142" s="4"/>
      <c r="F1142" s="4"/>
      <c r="G1142" s="4"/>
      <c r="H1142" s="4"/>
      <c r="I1142" s="4"/>
      <c r="J1142" s="4"/>
      <c r="K1142" s="4"/>
      <c r="L1142" s="4"/>
      <c r="M1142" s="4"/>
    </row>
    <row r="1143" spans="1:13" s="34" customFormat="1">
      <c r="A1143" s="3"/>
      <c r="B1143" s="4"/>
      <c r="C1143" s="4"/>
      <c r="D1143" s="4"/>
      <c r="E1143" s="4"/>
      <c r="F1143" s="4"/>
      <c r="G1143" s="4"/>
      <c r="H1143" s="4"/>
      <c r="I1143" s="4"/>
      <c r="J1143" s="4"/>
      <c r="K1143" s="4"/>
      <c r="L1143" s="4"/>
      <c r="M1143" s="4"/>
    </row>
    <row r="1144" spans="1:13" s="34" customFormat="1">
      <c r="A1144" s="3"/>
      <c r="B1144" s="4"/>
      <c r="C1144" s="4"/>
      <c r="D1144" s="4"/>
      <c r="E1144" s="4"/>
      <c r="F1144" s="4"/>
      <c r="G1144" s="4"/>
      <c r="H1144" s="4"/>
      <c r="I1144" s="4"/>
      <c r="J1144" s="4"/>
      <c r="K1144" s="4"/>
      <c r="L1144" s="4"/>
      <c r="M1144" s="4"/>
    </row>
    <row r="1145" spans="1:13" s="34" customFormat="1">
      <c r="A1145" s="3"/>
      <c r="B1145" s="4"/>
      <c r="C1145" s="4"/>
      <c r="D1145" s="4"/>
      <c r="E1145" s="4"/>
      <c r="F1145" s="4"/>
      <c r="G1145" s="4"/>
      <c r="H1145" s="4"/>
      <c r="I1145" s="4"/>
      <c r="J1145" s="4"/>
      <c r="K1145" s="4"/>
      <c r="L1145" s="4"/>
      <c r="M1145" s="4"/>
    </row>
    <row r="1146" spans="1:13" s="34" customFormat="1">
      <c r="A1146" s="3"/>
      <c r="B1146" s="4"/>
      <c r="C1146" s="4"/>
      <c r="D1146" s="4"/>
      <c r="E1146" s="4"/>
      <c r="F1146" s="4"/>
      <c r="G1146" s="4"/>
      <c r="H1146" s="4"/>
      <c r="I1146" s="4"/>
      <c r="J1146" s="4"/>
      <c r="K1146" s="4"/>
      <c r="L1146" s="4"/>
      <c r="M1146" s="4"/>
    </row>
    <row r="1147" spans="1:13" s="34" customFormat="1">
      <c r="A1147" s="3"/>
      <c r="B1147" s="4"/>
      <c r="C1147" s="4"/>
      <c r="D1147" s="4"/>
      <c r="E1147" s="4"/>
      <c r="F1147" s="4"/>
      <c r="G1147" s="4"/>
      <c r="H1147" s="4"/>
      <c r="I1147" s="4"/>
      <c r="J1147" s="4"/>
      <c r="K1147" s="4"/>
      <c r="L1147" s="4"/>
      <c r="M1147" s="4"/>
    </row>
    <row r="1148" spans="1:13" s="34" customFormat="1">
      <c r="A1148" s="3"/>
      <c r="B1148" s="4"/>
      <c r="C1148" s="4"/>
      <c r="D1148" s="4"/>
      <c r="E1148" s="4"/>
      <c r="F1148" s="4"/>
      <c r="G1148" s="4"/>
      <c r="H1148" s="4"/>
      <c r="I1148" s="4"/>
      <c r="J1148" s="4"/>
      <c r="K1148" s="4"/>
      <c r="L1148" s="4"/>
      <c r="M1148" s="4"/>
    </row>
    <row r="1149" spans="1:13" s="34" customFormat="1">
      <c r="A1149" s="3"/>
      <c r="B1149" s="4"/>
      <c r="C1149" s="4"/>
      <c r="D1149" s="4"/>
      <c r="E1149" s="4"/>
      <c r="F1149" s="4"/>
      <c r="G1149" s="4"/>
      <c r="H1149" s="4"/>
      <c r="I1149" s="4"/>
      <c r="J1149" s="4"/>
      <c r="K1149" s="4"/>
      <c r="L1149" s="4"/>
      <c r="M1149" s="4"/>
    </row>
    <row r="1150" spans="1:13" s="34" customFormat="1">
      <c r="A1150" s="3"/>
      <c r="B1150" s="4"/>
      <c r="C1150" s="4"/>
      <c r="D1150" s="4"/>
      <c r="E1150" s="4"/>
      <c r="F1150" s="4"/>
      <c r="G1150" s="4"/>
      <c r="H1150" s="4"/>
      <c r="I1150" s="4"/>
      <c r="J1150" s="4"/>
      <c r="K1150" s="4"/>
      <c r="L1150" s="4"/>
      <c r="M1150" s="4"/>
    </row>
    <row r="1151" spans="1:13" s="34" customFormat="1">
      <c r="A1151" s="3"/>
      <c r="B1151" s="4"/>
      <c r="C1151" s="4"/>
      <c r="D1151" s="4"/>
      <c r="E1151" s="4"/>
      <c r="F1151" s="4"/>
      <c r="G1151" s="4"/>
      <c r="H1151" s="4"/>
      <c r="I1151" s="4"/>
      <c r="J1151" s="4"/>
      <c r="K1151" s="4"/>
      <c r="L1151" s="4"/>
      <c r="M1151" s="4"/>
    </row>
    <row r="1152" spans="1:13" s="34" customFormat="1">
      <c r="A1152" s="3"/>
      <c r="B1152" s="4"/>
      <c r="C1152" s="4"/>
      <c r="D1152" s="4"/>
      <c r="E1152" s="4"/>
      <c r="F1152" s="4"/>
      <c r="G1152" s="4"/>
      <c r="H1152" s="4"/>
      <c r="I1152" s="4"/>
      <c r="J1152" s="4"/>
      <c r="K1152" s="4"/>
      <c r="L1152" s="4"/>
      <c r="M1152" s="4"/>
    </row>
    <row r="1153" spans="1:13" s="34" customFormat="1">
      <c r="A1153" s="3"/>
      <c r="B1153" s="4"/>
      <c r="C1153" s="4"/>
      <c r="D1153" s="4"/>
      <c r="E1153" s="4"/>
      <c r="F1153" s="4"/>
      <c r="G1153" s="4"/>
      <c r="H1153" s="4"/>
      <c r="I1153" s="4"/>
      <c r="J1153" s="4"/>
      <c r="K1153" s="4"/>
      <c r="L1153" s="4"/>
      <c r="M1153" s="4"/>
    </row>
    <row r="1154" spans="1:13" s="34" customFormat="1">
      <c r="A1154" s="3"/>
      <c r="B1154" s="4"/>
      <c r="C1154" s="4"/>
      <c r="D1154" s="4"/>
      <c r="E1154" s="4"/>
      <c r="F1154" s="4"/>
      <c r="G1154" s="4"/>
      <c r="H1154" s="4"/>
      <c r="I1154" s="4"/>
      <c r="J1154" s="4"/>
      <c r="K1154" s="4"/>
      <c r="L1154" s="4"/>
      <c r="M1154" s="4"/>
    </row>
    <row r="1155" spans="1:13" s="34" customFormat="1">
      <c r="A1155" s="3"/>
      <c r="B1155" s="4"/>
      <c r="C1155" s="4"/>
      <c r="D1155" s="4"/>
      <c r="E1155" s="4"/>
      <c r="F1155" s="4"/>
      <c r="G1155" s="4"/>
      <c r="H1155" s="4"/>
      <c r="I1155" s="4"/>
      <c r="J1155" s="4"/>
      <c r="K1155" s="4"/>
      <c r="L1155" s="4"/>
      <c r="M1155" s="4"/>
    </row>
    <row r="1156" spans="1:13" s="34" customFormat="1">
      <c r="A1156" s="3"/>
      <c r="B1156" s="4"/>
      <c r="C1156" s="4"/>
      <c r="D1156" s="4"/>
      <c r="E1156" s="4"/>
      <c r="F1156" s="4"/>
      <c r="G1156" s="4"/>
      <c r="H1156" s="4"/>
      <c r="I1156" s="4"/>
      <c r="J1156" s="4"/>
      <c r="K1156" s="4"/>
      <c r="L1156" s="4"/>
      <c r="M1156" s="4"/>
    </row>
    <row r="1157" spans="1:13" s="34" customFormat="1">
      <c r="A1157" s="3"/>
      <c r="B1157" s="4"/>
      <c r="C1157" s="4"/>
      <c r="D1157" s="4"/>
      <c r="E1157" s="4"/>
      <c r="F1157" s="4"/>
      <c r="G1157" s="4"/>
      <c r="H1157" s="4"/>
      <c r="I1157" s="4"/>
      <c r="J1157" s="4"/>
      <c r="K1157" s="4"/>
      <c r="L1157" s="4"/>
      <c r="M1157" s="4"/>
    </row>
    <row r="1158" spans="1:13" s="34" customFormat="1">
      <c r="A1158" s="3"/>
      <c r="B1158" s="4"/>
      <c r="C1158" s="4"/>
      <c r="D1158" s="4"/>
      <c r="E1158" s="4"/>
      <c r="F1158" s="4"/>
      <c r="G1158" s="4"/>
      <c r="H1158" s="4"/>
      <c r="I1158" s="4"/>
      <c r="J1158" s="4"/>
      <c r="K1158" s="4"/>
      <c r="L1158" s="4"/>
      <c r="M1158" s="4"/>
    </row>
    <row r="1159" spans="1:13" s="34" customFormat="1">
      <c r="A1159" s="3"/>
      <c r="B1159" s="4"/>
      <c r="C1159" s="4"/>
      <c r="D1159" s="4"/>
      <c r="E1159" s="4"/>
      <c r="F1159" s="4"/>
      <c r="G1159" s="4"/>
      <c r="H1159" s="4"/>
      <c r="I1159" s="4"/>
      <c r="J1159" s="4"/>
      <c r="K1159" s="4"/>
      <c r="L1159" s="4"/>
      <c r="M1159" s="4"/>
    </row>
    <row r="1160" spans="1:13" s="34" customFormat="1">
      <c r="A1160" s="3"/>
      <c r="B1160" s="4"/>
      <c r="C1160" s="4"/>
      <c r="D1160" s="4"/>
      <c r="E1160" s="4"/>
      <c r="F1160" s="4"/>
      <c r="G1160" s="4"/>
      <c r="H1160" s="4"/>
      <c r="I1160" s="4"/>
      <c r="J1160" s="4"/>
      <c r="K1160" s="4"/>
      <c r="L1160" s="4"/>
      <c r="M1160" s="4"/>
    </row>
    <row r="1161" spans="1:13" s="34" customFormat="1">
      <c r="A1161" s="3"/>
      <c r="B1161" s="4"/>
      <c r="C1161" s="4"/>
      <c r="D1161" s="4"/>
      <c r="E1161" s="4"/>
      <c r="F1161" s="4"/>
      <c r="G1161" s="4"/>
      <c r="H1161" s="4"/>
      <c r="I1161" s="4"/>
      <c r="J1161" s="4"/>
      <c r="K1161" s="4"/>
      <c r="L1161" s="4"/>
      <c r="M1161" s="4"/>
    </row>
    <row r="1162" spans="1:13" s="34" customFormat="1">
      <c r="A1162" s="3"/>
      <c r="B1162" s="4"/>
      <c r="C1162" s="4"/>
      <c r="D1162" s="4"/>
      <c r="E1162" s="4"/>
      <c r="F1162" s="4"/>
      <c r="G1162" s="4"/>
      <c r="H1162" s="4"/>
      <c r="I1162" s="4"/>
      <c r="J1162" s="4"/>
      <c r="K1162" s="4"/>
      <c r="L1162" s="4"/>
      <c r="M1162" s="4"/>
    </row>
    <row r="1163" spans="1:13" s="34" customFormat="1">
      <c r="A1163" s="3"/>
      <c r="B1163" s="4"/>
      <c r="C1163" s="4"/>
      <c r="D1163" s="4"/>
      <c r="E1163" s="4"/>
      <c r="F1163" s="4"/>
      <c r="G1163" s="4"/>
      <c r="H1163" s="4"/>
      <c r="I1163" s="4"/>
      <c r="J1163" s="4"/>
      <c r="K1163" s="4"/>
      <c r="L1163" s="4"/>
      <c r="M1163" s="4"/>
    </row>
    <row r="1164" spans="1:13" s="34" customFormat="1">
      <c r="A1164" s="3"/>
      <c r="B1164" s="4"/>
      <c r="C1164" s="4"/>
      <c r="D1164" s="4"/>
      <c r="E1164" s="4"/>
      <c r="F1164" s="4"/>
      <c r="G1164" s="4"/>
      <c r="H1164" s="4"/>
      <c r="I1164" s="4"/>
      <c r="J1164" s="4"/>
      <c r="K1164" s="4"/>
      <c r="L1164" s="4"/>
      <c r="M1164" s="4"/>
    </row>
    <row r="1165" spans="1:13" s="34" customFormat="1">
      <c r="A1165" s="3"/>
      <c r="B1165" s="4"/>
      <c r="C1165" s="4"/>
      <c r="D1165" s="4"/>
      <c r="E1165" s="4"/>
      <c r="F1165" s="4"/>
      <c r="G1165" s="4"/>
      <c r="H1165" s="4"/>
      <c r="I1165" s="4"/>
      <c r="J1165" s="4"/>
      <c r="K1165" s="4"/>
      <c r="L1165" s="4"/>
      <c r="M1165" s="4"/>
    </row>
    <row r="1166" spans="1:13" s="34" customFormat="1">
      <c r="A1166" s="3"/>
      <c r="B1166" s="4"/>
      <c r="C1166" s="4"/>
      <c r="D1166" s="4"/>
      <c r="E1166" s="4"/>
      <c r="F1166" s="4"/>
      <c r="G1166" s="4"/>
      <c r="H1166" s="4"/>
      <c r="I1166" s="4"/>
      <c r="J1166" s="4"/>
      <c r="K1166" s="4"/>
      <c r="L1166" s="4"/>
      <c r="M1166" s="4"/>
    </row>
    <row r="1167" spans="1:13" s="34" customFormat="1">
      <c r="A1167" s="3"/>
      <c r="B1167" s="4"/>
      <c r="C1167" s="4"/>
      <c r="D1167" s="4"/>
      <c r="E1167" s="4"/>
      <c r="F1167" s="4"/>
      <c r="G1167" s="4"/>
      <c r="H1167" s="4"/>
      <c r="I1167" s="4"/>
      <c r="J1167" s="4"/>
      <c r="K1167" s="4"/>
      <c r="L1167" s="4"/>
      <c r="M1167" s="4"/>
    </row>
    <row r="1168" spans="1:13" s="34" customFormat="1">
      <c r="A1168" s="3"/>
      <c r="B1168" s="4"/>
      <c r="C1168" s="4"/>
      <c r="D1168" s="4"/>
      <c r="E1168" s="4"/>
      <c r="F1168" s="4"/>
      <c r="G1168" s="4"/>
      <c r="H1168" s="4"/>
      <c r="I1168" s="4"/>
      <c r="J1168" s="4"/>
      <c r="K1168" s="4"/>
      <c r="L1168" s="4"/>
      <c r="M1168" s="4"/>
    </row>
    <row r="1169" spans="1:13" s="34" customFormat="1">
      <c r="A1169" s="3"/>
      <c r="B1169" s="4"/>
      <c r="C1169" s="4"/>
      <c r="D1169" s="4"/>
      <c r="E1169" s="4"/>
      <c r="F1169" s="4"/>
      <c r="G1169" s="4"/>
      <c r="H1169" s="4"/>
      <c r="I1169" s="4"/>
      <c r="J1169" s="4"/>
      <c r="K1169" s="4"/>
      <c r="L1169" s="4"/>
      <c r="M1169" s="4"/>
    </row>
    <row r="1170" spans="1:13" s="34" customFormat="1">
      <c r="A1170" s="3"/>
      <c r="B1170" s="4"/>
      <c r="C1170" s="4"/>
      <c r="D1170" s="4"/>
      <c r="E1170" s="4"/>
      <c r="F1170" s="4"/>
      <c r="G1170" s="4"/>
      <c r="H1170" s="4"/>
      <c r="I1170" s="4"/>
      <c r="J1170" s="4"/>
      <c r="K1170" s="4"/>
      <c r="L1170" s="4"/>
      <c r="M1170" s="4"/>
    </row>
    <row r="1171" spans="1:13" s="34" customFormat="1">
      <c r="A1171" s="3"/>
      <c r="B1171" s="4"/>
      <c r="C1171" s="4"/>
      <c r="D1171" s="4"/>
      <c r="E1171" s="4"/>
      <c r="F1171" s="4"/>
      <c r="G1171" s="4"/>
      <c r="H1171" s="4"/>
      <c r="I1171" s="4"/>
      <c r="J1171" s="4"/>
      <c r="K1171" s="4"/>
      <c r="L1171" s="4"/>
      <c r="M1171" s="4"/>
    </row>
    <row r="1172" spans="1:13" s="34" customFormat="1">
      <c r="A1172" s="3"/>
      <c r="B1172" s="4"/>
      <c r="C1172" s="4"/>
      <c r="D1172" s="4"/>
      <c r="E1172" s="4"/>
      <c r="F1172" s="4"/>
      <c r="G1172" s="4"/>
      <c r="H1172" s="4"/>
      <c r="I1172" s="4"/>
      <c r="J1172" s="4"/>
      <c r="K1172" s="4"/>
      <c r="L1172" s="4"/>
      <c r="M1172" s="4"/>
    </row>
    <row r="1173" spans="1:13" s="34" customFormat="1">
      <c r="A1173" s="3"/>
      <c r="B1173" s="4"/>
      <c r="C1173" s="4"/>
      <c r="D1173" s="4"/>
      <c r="E1173" s="4"/>
      <c r="F1173" s="4"/>
      <c r="G1173" s="4"/>
      <c r="H1173" s="4"/>
      <c r="I1173" s="4"/>
      <c r="J1173" s="4"/>
      <c r="K1173" s="4"/>
      <c r="L1173" s="4"/>
      <c r="M1173" s="4"/>
    </row>
    <row r="1174" spans="1:13" s="34" customFormat="1">
      <c r="A1174" s="3"/>
      <c r="B1174" s="4"/>
      <c r="C1174" s="4"/>
      <c r="D1174" s="4"/>
      <c r="E1174" s="4"/>
      <c r="F1174" s="4"/>
      <c r="G1174" s="4"/>
      <c r="H1174" s="4"/>
      <c r="I1174" s="4"/>
      <c r="J1174" s="4"/>
      <c r="K1174" s="4"/>
      <c r="L1174" s="4"/>
      <c r="M1174" s="4"/>
    </row>
    <row r="1175" spans="1:13" s="34" customFormat="1">
      <c r="A1175" s="3"/>
      <c r="B1175" s="4"/>
      <c r="C1175" s="4"/>
      <c r="D1175" s="4"/>
      <c r="E1175" s="4"/>
      <c r="F1175" s="4"/>
      <c r="G1175" s="4"/>
      <c r="H1175" s="4"/>
      <c r="I1175" s="4"/>
      <c r="J1175" s="4"/>
      <c r="K1175" s="4"/>
      <c r="L1175" s="4"/>
      <c r="M1175" s="4"/>
    </row>
    <row r="1176" spans="1:13" s="34" customFormat="1">
      <c r="A1176" s="3"/>
      <c r="B1176" s="4"/>
      <c r="C1176" s="4"/>
      <c r="D1176" s="4"/>
      <c r="E1176" s="4"/>
      <c r="F1176" s="4"/>
      <c r="G1176" s="4"/>
      <c r="H1176" s="4"/>
      <c r="I1176" s="4"/>
      <c r="J1176" s="4"/>
      <c r="K1176" s="4"/>
      <c r="L1176" s="4"/>
      <c r="M1176" s="4"/>
    </row>
    <row r="1177" spans="1:13" s="34" customFormat="1">
      <c r="A1177" s="3"/>
      <c r="B1177" s="4"/>
      <c r="C1177" s="4"/>
      <c r="D1177" s="4"/>
      <c r="E1177" s="4"/>
      <c r="F1177" s="4"/>
      <c r="G1177" s="4"/>
      <c r="H1177" s="4"/>
      <c r="I1177" s="4"/>
      <c r="J1177" s="4"/>
      <c r="K1177" s="4"/>
      <c r="L1177" s="4"/>
      <c r="M1177" s="4"/>
    </row>
    <row r="1178" spans="1:13" s="34" customFormat="1">
      <c r="A1178" s="3"/>
      <c r="B1178" s="4"/>
      <c r="C1178" s="4"/>
      <c r="D1178" s="4"/>
      <c r="E1178" s="4"/>
      <c r="F1178" s="4"/>
      <c r="G1178" s="4"/>
      <c r="H1178" s="4"/>
      <c r="I1178" s="4"/>
      <c r="J1178" s="4"/>
      <c r="K1178" s="4"/>
      <c r="L1178" s="4"/>
      <c r="M1178" s="4"/>
    </row>
    <row r="1179" spans="1:13" s="34" customFormat="1">
      <c r="A1179" s="3"/>
      <c r="B1179" s="4"/>
      <c r="C1179" s="4"/>
      <c r="D1179" s="4"/>
      <c r="E1179" s="4"/>
      <c r="F1179" s="4"/>
      <c r="G1179" s="4"/>
      <c r="H1179" s="4"/>
      <c r="I1179" s="4"/>
      <c r="J1179" s="4"/>
      <c r="K1179" s="4"/>
      <c r="L1179" s="4"/>
      <c r="M1179" s="4"/>
    </row>
    <row r="1180" spans="1:13" s="34" customFormat="1">
      <c r="A1180" s="3"/>
      <c r="B1180" s="4"/>
      <c r="C1180" s="4"/>
      <c r="D1180" s="4"/>
      <c r="E1180" s="4"/>
      <c r="F1180" s="4"/>
      <c r="G1180" s="4"/>
      <c r="H1180" s="4"/>
      <c r="I1180" s="4"/>
      <c r="J1180" s="4"/>
      <c r="K1180" s="4"/>
      <c r="L1180" s="4"/>
      <c r="M1180" s="4"/>
    </row>
    <row r="1181" spans="1:13" s="34" customFormat="1">
      <c r="A1181" s="3"/>
      <c r="B1181" s="4"/>
      <c r="C1181" s="4"/>
      <c r="D1181" s="4"/>
      <c r="E1181" s="4"/>
      <c r="F1181" s="4"/>
      <c r="G1181" s="4"/>
      <c r="H1181" s="4"/>
      <c r="I1181" s="4"/>
      <c r="J1181" s="4"/>
      <c r="K1181" s="4"/>
      <c r="L1181" s="4"/>
      <c r="M1181" s="4"/>
    </row>
    <row r="1182" spans="1:13" s="34" customFormat="1">
      <c r="A1182" s="3"/>
      <c r="B1182" s="4"/>
      <c r="C1182" s="4"/>
      <c r="D1182" s="4"/>
      <c r="E1182" s="4"/>
      <c r="F1182" s="4"/>
      <c r="G1182" s="4"/>
      <c r="H1182" s="4"/>
      <c r="I1182" s="4"/>
      <c r="J1182" s="4"/>
      <c r="K1182" s="4"/>
      <c r="L1182" s="4"/>
      <c r="M1182" s="4"/>
    </row>
    <row r="1183" spans="1:13" s="34" customFormat="1">
      <c r="A1183" s="3"/>
      <c r="B1183" s="4"/>
      <c r="C1183" s="4"/>
      <c r="D1183" s="4"/>
      <c r="E1183" s="4"/>
      <c r="F1183" s="4"/>
      <c r="G1183" s="4"/>
      <c r="H1183" s="4"/>
      <c r="I1183" s="4"/>
      <c r="J1183" s="4"/>
      <c r="K1183" s="4"/>
      <c r="L1183" s="4"/>
      <c r="M1183" s="4"/>
    </row>
    <row r="1184" spans="1:13" s="34" customFormat="1">
      <c r="A1184" s="3"/>
      <c r="B1184" s="4"/>
      <c r="C1184" s="4"/>
      <c r="D1184" s="4"/>
      <c r="E1184" s="4"/>
      <c r="F1184" s="4"/>
      <c r="G1184" s="4"/>
      <c r="H1184" s="4"/>
      <c r="I1184" s="4"/>
      <c r="J1184" s="4"/>
      <c r="K1184" s="4"/>
      <c r="L1184" s="4"/>
      <c r="M1184" s="4"/>
    </row>
    <row r="1185" spans="1:13" s="34" customFormat="1">
      <c r="A1185" s="3"/>
      <c r="B1185" s="4"/>
      <c r="C1185" s="4"/>
      <c r="D1185" s="4"/>
      <c r="E1185" s="4"/>
      <c r="F1185" s="4"/>
      <c r="G1185" s="4"/>
      <c r="H1185" s="4"/>
      <c r="I1185" s="4"/>
      <c r="J1185" s="4"/>
      <c r="K1185" s="4"/>
      <c r="L1185" s="4"/>
      <c r="M1185" s="4"/>
    </row>
    <row r="1186" spans="1:13" s="34" customFormat="1">
      <c r="A1186" s="3"/>
      <c r="B1186" s="4"/>
      <c r="C1186" s="4"/>
      <c r="D1186" s="4"/>
      <c r="E1186" s="4"/>
      <c r="F1186" s="4"/>
      <c r="G1186" s="4"/>
      <c r="H1186" s="4"/>
      <c r="I1186" s="4"/>
      <c r="J1186" s="4"/>
      <c r="K1186" s="4"/>
      <c r="L1186" s="4"/>
      <c r="M1186" s="4"/>
    </row>
    <row r="1187" spans="1:13" s="34" customFormat="1">
      <c r="A1187" s="3"/>
      <c r="B1187" s="4"/>
      <c r="C1187" s="4"/>
      <c r="D1187" s="4"/>
      <c r="E1187" s="4"/>
      <c r="F1187" s="4"/>
      <c r="G1187" s="4"/>
      <c r="H1187" s="4"/>
      <c r="I1187" s="4"/>
      <c r="J1187" s="4"/>
      <c r="K1187" s="4"/>
      <c r="L1187" s="4"/>
      <c r="M1187" s="4"/>
    </row>
    <row r="1188" spans="1:13" s="34" customFormat="1">
      <c r="A1188" s="3"/>
      <c r="B1188" s="4"/>
      <c r="C1188" s="4"/>
      <c r="D1188" s="4"/>
      <c r="E1188" s="4"/>
      <c r="F1188" s="4"/>
      <c r="G1188" s="4"/>
      <c r="H1188" s="4"/>
      <c r="I1188" s="4"/>
      <c r="J1188" s="4"/>
      <c r="K1188" s="4"/>
      <c r="L1188" s="4"/>
      <c r="M1188" s="4"/>
    </row>
    <row r="1189" spans="1:13" s="34" customFormat="1">
      <c r="A1189" s="3"/>
      <c r="B1189" s="4"/>
      <c r="C1189" s="4"/>
      <c r="D1189" s="4"/>
      <c r="E1189" s="4"/>
      <c r="F1189" s="4"/>
      <c r="G1189" s="4"/>
      <c r="H1189" s="4"/>
      <c r="I1189" s="4"/>
      <c r="J1189" s="4"/>
      <c r="K1189" s="4"/>
      <c r="L1189" s="4"/>
      <c r="M1189" s="4"/>
    </row>
    <row r="1190" spans="1:13" s="34" customFormat="1">
      <c r="A1190" s="3"/>
      <c r="B1190" s="4"/>
      <c r="C1190" s="4"/>
      <c r="D1190" s="4"/>
      <c r="E1190" s="4"/>
      <c r="F1190" s="4"/>
      <c r="G1190" s="4"/>
      <c r="H1190" s="4"/>
      <c r="I1190" s="4"/>
      <c r="J1190" s="4"/>
      <c r="K1190" s="4"/>
      <c r="L1190" s="4"/>
      <c r="M1190" s="4"/>
    </row>
    <row r="1191" spans="1:13" s="34" customFormat="1">
      <c r="A1191" s="3"/>
      <c r="B1191" s="4"/>
      <c r="C1191" s="4"/>
      <c r="D1191" s="4"/>
      <c r="E1191" s="4"/>
      <c r="F1191" s="4"/>
      <c r="G1191" s="4"/>
      <c r="H1191" s="4"/>
      <c r="I1191" s="4"/>
      <c r="J1191" s="4"/>
      <c r="K1191" s="4"/>
      <c r="L1191" s="4"/>
      <c r="M1191" s="4"/>
    </row>
    <row r="1192" spans="1:13" s="34" customFormat="1">
      <c r="A1192" s="3"/>
      <c r="B1192" s="4"/>
      <c r="C1192" s="4"/>
      <c r="D1192" s="4"/>
      <c r="E1192" s="4"/>
      <c r="F1192" s="4"/>
      <c r="G1192" s="4"/>
      <c r="H1192" s="4"/>
      <c r="I1192" s="4"/>
      <c r="J1192" s="4"/>
      <c r="K1192" s="4"/>
      <c r="L1192" s="4"/>
      <c r="M1192" s="4"/>
    </row>
    <row r="1193" spans="1:13" s="34" customFormat="1">
      <c r="A1193" s="3"/>
      <c r="B1193" s="4"/>
      <c r="C1193" s="4"/>
      <c r="D1193" s="4"/>
      <c r="E1193" s="4"/>
      <c r="F1193" s="4"/>
      <c r="G1193" s="4"/>
      <c r="H1193" s="4"/>
      <c r="I1193" s="4"/>
      <c r="J1193" s="4"/>
      <c r="K1193" s="4"/>
      <c r="L1193" s="4"/>
      <c r="M1193" s="4"/>
    </row>
    <row r="1194" spans="1:13" s="34" customFormat="1">
      <c r="A1194" s="3"/>
      <c r="B1194" s="4"/>
      <c r="C1194" s="4"/>
      <c r="D1194" s="4"/>
      <c r="E1194" s="4"/>
      <c r="F1194" s="4"/>
      <c r="G1194" s="4"/>
      <c r="H1194" s="4"/>
      <c r="I1194" s="4"/>
      <c r="J1194" s="4"/>
      <c r="K1194" s="4"/>
      <c r="L1194" s="4"/>
      <c r="M1194" s="4"/>
    </row>
    <row r="1195" spans="1:13" s="34" customFormat="1">
      <c r="A1195" s="3"/>
      <c r="B1195" s="4"/>
      <c r="C1195" s="4"/>
      <c r="D1195" s="4"/>
      <c r="E1195" s="4"/>
      <c r="F1195" s="4"/>
      <c r="G1195" s="4"/>
      <c r="H1195" s="4"/>
      <c r="I1195" s="4"/>
      <c r="J1195" s="4"/>
      <c r="K1195" s="4"/>
      <c r="L1195" s="4"/>
      <c r="M1195" s="4"/>
    </row>
    <row r="1196" spans="1:13" s="34" customFormat="1">
      <c r="A1196" s="3"/>
      <c r="B1196" s="4"/>
      <c r="C1196" s="4"/>
      <c r="D1196" s="4"/>
      <c r="E1196" s="4"/>
      <c r="F1196" s="4"/>
      <c r="G1196" s="4"/>
      <c r="H1196" s="4"/>
      <c r="I1196" s="4"/>
      <c r="J1196" s="4"/>
      <c r="K1196" s="4"/>
      <c r="L1196" s="4"/>
      <c r="M1196" s="4"/>
    </row>
    <row r="1197" spans="1:13" s="34" customFormat="1">
      <c r="A1197" s="3"/>
      <c r="B1197" s="4"/>
      <c r="C1197" s="4"/>
      <c r="D1197" s="4"/>
      <c r="E1197" s="4"/>
      <c r="F1197" s="4"/>
      <c r="G1197" s="4"/>
      <c r="H1197" s="4"/>
      <c r="I1197" s="4"/>
      <c r="J1197" s="4"/>
      <c r="K1197" s="4"/>
      <c r="L1197" s="4"/>
      <c r="M1197" s="4"/>
    </row>
    <row r="1198" spans="1:13" s="34" customFormat="1">
      <c r="A1198" s="3"/>
      <c r="B1198" s="4"/>
      <c r="C1198" s="4"/>
      <c r="D1198" s="4"/>
      <c r="E1198" s="4"/>
      <c r="F1198" s="4"/>
      <c r="G1198" s="4"/>
      <c r="H1198" s="4"/>
      <c r="I1198" s="4"/>
      <c r="J1198" s="4"/>
      <c r="K1198" s="4"/>
      <c r="L1198" s="4"/>
      <c r="M1198" s="4"/>
    </row>
    <row r="1199" spans="1:13" s="34" customFormat="1">
      <c r="A1199" s="3"/>
      <c r="B1199" s="4"/>
      <c r="C1199" s="4"/>
      <c r="D1199" s="4"/>
      <c r="E1199" s="4"/>
      <c r="F1199" s="4"/>
      <c r="G1199" s="4"/>
      <c r="H1199" s="4"/>
      <c r="I1199" s="4"/>
      <c r="J1199" s="4"/>
      <c r="K1199" s="4"/>
      <c r="L1199" s="4"/>
      <c r="M1199" s="4"/>
    </row>
    <row r="1200" spans="1:13" s="34" customFormat="1">
      <c r="A1200" s="3"/>
      <c r="B1200" s="4"/>
      <c r="C1200" s="4"/>
      <c r="D1200" s="4"/>
      <c r="E1200" s="4"/>
      <c r="F1200" s="4"/>
      <c r="G1200" s="4"/>
      <c r="H1200" s="4"/>
      <c r="I1200" s="4"/>
      <c r="J1200" s="4"/>
      <c r="K1200" s="4"/>
      <c r="L1200" s="4"/>
      <c r="M1200" s="4"/>
    </row>
    <row r="1201" spans="1:13" s="34" customFormat="1">
      <c r="A1201" s="3"/>
      <c r="B1201" s="4"/>
      <c r="C1201" s="4"/>
      <c r="D1201" s="4"/>
      <c r="E1201" s="4"/>
      <c r="F1201" s="4"/>
      <c r="G1201" s="4"/>
      <c r="H1201" s="4"/>
      <c r="I1201" s="4"/>
      <c r="J1201" s="4"/>
      <c r="K1201" s="4"/>
      <c r="L1201" s="4"/>
      <c r="M1201" s="4"/>
    </row>
    <row r="1202" spans="1:13" s="34" customFormat="1">
      <c r="A1202" s="3"/>
      <c r="B1202" s="4"/>
      <c r="C1202" s="4"/>
      <c r="D1202" s="4"/>
      <c r="E1202" s="4"/>
      <c r="F1202" s="4"/>
      <c r="G1202" s="4"/>
      <c r="H1202" s="4"/>
      <c r="I1202" s="4"/>
      <c r="J1202" s="4"/>
      <c r="K1202" s="4"/>
      <c r="L1202" s="4"/>
      <c r="M1202" s="4"/>
    </row>
    <row r="1203" spans="1:13" s="34" customFormat="1">
      <c r="A1203" s="3"/>
      <c r="B1203" s="4"/>
      <c r="C1203" s="4"/>
      <c r="D1203" s="4"/>
      <c r="E1203" s="4"/>
      <c r="F1203" s="4"/>
      <c r="G1203" s="4"/>
      <c r="H1203" s="4"/>
      <c r="I1203" s="4"/>
      <c r="J1203" s="4"/>
      <c r="K1203" s="4"/>
      <c r="L1203" s="4"/>
      <c r="M1203" s="4"/>
    </row>
    <row r="1204" spans="1:13" s="34" customFormat="1">
      <c r="A1204" s="3"/>
      <c r="B1204" s="4"/>
      <c r="C1204" s="4"/>
      <c r="D1204" s="4"/>
      <c r="E1204" s="4"/>
      <c r="F1204" s="4"/>
      <c r="G1204" s="4"/>
      <c r="H1204" s="4"/>
      <c r="I1204" s="4"/>
      <c r="J1204" s="4"/>
      <c r="K1204" s="4"/>
      <c r="L1204" s="4"/>
      <c r="M1204" s="4"/>
    </row>
    <row r="1205" spans="1:13" s="34" customFormat="1">
      <c r="A1205" s="3"/>
      <c r="B1205" s="4"/>
      <c r="C1205" s="4"/>
      <c r="D1205" s="4"/>
      <c r="E1205" s="4"/>
      <c r="F1205" s="4"/>
      <c r="G1205" s="4"/>
      <c r="H1205" s="4"/>
      <c r="I1205" s="4"/>
      <c r="J1205" s="4"/>
      <c r="K1205" s="4"/>
      <c r="L1205" s="4"/>
      <c r="M1205" s="4"/>
    </row>
    <row r="1206" spans="1:13" s="34" customFormat="1">
      <c r="A1206" s="3"/>
      <c r="B1206" s="4"/>
      <c r="C1206" s="4"/>
      <c r="D1206" s="4"/>
      <c r="E1206" s="4"/>
      <c r="F1206" s="4"/>
      <c r="G1206" s="4"/>
      <c r="H1206" s="4"/>
      <c r="I1206" s="4"/>
      <c r="J1206" s="4"/>
      <c r="K1206" s="4"/>
      <c r="L1206" s="4"/>
      <c r="M1206" s="4"/>
    </row>
    <row r="1207" spans="1:13" s="34" customFormat="1">
      <c r="A1207" s="3"/>
      <c r="B1207" s="4"/>
      <c r="C1207" s="4"/>
      <c r="D1207" s="4"/>
      <c r="E1207" s="4"/>
      <c r="F1207" s="4"/>
      <c r="G1207" s="4"/>
      <c r="H1207" s="4"/>
      <c r="I1207" s="4"/>
      <c r="J1207" s="4"/>
      <c r="K1207" s="4"/>
      <c r="L1207" s="4"/>
      <c r="M1207" s="4"/>
    </row>
    <row r="1208" spans="1:13" s="34" customFormat="1">
      <c r="A1208" s="3"/>
      <c r="B1208" s="4"/>
      <c r="C1208" s="4"/>
      <c r="D1208" s="4"/>
      <c r="E1208" s="4"/>
      <c r="F1208" s="4"/>
      <c r="G1208" s="4"/>
      <c r="H1208" s="4"/>
      <c r="I1208" s="4"/>
      <c r="J1208" s="4"/>
      <c r="K1208" s="4"/>
      <c r="L1208" s="4"/>
      <c r="M1208" s="4"/>
    </row>
    <row r="1209" spans="1:13" s="34" customFormat="1">
      <c r="A1209" s="3"/>
      <c r="B1209" s="4"/>
      <c r="C1209" s="4"/>
      <c r="D1209" s="4"/>
      <c r="E1209" s="4"/>
      <c r="F1209" s="4"/>
      <c r="G1209" s="4"/>
      <c r="H1209" s="4"/>
      <c r="I1209" s="4"/>
      <c r="J1209" s="4"/>
      <c r="K1209" s="4"/>
      <c r="L1209" s="4"/>
      <c r="M1209" s="4"/>
    </row>
    <row r="1210" spans="1:13" s="34" customFormat="1">
      <c r="A1210" s="3"/>
      <c r="B1210" s="4"/>
      <c r="C1210" s="4"/>
      <c r="D1210" s="4"/>
      <c r="E1210" s="4"/>
      <c r="F1210" s="4"/>
      <c r="G1210" s="4"/>
      <c r="H1210" s="4"/>
      <c r="I1210" s="4"/>
      <c r="J1210" s="4"/>
      <c r="K1210" s="4"/>
      <c r="L1210" s="4"/>
      <c r="M1210" s="4"/>
    </row>
    <row r="1211" spans="1:13" s="34" customFormat="1">
      <c r="A1211" s="3"/>
      <c r="B1211" s="4"/>
      <c r="C1211" s="4"/>
      <c r="D1211" s="4"/>
      <c r="E1211" s="4"/>
      <c r="F1211" s="4"/>
      <c r="G1211" s="4"/>
      <c r="H1211" s="4"/>
      <c r="I1211" s="4"/>
      <c r="J1211" s="4"/>
      <c r="K1211" s="4"/>
      <c r="L1211" s="4"/>
      <c r="M1211" s="4"/>
    </row>
    <row r="1212" spans="1:13" s="34" customFormat="1">
      <c r="A1212" s="3"/>
      <c r="B1212" s="4"/>
      <c r="C1212" s="4"/>
      <c r="D1212" s="4"/>
      <c r="E1212" s="4"/>
      <c r="F1212" s="4"/>
      <c r="G1212" s="4"/>
      <c r="H1212" s="4"/>
      <c r="I1212" s="4"/>
      <c r="J1212" s="4"/>
      <c r="K1212" s="4"/>
      <c r="L1212" s="4"/>
      <c r="M1212" s="4"/>
    </row>
    <row r="1213" spans="1:13" s="34" customFormat="1">
      <c r="A1213" s="3"/>
      <c r="B1213" s="4"/>
      <c r="C1213" s="4"/>
      <c r="D1213" s="4"/>
      <c r="E1213" s="4"/>
      <c r="F1213" s="4"/>
      <c r="G1213" s="4"/>
      <c r="H1213" s="4"/>
      <c r="I1213" s="4"/>
      <c r="J1213" s="4"/>
      <c r="K1213" s="4"/>
      <c r="L1213" s="4"/>
      <c r="M1213" s="4"/>
    </row>
    <row r="1214" spans="1:13" s="34" customFormat="1">
      <c r="A1214" s="3"/>
      <c r="B1214" s="4"/>
      <c r="C1214" s="4"/>
      <c r="D1214" s="4"/>
      <c r="E1214" s="4"/>
      <c r="F1214" s="4"/>
      <c r="G1214" s="4"/>
      <c r="H1214" s="4"/>
      <c r="I1214" s="4"/>
      <c r="J1214" s="4"/>
      <c r="K1214" s="4"/>
      <c r="L1214" s="4"/>
      <c r="M1214" s="4"/>
    </row>
    <row r="1215" spans="1:13" s="34" customFormat="1">
      <c r="A1215" s="3"/>
      <c r="B1215" s="4"/>
      <c r="C1215" s="4"/>
      <c r="D1215" s="4"/>
      <c r="E1215" s="4"/>
      <c r="F1215" s="4"/>
      <c r="G1215" s="4"/>
      <c r="H1215" s="4"/>
      <c r="I1215" s="4"/>
      <c r="J1215" s="4"/>
      <c r="K1215" s="4"/>
      <c r="L1215" s="4"/>
      <c r="M1215" s="4"/>
    </row>
    <row r="1216" spans="1:13" s="34" customFormat="1">
      <c r="A1216" s="3"/>
      <c r="B1216" s="4"/>
      <c r="C1216" s="4"/>
      <c r="D1216" s="4"/>
      <c r="E1216" s="4"/>
      <c r="F1216" s="4"/>
      <c r="G1216" s="4"/>
      <c r="H1216" s="4"/>
      <c r="I1216" s="4"/>
      <c r="J1216" s="4"/>
      <c r="K1216" s="4"/>
      <c r="L1216" s="4"/>
      <c r="M1216" s="4"/>
    </row>
    <row r="1217" spans="1:13" s="34" customFormat="1">
      <c r="A1217" s="3"/>
      <c r="B1217" s="4"/>
      <c r="C1217" s="4"/>
      <c r="D1217" s="4"/>
      <c r="E1217" s="4"/>
      <c r="F1217" s="4"/>
      <c r="G1217" s="4"/>
      <c r="H1217" s="4"/>
      <c r="I1217" s="4"/>
      <c r="J1217" s="4"/>
      <c r="K1217" s="4"/>
      <c r="L1217" s="4"/>
      <c r="M1217" s="4"/>
    </row>
    <row r="1218" spans="1:13" s="34" customFormat="1">
      <c r="A1218" s="3"/>
      <c r="B1218" s="4"/>
      <c r="C1218" s="4"/>
      <c r="D1218" s="4"/>
      <c r="E1218" s="4"/>
      <c r="F1218" s="4"/>
      <c r="G1218" s="4"/>
      <c r="H1218" s="4"/>
      <c r="I1218" s="4"/>
      <c r="J1218" s="4"/>
      <c r="K1218" s="4"/>
      <c r="L1218" s="4"/>
      <c r="M1218" s="4"/>
    </row>
    <row r="1219" spans="1:13" s="34" customFormat="1">
      <c r="A1219" s="3"/>
      <c r="B1219" s="4"/>
      <c r="C1219" s="4"/>
      <c r="D1219" s="4"/>
      <c r="E1219" s="4"/>
      <c r="F1219" s="4"/>
      <c r="G1219" s="4"/>
      <c r="H1219" s="4"/>
      <c r="I1219" s="4"/>
      <c r="J1219" s="4"/>
      <c r="K1219" s="4"/>
      <c r="L1219" s="4"/>
      <c r="M1219" s="4"/>
    </row>
    <row r="1220" spans="1:13" s="34" customFormat="1">
      <c r="A1220" s="3"/>
      <c r="B1220" s="4"/>
      <c r="C1220" s="4"/>
      <c r="D1220" s="4"/>
      <c r="E1220" s="4"/>
      <c r="F1220" s="4"/>
      <c r="G1220" s="4"/>
      <c r="H1220" s="4"/>
      <c r="I1220" s="4"/>
      <c r="J1220" s="4"/>
      <c r="K1220" s="4"/>
      <c r="L1220" s="4"/>
      <c r="M1220" s="4"/>
    </row>
    <row r="1221" spans="1:13" s="34" customFormat="1">
      <c r="A1221" s="3"/>
      <c r="B1221" s="4"/>
      <c r="C1221" s="4"/>
      <c r="D1221" s="4"/>
      <c r="E1221" s="4"/>
      <c r="F1221" s="4"/>
      <c r="G1221" s="4"/>
      <c r="H1221" s="4"/>
      <c r="I1221" s="4"/>
      <c r="J1221" s="4"/>
      <c r="K1221" s="4"/>
      <c r="L1221" s="4"/>
      <c r="M1221" s="4"/>
    </row>
    <row r="1222" spans="1:13" s="34" customFormat="1">
      <c r="A1222" s="3"/>
      <c r="B1222" s="4"/>
      <c r="C1222" s="4"/>
      <c r="D1222" s="4"/>
      <c r="E1222" s="4"/>
      <c r="F1222" s="4"/>
      <c r="G1222" s="4"/>
      <c r="H1222" s="4"/>
      <c r="I1222" s="4"/>
      <c r="J1222" s="4"/>
      <c r="K1222" s="4"/>
      <c r="L1222" s="4"/>
      <c r="M1222" s="4"/>
    </row>
    <row r="1223" spans="1:13" s="34" customFormat="1">
      <c r="A1223" s="3"/>
      <c r="B1223" s="4"/>
      <c r="C1223" s="4"/>
      <c r="D1223" s="4"/>
      <c r="E1223" s="4"/>
      <c r="F1223" s="4"/>
      <c r="G1223" s="4"/>
      <c r="H1223" s="4"/>
      <c r="I1223" s="4"/>
      <c r="J1223" s="4"/>
      <c r="K1223" s="4"/>
      <c r="L1223" s="4"/>
      <c r="M1223" s="4"/>
    </row>
    <row r="1224" spans="1:13" s="34" customFormat="1">
      <c r="A1224" s="3"/>
      <c r="B1224" s="4"/>
      <c r="C1224" s="4"/>
      <c r="D1224" s="4"/>
      <c r="E1224" s="4"/>
      <c r="F1224" s="4"/>
      <c r="G1224" s="4"/>
      <c r="H1224" s="4"/>
      <c r="I1224" s="4"/>
      <c r="J1224" s="4"/>
      <c r="K1224" s="4"/>
      <c r="L1224" s="4"/>
      <c r="M1224" s="4"/>
    </row>
    <row r="1225" spans="1:13" s="34" customFormat="1">
      <c r="A1225" s="3"/>
      <c r="B1225" s="4"/>
      <c r="C1225" s="4"/>
      <c r="D1225" s="4"/>
      <c r="E1225" s="4"/>
      <c r="F1225" s="4"/>
      <c r="G1225" s="4"/>
      <c r="H1225" s="4"/>
      <c r="I1225" s="4"/>
      <c r="J1225" s="4"/>
      <c r="K1225" s="4"/>
      <c r="L1225" s="4"/>
      <c r="M1225" s="4"/>
    </row>
    <row r="1226" spans="1:13" s="34" customFormat="1">
      <c r="A1226" s="3"/>
      <c r="B1226" s="4"/>
      <c r="C1226" s="4"/>
      <c r="D1226" s="4"/>
      <c r="E1226" s="4"/>
      <c r="F1226" s="4"/>
      <c r="G1226" s="4"/>
      <c r="H1226" s="4"/>
      <c r="I1226" s="4"/>
      <c r="J1226" s="4"/>
      <c r="K1226" s="4"/>
      <c r="L1226" s="4"/>
      <c r="M1226" s="4"/>
    </row>
    <row r="1227" spans="1:13" s="34" customFormat="1">
      <c r="A1227" s="3"/>
      <c r="B1227" s="4"/>
      <c r="C1227" s="4"/>
      <c r="D1227" s="4"/>
      <c r="E1227" s="4"/>
      <c r="F1227" s="4"/>
      <c r="G1227" s="4"/>
      <c r="H1227" s="4"/>
      <c r="I1227" s="4"/>
      <c r="J1227" s="4"/>
      <c r="K1227" s="4"/>
      <c r="L1227" s="4"/>
      <c r="M1227" s="4"/>
    </row>
    <row r="1228" spans="1:13" s="34" customFormat="1">
      <c r="A1228" s="3"/>
      <c r="B1228" s="4"/>
      <c r="C1228" s="4"/>
      <c r="D1228" s="4"/>
      <c r="E1228" s="4"/>
      <c r="F1228" s="4"/>
      <c r="G1228" s="4"/>
      <c r="H1228" s="4"/>
      <c r="I1228" s="4"/>
      <c r="J1228" s="4"/>
      <c r="K1228" s="4"/>
      <c r="L1228" s="4"/>
      <c r="M1228" s="4"/>
    </row>
    <row r="1229" spans="1:13" s="34" customFormat="1">
      <c r="A1229" s="3"/>
      <c r="B1229" s="4"/>
      <c r="C1229" s="4"/>
      <c r="D1229" s="4"/>
      <c r="E1229" s="4"/>
      <c r="F1229" s="4"/>
      <c r="G1229" s="4"/>
      <c r="H1229" s="4"/>
      <c r="I1229" s="4"/>
      <c r="J1229" s="4"/>
      <c r="K1229" s="4"/>
      <c r="L1229" s="4"/>
      <c r="M1229" s="4"/>
    </row>
    <row r="1230" spans="1:13" s="34" customFormat="1">
      <c r="A1230" s="3"/>
      <c r="B1230" s="4"/>
      <c r="C1230" s="4"/>
      <c r="D1230" s="4"/>
      <c r="E1230" s="4"/>
      <c r="F1230" s="4"/>
      <c r="G1230" s="4"/>
      <c r="H1230" s="4"/>
      <c r="I1230" s="4"/>
      <c r="J1230" s="4"/>
      <c r="K1230" s="4"/>
      <c r="L1230" s="4"/>
      <c r="M1230" s="4"/>
    </row>
    <row r="1231" spans="1:13" s="34" customFormat="1">
      <c r="A1231" s="3"/>
      <c r="B1231" s="4"/>
      <c r="C1231" s="4"/>
      <c r="D1231" s="4"/>
      <c r="E1231" s="4"/>
      <c r="F1231" s="4"/>
      <c r="G1231" s="4"/>
      <c r="H1231" s="4"/>
      <c r="I1231" s="4"/>
      <c r="J1231" s="4"/>
      <c r="K1231" s="4"/>
      <c r="L1231" s="4"/>
      <c r="M1231" s="4"/>
    </row>
    <row r="1232" spans="1:13" s="34" customFormat="1">
      <c r="A1232" s="3"/>
      <c r="B1232" s="4"/>
      <c r="C1232" s="4"/>
      <c r="D1232" s="4"/>
      <c r="E1232" s="4"/>
      <c r="F1232" s="4"/>
      <c r="G1232" s="4"/>
      <c r="H1232" s="4"/>
      <c r="I1232" s="4"/>
      <c r="J1232" s="4"/>
      <c r="K1232" s="4"/>
      <c r="L1232" s="4"/>
      <c r="M1232" s="4"/>
    </row>
    <row r="1233" spans="1:13" s="34" customFormat="1">
      <c r="A1233" s="3"/>
      <c r="B1233" s="4"/>
      <c r="C1233" s="4"/>
      <c r="D1233" s="4"/>
      <c r="E1233" s="4"/>
      <c r="F1233" s="4"/>
      <c r="G1233" s="4"/>
      <c r="H1233" s="4"/>
      <c r="I1233" s="4"/>
      <c r="J1233" s="4"/>
      <c r="K1233" s="4"/>
      <c r="L1233" s="4"/>
      <c r="M1233" s="4"/>
    </row>
    <row r="1234" spans="1:13" s="34" customFormat="1">
      <c r="A1234" s="3"/>
      <c r="B1234" s="4"/>
      <c r="C1234" s="4"/>
      <c r="D1234" s="4"/>
      <c r="E1234" s="4"/>
      <c r="F1234" s="4"/>
      <c r="G1234" s="4"/>
      <c r="H1234" s="4"/>
      <c r="I1234" s="4"/>
      <c r="J1234" s="4"/>
      <c r="K1234" s="4"/>
      <c r="L1234" s="4"/>
      <c r="M1234" s="4"/>
    </row>
    <row r="1235" spans="1:13" s="34" customFormat="1">
      <c r="A1235" s="3"/>
      <c r="B1235" s="4"/>
      <c r="C1235" s="4"/>
      <c r="D1235" s="4"/>
      <c r="E1235" s="4"/>
      <c r="F1235" s="4"/>
      <c r="G1235" s="4"/>
      <c r="H1235" s="4"/>
      <c r="I1235" s="4"/>
      <c r="J1235" s="4"/>
      <c r="K1235" s="4"/>
      <c r="L1235" s="4"/>
      <c r="M1235" s="4"/>
    </row>
    <row r="1236" spans="1:13" s="34" customFormat="1">
      <c r="A1236" s="3"/>
      <c r="B1236" s="4"/>
      <c r="C1236" s="4"/>
      <c r="D1236" s="4"/>
      <c r="E1236" s="4"/>
      <c r="F1236" s="4"/>
      <c r="G1236" s="4"/>
      <c r="H1236" s="4"/>
      <c r="I1236" s="4"/>
      <c r="J1236" s="4"/>
      <c r="K1236" s="4"/>
      <c r="L1236" s="4"/>
      <c r="M1236" s="4"/>
    </row>
    <row r="1237" spans="1:13" s="34" customFormat="1">
      <c r="A1237" s="3"/>
      <c r="B1237" s="4"/>
      <c r="C1237" s="4"/>
      <c r="D1237" s="4"/>
      <c r="E1237" s="4"/>
      <c r="F1237" s="4"/>
      <c r="G1237" s="4"/>
      <c r="H1237" s="4"/>
      <c r="I1237" s="4"/>
      <c r="J1237" s="4"/>
      <c r="K1237" s="4"/>
      <c r="L1237" s="4"/>
      <c r="M1237" s="4"/>
    </row>
    <row r="1238" spans="1:13" s="34" customFormat="1">
      <c r="A1238" s="3"/>
      <c r="B1238" s="4"/>
      <c r="C1238" s="4"/>
      <c r="D1238" s="4"/>
      <c r="E1238" s="4"/>
      <c r="F1238" s="4"/>
      <c r="G1238" s="4"/>
      <c r="H1238" s="4"/>
      <c r="I1238" s="4"/>
      <c r="J1238" s="4"/>
      <c r="K1238" s="4"/>
      <c r="L1238" s="4"/>
      <c r="M1238" s="4"/>
    </row>
    <row r="1239" spans="1:13" s="34" customFormat="1">
      <c r="A1239" s="3"/>
      <c r="B1239" s="4"/>
      <c r="C1239" s="4"/>
      <c r="D1239" s="4"/>
      <c r="E1239" s="4"/>
      <c r="F1239" s="4"/>
      <c r="G1239" s="4"/>
      <c r="H1239" s="4"/>
      <c r="I1239" s="4"/>
      <c r="J1239" s="4"/>
      <c r="K1239" s="4"/>
      <c r="L1239" s="4"/>
      <c r="M1239" s="4"/>
    </row>
    <row r="1240" spans="1:13" s="34" customFormat="1">
      <c r="A1240" s="3"/>
      <c r="B1240" s="4"/>
      <c r="C1240" s="4"/>
      <c r="D1240" s="4"/>
      <c r="E1240" s="4"/>
      <c r="F1240" s="4"/>
      <c r="G1240" s="4"/>
      <c r="H1240" s="4"/>
      <c r="I1240" s="4"/>
      <c r="J1240" s="4"/>
      <c r="K1240" s="4"/>
      <c r="L1240" s="4"/>
      <c r="M1240" s="4"/>
    </row>
    <row r="1241" spans="1:13" s="34" customFormat="1">
      <c r="A1241" s="3"/>
      <c r="B1241" s="4"/>
      <c r="C1241" s="4"/>
      <c r="D1241" s="4"/>
      <c r="E1241" s="4"/>
      <c r="F1241" s="4"/>
      <c r="G1241" s="4"/>
      <c r="H1241" s="4"/>
      <c r="I1241" s="4"/>
      <c r="J1241" s="4"/>
      <c r="K1241" s="4"/>
      <c r="L1241" s="4"/>
      <c r="M1241" s="4"/>
    </row>
    <row r="1242" spans="1:13" s="34" customFormat="1">
      <c r="A1242" s="3"/>
      <c r="B1242" s="4"/>
      <c r="C1242" s="4"/>
      <c r="D1242" s="4"/>
      <c r="E1242" s="4"/>
      <c r="F1242" s="4"/>
      <c r="G1242" s="4"/>
      <c r="H1242" s="4"/>
      <c r="I1242" s="4"/>
      <c r="J1242" s="4"/>
      <c r="K1242" s="4"/>
      <c r="L1242" s="4"/>
      <c r="M1242" s="4"/>
    </row>
    <row r="1243" spans="1:13" s="34" customFormat="1">
      <c r="A1243" s="3"/>
      <c r="B1243" s="4"/>
      <c r="C1243" s="4"/>
      <c r="D1243" s="4"/>
      <c r="E1243" s="4"/>
      <c r="F1243" s="4"/>
      <c r="G1243" s="4"/>
      <c r="H1243" s="4"/>
      <c r="I1243" s="4"/>
      <c r="J1243" s="4"/>
      <c r="K1243" s="4"/>
      <c r="L1243" s="4"/>
      <c r="M1243" s="4"/>
    </row>
    <row r="1244" spans="1:13" s="34" customFormat="1">
      <c r="A1244" s="3"/>
      <c r="B1244" s="4"/>
      <c r="C1244" s="4"/>
      <c r="D1244" s="4"/>
      <c r="E1244" s="4"/>
      <c r="F1244" s="4"/>
      <c r="G1244" s="4"/>
      <c r="H1244" s="4"/>
      <c r="I1244" s="4"/>
      <c r="J1244" s="4"/>
      <c r="K1244" s="4"/>
      <c r="L1244" s="4"/>
      <c r="M1244" s="4"/>
    </row>
    <row r="1245" spans="1:13" s="34" customFormat="1">
      <c r="A1245" s="3"/>
      <c r="B1245" s="4"/>
      <c r="C1245" s="4"/>
      <c r="D1245" s="4"/>
      <c r="E1245" s="4"/>
      <c r="F1245" s="4"/>
      <c r="G1245" s="4"/>
      <c r="H1245" s="4"/>
      <c r="I1245" s="4"/>
      <c r="J1245" s="4"/>
      <c r="K1245" s="4"/>
      <c r="L1245" s="4"/>
      <c r="M1245" s="4"/>
    </row>
    <row r="1246" spans="1:13" s="34" customFormat="1">
      <c r="A1246" s="3"/>
      <c r="B1246" s="4"/>
      <c r="C1246" s="4"/>
      <c r="D1246" s="4"/>
      <c r="E1246" s="4"/>
      <c r="F1246" s="4"/>
      <c r="G1246" s="4"/>
      <c r="H1246" s="4"/>
      <c r="I1246" s="4"/>
      <c r="J1246" s="4"/>
      <c r="K1246" s="4"/>
      <c r="L1246" s="4"/>
      <c r="M1246" s="4"/>
    </row>
    <row r="1247" spans="1:13" s="34" customFormat="1">
      <c r="A1247" s="3"/>
      <c r="B1247" s="4"/>
      <c r="C1247" s="4"/>
      <c r="D1247" s="4"/>
      <c r="E1247" s="4"/>
      <c r="F1247" s="4"/>
      <c r="G1247" s="4"/>
      <c r="H1247" s="4"/>
      <c r="I1247" s="4"/>
      <c r="J1247" s="4"/>
      <c r="K1247" s="4"/>
      <c r="L1247" s="4"/>
      <c r="M1247" s="4"/>
    </row>
    <row r="1248" spans="1:13" s="34" customFormat="1">
      <c r="A1248" s="3"/>
      <c r="B1248" s="4"/>
      <c r="C1248" s="4"/>
      <c r="D1248" s="4"/>
      <c r="E1248" s="4"/>
      <c r="F1248" s="4"/>
      <c r="G1248" s="4"/>
      <c r="H1248" s="4"/>
      <c r="I1248" s="4"/>
      <c r="J1248" s="4"/>
      <c r="K1248" s="4"/>
      <c r="L1248" s="4"/>
      <c r="M1248" s="4"/>
    </row>
    <row r="1249" spans="1:13" s="34" customFormat="1">
      <c r="A1249" s="3"/>
      <c r="B1249" s="4"/>
      <c r="C1249" s="4"/>
      <c r="D1249" s="4"/>
      <c r="E1249" s="4"/>
      <c r="F1249" s="4"/>
      <c r="G1249" s="4"/>
      <c r="H1249" s="4"/>
      <c r="I1249" s="4"/>
      <c r="J1249" s="4"/>
      <c r="K1249" s="4"/>
      <c r="L1249" s="4"/>
      <c r="M1249" s="4"/>
    </row>
    <row r="1250" spans="1:13" s="34" customFormat="1">
      <c r="A1250" s="3"/>
      <c r="B1250" s="4"/>
      <c r="C1250" s="4"/>
      <c r="D1250" s="4"/>
      <c r="E1250" s="4"/>
      <c r="F1250" s="4"/>
      <c r="G1250" s="4"/>
      <c r="H1250" s="4"/>
      <c r="I1250" s="4"/>
      <c r="J1250" s="4"/>
      <c r="K1250" s="4"/>
      <c r="L1250" s="4"/>
      <c r="M1250" s="4"/>
    </row>
    <row r="1251" spans="1:13" s="34" customFormat="1">
      <c r="A1251" s="3"/>
      <c r="B1251" s="4"/>
      <c r="C1251" s="4"/>
      <c r="D1251" s="4"/>
      <c r="E1251" s="4"/>
      <c r="F1251" s="4"/>
      <c r="G1251" s="4"/>
      <c r="H1251" s="4"/>
      <c r="I1251" s="4"/>
      <c r="J1251" s="4"/>
      <c r="K1251" s="4"/>
      <c r="L1251" s="4"/>
      <c r="M1251" s="4"/>
    </row>
    <row r="1252" spans="1:13" s="34" customFormat="1">
      <c r="A1252" s="3"/>
      <c r="B1252" s="4"/>
      <c r="C1252" s="4"/>
      <c r="D1252" s="4"/>
      <c r="E1252" s="4"/>
      <c r="F1252" s="4"/>
      <c r="G1252" s="4"/>
      <c r="H1252" s="4"/>
      <c r="I1252" s="4"/>
      <c r="J1252" s="4"/>
      <c r="K1252" s="4"/>
      <c r="L1252" s="4"/>
      <c r="M1252" s="4"/>
    </row>
    <row r="1253" spans="1:13" s="34" customFormat="1">
      <c r="A1253" s="3"/>
      <c r="B1253" s="4"/>
      <c r="C1253" s="4"/>
      <c r="D1253" s="4"/>
      <c r="E1253" s="4"/>
      <c r="F1253" s="4"/>
      <c r="G1253" s="4"/>
      <c r="H1253" s="4"/>
      <c r="I1253" s="4"/>
      <c r="J1253" s="4"/>
      <c r="K1253" s="4"/>
      <c r="L1253" s="4"/>
      <c r="M1253" s="4"/>
    </row>
    <row r="1254" spans="1:13" s="34" customFormat="1">
      <c r="A1254" s="3"/>
      <c r="B1254" s="4"/>
      <c r="C1254" s="4"/>
      <c r="D1254" s="4"/>
      <c r="E1254" s="4"/>
      <c r="F1254" s="4"/>
      <c r="G1254" s="4"/>
      <c r="H1254" s="4"/>
      <c r="I1254" s="4"/>
      <c r="J1254" s="4"/>
      <c r="K1254" s="4"/>
      <c r="L1254" s="4"/>
      <c r="M1254" s="4"/>
    </row>
    <row r="1255" spans="1:13" s="34" customFormat="1">
      <c r="A1255" s="3"/>
      <c r="B1255" s="4"/>
      <c r="C1255" s="4"/>
      <c r="D1255" s="4"/>
      <c r="E1255" s="4"/>
      <c r="F1255" s="4"/>
      <c r="G1255" s="4"/>
      <c r="H1255" s="4"/>
      <c r="I1255" s="4"/>
      <c r="J1255" s="4"/>
      <c r="K1255" s="4"/>
      <c r="L1255" s="4"/>
      <c r="M1255" s="4"/>
    </row>
    <row r="1256" spans="1:13" s="34" customFormat="1">
      <c r="A1256" s="3"/>
      <c r="B1256" s="4"/>
      <c r="C1256" s="4"/>
      <c r="D1256" s="4"/>
      <c r="E1256" s="4"/>
      <c r="F1256" s="4"/>
      <c r="G1256" s="4"/>
      <c r="H1256" s="4"/>
      <c r="I1256" s="4"/>
      <c r="J1256" s="4"/>
      <c r="K1256" s="4"/>
      <c r="L1256" s="4"/>
      <c r="M1256" s="4"/>
    </row>
    <row r="1257" spans="1:13" s="34" customFormat="1">
      <c r="A1257" s="3"/>
      <c r="B1257" s="4"/>
      <c r="C1257" s="4"/>
      <c r="D1257" s="4"/>
      <c r="E1257" s="4"/>
      <c r="F1257" s="4"/>
      <c r="G1257" s="4"/>
      <c r="H1257" s="4"/>
      <c r="I1257" s="4"/>
      <c r="J1257" s="4"/>
      <c r="K1257" s="4"/>
      <c r="L1257" s="4"/>
      <c r="M1257" s="4"/>
    </row>
    <row r="1258" spans="1:13" s="34" customFormat="1">
      <c r="A1258" s="3"/>
      <c r="B1258" s="4"/>
      <c r="C1258" s="4"/>
      <c r="D1258" s="4"/>
      <c r="E1258" s="4"/>
      <c r="F1258" s="4"/>
      <c r="G1258" s="4"/>
      <c r="H1258" s="4"/>
      <c r="I1258" s="4"/>
      <c r="J1258" s="4"/>
      <c r="K1258" s="4"/>
      <c r="L1258" s="4"/>
      <c r="M1258" s="4"/>
    </row>
    <row r="1259" spans="1:13" s="34" customFormat="1">
      <c r="A1259" s="3"/>
      <c r="B1259" s="4"/>
      <c r="C1259" s="4"/>
      <c r="D1259" s="4"/>
      <c r="E1259" s="4"/>
      <c r="F1259" s="4"/>
      <c r="G1259" s="4"/>
      <c r="H1259" s="4"/>
      <c r="I1259" s="4"/>
      <c r="J1259" s="4"/>
      <c r="K1259" s="4"/>
      <c r="L1259" s="4"/>
      <c r="M1259" s="4"/>
    </row>
    <row r="1260" spans="1:13" s="34" customFormat="1">
      <c r="A1260" s="3"/>
      <c r="B1260" s="4"/>
      <c r="C1260" s="4"/>
      <c r="D1260" s="4"/>
      <c r="E1260" s="4"/>
      <c r="F1260" s="4"/>
      <c r="G1260" s="4"/>
      <c r="H1260" s="4"/>
      <c r="I1260" s="4"/>
      <c r="J1260" s="4"/>
      <c r="K1260" s="4"/>
      <c r="L1260" s="4"/>
      <c r="M1260" s="4"/>
    </row>
    <row r="1261" spans="1:13" s="34" customFormat="1">
      <c r="A1261" s="3"/>
      <c r="B1261" s="4"/>
      <c r="C1261" s="4"/>
      <c r="D1261" s="4"/>
      <c r="E1261" s="4"/>
      <c r="F1261" s="4"/>
      <c r="G1261" s="4"/>
      <c r="H1261" s="4"/>
      <c r="I1261" s="4"/>
      <c r="J1261" s="4"/>
      <c r="K1261" s="4"/>
      <c r="L1261" s="4"/>
      <c r="M1261" s="4"/>
    </row>
    <row r="1262" spans="1:13" s="34" customFormat="1">
      <c r="A1262" s="3"/>
      <c r="B1262" s="4"/>
      <c r="C1262" s="4"/>
      <c r="D1262" s="4"/>
      <c r="E1262" s="4"/>
      <c r="F1262" s="4"/>
      <c r="G1262" s="4"/>
      <c r="H1262" s="4"/>
      <c r="I1262" s="4"/>
      <c r="J1262" s="4"/>
      <c r="K1262" s="4"/>
      <c r="L1262" s="4"/>
      <c r="M1262" s="4"/>
    </row>
    <row r="1263" spans="1:13" s="34" customFormat="1">
      <c r="A1263" s="3"/>
      <c r="B1263" s="4"/>
      <c r="C1263" s="4"/>
      <c r="D1263" s="4"/>
      <c r="E1263" s="4"/>
      <c r="F1263" s="4"/>
      <c r="G1263" s="4"/>
      <c r="H1263" s="4"/>
      <c r="I1263" s="4"/>
      <c r="J1263" s="4"/>
      <c r="K1263" s="4"/>
      <c r="L1263" s="4"/>
      <c r="M1263" s="4"/>
    </row>
    <row r="1264" spans="1:13" s="34" customFormat="1">
      <c r="A1264" s="3"/>
      <c r="B1264" s="4"/>
      <c r="C1264" s="4"/>
      <c r="D1264" s="4"/>
      <c r="E1264" s="4"/>
      <c r="F1264" s="4"/>
      <c r="G1264" s="4"/>
      <c r="H1264" s="4"/>
      <c r="I1264" s="4"/>
      <c r="J1264" s="4"/>
      <c r="K1264" s="4"/>
      <c r="L1264" s="4"/>
      <c r="M1264" s="4"/>
    </row>
    <row r="1265" spans="1:13" s="34" customFormat="1">
      <c r="A1265" s="3"/>
      <c r="B1265" s="4"/>
      <c r="C1265" s="4"/>
      <c r="D1265" s="4"/>
      <c r="E1265" s="4"/>
      <c r="F1265" s="4"/>
      <c r="G1265" s="4"/>
      <c r="H1265" s="4"/>
      <c r="I1265" s="4"/>
      <c r="J1265" s="4"/>
      <c r="K1265" s="4"/>
      <c r="L1265" s="4"/>
      <c r="M1265" s="4"/>
    </row>
    <row r="1266" spans="1:13" s="34" customFormat="1">
      <c r="A1266" s="3"/>
      <c r="B1266" s="4"/>
      <c r="C1266" s="4"/>
      <c r="D1266" s="4"/>
      <c r="E1266" s="4"/>
      <c r="F1266" s="4"/>
      <c r="G1266" s="4"/>
      <c r="H1266" s="4"/>
      <c r="I1266" s="4"/>
      <c r="J1266" s="4"/>
      <c r="K1266" s="4"/>
      <c r="L1266" s="4"/>
      <c r="M1266" s="4"/>
    </row>
    <row r="1267" spans="1:13" s="34" customFormat="1">
      <c r="A1267" s="3"/>
      <c r="B1267" s="4"/>
      <c r="C1267" s="4"/>
      <c r="D1267" s="4"/>
      <c r="E1267" s="4"/>
      <c r="F1267" s="4"/>
      <c r="G1267" s="4"/>
      <c r="H1267" s="4"/>
      <c r="I1267" s="4"/>
      <c r="J1267" s="4"/>
      <c r="K1267" s="4"/>
      <c r="L1267" s="4"/>
      <c r="M1267" s="4"/>
    </row>
    <row r="1268" spans="1:13" s="34" customFormat="1">
      <c r="A1268" s="3"/>
      <c r="B1268" s="4"/>
      <c r="C1268" s="4"/>
      <c r="D1268" s="4"/>
      <c r="E1268" s="4"/>
      <c r="F1268" s="4"/>
      <c r="G1268" s="4"/>
      <c r="H1268" s="4"/>
      <c r="I1268" s="4"/>
      <c r="J1268" s="4"/>
      <c r="K1268" s="4"/>
      <c r="L1268" s="4"/>
      <c r="M1268" s="4"/>
    </row>
    <row r="1269" spans="1:13" s="34" customFormat="1">
      <c r="A1269" s="3"/>
      <c r="B1269" s="4"/>
      <c r="C1269" s="4"/>
      <c r="D1269" s="4"/>
      <c r="E1269" s="4"/>
      <c r="F1269" s="4"/>
      <c r="G1269" s="4"/>
      <c r="H1269" s="4"/>
      <c r="I1269" s="4"/>
      <c r="J1269" s="4"/>
      <c r="K1269" s="4"/>
      <c r="L1269" s="4"/>
      <c r="M1269" s="4"/>
    </row>
    <row r="1270" spans="1:13" s="34" customFormat="1">
      <c r="A1270" s="3"/>
      <c r="B1270" s="4"/>
      <c r="C1270" s="4"/>
      <c r="D1270" s="4"/>
      <c r="E1270" s="4"/>
      <c r="F1270" s="4"/>
      <c r="G1270" s="4"/>
      <c r="H1270" s="4"/>
      <c r="I1270" s="4"/>
      <c r="J1270" s="4"/>
      <c r="K1270" s="4"/>
      <c r="L1270" s="4"/>
      <c r="M1270" s="4"/>
    </row>
    <row r="1271" spans="1:13" s="34" customFormat="1">
      <c r="A1271" s="3"/>
      <c r="B1271" s="4"/>
      <c r="C1271" s="4"/>
      <c r="D1271" s="4"/>
      <c r="E1271" s="4"/>
      <c r="F1271" s="4"/>
      <c r="G1271" s="4"/>
      <c r="H1271" s="4"/>
      <c r="I1271" s="4"/>
      <c r="J1271" s="4"/>
      <c r="K1271" s="4"/>
      <c r="L1271" s="4"/>
      <c r="M1271" s="4"/>
    </row>
    <row r="1272" spans="1:13" s="34" customFormat="1">
      <c r="A1272" s="3"/>
      <c r="B1272" s="4"/>
      <c r="C1272" s="4"/>
      <c r="D1272" s="4"/>
      <c r="E1272" s="4"/>
      <c r="F1272" s="4"/>
      <c r="G1272" s="4"/>
      <c r="H1272" s="4"/>
      <c r="I1272" s="4"/>
      <c r="J1272" s="4"/>
      <c r="K1272" s="4"/>
      <c r="L1272" s="4"/>
      <c r="M1272" s="4"/>
    </row>
    <row r="1273" spans="1:13" s="34" customFormat="1">
      <c r="A1273" s="3"/>
      <c r="B1273" s="4"/>
      <c r="C1273" s="4"/>
      <c r="D1273" s="4"/>
      <c r="E1273" s="4"/>
      <c r="F1273" s="4"/>
      <c r="G1273" s="4"/>
      <c r="H1273" s="4"/>
      <c r="I1273" s="4"/>
      <c r="J1273" s="4"/>
      <c r="K1273" s="4"/>
      <c r="L1273" s="4"/>
      <c r="M1273" s="4"/>
    </row>
    <row r="1274" spans="1:13" s="34" customFormat="1">
      <c r="A1274" s="3"/>
      <c r="B1274" s="4"/>
      <c r="C1274" s="4"/>
      <c r="D1274" s="4"/>
      <c r="E1274" s="4"/>
      <c r="F1274" s="4"/>
      <c r="G1274" s="4"/>
      <c r="H1274" s="4"/>
      <c r="I1274" s="4"/>
      <c r="J1274" s="4"/>
      <c r="K1274" s="4"/>
      <c r="L1274" s="4"/>
      <c r="M1274" s="4"/>
    </row>
    <row r="1275" spans="1:13" s="34" customFormat="1">
      <c r="A1275" s="3"/>
      <c r="B1275" s="4"/>
      <c r="C1275" s="4"/>
      <c r="D1275" s="4"/>
      <c r="E1275" s="4"/>
      <c r="F1275" s="4"/>
      <c r="G1275" s="4"/>
      <c r="H1275" s="4"/>
      <c r="I1275" s="4"/>
      <c r="J1275" s="4"/>
      <c r="K1275" s="4"/>
      <c r="L1275" s="4"/>
      <c r="M1275" s="4"/>
    </row>
    <row r="1276" spans="1:13" s="34" customFormat="1">
      <c r="A1276" s="3"/>
      <c r="B1276" s="4"/>
      <c r="C1276" s="4"/>
      <c r="D1276" s="4"/>
      <c r="E1276" s="4"/>
      <c r="F1276" s="4"/>
      <c r="G1276" s="4"/>
      <c r="H1276" s="4"/>
      <c r="I1276" s="4"/>
      <c r="J1276" s="4"/>
      <c r="K1276" s="4"/>
      <c r="L1276" s="4"/>
      <c r="M1276" s="4"/>
    </row>
    <row r="1277" spans="1:13" s="34" customFormat="1">
      <c r="A1277" s="3"/>
      <c r="B1277" s="4"/>
      <c r="C1277" s="4"/>
      <c r="D1277" s="4"/>
      <c r="E1277" s="4"/>
      <c r="F1277" s="4"/>
      <c r="G1277" s="4"/>
      <c r="H1277" s="4"/>
      <c r="I1277" s="4"/>
      <c r="J1277" s="4"/>
      <c r="K1277" s="4"/>
      <c r="L1277" s="4"/>
      <c r="M1277" s="4"/>
    </row>
    <row r="1278" spans="1:13" s="34" customFormat="1">
      <c r="A1278" s="3"/>
      <c r="B1278" s="4"/>
      <c r="C1278" s="4"/>
      <c r="D1278" s="4"/>
      <c r="E1278" s="4"/>
      <c r="F1278" s="4"/>
      <c r="G1278" s="4"/>
      <c r="H1278" s="4"/>
      <c r="I1278" s="4"/>
      <c r="J1278" s="4"/>
      <c r="K1278" s="4"/>
      <c r="L1278" s="4"/>
      <c r="M1278" s="4"/>
    </row>
    <row r="1279" spans="1:13" s="34" customFormat="1">
      <c r="A1279" s="3"/>
      <c r="B1279" s="4"/>
      <c r="C1279" s="4"/>
      <c r="D1279" s="4"/>
      <c r="E1279" s="4"/>
      <c r="F1279" s="4"/>
      <c r="G1279" s="4"/>
      <c r="H1279" s="4"/>
      <c r="I1279" s="4"/>
      <c r="J1279" s="4"/>
      <c r="K1279" s="4"/>
      <c r="L1279" s="4"/>
      <c r="M1279" s="4"/>
    </row>
    <row r="1280" spans="1:13" s="34" customFormat="1">
      <c r="A1280" s="3"/>
      <c r="B1280" s="4"/>
      <c r="C1280" s="4"/>
      <c r="D1280" s="4"/>
      <c r="E1280" s="4"/>
      <c r="F1280" s="4"/>
      <c r="G1280" s="4"/>
      <c r="H1280" s="4"/>
      <c r="I1280" s="4"/>
      <c r="J1280" s="4"/>
      <c r="K1280" s="4"/>
      <c r="L1280" s="4"/>
      <c r="M1280" s="4"/>
    </row>
    <row r="1281" spans="1:13" s="34" customFormat="1">
      <c r="A1281" s="3"/>
      <c r="B1281" s="4"/>
      <c r="C1281" s="4"/>
      <c r="D1281" s="4"/>
      <c r="E1281" s="4"/>
      <c r="F1281" s="4"/>
      <c r="G1281" s="4"/>
      <c r="H1281" s="4"/>
      <c r="I1281" s="4"/>
      <c r="J1281" s="4"/>
      <c r="K1281" s="4"/>
      <c r="L1281" s="4"/>
      <c r="M1281" s="4"/>
    </row>
    <row r="1282" spans="1:13" s="34" customFormat="1">
      <c r="A1282" s="3"/>
      <c r="B1282" s="4"/>
      <c r="C1282" s="4"/>
      <c r="D1282" s="4"/>
      <c r="E1282" s="4"/>
      <c r="F1282" s="4"/>
      <c r="G1282" s="4"/>
      <c r="H1282" s="4"/>
      <c r="I1282" s="4"/>
      <c r="J1282" s="4"/>
      <c r="K1282" s="4"/>
      <c r="L1282" s="4"/>
      <c r="M1282" s="4"/>
    </row>
    <row r="1283" spans="1:13" s="34" customFormat="1">
      <c r="A1283" s="3"/>
      <c r="B1283" s="4"/>
      <c r="C1283" s="4"/>
      <c r="D1283" s="4"/>
      <c r="E1283" s="4"/>
      <c r="F1283" s="4"/>
      <c r="G1283" s="4"/>
      <c r="H1283" s="4"/>
      <c r="I1283" s="4"/>
      <c r="J1283" s="4"/>
      <c r="K1283" s="4"/>
      <c r="L1283" s="4"/>
      <c r="M1283" s="4"/>
    </row>
    <row r="1284" spans="1:13" s="34" customFormat="1">
      <c r="A1284" s="3"/>
      <c r="B1284" s="4"/>
      <c r="C1284" s="4"/>
      <c r="D1284" s="4"/>
      <c r="E1284" s="4"/>
      <c r="F1284" s="4"/>
      <c r="G1284" s="4"/>
      <c r="H1284" s="4"/>
      <c r="I1284" s="4"/>
      <c r="J1284" s="4"/>
      <c r="K1284" s="4"/>
      <c r="L1284" s="4"/>
      <c r="M1284" s="4"/>
    </row>
    <row r="1285" spans="1:13" s="34" customFormat="1">
      <c r="A1285" s="3"/>
      <c r="B1285" s="4"/>
      <c r="C1285" s="4"/>
      <c r="D1285" s="4"/>
      <c r="E1285" s="4"/>
      <c r="F1285" s="4"/>
      <c r="G1285" s="4"/>
      <c r="H1285" s="4"/>
      <c r="I1285" s="4"/>
      <c r="J1285" s="4"/>
      <c r="K1285" s="4"/>
      <c r="L1285" s="4"/>
      <c r="M1285" s="4"/>
    </row>
    <row r="1286" spans="1:13" s="34" customFormat="1">
      <c r="A1286" s="3"/>
      <c r="B1286" s="4"/>
      <c r="C1286" s="4"/>
      <c r="D1286" s="4"/>
      <c r="E1286" s="4"/>
      <c r="F1286" s="4"/>
      <c r="G1286" s="4"/>
      <c r="H1286" s="4"/>
      <c r="I1286" s="4"/>
      <c r="J1286" s="4"/>
      <c r="K1286" s="4"/>
      <c r="L1286" s="4"/>
      <c r="M1286" s="4"/>
    </row>
    <row r="1287" spans="1:13" s="34" customFormat="1">
      <c r="A1287" s="3"/>
      <c r="B1287" s="4"/>
      <c r="C1287" s="4"/>
      <c r="D1287" s="4"/>
      <c r="E1287" s="4"/>
      <c r="F1287" s="4"/>
      <c r="G1287" s="4"/>
      <c r="H1287" s="4"/>
      <c r="I1287" s="4"/>
      <c r="J1287" s="4"/>
      <c r="K1287" s="4"/>
      <c r="L1287" s="4"/>
      <c r="M1287" s="4"/>
    </row>
    <row r="1288" spans="1:13" s="34" customFormat="1">
      <c r="A1288" s="3"/>
      <c r="B1288" s="4"/>
      <c r="C1288" s="4"/>
      <c r="D1288" s="4"/>
      <c r="E1288" s="4"/>
      <c r="F1288" s="4"/>
      <c r="G1288" s="4"/>
      <c r="H1288" s="4"/>
      <c r="I1288" s="4"/>
      <c r="J1288" s="4"/>
      <c r="K1288" s="4"/>
      <c r="L1288" s="4"/>
      <c r="M1288" s="4"/>
    </row>
    <row r="1289" spans="1:13" s="34" customFormat="1">
      <c r="A1289" s="3"/>
      <c r="B1289" s="4"/>
      <c r="C1289" s="4"/>
      <c r="D1289" s="4"/>
      <c r="E1289" s="4"/>
      <c r="F1289" s="4"/>
      <c r="G1289" s="4"/>
      <c r="H1289" s="4"/>
      <c r="I1289" s="4"/>
      <c r="J1289" s="4"/>
      <c r="K1289" s="4"/>
      <c r="L1289" s="4"/>
      <c r="M1289" s="4"/>
    </row>
    <row r="1290" spans="1:13" s="34" customFormat="1">
      <c r="A1290" s="3"/>
      <c r="B1290" s="4"/>
      <c r="C1290" s="4"/>
      <c r="D1290" s="4"/>
      <c r="E1290" s="4"/>
      <c r="F1290" s="4"/>
      <c r="G1290" s="4"/>
      <c r="H1290" s="4"/>
      <c r="I1290" s="4"/>
      <c r="J1290" s="4"/>
      <c r="K1290" s="4"/>
      <c r="L1290" s="4"/>
      <c r="M1290" s="4"/>
    </row>
    <row r="1291" spans="1:13" s="34" customFormat="1">
      <c r="A1291" s="3"/>
      <c r="B1291" s="4"/>
      <c r="C1291" s="4"/>
      <c r="D1291" s="4"/>
      <c r="E1291" s="4"/>
      <c r="F1291" s="4"/>
      <c r="G1291" s="4"/>
      <c r="H1291" s="4"/>
      <c r="I1291" s="4"/>
      <c r="J1291" s="4"/>
      <c r="K1291" s="4"/>
      <c r="L1291" s="4"/>
      <c r="M1291" s="4"/>
    </row>
    <row r="1292" spans="1:13" s="34" customFormat="1">
      <c r="A1292" s="3"/>
      <c r="B1292" s="4"/>
      <c r="C1292" s="4"/>
      <c r="D1292" s="4"/>
      <c r="E1292" s="4"/>
      <c r="F1292" s="4"/>
      <c r="G1292" s="4"/>
      <c r="H1292" s="4"/>
      <c r="I1292" s="4"/>
      <c r="J1292" s="4"/>
      <c r="K1292" s="4"/>
      <c r="L1292" s="4"/>
      <c r="M1292" s="4"/>
    </row>
    <row r="1293" spans="1:13" s="34" customFormat="1">
      <c r="A1293" s="3"/>
      <c r="B1293" s="4"/>
      <c r="C1293" s="4"/>
      <c r="D1293" s="4"/>
      <c r="E1293" s="4"/>
      <c r="F1293" s="4"/>
      <c r="G1293" s="4"/>
      <c r="H1293" s="4"/>
      <c r="I1293" s="4"/>
      <c r="J1293" s="4"/>
      <c r="K1293" s="4"/>
      <c r="L1293" s="4"/>
      <c r="M1293" s="4"/>
    </row>
    <row r="1294" spans="1:13" s="34" customFormat="1">
      <c r="A1294" s="3"/>
      <c r="B1294" s="4"/>
      <c r="C1294" s="4"/>
      <c r="D1294" s="4"/>
      <c r="E1294" s="4"/>
      <c r="F1294" s="4"/>
      <c r="G1294" s="4"/>
      <c r="H1294" s="4"/>
      <c r="I1294" s="4"/>
      <c r="J1294" s="4"/>
      <c r="K1294" s="4"/>
      <c r="L1294" s="4"/>
      <c r="M1294" s="4"/>
    </row>
    <row r="1295" spans="1:13" s="34" customFormat="1">
      <c r="A1295" s="3"/>
      <c r="B1295" s="4"/>
      <c r="C1295" s="4"/>
      <c r="D1295" s="4"/>
      <c r="E1295" s="4"/>
      <c r="F1295" s="4"/>
      <c r="G1295" s="4"/>
      <c r="H1295" s="4"/>
      <c r="I1295" s="4"/>
      <c r="J1295" s="4"/>
      <c r="K1295" s="4"/>
      <c r="L1295" s="4"/>
      <c r="M1295" s="4"/>
    </row>
    <row r="1296" spans="1:13" s="34" customFormat="1">
      <c r="A1296" s="3"/>
      <c r="B1296" s="4"/>
      <c r="C1296" s="4"/>
      <c r="D1296" s="4"/>
      <c r="E1296" s="4"/>
      <c r="F1296" s="4"/>
      <c r="G1296" s="4"/>
      <c r="H1296" s="4"/>
      <c r="I1296" s="4"/>
      <c r="J1296" s="4"/>
      <c r="K1296" s="4"/>
      <c r="L1296" s="4"/>
      <c r="M1296" s="4"/>
    </row>
    <row r="1297" spans="1:13" s="34" customFormat="1">
      <c r="A1297" s="3"/>
      <c r="B1297" s="4"/>
      <c r="C1297" s="4"/>
      <c r="D1297" s="4"/>
      <c r="E1297" s="4"/>
      <c r="F1297" s="4"/>
      <c r="G1297" s="4"/>
      <c r="H1297" s="4"/>
      <c r="I1297" s="4"/>
      <c r="J1297" s="4"/>
      <c r="K1297" s="4"/>
      <c r="L1297" s="4"/>
      <c r="M1297" s="4"/>
    </row>
    <row r="1298" spans="1:13" s="34" customFormat="1">
      <c r="A1298" s="3"/>
      <c r="B1298" s="4"/>
      <c r="C1298" s="4"/>
      <c r="D1298" s="4"/>
      <c r="E1298" s="4"/>
      <c r="F1298" s="4"/>
      <c r="G1298" s="4"/>
      <c r="H1298" s="4"/>
      <c r="I1298" s="4"/>
      <c r="J1298" s="4"/>
      <c r="K1298" s="4"/>
      <c r="L1298" s="4"/>
      <c r="M1298" s="4"/>
    </row>
    <row r="1299" spans="1:13" s="34" customFormat="1">
      <c r="A1299" s="3"/>
      <c r="B1299" s="4"/>
      <c r="C1299" s="4"/>
      <c r="D1299" s="4"/>
      <c r="E1299" s="4"/>
      <c r="F1299" s="4"/>
      <c r="G1299" s="4"/>
      <c r="H1299" s="4"/>
      <c r="I1299" s="4"/>
      <c r="J1299" s="4"/>
      <c r="K1299" s="4"/>
      <c r="L1299" s="4"/>
      <c r="M1299" s="4"/>
    </row>
    <row r="1300" spans="1:13" s="34" customFormat="1">
      <c r="A1300" s="3"/>
      <c r="B1300" s="4"/>
      <c r="C1300" s="4"/>
      <c r="D1300" s="4"/>
      <c r="E1300" s="4"/>
      <c r="F1300" s="4"/>
      <c r="G1300" s="4"/>
      <c r="H1300" s="4"/>
      <c r="I1300" s="4"/>
      <c r="J1300" s="4"/>
      <c r="K1300" s="4"/>
      <c r="L1300" s="4"/>
      <c r="M1300" s="4"/>
    </row>
    <row r="1301" spans="1:13" s="34" customFormat="1">
      <c r="A1301" s="3"/>
      <c r="B1301" s="4"/>
      <c r="C1301" s="4"/>
      <c r="D1301" s="4"/>
      <c r="E1301" s="4"/>
      <c r="F1301" s="4"/>
      <c r="G1301" s="4"/>
      <c r="H1301" s="4"/>
      <c r="I1301" s="4"/>
      <c r="J1301" s="4"/>
      <c r="K1301" s="4"/>
      <c r="L1301" s="4"/>
      <c r="M1301" s="4"/>
    </row>
    <row r="1302" spans="1:13" s="34" customFormat="1">
      <c r="A1302" s="3"/>
      <c r="B1302" s="4"/>
      <c r="C1302" s="4"/>
      <c r="D1302" s="4"/>
      <c r="E1302" s="4"/>
      <c r="F1302" s="4"/>
      <c r="G1302" s="4"/>
      <c r="H1302" s="4"/>
      <c r="I1302" s="4"/>
      <c r="J1302" s="4"/>
      <c r="K1302" s="4"/>
      <c r="L1302" s="4"/>
      <c r="M1302" s="4"/>
    </row>
    <row r="1303" spans="1:13" s="34" customFormat="1">
      <c r="A1303" s="3"/>
      <c r="B1303" s="4"/>
      <c r="C1303" s="4"/>
      <c r="D1303" s="4"/>
      <c r="E1303" s="4"/>
      <c r="F1303" s="4"/>
      <c r="G1303" s="4"/>
      <c r="H1303" s="4"/>
      <c r="I1303" s="4"/>
      <c r="J1303" s="4"/>
      <c r="K1303" s="4"/>
      <c r="L1303" s="4"/>
      <c r="M1303" s="4"/>
    </row>
    <row r="1304" spans="1:13" s="34" customFormat="1">
      <c r="A1304" s="3"/>
      <c r="B1304" s="4"/>
      <c r="C1304" s="4"/>
      <c r="D1304" s="4"/>
      <c r="E1304" s="4"/>
      <c r="F1304" s="4"/>
      <c r="G1304" s="4"/>
      <c r="H1304" s="4"/>
      <c r="I1304" s="4"/>
      <c r="J1304" s="4"/>
      <c r="K1304" s="4"/>
      <c r="L1304" s="4"/>
      <c r="M1304" s="4"/>
    </row>
    <row r="1305" spans="1:13" s="34" customFormat="1">
      <c r="A1305" s="3"/>
      <c r="B1305" s="4"/>
      <c r="C1305" s="4"/>
      <c r="D1305" s="4"/>
      <c r="E1305" s="4"/>
      <c r="F1305" s="4"/>
      <c r="G1305" s="4"/>
      <c r="H1305" s="4"/>
      <c r="I1305" s="4"/>
      <c r="J1305" s="4"/>
      <c r="K1305" s="4"/>
      <c r="L1305" s="4"/>
      <c r="M1305" s="4"/>
    </row>
    <row r="1306" spans="1:13" s="34" customFormat="1">
      <c r="A1306" s="3"/>
      <c r="B1306" s="4"/>
      <c r="C1306" s="4"/>
      <c r="D1306" s="4"/>
      <c r="E1306" s="4"/>
      <c r="F1306" s="4"/>
      <c r="G1306" s="4"/>
      <c r="H1306" s="4"/>
      <c r="I1306" s="4"/>
      <c r="J1306" s="4"/>
      <c r="K1306" s="4"/>
      <c r="L1306" s="4"/>
      <c r="M1306" s="4"/>
    </row>
    <row r="1307" spans="1:13" s="34" customFormat="1">
      <c r="A1307" s="3"/>
      <c r="B1307" s="4"/>
      <c r="C1307" s="4"/>
      <c r="D1307" s="4"/>
      <c r="E1307" s="4"/>
      <c r="F1307" s="4"/>
      <c r="G1307" s="4"/>
      <c r="H1307" s="4"/>
      <c r="I1307" s="4"/>
      <c r="J1307" s="4"/>
      <c r="K1307" s="4"/>
      <c r="L1307" s="4"/>
      <c r="M1307" s="4"/>
    </row>
    <row r="1308" spans="1:13" s="34" customFormat="1">
      <c r="A1308" s="3"/>
      <c r="B1308" s="4"/>
      <c r="C1308" s="4"/>
      <c r="D1308" s="4"/>
      <c r="E1308" s="4"/>
      <c r="F1308" s="4"/>
      <c r="G1308" s="4"/>
      <c r="H1308" s="4"/>
      <c r="I1308" s="4"/>
      <c r="J1308" s="4"/>
      <c r="K1308" s="4"/>
      <c r="L1308" s="4"/>
      <c r="M1308" s="4"/>
    </row>
    <row r="1309" spans="1:13" s="34" customFormat="1">
      <c r="A1309" s="3"/>
      <c r="B1309" s="4"/>
      <c r="C1309" s="4"/>
      <c r="D1309" s="4"/>
      <c r="E1309" s="4"/>
      <c r="F1309" s="4"/>
      <c r="G1309" s="4"/>
      <c r="H1309" s="4"/>
      <c r="I1309" s="4"/>
      <c r="J1309" s="4"/>
      <c r="K1309" s="4"/>
      <c r="L1309" s="4"/>
      <c r="M1309" s="4"/>
    </row>
    <row r="1310" spans="1:13" s="34" customFormat="1">
      <c r="A1310" s="3"/>
      <c r="B1310" s="4"/>
      <c r="C1310" s="4"/>
      <c r="D1310" s="4"/>
      <c r="E1310" s="4"/>
      <c r="F1310" s="4"/>
      <c r="G1310" s="4"/>
      <c r="H1310" s="4"/>
      <c r="I1310" s="4"/>
      <c r="J1310" s="4"/>
      <c r="K1310" s="4"/>
      <c r="L1310" s="4"/>
      <c r="M1310" s="4"/>
    </row>
    <row r="1311" spans="1:13" s="34" customFormat="1">
      <c r="A1311" s="3"/>
      <c r="B1311" s="4"/>
      <c r="C1311" s="4"/>
      <c r="D1311" s="4"/>
      <c r="E1311" s="4"/>
      <c r="F1311" s="4"/>
      <c r="G1311" s="4"/>
      <c r="H1311" s="4"/>
      <c r="I1311" s="4"/>
      <c r="J1311" s="4"/>
      <c r="K1311" s="4"/>
      <c r="L1311" s="4"/>
      <c r="M1311" s="4"/>
    </row>
    <row r="1312" spans="1:13" s="34" customFormat="1">
      <c r="A1312" s="3"/>
      <c r="B1312" s="4"/>
      <c r="C1312" s="4"/>
      <c r="D1312" s="4"/>
      <c r="E1312" s="4"/>
      <c r="F1312" s="4"/>
      <c r="G1312" s="4"/>
      <c r="H1312" s="4"/>
      <c r="I1312" s="4"/>
      <c r="J1312" s="4"/>
      <c r="K1312" s="4"/>
      <c r="L1312" s="4"/>
      <c r="M1312" s="4"/>
    </row>
    <row r="1313" spans="1:13" s="34" customFormat="1">
      <c r="A1313" s="3"/>
      <c r="B1313" s="4"/>
      <c r="C1313" s="4"/>
      <c r="D1313" s="4"/>
      <c r="E1313" s="4"/>
      <c r="F1313" s="4"/>
      <c r="G1313" s="4"/>
      <c r="H1313" s="4"/>
      <c r="I1313" s="4"/>
      <c r="J1313" s="4"/>
      <c r="K1313" s="4"/>
      <c r="L1313" s="4"/>
      <c r="M1313" s="4"/>
    </row>
    <row r="1314" spans="1:13" s="34" customFormat="1">
      <c r="A1314" s="3"/>
      <c r="B1314" s="4"/>
      <c r="C1314" s="4"/>
      <c r="D1314" s="4"/>
      <c r="E1314" s="4"/>
      <c r="F1314" s="4"/>
      <c r="G1314" s="4"/>
      <c r="H1314" s="4"/>
      <c r="I1314" s="4"/>
      <c r="J1314" s="4"/>
      <c r="K1314" s="4"/>
      <c r="L1314" s="4"/>
      <c r="M1314" s="4"/>
    </row>
    <row r="1315" spans="1:13" s="34" customFormat="1">
      <c r="A1315" s="3"/>
      <c r="B1315" s="4"/>
      <c r="C1315" s="4"/>
      <c r="D1315" s="4"/>
      <c r="E1315" s="4"/>
      <c r="F1315" s="4"/>
      <c r="G1315" s="4"/>
      <c r="H1315" s="4"/>
      <c r="I1315" s="4"/>
      <c r="J1315" s="4"/>
      <c r="K1315" s="4"/>
      <c r="L1315" s="4"/>
      <c r="M1315" s="4"/>
    </row>
    <row r="1316" spans="1:13" s="34" customFormat="1">
      <c r="A1316" s="3"/>
      <c r="B1316" s="4"/>
      <c r="C1316" s="4"/>
      <c r="D1316" s="4"/>
      <c r="E1316" s="4"/>
      <c r="F1316" s="4"/>
      <c r="G1316" s="4"/>
      <c r="H1316" s="4"/>
      <c r="I1316" s="4"/>
      <c r="J1316" s="4"/>
      <c r="K1316" s="4"/>
      <c r="L1316" s="4"/>
      <c r="M1316" s="4"/>
    </row>
    <row r="1317" spans="1:13" s="34" customFormat="1">
      <c r="A1317" s="3"/>
      <c r="B1317" s="4"/>
      <c r="C1317" s="4"/>
      <c r="D1317" s="4"/>
      <c r="E1317" s="4"/>
      <c r="F1317" s="4"/>
      <c r="G1317" s="4"/>
      <c r="H1317" s="4"/>
      <c r="I1317" s="4"/>
      <c r="J1317" s="4"/>
      <c r="K1317" s="4"/>
      <c r="L1317" s="4"/>
      <c r="M1317" s="4"/>
    </row>
    <row r="1318" spans="1:13" s="34" customFormat="1">
      <c r="A1318" s="3"/>
      <c r="B1318" s="4"/>
      <c r="C1318" s="4"/>
      <c r="D1318" s="4"/>
      <c r="E1318" s="4"/>
      <c r="F1318" s="4"/>
      <c r="G1318" s="4"/>
      <c r="H1318" s="4"/>
      <c r="I1318" s="4"/>
      <c r="J1318" s="4"/>
      <c r="K1318" s="4"/>
      <c r="L1318" s="4"/>
      <c r="M1318" s="4"/>
    </row>
    <row r="1319" spans="1:13" s="34" customFormat="1">
      <c r="A1319" s="3"/>
      <c r="B1319" s="4"/>
      <c r="C1319" s="4"/>
      <c r="D1319" s="4"/>
      <c r="E1319" s="4"/>
      <c r="F1319" s="4"/>
      <c r="G1319" s="4"/>
      <c r="H1319" s="4"/>
      <c r="I1319" s="4"/>
      <c r="J1319" s="4"/>
      <c r="K1319" s="4"/>
      <c r="L1319" s="4"/>
      <c r="M1319" s="4"/>
    </row>
    <row r="1320" spans="1:13" s="34" customFormat="1">
      <c r="A1320" s="3"/>
      <c r="B1320" s="4"/>
      <c r="C1320" s="4"/>
      <c r="D1320" s="4"/>
      <c r="E1320" s="4"/>
      <c r="F1320" s="4"/>
      <c r="G1320" s="4"/>
      <c r="H1320" s="4"/>
      <c r="I1320" s="4"/>
      <c r="J1320" s="4"/>
      <c r="K1320" s="4"/>
      <c r="L1320" s="4"/>
      <c r="M1320" s="4"/>
    </row>
    <row r="1321" spans="1:13" s="34" customFormat="1">
      <c r="A1321" s="3"/>
      <c r="B1321" s="4"/>
      <c r="C1321" s="4"/>
      <c r="D1321" s="4"/>
      <c r="E1321" s="4"/>
      <c r="F1321" s="4"/>
      <c r="G1321" s="4"/>
      <c r="H1321" s="4"/>
      <c r="I1321" s="4"/>
      <c r="J1321" s="4"/>
      <c r="K1321" s="4"/>
      <c r="L1321" s="4"/>
      <c r="M1321" s="4"/>
    </row>
    <row r="1322" spans="1:13" s="34" customFormat="1">
      <c r="A1322" s="3"/>
      <c r="B1322" s="4"/>
      <c r="C1322" s="4"/>
      <c r="D1322" s="4"/>
      <c r="E1322" s="4"/>
      <c r="F1322" s="4"/>
      <c r="G1322" s="4"/>
      <c r="H1322" s="4"/>
      <c r="I1322" s="4"/>
      <c r="J1322" s="4"/>
      <c r="K1322" s="4"/>
      <c r="L1322" s="4"/>
      <c r="M1322" s="4"/>
    </row>
    <row r="1323" spans="1:13" s="34" customFormat="1">
      <c r="A1323" s="3"/>
      <c r="B1323" s="4"/>
      <c r="C1323" s="4"/>
      <c r="D1323" s="4"/>
      <c r="E1323" s="4"/>
      <c r="F1323" s="4"/>
      <c r="G1323" s="4"/>
      <c r="H1323" s="4"/>
      <c r="I1323" s="4"/>
      <c r="J1323" s="4"/>
      <c r="K1323" s="4"/>
      <c r="L1323" s="4"/>
      <c r="M1323" s="4"/>
    </row>
    <row r="1324" spans="1:13" s="34" customFormat="1">
      <c r="A1324" s="3"/>
      <c r="B1324" s="4"/>
      <c r="C1324" s="4"/>
      <c r="D1324" s="4"/>
      <c r="E1324" s="4"/>
      <c r="F1324" s="4"/>
      <c r="G1324" s="4"/>
      <c r="H1324" s="4"/>
      <c r="I1324" s="4"/>
      <c r="J1324" s="4"/>
      <c r="K1324" s="4"/>
      <c r="L1324" s="4"/>
      <c r="M1324" s="4"/>
    </row>
    <row r="1325" spans="1:13" s="34" customFormat="1">
      <c r="A1325" s="3"/>
      <c r="B1325" s="4"/>
      <c r="C1325" s="4"/>
      <c r="D1325" s="4"/>
      <c r="E1325" s="4"/>
      <c r="F1325" s="4"/>
      <c r="G1325" s="4"/>
      <c r="H1325" s="4"/>
      <c r="I1325" s="4"/>
      <c r="J1325" s="4"/>
      <c r="K1325" s="4"/>
      <c r="L1325" s="4"/>
      <c r="M1325" s="4"/>
    </row>
    <row r="1326" spans="1:13" s="34" customFormat="1">
      <c r="A1326" s="3"/>
      <c r="B1326" s="4"/>
      <c r="C1326" s="4"/>
      <c r="D1326" s="4"/>
      <c r="E1326" s="4"/>
      <c r="F1326" s="4"/>
      <c r="G1326" s="4"/>
      <c r="H1326" s="4"/>
      <c r="I1326" s="4"/>
      <c r="J1326" s="4"/>
      <c r="K1326" s="4"/>
      <c r="L1326" s="4"/>
      <c r="M1326" s="4"/>
    </row>
    <row r="1327" spans="1:13" s="34" customFormat="1">
      <c r="A1327" s="3"/>
      <c r="B1327" s="4"/>
      <c r="C1327" s="4"/>
      <c r="D1327" s="4"/>
      <c r="E1327" s="4"/>
      <c r="F1327" s="4"/>
      <c r="G1327" s="4"/>
      <c r="H1327" s="4"/>
      <c r="I1327" s="4"/>
      <c r="J1327" s="4"/>
      <c r="K1327" s="4"/>
      <c r="L1327" s="4"/>
      <c r="M1327" s="4"/>
    </row>
    <row r="1328" spans="1:13" s="34" customFormat="1">
      <c r="A1328" s="3"/>
      <c r="B1328" s="4"/>
      <c r="C1328" s="4"/>
      <c r="D1328" s="4"/>
      <c r="E1328" s="4"/>
      <c r="F1328" s="4"/>
      <c r="G1328" s="4"/>
      <c r="H1328" s="4"/>
      <c r="I1328" s="4"/>
      <c r="J1328" s="4"/>
      <c r="K1328" s="4"/>
      <c r="L1328" s="4"/>
      <c r="M1328" s="4"/>
    </row>
    <row r="1329" spans="1:13" s="34" customFormat="1">
      <c r="A1329" s="3"/>
      <c r="B1329" s="4"/>
      <c r="C1329" s="4"/>
      <c r="D1329" s="4"/>
      <c r="E1329" s="4"/>
      <c r="F1329" s="4"/>
      <c r="G1329" s="4"/>
      <c r="H1329" s="4"/>
      <c r="I1329" s="4"/>
      <c r="J1329" s="4"/>
      <c r="K1329" s="4"/>
      <c r="L1329" s="4"/>
      <c r="M1329" s="4"/>
    </row>
    <row r="1330" spans="1:13" s="34" customFormat="1">
      <c r="A1330" s="3"/>
      <c r="B1330" s="4"/>
      <c r="C1330" s="4"/>
      <c r="D1330" s="4"/>
      <c r="E1330" s="4"/>
      <c r="F1330" s="4"/>
      <c r="G1330" s="4"/>
      <c r="H1330" s="4"/>
      <c r="I1330" s="4"/>
      <c r="J1330" s="4"/>
      <c r="K1330" s="4"/>
      <c r="L1330" s="4"/>
      <c r="M1330" s="4"/>
    </row>
    <row r="1331" spans="1:13" s="34" customFormat="1">
      <c r="A1331" s="3"/>
      <c r="B1331" s="4"/>
      <c r="C1331" s="4"/>
      <c r="D1331" s="4"/>
      <c r="E1331" s="4"/>
      <c r="F1331" s="4"/>
      <c r="G1331" s="4"/>
      <c r="H1331" s="4"/>
      <c r="I1331" s="4"/>
      <c r="J1331" s="4"/>
      <c r="K1331" s="4"/>
      <c r="L1331" s="4"/>
      <c r="M1331" s="4"/>
    </row>
    <row r="1332" spans="1:13" s="34" customFormat="1">
      <c r="A1332" s="3"/>
      <c r="B1332" s="4"/>
      <c r="C1332" s="4"/>
      <c r="D1332" s="4"/>
      <c r="E1332" s="4"/>
      <c r="F1332" s="4"/>
      <c r="G1332" s="4"/>
      <c r="H1332" s="4"/>
      <c r="I1332" s="4"/>
      <c r="J1332" s="4"/>
      <c r="K1332" s="4"/>
      <c r="L1332" s="4"/>
      <c r="M1332" s="4"/>
    </row>
    <row r="1333" spans="1:13" s="34" customFormat="1">
      <c r="A1333" s="3"/>
      <c r="B1333" s="4"/>
      <c r="C1333" s="4"/>
      <c r="D1333" s="4"/>
      <c r="E1333" s="4"/>
      <c r="F1333" s="4"/>
      <c r="G1333" s="4"/>
      <c r="H1333" s="4"/>
      <c r="I1333" s="4"/>
      <c r="J1333" s="4"/>
      <c r="K1333" s="4"/>
      <c r="L1333" s="4"/>
      <c r="M1333" s="4"/>
    </row>
    <row r="1334" spans="1:13" s="34" customFormat="1">
      <c r="A1334" s="3"/>
      <c r="B1334" s="4"/>
      <c r="C1334" s="4"/>
      <c r="D1334" s="4"/>
      <c r="E1334" s="4"/>
      <c r="F1334" s="4"/>
      <c r="G1334" s="4"/>
      <c r="H1334" s="4"/>
      <c r="I1334" s="4"/>
      <c r="J1334" s="4"/>
      <c r="K1334" s="4"/>
      <c r="L1334" s="4"/>
      <c r="M1334" s="4"/>
    </row>
    <row r="1335" spans="1:13" s="34" customFormat="1">
      <c r="A1335" s="3"/>
      <c r="B1335" s="4"/>
      <c r="C1335" s="4"/>
      <c r="D1335" s="4"/>
      <c r="E1335" s="4"/>
      <c r="F1335" s="4"/>
      <c r="G1335" s="4"/>
      <c r="H1335" s="4"/>
      <c r="I1335" s="4"/>
      <c r="J1335" s="4"/>
      <c r="K1335" s="4"/>
      <c r="L1335" s="4"/>
      <c r="M1335" s="4"/>
    </row>
    <row r="1336" spans="1:13" s="34" customFormat="1">
      <c r="A1336" s="3"/>
      <c r="B1336" s="4"/>
      <c r="C1336" s="4"/>
      <c r="D1336" s="4"/>
      <c r="E1336" s="4"/>
      <c r="F1336" s="4"/>
      <c r="G1336" s="4"/>
      <c r="H1336" s="4"/>
      <c r="I1336" s="4"/>
      <c r="J1336" s="4"/>
      <c r="K1336" s="4"/>
      <c r="L1336" s="4"/>
      <c r="M1336" s="4"/>
    </row>
    <row r="1337" spans="1:13" s="34" customFormat="1">
      <c r="A1337" s="3"/>
      <c r="B1337" s="4"/>
      <c r="C1337" s="4"/>
      <c r="D1337" s="4"/>
      <c r="E1337" s="4"/>
      <c r="F1337" s="4"/>
      <c r="G1337" s="4"/>
      <c r="H1337" s="4"/>
      <c r="I1337" s="4"/>
      <c r="J1337" s="4"/>
      <c r="K1337" s="4"/>
      <c r="L1337" s="4"/>
      <c r="M1337" s="4"/>
    </row>
    <row r="1338" spans="1:13" s="34" customFormat="1">
      <c r="A1338" s="3"/>
      <c r="B1338" s="4"/>
      <c r="C1338" s="4"/>
      <c r="D1338" s="4"/>
      <c r="E1338" s="4"/>
      <c r="F1338" s="4"/>
      <c r="G1338" s="4"/>
      <c r="H1338" s="4"/>
      <c r="I1338" s="4"/>
      <c r="J1338" s="4"/>
      <c r="K1338" s="4"/>
      <c r="L1338" s="4"/>
      <c r="M1338" s="4"/>
    </row>
    <row r="1339" spans="1:13" s="34" customFormat="1">
      <c r="A1339" s="3"/>
      <c r="B1339" s="4"/>
      <c r="C1339" s="4"/>
      <c r="D1339" s="4"/>
      <c r="E1339" s="4"/>
      <c r="F1339" s="4"/>
      <c r="G1339" s="4"/>
      <c r="H1339" s="4"/>
      <c r="I1339" s="4"/>
      <c r="J1339" s="4"/>
      <c r="K1339" s="4"/>
      <c r="L1339" s="4"/>
      <c r="M1339" s="4"/>
    </row>
    <row r="1340" spans="1:13" s="34" customFormat="1">
      <c r="A1340" s="3"/>
      <c r="B1340" s="4"/>
      <c r="C1340" s="4"/>
      <c r="D1340" s="4"/>
      <c r="E1340" s="4"/>
      <c r="F1340" s="4"/>
      <c r="G1340" s="4"/>
      <c r="H1340" s="4"/>
      <c r="I1340" s="4"/>
      <c r="J1340" s="4"/>
      <c r="K1340" s="4"/>
      <c r="L1340" s="4"/>
      <c r="M1340" s="4"/>
    </row>
    <row r="1341" spans="1:13" s="34" customFormat="1">
      <c r="A1341" s="3"/>
      <c r="B1341" s="4"/>
      <c r="C1341" s="4"/>
      <c r="D1341" s="4"/>
      <c r="E1341" s="4"/>
      <c r="F1341" s="4"/>
      <c r="G1341" s="4"/>
      <c r="H1341" s="4"/>
      <c r="I1341" s="4"/>
      <c r="J1341" s="4"/>
      <c r="K1341" s="4"/>
      <c r="L1341" s="4"/>
      <c r="M1341" s="4"/>
    </row>
    <row r="1342" spans="1:13" s="34" customFormat="1">
      <c r="A1342" s="3"/>
      <c r="B1342" s="4"/>
      <c r="C1342" s="4"/>
      <c r="D1342" s="4"/>
      <c r="E1342" s="4"/>
      <c r="F1342" s="4"/>
      <c r="G1342" s="4"/>
      <c r="H1342" s="4"/>
      <c r="I1342" s="4"/>
      <c r="J1342" s="4"/>
      <c r="K1342" s="4"/>
      <c r="L1342" s="4"/>
      <c r="M1342" s="4"/>
    </row>
    <row r="1343" spans="1:13" s="34" customFormat="1">
      <c r="A1343" s="3"/>
      <c r="B1343" s="4"/>
      <c r="C1343" s="4"/>
      <c r="D1343" s="4"/>
      <c r="E1343" s="4"/>
      <c r="F1343" s="4"/>
      <c r="G1343" s="4"/>
      <c r="H1343" s="4"/>
      <c r="I1343" s="4"/>
      <c r="J1343" s="4"/>
      <c r="K1343" s="4"/>
      <c r="L1343" s="4"/>
      <c r="M1343" s="4"/>
    </row>
    <row r="1344" spans="1:13" s="34" customFormat="1">
      <c r="A1344" s="3"/>
      <c r="B1344" s="4"/>
      <c r="C1344" s="4"/>
      <c r="D1344" s="4"/>
      <c r="E1344" s="4"/>
      <c r="F1344" s="4"/>
      <c r="G1344" s="4"/>
      <c r="H1344" s="4"/>
      <c r="I1344" s="4"/>
      <c r="J1344" s="4"/>
      <c r="K1344" s="4"/>
      <c r="L1344" s="4"/>
      <c r="M1344" s="4"/>
    </row>
    <row r="1345" spans="1:13" s="34" customFormat="1">
      <c r="A1345" s="3"/>
      <c r="B1345" s="4"/>
      <c r="C1345" s="4"/>
      <c r="D1345" s="4"/>
      <c r="E1345" s="4"/>
      <c r="F1345" s="4"/>
      <c r="G1345" s="4"/>
      <c r="H1345" s="4"/>
      <c r="I1345" s="4"/>
      <c r="J1345" s="4"/>
      <c r="K1345" s="4"/>
      <c r="L1345" s="4"/>
      <c r="M1345" s="4"/>
    </row>
    <row r="1346" spans="1:13" s="34" customFormat="1">
      <c r="A1346" s="3"/>
      <c r="B1346" s="4"/>
      <c r="C1346" s="4"/>
      <c r="D1346" s="4"/>
      <c r="E1346" s="4"/>
      <c r="F1346" s="4"/>
      <c r="G1346" s="4"/>
      <c r="H1346" s="4"/>
      <c r="I1346" s="4"/>
      <c r="J1346" s="4"/>
      <c r="K1346" s="4"/>
      <c r="L1346" s="4"/>
      <c r="M1346" s="4"/>
    </row>
    <row r="1347" spans="1:13" s="34" customFormat="1">
      <c r="A1347" s="3"/>
      <c r="B1347" s="4"/>
      <c r="C1347" s="4"/>
      <c r="D1347" s="4"/>
      <c r="E1347" s="4"/>
      <c r="F1347" s="4"/>
      <c r="G1347" s="4"/>
      <c r="H1347" s="4"/>
      <c r="I1347" s="4"/>
      <c r="J1347" s="4"/>
      <c r="K1347" s="4"/>
      <c r="L1347" s="4"/>
      <c r="M1347" s="4"/>
    </row>
    <row r="1348" spans="1:13" s="34" customFormat="1">
      <c r="A1348" s="3"/>
      <c r="B1348" s="4"/>
      <c r="C1348" s="4"/>
      <c r="D1348" s="4"/>
      <c r="E1348" s="4"/>
      <c r="F1348" s="4"/>
      <c r="G1348" s="4"/>
      <c r="H1348" s="4"/>
      <c r="I1348" s="4"/>
      <c r="J1348" s="4"/>
      <c r="K1348" s="4"/>
      <c r="L1348" s="4"/>
      <c r="M1348" s="4"/>
    </row>
    <row r="1349" spans="1:13" s="34" customFormat="1">
      <c r="A1349" s="3"/>
      <c r="B1349" s="4"/>
      <c r="C1349" s="4"/>
      <c r="D1349" s="4"/>
      <c r="E1349" s="4"/>
      <c r="F1349" s="4"/>
      <c r="G1349" s="4"/>
      <c r="H1349" s="4"/>
      <c r="I1349" s="4"/>
      <c r="J1349" s="4"/>
      <c r="K1349" s="4"/>
      <c r="L1349" s="4"/>
      <c r="M1349" s="4"/>
    </row>
    <row r="1350" spans="1:13" s="34" customFormat="1">
      <c r="A1350" s="3"/>
      <c r="B1350" s="4"/>
      <c r="C1350" s="4"/>
      <c r="D1350" s="4"/>
      <c r="E1350" s="4"/>
      <c r="F1350" s="4"/>
      <c r="G1350" s="4"/>
      <c r="H1350" s="4"/>
      <c r="I1350" s="4"/>
      <c r="J1350" s="4"/>
      <c r="K1350" s="4"/>
      <c r="L1350" s="4"/>
      <c r="M1350" s="4"/>
    </row>
    <row r="1351" spans="1:13" s="34" customFormat="1">
      <c r="A1351" s="3"/>
      <c r="B1351" s="4"/>
      <c r="C1351" s="4"/>
      <c r="D1351" s="4"/>
      <c r="E1351" s="4"/>
      <c r="F1351" s="4"/>
      <c r="G1351" s="4"/>
      <c r="H1351" s="4"/>
      <c r="I1351" s="4"/>
      <c r="J1351" s="4"/>
      <c r="K1351" s="4"/>
      <c r="L1351" s="4"/>
      <c r="M1351" s="4"/>
    </row>
    <row r="1352" spans="1:13" s="34" customFormat="1">
      <c r="A1352" s="3"/>
      <c r="B1352" s="4"/>
      <c r="C1352" s="4"/>
      <c r="D1352" s="4"/>
      <c r="E1352" s="4"/>
      <c r="F1352" s="4"/>
      <c r="G1352" s="4"/>
      <c r="H1352" s="4"/>
      <c r="I1352" s="4"/>
      <c r="J1352" s="4"/>
      <c r="K1352" s="4"/>
      <c r="L1352" s="4"/>
      <c r="M1352" s="4"/>
    </row>
    <row r="1353" spans="1:13" s="34" customFormat="1">
      <c r="A1353" s="3"/>
      <c r="B1353" s="4"/>
      <c r="C1353" s="4"/>
      <c r="D1353" s="4"/>
      <c r="E1353" s="4"/>
      <c r="F1353" s="4"/>
      <c r="G1353" s="4"/>
      <c r="H1353" s="4"/>
      <c r="I1353" s="4"/>
      <c r="J1353" s="4"/>
      <c r="K1353" s="4"/>
      <c r="L1353" s="4"/>
      <c r="M1353" s="4"/>
    </row>
    <row r="1354" spans="1:13" s="34" customFormat="1">
      <c r="A1354" s="3"/>
      <c r="B1354" s="4"/>
      <c r="C1354" s="4"/>
      <c r="D1354" s="4"/>
      <c r="E1354" s="4"/>
      <c r="F1354" s="4"/>
      <c r="G1354" s="4"/>
      <c r="H1354" s="4"/>
      <c r="I1354" s="4"/>
      <c r="J1354" s="4"/>
      <c r="K1354" s="4"/>
      <c r="L1354" s="4"/>
      <c r="M1354" s="4"/>
    </row>
    <row r="1355" spans="1:13" s="34" customFormat="1">
      <c r="A1355" s="3"/>
      <c r="B1355" s="4"/>
      <c r="C1355" s="4"/>
      <c r="D1355" s="4"/>
      <c r="E1355" s="4"/>
      <c r="F1355" s="4"/>
      <c r="G1355" s="4"/>
      <c r="H1355" s="4"/>
      <c r="I1355" s="4"/>
      <c r="J1355" s="4"/>
      <c r="K1355" s="4"/>
      <c r="L1355" s="4"/>
      <c r="M1355" s="4"/>
    </row>
    <row r="1356" spans="1:13" s="34" customFormat="1">
      <c r="A1356" s="3"/>
      <c r="B1356" s="4"/>
      <c r="C1356" s="4"/>
      <c r="D1356" s="4"/>
      <c r="E1356" s="4"/>
      <c r="F1356" s="4"/>
      <c r="G1356" s="4"/>
      <c r="H1356" s="4"/>
      <c r="I1356" s="4"/>
      <c r="J1356" s="4"/>
      <c r="K1356" s="4"/>
      <c r="L1356" s="4"/>
      <c r="M1356" s="4"/>
    </row>
    <row r="1357" spans="1:13" s="34" customFormat="1">
      <c r="A1357" s="3"/>
      <c r="B1357" s="4"/>
      <c r="C1357" s="4"/>
      <c r="D1357" s="4"/>
      <c r="E1357" s="4"/>
      <c r="F1357" s="4"/>
      <c r="G1357" s="4"/>
      <c r="H1357" s="4"/>
      <c r="I1357" s="4"/>
      <c r="J1357" s="4"/>
      <c r="K1357" s="4"/>
      <c r="L1357" s="4"/>
      <c r="M1357" s="4"/>
    </row>
    <row r="1358" spans="1:13" s="34" customFormat="1">
      <c r="A1358" s="3"/>
      <c r="B1358" s="4"/>
      <c r="C1358" s="4"/>
      <c r="D1358" s="4"/>
      <c r="E1358" s="4"/>
      <c r="F1358" s="4"/>
      <c r="G1358" s="4"/>
      <c r="H1358" s="4"/>
      <c r="I1358" s="4"/>
      <c r="J1358" s="4"/>
      <c r="K1358" s="4"/>
      <c r="L1358" s="4"/>
      <c r="M1358" s="4"/>
    </row>
    <row r="1359" spans="1:13" s="34" customFormat="1">
      <c r="A1359" s="3"/>
      <c r="B1359" s="4"/>
      <c r="C1359" s="4"/>
      <c r="D1359" s="4"/>
      <c r="E1359" s="4"/>
      <c r="F1359" s="4"/>
      <c r="G1359" s="4"/>
      <c r="H1359" s="4"/>
      <c r="I1359" s="4"/>
      <c r="J1359" s="4"/>
      <c r="K1359" s="4"/>
      <c r="L1359" s="4"/>
      <c r="M1359" s="4"/>
    </row>
    <row r="1360" spans="1:13" s="34" customFormat="1">
      <c r="A1360" s="3"/>
      <c r="B1360" s="4"/>
      <c r="C1360" s="4"/>
      <c r="D1360" s="4"/>
      <c r="E1360" s="4"/>
      <c r="F1360" s="4"/>
      <c r="G1360" s="4"/>
      <c r="H1360" s="4"/>
      <c r="I1360" s="4"/>
      <c r="J1360" s="4"/>
      <c r="K1360" s="4"/>
      <c r="L1360" s="4"/>
      <c r="M1360" s="4"/>
    </row>
    <row r="1361" spans="1:13" s="34" customFormat="1">
      <c r="A1361" s="3"/>
      <c r="B1361" s="4"/>
      <c r="C1361" s="4"/>
      <c r="D1361" s="4"/>
      <c r="E1361" s="4"/>
      <c r="F1361" s="4"/>
      <c r="G1361" s="4"/>
      <c r="H1361" s="4"/>
      <c r="I1361" s="4"/>
      <c r="J1361" s="4"/>
      <c r="K1361" s="4"/>
      <c r="L1361" s="4"/>
      <c r="M1361" s="4"/>
    </row>
    <row r="1362" spans="1:13" s="34" customFormat="1">
      <c r="A1362" s="3"/>
      <c r="B1362" s="4"/>
      <c r="C1362" s="4"/>
      <c r="D1362" s="4"/>
      <c r="E1362" s="4"/>
      <c r="F1362" s="4"/>
      <c r="G1362" s="4"/>
      <c r="H1362" s="4"/>
      <c r="I1362" s="4"/>
      <c r="J1362" s="4"/>
      <c r="K1362" s="4"/>
      <c r="L1362" s="4"/>
      <c r="M1362" s="4"/>
    </row>
    <row r="1363" spans="1:13" s="34" customFormat="1">
      <c r="A1363" s="3"/>
      <c r="B1363" s="4"/>
      <c r="C1363" s="4"/>
      <c r="D1363" s="4"/>
      <c r="E1363" s="4"/>
      <c r="F1363" s="4"/>
      <c r="G1363" s="4"/>
      <c r="H1363" s="4"/>
      <c r="I1363" s="4"/>
      <c r="J1363" s="4"/>
      <c r="K1363" s="4"/>
      <c r="L1363" s="4"/>
      <c r="M1363" s="4"/>
    </row>
    <row r="1364" spans="1:13" s="34" customFormat="1">
      <c r="A1364" s="3"/>
      <c r="B1364" s="4"/>
      <c r="C1364" s="4"/>
      <c r="D1364" s="4"/>
      <c r="E1364" s="4"/>
      <c r="F1364" s="4"/>
      <c r="G1364" s="4"/>
      <c r="H1364" s="4"/>
      <c r="I1364" s="4"/>
      <c r="J1364" s="4"/>
      <c r="K1364" s="4"/>
      <c r="L1364" s="4"/>
      <c r="M1364" s="4"/>
    </row>
    <row r="1365" spans="1:13" s="34" customFormat="1">
      <c r="A1365" s="3"/>
      <c r="B1365" s="4"/>
      <c r="C1365" s="4"/>
      <c r="D1365" s="4"/>
      <c r="E1365" s="4"/>
      <c r="F1365" s="4"/>
      <c r="G1365" s="4"/>
      <c r="H1365" s="4"/>
      <c r="I1365" s="4"/>
      <c r="J1365" s="4"/>
      <c r="K1365" s="4"/>
      <c r="L1365" s="4"/>
      <c r="M1365" s="4"/>
    </row>
    <row r="1366" spans="1:13" s="34" customFormat="1">
      <c r="A1366" s="3"/>
      <c r="B1366" s="4"/>
      <c r="C1366" s="4"/>
      <c r="D1366" s="4"/>
      <c r="E1366" s="4"/>
      <c r="F1366" s="4"/>
      <c r="G1366" s="4"/>
      <c r="H1366" s="4"/>
      <c r="I1366" s="4"/>
      <c r="J1366" s="4"/>
      <c r="K1366" s="4"/>
      <c r="L1366" s="4"/>
      <c r="M1366" s="4"/>
    </row>
    <row r="1367" spans="1:13" s="34" customFormat="1">
      <c r="A1367" s="3"/>
      <c r="B1367" s="4"/>
      <c r="C1367" s="4"/>
      <c r="D1367" s="4"/>
      <c r="E1367" s="4"/>
      <c r="F1367" s="4"/>
      <c r="G1367" s="4"/>
      <c r="H1367" s="4"/>
      <c r="I1367" s="4"/>
      <c r="J1367" s="4"/>
      <c r="K1367" s="4"/>
      <c r="L1367" s="4"/>
      <c r="M1367" s="4"/>
    </row>
    <row r="1368" spans="1:13" s="34" customFormat="1">
      <c r="A1368" s="3"/>
      <c r="B1368" s="4"/>
      <c r="C1368" s="4"/>
      <c r="D1368" s="4"/>
      <c r="E1368" s="4"/>
      <c r="F1368" s="4"/>
      <c r="G1368" s="4"/>
      <c r="H1368" s="4"/>
      <c r="I1368" s="4"/>
      <c r="J1368" s="4"/>
      <c r="K1368" s="4"/>
      <c r="L1368" s="4"/>
      <c r="M1368" s="4"/>
    </row>
    <row r="1369" spans="1:13" s="34" customFormat="1">
      <c r="A1369" s="3"/>
      <c r="B1369" s="4"/>
      <c r="C1369" s="4"/>
      <c r="D1369" s="4"/>
      <c r="E1369" s="4"/>
      <c r="F1369" s="4"/>
      <c r="G1369" s="4"/>
      <c r="H1369" s="4"/>
      <c r="I1369" s="4"/>
      <c r="J1369" s="4"/>
      <c r="K1369" s="4"/>
      <c r="L1369" s="4"/>
      <c r="M1369" s="4"/>
    </row>
    <row r="1370" spans="1:13" s="34" customFormat="1">
      <c r="A1370" s="3"/>
      <c r="B1370" s="4"/>
      <c r="C1370" s="4"/>
      <c r="D1370" s="4"/>
      <c r="E1370" s="4"/>
      <c r="F1370" s="4"/>
      <c r="G1370" s="4"/>
      <c r="H1370" s="4"/>
      <c r="I1370" s="4"/>
      <c r="J1370" s="4"/>
      <c r="K1370" s="4"/>
      <c r="L1370" s="4"/>
      <c r="M1370" s="4"/>
    </row>
    <row r="1371" spans="1:13" s="34" customFormat="1">
      <c r="A1371" s="3"/>
      <c r="B1371" s="4"/>
      <c r="C1371" s="4"/>
      <c r="D1371" s="4"/>
      <c r="E1371" s="4"/>
      <c r="F1371" s="4"/>
      <c r="G1371" s="4"/>
      <c r="H1371" s="4"/>
      <c r="I1371" s="4"/>
      <c r="J1371" s="4"/>
      <c r="K1371" s="4"/>
      <c r="L1371" s="4"/>
      <c r="M1371" s="4"/>
    </row>
    <row r="1372" spans="1:13" s="34" customFormat="1">
      <c r="A1372" s="3"/>
      <c r="B1372" s="4"/>
      <c r="C1372" s="4"/>
      <c r="D1372" s="4"/>
      <c r="E1372" s="4"/>
      <c r="F1372" s="4"/>
      <c r="G1372" s="4"/>
      <c r="H1372" s="4"/>
      <c r="I1372" s="4"/>
      <c r="J1372" s="4"/>
      <c r="K1372" s="4"/>
      <c r="L1372" s="4"/>
      <c r="M1372" s="4"/>
    </row>
    <row r="1373" spans="1:13" s="34" customFormat="1">
      <c r="A1373" s="3"/>
      <c r="B1373" s="4"/>
      <c r="C1373" s="4"/>
      <c r="D1373" s="4"/>
      <c r="E1373" s="4"/>
      <c r="F1373" s="4"/>
      <c r="G1373" s="4"/>
      <c r="H1373" s="4"/>
      <c r="I1373" s="4"/>
      <c r="J1373" s="4"/>
      <c r="K1373" s="4"/>
      <c r="L1373" s="4"/>
      <c r="M1373" s="4"/>
    </row>
    <row r="1374" spans="1:13" s="34" customFormat="1">
      <c r="A1374" s="3"/>
      <c r="B1374" s="4"/>
      <c r="C1374" s="4"/>
      <c r="D1374" s="4"/>
      <c r="E1374" s="4"/>
      <c r="F1374" s="4"/>
      <c r="G1374" s="4"/>
      <c r="H1374" s="4"/>
      <c r="I1374" s="4"/>
      <c r="J1374" s="4"/>
      <c r="K1374" s="4"/>
      <c r="L1374" s="4"/>
      <c r="M1374" s="4"/>
    </row>
    <row r="1375" spans="1:13" s="34" customFormat="1">
      <c r="A1375" s="3"/>
      <c r="B1375" s="4"/>
      <c r="C1375" s="4"/>
      <c r="D1375" s="4"/>
      <c r="E1375" s="4"/>
      <c r="F1375" s="4"/>
      <c r="G1375" s="4"/>
      <c r="H1375" s="4"/>
      <c r="I1375" s="4"/>
      <c r="J1375" s="4"/>
      <c r="K1375" s="4"/>
      <c r="L1375" s="4"/>
      <c r="M1375" s="4"/>
    </row>
    <row r="1376" spans="1:13" s="34" customFormat="1">
      <c r="A1376" s="3"/>
      <c r="B1376" s="4"/>
      <c r="C1376" s="4"/>
      <c r="D1376" s="4"/>
      <c r="E1376" s="4"/>
      <c r="F1376" s="4"/>
      <c r="G1376" s="4"/>
      <c r="H1376" s="4"/>
      <c r="I1376" s="4"/>
      <c r="J1376" s="4"/>
      <c r="K1376" s="4"/>
      <c r="L1376" s="4"/>
      <c r="M1376" s="4"/>
    </row>
    <row r="1377" spans="1:13" s="34" customFormat="1">
      <c r="A1377" s="3"/>
      <c r="B1377" s="4"/>
      <c r="C1377" s="4"/>
      <c r="D1377" s="4"/>
      <c r="E1377" s="4"/>
      <c r="F1377" s="4"/>
      <c r="G1377" s="4"/>
      <c r="H1377" s="4"/>
      <c r="I1377" s="4"/>
      <c r="J1377" s="4"/>
      <c r="K1377" s="4"/>
      <c r="L1377" s="4"/>
      <c r="M1377" s="4"/>
    </row>
    <row r="1378" spans="1:13" s="34" customFormat="1">
      <c r="A1378" s="3"/>
      <c r="B1378" s="4"/>
      <c r="C1378" s="4"/>
      <c r="D1378" s="4"/>
      <c r="E1378" s="4"/>
      <c r="F1378" s="4"/>
      <c r="G1378" s="4"/>
      <c r="H1378" s="4"/>
      <c r="I1378" s="4"/>
      <c r="J1378" s="4"/>
      <c r="K1378" s="4"/>
      <c r="L1378" s="4"/>
      <c r="M1378" s="4"/>
    </row>
    <row r="1379" spans="1:13" s="34" customFormat="1">
      <c r="A1379" s="3"/>
      <c r="B1379" s="4"/>
      <c r="C1379" s="4"/>
      <c r="D1379" s="4"/>
      <c r="E1379" s="4"/>
      <c r="F1379" s="4"/>
      <c r="G1379" s="4"/>
      <c r="H1379" s="4"/>
      <c r="I1379" s="4"/>
      <c r="J1379" s="4"/>
      <c r="K1379" s="4"/>
      <c r="L1379" s="4"/>
      <c r="M1379" s="4"/>
    </row>
    <row r="1380" spans="1:13" s="34" customFormat="1">
      <c r="A1380" s="3"/>
      <c r="B1380" s="4"/>
      <c r="C1380" s="4"/>
      <c r="D1380" s="4"/>
      <c r="E1380" s="4"/>
      <c r="F1380" s="4"/>
      <c r="G1380" s="4"/>
      <c r="H1380" s="4"/>
      <c r="I1380" s="4"/>
      <c r="J1380" s="4"/>
      <c r="K1380" s="4"/>
      <c r="L1380" s="4"/>
      <c r="M1380" s="4"/>
    </row>
    <row r="1381" spans="1:13" s="34" customFormat="1">
      <c r="A1381" s="3"/>
      <c r="B1381" s="4"/>
      <c r="C1381" s="4"/>
      <c r="D1381" s="4"/>
      <c r="E1381" s="4"/>
      <c r="F1381" s="4"/>
      <c r="G1381" s="4"/>
      <c r="H1381" s="4"/>
      <c r="I1381" s="4"/>
      <c r="J1381" s="4"/>
      <c r="K1381" s="4"/>
      <c r="L1381" s="4"/>
      <c r="M1381" s="4"/>
    </row>
    <row r="1382" spans="1:13" s="34" customFormat="1">
      <c r="A1382" s="3"/>
      <c r="B1382" s="4"/>
      <c r="C1382" s="4"/>
      <c r="D1382" s="4"/>
      <c r="E1382" s="4"/>
      <c r="F1382" s="4"/>
      <c r="G1382" s="4"/>
      <c r="H1382" s="4"/>
      <c r="I1382" s="4"/>
      <c r="J1382" s="4"/>
      <c r="K1382" s="4"/>
      <c r="L1382" s="4"/>
      <c r="M1382" s="4"/>
    </row>
    <row r="1383" spans="1:13" s="34" customFormat="1">
      <c r="A1383" s="3"/>
      <c r="B1383" s="4"/>
      <c r="C1383" s="4"/>
      <c r="D1383" s="4"/>
      <c r="E1383" s="4"/>
      <c r="F1383" s="4"/>
      <c r="G1383" s="4"/>
      <c r="H1383" s="4"/>
      <c r="I1383" s="4"/>
      <c r="J1383" s="4"/>
      <c r="K1383" s="4"/>
      <c r="L1383" s="4"/>
      <c r="M1383" s="4"/>
    </row>
    <row r="1384" spans="1:13" s="34" customFormat="1">
      <c r="A1384" s="3"/>
      <c r="B1384" s="4"/>
      <c r="C1384" s="4"/>
      <c r="D1384" s="4"/>
      <c r="E1384" s="4"/>
      <c r="F1384" s="4"/>
      <c r="G1384" s="4"/>
      <c r="H1384" s="4"/>
      <c r="I1384" s="4"/>
      <c r="J1384" s="4"/>
      <c r="K1384" s="4"/>
      <c r="L1384" s="4"/>
      <c r="M1384" s="4"/>
    </row>
    <row r="1385" spans="1:13" s="34" customFormat="1">
      <c r="A1385" s="3"/>
      <c r="B1385" s="4"/>
      <c r="C1385" s="4"/>
      <c r="D1385" s="4"/>
      <c r="E1385" s="4"/>
      <c r="F1385" s="4"/>
      <c r="G1385" s="4"/>
      <c r="H1385" s="4"/>
      <c r="I1385" s="4"/>
      <c r="J1385" s="4"/>
      <c r="K1385" s="4"/>
      <c r="L1385" s="4"/>
      <c r="M1385" s="4"/>
    </row>
    <row r="1386" spans="1:13" s="34" customFormat="1">
      <c r="A1386" s="3"/>
      <c r="B1386" s="4"/>
      <c r="C1386" s="4"/>
      <c r="D1386" s="4"/>
      <c r="E1386" s="4"/>
      <c r="F1386" s="4"/>
      <c r="G1386" s="4"/>
      <c r="H1386" s="4"/>
      <c r="I1386" s="4"/>
      <c r="J1386" s="4"/>
      <c r="K1386" s="4"/>
      <c r="L1386" s="4"/>
      <c r="M1386" s="4"/>
    </row>
    <row r="1387" spans="1:13" s="34" customFormat="1">
      <c r="A1387" s="3"/>
      <c r="B1387" s="4"/>
      <c r="C1387" s="4"/>
      <c r="D1387" s="4"/>
      <c r="E1387" s="4"/>
      <c r="F1387" s="4"/>
      <c r="G1387" s="4"/>
      <c r="H1387" s="4"/>
      <c r="I1387" s="4"/>
      <c r="J1387" s="4"/>
      <c r="K1387" s="4"/>
      <c r="L1387" s="4"/>
      <c r="M1387" s="4"/>
    </row>
    <row r="1388" spans="1:13" s="34" customFormat="1">
      <c r="A1388" s="3"/>
      <c r="B1388" s="4"/>
      <c r="C1388" s="4"/>
      <c r="D1388" s="4"/>
      <c r="E1388" s="4"/>
      <c r="F1388" s="4"/>
      <c r="G1388" s="4"/>
      <c r="H1388" s="4"/>
      <c r="I1388" s="4"/>
      <c r="J1388" s="4"/>
      <c r="K1388" s="4"/>
      <c r="L1388" s="4"/>
      <c r="M1388" s="4"/>
    </row>
    <row r="1389" spans="1:13" s="34" customFormat="1">
      <c r="A1389" s="3"/>
      <c r="B1389" s="4"/>
      <c r="C1389" s="4"/>
      <c r="D1389" s="4"/>
      <c r="E1389" s="4"/>
      <c r="F1389" s="4"/>
      <c r="G1389" s="4"/>
      <c r="H1389" s="4"/>
      <c r="I1389" s="4"/>
      <c r="J1389" s="4"/>
      <c r="K1389" s="4"/>
      <c r="L1389" s="4"/>
      <c r="M1389" s="4"/>
    </row>
    <row r="1390" spans="1:13" s="34" customFormat="1">
      <c r="A1390" s="3"/>
      <c r="B1390" s="4"/>
      <c r="C1390" s="4"/>
      <c r="D1390" s="4"/>
      <c r="E1390" s="4"/>
      <c r="F1390" s="4"/>
      <c r="G1390" s="4"/>
      <c r="H1390" s="4"/>
      <c r="I1390" s="4"/>
      <c r="J1390" s="4"/>
      <c r="K1390" s="4"/>
      <c r="L1390" s="4"/>
      <c r="M1390" s="4"/>
    </row>
    <row r="1391" spans="1:13" s="34" customFormat="1">
      <c r="A1391" s="3"/>
      <c r="B1391" s="4"/>
      <c r="C1391" s="4"/>
      <c r="D1391" s="4"/>
      <c r="E1391" s="4"/>
      <c r="F1391" s="4"/>
      <c r="G1391" s="4"/>
      <c r="H1391" s="4"/>
      <c r="I1391" s="4"/>
      <c r="J1391" s="4"/>
      <c r="K1391" s="4"/>
      <c r="L1391" s="4"/>
      <c r="M1391" s="4"/>
    </row>
    <row r="1392" spans="1:13" s="34" customFormat="1">
      <c r="A1392" s="3"/>
      <c r="B1392" s="4"/>
      <c r="C1392" s="4"/>
      <c r="D1392" s="4"/>
      <c r="E1392" s="4"/>
      <c r="F1392" s="4"/>
      <c r="G1392" s="4"/>
      <c r="H1392" s="4"/>
      <c r="I1392" s="4"/>
      <c r="J1392" s="4"/>
      <c r="K1392" s="4"/>
      <c r="L1392" s="4"/>
      <c r="M1392" s="4"/>
    </row>
    <row r="1393" spans="1:13" s="34" customFormat="1">
      <c r="A1393" s="3"/>
      <c r="B1393" s="4"/>
      <c r="C1393" s="4"/>
      <c r="D1393" s="4"/>
      <c r="E1393" s="4"/>
      <c r="F1393" s="4"/>
      <c r="G1393" s="4"/>
      <c r="H1393" s="4"/>
      <c r="I1393" s="4"/>
      <c r="J1393" s="4"/>
      <c r="K1393" s="4"/>
      <c r="L1393" s="4"/>
      <c r="M1393" s="4"/>
    </row>
    <row r="1394" spans="1:13" s="34" customFormat="1">
      <c r="A1394" s="3"/>
      <c r="B1394" s="4"/>
      <c r="C1394" s="4"/>
      <c r="D1394" s="4"/>
      <c r="E1394" s="4"/>
      <c r="F1394" s="4"/>
      <c r="G1394" s="4"/>
      <c r="H1394" s="4"/>
      <c r="I1394" s="4"/>
      <c r="J1394" s="4"/>
      <c r="K1394" s="4"/>
      <c r="L1394" s="4"/>
      <c r="M1394" s="4"/>
    </row>
    <row r="1395" spans="1:13" s="34" customFormat="1">
      <c r="A1395" s="3"/>
      <c r="B1395" s="4"/>
      <c r="C1395" s="4"/>
      <c r="D1395" s="4"/>
      <c r="E1395" s="4"/>
      <c r="F1395" s="4"/>
      <c r="G1395" s="4"/>
      <c r="H1395" s="4"/>
      <c r="I1395" s="4"/>
      <c r="J1395" s="4"/>
      <c r="K1395" s="4"/>
      <c r="L1395" s="4"/>
      <c r="M1395" s="4"/>
    </row>
    <row r="1396" spans="1:13" s="34" customFormat="1">
      <c r="A1396" s="3"/>
      <c r="B1396" s="4"/>
      <c r="C1396" s="4"/>
      <c r="D1396" s="4"/>
      <c r="E1396" s="4"/>
      <c r="F1396" s="4"/>
      <c r="G1396" s="4"/>
      <c r="H1396" s="4"/>
      <c r="I1396" s="4"/>
      <c r="J1396" s="4"/>
      <c r="K1396" s="4"/>
      <c r="L1396" s="4"/>
      <c r="M1396" s="4"/>
    </row>
    <row r="1397" spans="1:13" s="34" customFormat="1">
      <c r="A1397" s="3"/>
      <c r="B1397" s="4"/>
      <c r="C1397" s="4"/>
      <c r="D1397" s="4"/>
      <c r="E1397" s="4"/>
      <c r="F1397" s="4"/>
      <c r="G1397" s="4"/>
      <c r="H1397" s="4"/>
      <c r="I1397" s="4"/>
      <c r="J1397" s="4"/>
      <c r="K1397" s="4"/>
      <c r="L1397" s="4"/>
      <c r="M1397" s="4"/>
    </row>
    <row r="1398" spans="1:13" s="34" customFormat="1">
      <c r="A1398" s="3"/>
      <c r="B1398" s="4"/>
      <c r="C1398" s="4"/>
      <c r="D1398" s="4"/>
      <c r="E1398" s="4"/>
      <c r="F1398" s="4"/>
      <c r="G1398" s="4"/>
      <c r="H1398" s="4"/>
      <c r="I1398" s="4"/>
      <c r="J1398" s="4"/>
      <c r="K1398" s="4"/>
      <c r="L1398" s="4"/>
      <c r="M1398" s="4"/>
    </row>
    <row r="1399" spans="1:13" s="34" customFormat="1">
      <c r="A1399" s="3"/>
      <c r="B1399" s="4"/>
      <c r="C1399" s="4"/>
      <c r="D1399" s="4"/>
      <c r="E1399" s="4"/>
      <c r="F1399" s="4"/>
      <c r="G1399" s="4"/>
      <c r="H1399" s="4"/>
      <c r="I1399" s="4"/>
      <c r="J1399" s="4"/>
      <c r="K1399" s="4"/>
      <c r="L1399" s="4"/>
      <c r="M1399" s="4"/>
    </row>
    <row r="1400" spans="1:13" s="34" customFormat="1">
      <c r="A1400" s="3"/>
      <c r="B1400" s="4"/>
      <c r="C1400" s="4"/>
      <c r="D1400" s="4"/>
      <c r="E1400" s="4"/>
      <c r="F1400" s="4"/>
      <c r="G1400" s="4"/>
      <c r="H1400" s="4"/>
      <c r="I1400" s="4"/>
      <c r="J1400" s="4"/>
      <c r="K1400" s="4"/>
      <c r="L1400" s="4"/>
      <c r="M1400" s="4"/>
    </row>
    <row r="1401" spans="1:13" s="34" customFormat="1">
      <c r="A1401" s="3"/>
      <c r="B1401" s="4"/>
      <c r="C1401" s="4"/>
      <c r="D1401" s="4"/>
      <c r="E1401" s="4"/>
      <c r="F1401" s="4"/>
      <c r="G1401" s="4"/>
      <c r="H1401" s="4"/>
      <c r="I1401" s="4"/>
      <c r="J1401" s="4"/>
      <c r="K1401" s="4"/>
      <c r="L1401" s="4"/>
      <c r="M1401" s="4"/>
    </row>
    <row r="1402" spans="1:13" s="34" customFormat="1">
      <c r="A1402" s="3"/>
      <c r="B1402" s="4"/>
      <c r="C1402" s="4"/>
      <c r="D1402" s="4"/>
      <c r="E1402" s="4"/>
      <c r="F1402" s="4"/>
      <c r="G1402" s="4"/>
      <c r="H1402" s="4"/>
      <c r="I1402" s="4"/>
      <c r="J1402" s="4"/>
      <c r="K1402" s="4"/>
      <c r="L1402" s="4"/>
      <c r="M1402" s="4"/>
    </row>
    <row r="1403" spans="1:13" s="34" customFormat="1">
      <c r="A1403" s="3"/>
      <c r="B1403" s="4"/>
      <c r="C1403" s="4"/>
      <c r="D1403" s="4"/>
      <c r="E1403" s="4"/>
      <c r="F1403" s="4"/>
      <c r="G1403" s="4"/>
      <c r="H1403" s="4"/>
      <c r="I1403" s="4"/>
      <c r="J1403" s="4"/>
      <c r="K1403" s="4"/>
      <c r="L1403" s="4"/>
      <c r="M1403" s="4"/>
    </row>
    <row r="1404" spans="1:13" s="34" customFormat="1">
      <c r="A1404" s="3"/>
      <c r="B1404" s="4"/>
      <c r="C1404" s="4"/>
      <c r="D1404" s="4"/>
      <c r="E1404" s="4"/>
      <c r="F1404" s="4"/>
      <c r="G1404" s="4"/>
      <c r="H1404" s="4"/>
      <c r="I1404" s="4"/>
      <c r="J1404" s="4"/>
      <c r="K1404" s="4"/>
      <c r="L1404" s="4"/>
      <c r="M1404" s="4"/>
    </row>
    <row r="1405" spans="1:13" s="34" customFormat="1">
      <c r="A1405" s="3"/>
      <c r="B1405" s="4"/>
      <c r="C1405" s="4"/>
      <c r="D1405" s="4"/>
      <c r="E1405" s="4"/>
      <c r="F1405" s="4"/>
      <c r="G1405" s="4"/>
      <c r="H1405" s="4"/>
      <c r="I1405" s="4"/>
      <c r="J1405" s="4"/>
      <c r="K1405" s="4"/>
      <c r="L1405" s="4"/>
      <c r="M1405" s="4"/>
    </row>
    <row r="1406" spans="1:13" s="34" customFormat="1">
      <c r="A1406" s="3"/>
      <c r="B1406" s="4"/>
      <c r="C1406" s="4"/>
      <c r="D1406" s="4"/>
      <c r="E1406" s="4"/>
      <c r="F1406" s="4"/>
      <c r="G1406" s="4"/>
      <c r="H1406" s="4"/>
      <c r="I1406" s="4"/>
      <c r="J1406" s="4"/>
      <c r="K1406" s="4"/>
      <c r="L1406" s="4"/>
      <c r="M1406" s="4"/>
    </row>
    <row r="1407" spans="1:13" s="34" customFormat="1">
      <c r="A1407" s="3"/>
      <c r="B1407" s="4"/>
      <c r="C1407" s="4"/>
      <c r="D1407" s="4"/>
      <c r="E1407" s="4"/>
      <c r="F1407" s="4"/>
      <c r="G1407" s="4"/>
      <c r="H1407" s="4"/>
      <c r="I1407" s="4"/>
      <c r="J1407" s="4"/>
      <c r="K1407" s="4"/>
      <c r="L1407" s="4"/>
      <c r="M1407" s="4"/>
    </row>
    <row r="1408" spans="1:13" s="34" customFormat="1">
      <c r="A1408" s="3"/>
      <c r="B1408" s="4"/>
      <c r="C1408" s="4"/>
      <c r="D1408" s="4"/>
      <c r="E1408" s="4"/>
      <c r="F1408" s="4"/>
      <c r="G1408" s="4"/>
      <c r="H1408" s="4"/>
      <c r="I1408" s="4"/>
      <c r="J1408" s="4"/>
      <c r="K1408" s="4"/>
      <c r="L1408" s="4"/>
      <c r="M1408" s="4"/>
    </row>
    <row r="1409" spans="1:13" s="34" customFormat="1">
      <c r="A1409" s="3"/>
      <c r="B1409" s="4"/>
      <c r="C1409" s="4"/>
      <c r="D1409" s="4"/>
      <c r="E1409" s="4"/>
      <c r="F1409" s="4"/>
      <c r="G1409" s="4"/>
      <c r="H1409" s="4"/>
      <c r="I1409" s="4"/>
      <c r="J1409" s="4"/>
      <c r="K1409" s="4"/>
      <c r="L1409" s="4"/>
      <c r="M1409" s="4"/>
    </row>
    <row r="1410" spans="1:13" s="34" customFormat="1">
      <c r="A1410" s="3"/>
      <c r="B1410" s="4"/>
      <c r="C1410" s="4"/>
      <c r="D1410" s="4"/>
      <c r="E1410" s="4"/>
      <c r="F1410" s="4"/>
      <c r="G1410" s="4"/>
      <c r="H1410" s="4"/>
      <c r="I1410" s="4"/>
      <c r="J1410" s="4"/>
      <c r="K1410" s="4"/>
      <c r="L1410" s="4"/>
      <c r="M1410" s="4"/>
    </row>
    <row r="1411" spans="1:13" s="34" customFormat="1">
      <c r="A1411" s="3"/>
      <c r="B1411" s="4"/>
      <c r="C1411" s="4"/>
      <c r="D1411" s="4"/>
      <c r="E1411" s="4"/>
      <c r="F1411" s="4"/>
      <c r="G1411" s="4"/>
      <c r="H1411" s="4"/>
      <c r="I1411" s="4"/>
      <c r="J1411" s="4"/>
      <c r="K1411" s="4"/>
      <c r="L1411" s="4"/>
      <c r="M1411" s="4"/>
    </row>
    <row r="1412" spans="1:13" s="34" customFormat="1">
      <c r="A1412" s="3"/>
      <c r="B1412" s="4"/>
      <c r="C1412" s="4"/>
      <c r="D1412" s="4"/>
      <c r="E1412" s="4"/>
      <c r="F1412" s="4"/>
      <c r="G1412" s="4"/>
      <c r="H1412" s="4"/>
      <c r="I1412" s="4"/>
      <c r="J1412" s="4"/>
      <c r="K1412" s="4"/>
      <c r="L1412" s="4"/>
      <c r="M1412" s="4"/>
    </row>
    <row r="1413" spans="1:13" s="34" customFormat="1">
      <c r="A1413" s="3"/>
      <c r="B1413" s="4"/>
      <c r="C1413" s="4"/>
      <c r="D1413" s="4"/>
      <c r="E1413" s="4"/>
      <c r="F1413" s="4"/>
      <c r="G1413" s="4"/>
      <c r="H1413" s="4"/>
      <c r="I1413" s="4"/>
      <c r="J1413" s="4"/>
      <c r="K1413" s="4"/>
      <c r="L1413" s="4"/>
      <c r="M1413" s="4"/>
    </row>
    <row r="1414" spans="1:13" s="34" customFormat="1">
      <c r="A1414" s="3"/>
      <c r="B1414" s="4"/>
      <c r="C1414" s="4"/>
      <c r="D1414" s="4"/>
      <c r="E1414" s="4"/>
      <c r="F1414" s="4"/>
      <c r="G1414" s="4"/>
      <c r="H1414" s="4"/>
      <c r="I1414" s="4"/>
      <c r="J1414" s="4"/>
      <c r="K1414" s="4"/>
      <c r="L1414" s="4"/>
      <c r="M1414" s="4"/>
    </row>
    <row r="1415" spans="1:13" s="34" customFormat="1">
      <c r="A1415" s="3"/>
      <c r="B1415" s="4"/>
      <c r="C1415" s="4"/>
      <c r="D1415" s="4"/>
      <c r="E1415" s="4"/>
      <c r="F1415" s="4"/>
      <c r="G1415" s="4"/>
      <c r="H1415" s="4"/>
      <c r="I1415" s="4"/>
      <c r="J1415" s="4"/>
      <c r="K1415" s="4"/>
      <c r="L1415" s="4"/>
      <c r="M1415" s="4"/>
    </row>
    <row r="1416" spans="1:13" s="34" customFormat="1">
      <c r="A1416" s="3"/>
      <c r="B1416" s="4"/>
      <c r="C1416" s="4"/>
      <c r="D1416" s="4"/>
      <c r="E1416" s="4"/>
      <c r="F1416" s="4"/>
      <c r="G1416" s="4"/>
      <c r="H1416" s="4"/>
      <c r="I1416" s="4"/>
      <c r="J1416" s="4"/>
      <c r="K1416" s="4"/>
      <c r="L1416" s="4"/>
      <c r="M1416" s="4"/>
    </row>
    <row r="1417" spans="1:13" s="34" customFormat="1">
      <c r="A1417" s="3"/>
      <c r="B1417" s="4"/>
      <c r="C1417" s="4"/>
      <c r="D1417" s="4"/>
      <c r="E1417" s="4"/>
      <c r="F1417" s="4"/>
      <c r="G1417" s="4"/>
      <c r="H1417" s="4"/>
      <c r="I1417" s="4"/>
      <c r="J1417" s="4"/>
      <c r="K1417" s="4"/>
      <c r="L1417" s="4"/>
      <c r="M1417" s="4"/>
    </row>
    <row r="1418" spans="1:13" s="34" customFormat="1">
      <c r="A1418" s="3"/>
      <c r="B1418" s="4"/>
      <c r="C1418" s="4"/>
      <c r="D1418" s="4"/>
      <c r="E1418" s="4"/>
      <c r="F1418" s="4"/>
      <c r="G1418" s="4"/>
      <c r="H1418" s="4"/>
      <c r="I1418" s="4"/>
      <c r="J1418" s="4"/>
      <c r="K1418" s="4"/>
      <c r="L1418" s="4"/>
      <c r="M1418" s="4"/>
    </row>
    <row r="1419" spans="1:13" s="34" customFormat="1">
      <c r="A1419" s="3"/>
      <c r="B1419" s="4"/>
      <c r="C1419" s="4"/>
      <c r="D1419" s="4"/>
      <c r="E1419" s="4"/>
      <c r="F1419" s="4"/>
      <c r="G1419" s="4"/>
      <c r="H1419" s="4"/>
      <c r="I1419" s="4"/>
      <c r="J1419" s="4"/>
      <c r="K1419" s="4"/>
      <c r="L1419" s="4"/>
      <c r="M1419" s="4"/>
    </row>
    <row r="1420" spans="1:13" s="34" customFormat="1">
      <c r="A1420" s="3"/>
      <c r="B1420" s="4"/>
      <c r="C1420" s="4"/>
      <c r="D1420" s="4"/>
      <c r="E1420" s="4"/>
      <c r="F1420" s="4"/>
      <c r="G1420" s="4"/>
      <c r="H1420" s="4"/>
      <c r="I1420" s="4"/>
      <c r="J1420" s="4"/>
      <c r="K1420" s="4"/>
      <c r="L1420" s="4"/>
      <c r="M1420" s="4"/>
    </row>
    <row r="1421" spans="1:13" s="34" customFormat="1">
      <c r="A1421" s="3"/>
      <c r="B1421" s="4"/>
      <c r="C1421" s="4"/>
      <c r="D1421" s="4"/>
      <c r="E1421" s="4"/>
      <c r="F1421" s="4"/>
      <c r="G1421" s="4"/>
      <c r="H1421" s="4"/>
      <c r="I1421" s="4"/>
      <c r="J1421" s="4"/>
      <c r="K1421" s="4"/>
      <c r="L1421" s="4"/>
      <c r="M1421" s="4"/>
    </row>
    <row r="1422" spans="1:13" s="34" customFormat="1">
      <c r="A1422" s="3"/>
      <c r="B1422" s="4"/>
      <c r="C1422" s="4"/>
      <c r="D1422" s="4"/>
      <c r="E1422" s="4"/>
      <c r="F1422" s="4"/>
      <c r="G1422" s="4"/>
      <c r="H1422" s="4"/>
      <c r="I1422" s="4"/>
      <c r="J1422" s="4"/>
      <c r="K1422" s="4"/>
      <c r="L1422" s="4"/>
      <c r="M1422" s="4"/>
    </row>
    <row r="1423" spans="1:13" s="34" customFormat="1">
      <c r="A1423" s="3"/>
      <c r="B1423" s="4"/>
      <c r="C1423" s="4"/>
      <c r="D1423" s="4"/>
      <c r="E1423" s="4"/>
      <c r="F1423" s="4"/>
      <c r="G1423" s="4"/>
      <c r="H1423" s="4"/>
      <c r="I1423" s="4"/>
      <c r="J1423" s="4"/>
      <c r="K1423" s="4"/>
      <c r="L1423" s="4"/>
      <c r="M1423" s="4"/>
    </row>
    <row r="1424" spans="1:13" s="34" customFormat="1">
      <c r="A1424" s="3"/>
      <c r="B1424" s="4"/>
      <c r="C1424" s="4"/>
      <c r="D1424" s="4"/>
      <c r="E1424" s="4"/>
      <c r="F1424" s="4"/>
      <c r="G1424" s="4"/>
      <c r="H1424" s="4"/>
      <c r="I1424" s="4"/>
      <c r="J1424" s="4"/>
      <c r="K1424" s="4"/>
      <c r="L1424" s="4"/>
      <c r="M1424" s="4"/>
    </row>
    <row r="1425" spans="1:13" s="34" customFormat="1">
      <c r="A1425" s="3"/>
      <c r="B1425" s="4"/>
      <c r="C1425" s="4"/>
      <c r="D1425" s="4"/>
      <c r="E1425" s="4"/>
      <c r="F1425" s="4"/>
      <c r="G1425" s="4"/>
      <c r="H1425" s="4"/>
      <c r="I1425" s="4"/>
      <c r="J1425" s="4"/>
      <c r="K1425" s="4"/>
      <c r="L1425" s="4"/>
      <c r="M1425" s="4"/>
    </row>
    <row r="1426" spans="1:13" s="34" customFormat="1">
      <c r="A1426" s="3"/>
      <c r="B1426" s="4"/>
      <c r="C1426" s="4"/>
      <c r="D1426" s="4"/>
      <c r="E1426" s="4"/>
      <c r="F1426" s="4"/>
      <c r="G1426" s="4"/>
      <c r="H1426" s="4"/>
      <c r="I1426" s="4"/>
      <c r="J1426" s="4"/>
      <c r="K1426" s="4"/>
      <c r="L1426" s="4"/>
      <c r="M1426" s="4"/>
    </row>
    <row r="1427" spans="1:13" s="34" customFormat="1">
      <c r="A1427" s="3"/>
      <c r="B1427" s="4"/>
      <c r="C1427" s="4"/>
      <c r="D1427" s="4"/>
      <c r="E1427" s="4"/>
      <c r="F1427" s="4"/>
      <c r="G1427" s="4"/>
      <c r="H1427" s="4"/>
      <c r="I1427" s="4"/>
      <c r="J1427" s="4"/>
      <c r="K1427" s="4"/>
      <c r="L1427" s="4"/>
      <c r="M1427" s="4"/>
    </row>
    <row r="1428" spans="1:13" s="34" customFormat="1">
      <c r="A1428" s="3"/>
      <c r="B1428" s="4"/>
      <c r="C1428" s="4"/>
      <c r="D1428" s="4"/>
      <c r="E1428" s="4"/>
      <c r="F1428" s="4"/>
      <c r="G1428" s="4"/>
      <c r="H1428" s="4"/>
      <c r="I1428" s="4"/>
      <c r="J1428" s="4"/>
      <c r="K1428" s="4"/>
      <c r="L1428" s="4"/>
      <c r="M1428" s="4"/>
    </row>
    <row r="1429" spans="1:13" s="34" customFormat="1">
      <c r="A1429" s="3"/>
      <c r="B1429" s="4"/>
      <c r="C1429" s="4"/>
      <c r="D1429" s="4"/>
      <c r="E1429" s="4"/>
      <c r="F1429" s="4"/>
      <c r="G1429" s="4"/>
      <c r="H1429" s="4"/>
      <c r="I1429" s="4"/>
      <c r="J1429" s="4"/>
      <c r="K1429" s="4"/>
      <c r="L1429" s="4"/>
      <c r="M1429" s="4"/>
    </row>
    <row r="1430" spans="1:13" s="34" customFormat="1">
      <c r="A1430" s="3"/>
      <c r="B1430" s="4"/>
      <c r="C1430" s="4"/>
      <c r="D1430" s="4"/>
      <c r="E1430" s="4"/>
      <c r="F1430" s="4"/>
      <c r="G1430" s="4"/>
      <c r="H1430" s="4"/>
      <c r="I1430" s="4"/>
      <c r="J1430" s="4"/>
      <c r="K1430" s="4"/>
      <c r="L1430" s="4"/>
      <c r="M1430" s="4"/>
    </row>
    <row r="1431" spans="1:13" s="34" customFormat="1">
      <c r="A1431" s="3"/>
      <c r="B1431" s="4"/>
      <c r="C1431" s="4"/>
      <c r="D1431" s="4"/>
      <c r="E1431" s="4"/>
      <c r="F1431" s="4"/>
      <c r="G1431" s="4"/>
      <c r="H1431" s="4"/>
      <c r="I1431" s="4"/>
      <c r="J1431" s="4"/>
      <c r="K1431" s="4"/>
      <c r="L1431" s="4"/>
      <c r="M1431" s="4"/>
    </row>
    <row r="1432" spans="1:13" s="34" customFormat="1">
      <c r="A1432" s="3"/>
      <c r="B1432" s="4"/>
      <c r="C1432" s="4"/>
      <c r="D1432" s="4"/>
      <c r="E1432" s="4"/>
      <c r="F1432" s="4"/>
      <c r="G1432" s="4"/>
      <c r="H1432" s="4"/>
      <c r="I1432" s="4"/>
      <c r="J1432" s="4"/>
      <c r="K1432" s="4"/>
      <c r="L1432" s="4"/>
      <c r="M1432" s="4"/>
    </row>
    <row r="1433" spans="1:13" s="34" customFormat="1">
      <c r="A1433" s="3"/>
      <c r="B1433" s="4"/>
      <c r="C1433" s="4"/>
      <c r="D1433" s="4"/>
      <c r="E1433" s="4"/>
      <c r="F1433" s="4"/>
      <c r="G1433" s="4"/>
      <c r="H1433" s="4"/>
      <c r="I1433" s="4"/>
      <c r="J1433" s="4"/>
      <c r="K1433" s="4"/>
      <c r="L1433" s="4"/>
      <c r="M1433" s="4"/>
    </row>
    <row r="1434" spans="1:13" s="34" customFormat="1">
      <c r="A1434" s="3"/>
      <c r="B1434" s="4"/>
      <c r="C1434" s="4"/>
      <c r="D1434" s="4"/>
      <c r="E1434" s="4"/>
      <c r="F1434" s="4"/>
      <c r="G1434" s="4"/>
      <c r="H1434" s="4"/>
      <c r="I1434" s="4"/>
      <c r="J1434" s="4"/>
      <c r="K1434" s="4"/>
      <c r="L1434" s="4"/>
      <c r="M1434" s="4"/>
    </row>
    <row r="1435" spans="1:13" s="34" customFormat="1">
      <c r="A1435" s="3"/>
      <c r="B1435" s="4"/>
      <c r="C1435" s="4"/>
      <c r="D1435" s="4"/>
      <c r="E1435" s="4"/>
      <c r="F1435" s="4"/>
      <c r="G1435" s="4"/>
      <c r="H1435" s="4"/>
      <c r="I1435" s="4"/>
      <c r="J1435" s="4"/>
      <c r="K1435" s="4"/>
      <c r="L1435" s="4"/>
      <c r="M1435" s="4"/>
    </row>
    <row r="1436" spans="1:13" s="34" customFormat="1">
      <c r="A1436" s="3"/>
      <c r="B1436" s="4"/>
      <c r="C1436" s="4"/>
      <c r="D1436" s="4"/>
      <c r="E1436" s="4"/>
      <c r="F1436" s="4"/>
      <c r="G1436" s="4"/>
      <c r="H1436" s="4"/>
      <c r="I1436" s="4"/>
      <c r="J1436" s="4"/>
      <c r="K1436" s="4"/>
      <c r="L1436" s="4"/>
      <c r="M1436" s="4"/>
    </row>
    <row r="1437" spans="1:13" s="34" customFormat="1">
      <c r="A1437" s="3"/>
      <c r="B1437" s="4"/>
      <c r="C1437" s="4"/>
      <c r="D1437" s="4"/>
      <c r="E1437" s="4"/>
      <c r="F1437" s="4"/>
      <c r="G1437" s="4"/>
      <c r="H1437" s="4"/>
      <c r="I1437" s="4"/>
      <c r="J1437" s="4"/>
      <c r="K1437" s="4"/>
      <c r="L1437" s="4"/>
      <c r="M1437" s="4"/>
    </row>
    <row r="1438" spans="1:13" s="34" customFormat="1">
      <c r="A1438" s="3"/>
      <c r="B1438" s="4"/>
      <c r="C1438" s="4"/>
      <c r="D1438" s="4"/>
      <c r="E1438" s="4"/>
      <c r="F1438" s="4"/>
      <c r="G1438" s="4"/>
      <c r="H1438" s="4"/>
      <c r="I1438" s="4"/>
      <c r="J1438" s="4"/>
      <c r="K1438" s="4"/>
      <c r="L1438" s="4"/>
      <c r="M1438" s="4"/>
    </row>
    <row r="1439" spans="1:13" s="34" customFormat="1">
      <c r="A1439" s="3"/>
      <c r="B1439" s="4"/>
      <c r="C1439" s="4"/>
      <c r="D1439" s="4"/>
      <c r="E1439" s="4"/>
      <c r="F1439" s="4"/>
      <c r="G1439" s="4"/>
      <c r="H1439" s="4"/>
      <c r="I1439" s="4"/>
      <c r="J1439" s="4"/>
      <c r="K1439" s="4"/>
      <c r="L1439" s="4"/>
      <c r="M1439" s="4"/>
    </row>
    <row r="1440" spans="1:13" s="34" customFormat="1">
      <c r="A1440" s="3"/>
      <c r="B1440" s="4"/>
      <c r="C1440" s="4"/>
      <c r="D1440" s="4"/>
      <c r="E1440" s="4"/>
      <c r="F1440" s="4"/>
      <c r="G1440" s="4"/>
      <c r="H1440" s="4"/>
      <c r="I1440" s="4"/>
      <c r="J1440" s="4"/>
      <c r="K1440" s="4"/>
      <c r="L1440" s="4"/>
      <c r="M1440" s="4"/>
    </row>
    <row r="1441" spans="1:13" s="34" customFormat="1">
      <c r="A1441" s="3"/>
      <c r="B1441" s="4"/>
      <c r="C1441" s="4"/>
      <c r="D1441" s="4"/>
      <c r="E1441" s="4"/>
      <c r="F1441" s="4"/>
      <c r="G1441" s="4"/>
      <c r="H1441" s="4"/>
      <c r="I1441" s="4"/>
      <c r="J1441" s="4"/>
      <c r="K1441" s="4"/>
      <c r="L1441" s="4"/>
      <c r="M1441" s="4"/>
    </row>
    <row r="1442" spans="1:13" s="34" customFormat="1">
      <c r="A1442" s="3"/>
      <c r="B1442" s="4"/>
      <c r="C1442" s="4"/>
      <c r="D1442" s="4"/>
      <c r="E1442" s="4"/>
      <c r="F1442" s="4"/>
      <c r="G1442" s="4"/>
      <c r="H1442" s="4"/>
      <c r="I1442" s="4"/>
      <c r="J1442" s="4"/>
      <c r="K1442" s="4"/>
      <c r="L1442" s="4"/>
      <c r="M1442" s="4"/>
    </row>
    <row r="1443" spans="1:13" s="34" customFormat="1">
      <c r="A1443" s="3"/>
      <c r="B1443" s="4"/>
      <c r="C1443" s="4"/>
      <c r="D1443" s="4"/>
      <c r="E1443" s="4"/>
      <c r="F1443" s="4"/>
      <c r="G1443" s="4"/>
      <c r="H1443" s="4"/>
      <c r="I1443" s="4"/>
      <c r="J1443" s="4"/>
      <c r="K1443" s="4"/>
      <c r="L1443" s="4"/>
      <c r="M1443" s="4"/>
    </row>
    <row r="1444" spans="1:13" s="34" customFormat="1">
      <c r="A1444" s="3"/>
      <c r="B1444" s="4"/>
      <c r="C1444" s="4"/>
      <c r="D1444" s="4"/>
      <c r="E1444" s="4"/>
      <c r="F1444" s="4"/>
      <c r="G1444" s="4"/>
      <c r="H1444" s="4"/>
      <c r="I1444" s="4"/>
      <c r="J1444" s="4"/>
      <c r="K1444" s="4"/>
      <c r="L1444" s="4"/>
      <c r="M1444" s="4"/>
    </row>
    <row r="1445" spans="1:13" s="34" customFormat="1">
      <c r="A1445" s="3"/>
      <c r="B1445" s="4"/>
      <c r="C1445" s="4"/>
      <c r="D1445" s="4"/>
      <c r="E1445" s="4"/>
      <c r="F1445" s="4"/>
      <c r="G1445" s="4"/>
      <c r="H1445" s="4"/>
      <c r="I1445" s="4"/>
      <c r="J1445" s="4"/>
      <c r="K1445" s="4"/>
      <c r="L1445" s="4"/>
      <c r="M1445" s="4"/>
    </row>
    <row r="1446" spans="1:13" s="34" customFormat="1">
      <c r="A1446" s="3"/>
      <c r="B1446" s="4"/>
      <c r="C1446" s="4"/>
      <c r="D1446" s="4"/>
      <c r="E1446" s="4"/>
      <c r="F1446" s="4"/>
      <c r="G1446" s="4"/>
      <c r="H1446" s="4"/>
      <c r="I1446" s="4"/>
      <c r="J1446" s="4"/>
      <c r="K1446" s="4"/>
      <c r="L1446" s="4"/>
      <c r="M1446" s="4"/>
    </row>
    <row r="1447" spans="1:13" s="34" customFormat="1">
      <c r="A1447" s="3"/>
      <c r="B1447" s="4"/>
      <c r="C1447" s="4"/>
      <c r="D1447" s="4"/>
      <c r="E1447" s="4"/>
      <c r="F1447" s="4"/>
      <c r="G1447" s="4"/>
      <c r="H1447" s="4"/>
      <c r="I1447" s="4"/>
      <c r="J1447" s="4"/>
      <c r="K1447" s="4"/>
      <c r="L1447" s="4"/>
      <c r="M1447" s="4"/>
    </row>
    <row r="1448" spans="1:13" s="34" customFormat="1">
      <c r="A1448" s="3"/>
      <c r="B1448" s="4"/>
      <c r="C1448" s="4"/>
      <c r="D1448" s="4"/>
      <c r="E1448" s="4"/>
      <c r="F1448" s="4"/>
      <c r="G1448" s="4"/>
      <c r="H1448" s="4"/>
      <c r="I1448" s="4"/>
      <c r="J1448" s="4"/>
      <c r="K1448" s="4"/>
      <c r="L1448" s="4"/>
      <c r="M1448" s="4"/>
    </row>
    <row r="1449" spans="1:13" s="34" customFormat="1">
      <c r="A1449" s="3"/>
      <c r="B1449" s="4"/>
      <c r="C1449" s="4"/>
      <c r="D1449" s="4"/>
      <c r="E1449" s="4"/>
      <c r="F1449" s="4"/>
      <c r="G1449" s="4"/>
      <c r="H1449" s="4"/>
      <c r="I1449" s="4"/>
      <c r="J1449" s="4"/>
      <c r="K1449" s="4"/>
      <c r="L1449" s="4"/>
      <c r="M1449" s="4"/>
    </row>
    <row r="1450" spans="1:13" s="34" customFormat="1">
      <c r="A1450" s="3"/>
      <c r="B1450" s="4"/>
      <c r="C1450" s="4"/>
      <c r="D1450" s="4"/>
      <c r="E1450" s="4"/>
      <c r="F1450" s="4"/>
      <c r="G1450" s="4"/>
      <c r="H1450" s="4"/>
      <c r="I1450" s="4"/>
      <c r="J1450" s="4"/>
      <c r="K1450" s="4"/>
      <c r="L1450" s="4"/>
      <c r="M1450" s="4"/>
    </row>
    <row r="1451" spans="1:13" s="34" customFormat="1">
      <c r="A1451" s="3"/>
      <c r="B1451" s="4"/>
      <c r="C1451" s="4"/>
      <c r="D1451" s="4"/>
      <c r="E1451" s="4"/>
      <c r="F1451" s="4"/>
      <c r="G1451" s="4"/>
      <c r="H1451" s="4"/>
      <c r="I1451" s="4"/>
      <c r="J1451" s="4"/>
      <c r="K1451" s="4"/>
      <c r="L1451" s="4"/>
      <c r="M1451" s="4"/>
    </row>
    <row r="1452" spans="1:13" s="34" customFormat="1">
      <c r="A1452" s="3"/>
      <c r="B1452" s="4"/>
      <c r="C1452" s="4"/>
      <c r="D1452" s="4"/>
      <c r="E1452" s="4"/>
      <c r="F1452" s="4"/>
      <c r="G1452" s="4"/>
      <c r="H1452" s="4"/>
      <c r="I1452" s="4"/>
      <c r="J1452" s="4"/>
      <c r="K1452" s="4"/>
      <c r="L1452" s="4"/>
      <c r="M1452" s="4"/>
    </row>
    <row r="1453" spans="1:13" s="34" customFormat="1">
      <c r="A1453" s="3"/>
      <c r="B1453" s="4"/>
      <c r="C1453" s="4"/>
      <c r="D1453" s="4"/>
      <c r="E1453" s="4"/>
      <c r="F1453" s="4"/>
      <c r="G1453" s="4"/>
      <c r="H1453" s="4"/>
      <c r="I1453" s="4"/>
      <c r="J1453" s="4"/>
      <c r="K1453" s="4"/>
      <c r="L1453" s="4"/>
      <c r="M1453" s="4"/>
    </row>
    <row r="1454" spans="1:13" s="34" customFormat="1">
      <c r="A1454" s="3"/>
      <c r="B1454" s="4"/>
      <c r="C1454" s="4"/>
      <c r="D1454" s="4"/>
      <c r="E1454" s="4"/>
      <c r="F1454" s="4"/>
      <c r="G1454" s="4"/>
      <c r="H1454" s="4"/>
      <c r="I1454" s="4"/>
      <c r="J1454" s="4"/>
      <c r="K1454" s="4"/>
      <c r="L1454" s="4"/>
      <c r="M1454" s="4"/>
    </row>
    <row r="1455" spans="1:13" s="34" customFormat="1">
      <c r="A1455" s="3"/>
      <c r="B1455" s="4"/>
      <c r="C1455" s="4"/>
      <c r="D1455" s="4"/>
      <c r="E1455" s="4"/>
      <c r="F1455" s="4"/>
      <c r="G1455" s="4"/>
      <c r="H1455" s="4"/>
      <c r="I1455" s="4"/>
      <c r="J1455" s="4"/>
      <c r="K1455" s="4"/>
      <c r="L1455" s="4"/>
      <c r="M1455" s="4"/>
    </row>
    <row r="1456" spans="1:13" s="34" customFormat="1">
      <c r="A1456" s="3"/>
      <c r="B1456" s="4"/>
      <c r="C1456" s="4"/>
      <c r="D1456" s="4"/>
      <c r="E1456" s="4"/>
      <c r="F1456" s="4"/>
      <c r="G1456" s="4"/>
      <c r="H1456" s="4"/>
      <c r="I1456" s="4"/>
      <c r="J1456" s="4"/>
      <c r="K1456" s="4"/>
      <c r="L1456" s="4"/>
      <c r="M1456" s="4"/>
    </row>
    <row r="1457" spans="1:13" s="34" customFormat="1">
      <c r="A1457" s="3"/>
      <c r="B1457" s="4"/>
      <c r="C1457" s="4"/>
      <c r="D1457" s="4"/>
      <c r="E1457" s="4"/>
      <c r="F1457" s="4"/>
      <c r="G1457" s="4"/>
      <c r="H1457" s="4"/>
      <c r="I1457" s="4"/>
      <c r="J1457" s="4"/>
      <c r="K1457" s="4"/>
      <c r="L1457" s="4"/>
      <c r="M1457" s="4"/>
    </row>
    <row r="1458" spans="1:13" s="34" customFormat="1">
      <c r="A1458" s="3"/>
      <c r="B1458" s="4"/>
      <c r="C1458" s="4"/>
      <c r="D1458" s="4"/>
      <c r="E1458" s="4"/>
      <c r="F1458" s="4"/>
      <c r="G1458" s="4"/>
      <c r="H1458" s="4"/>
      <c r="I1458" s="4"/>
      <c r="J1458" s="4"/>
      <c r="K1458" s="4"/>
      <c r="L1458" s="4"/>
      <c r="M1458" s="4"/>
    </row>
    <row r="1459" spans="1:13" s="34" customFormat="1">
      <c r="A1459" s="3"/>
      <c r="B1459" s="4"/>
      <c r="C1459" s="4"/>
      <c r="D1459" s="4"/>
      <c r="E1459" s="4"/>
      <c r="F1459" s="4"/>
      <c r="G1459" s="4"/>
      <c r="H1459" s="4"/>
      <c r="I1459" s="4"/>
      <c r="J1459" s="4"/>
      <c r="K1459" s="4"/>
      <c r="L1459" s="4"/>
      <c r="M1459" s="4"/>
    </row>
    <row r="1460" spans="1:13" s="34" customFormat="1">
      <c r="A1460" s="3"/>
      <c r="B1460" s="4"/>
      <c r="C1460" s="4"/>
      <c r="D1460" s="4"/>
      <c r="E1460" s="4"/>
      <c r="F1460" s="4"/>
      <c r="G1460" s="4"/>
      <c r="H1460" s="4"/>
      <c r="I1460" s="4"/>
      <c r="J1460" s="4"/>
      <c r="K1460" s="4"/>
      <c r="L1460" s="4"/>
      <c r="M1460" s="4"/>
    </row>
    <row r="1461" spans="1:13" s="34" customFormat="1">
      <c r="A1461" s="3"/>
      <c r="B1461" s="4"/>
      <c r="C1461" s="4"/>
      <c r="D1461" s="4"/>
      <c r="E1461" s="4"/>
      <c r="F1461" s="4"/>
      <c r="G1461" s="4"/>
      <c r="H1461" s="4"/>
      <c r="I1461" s="4"/>
      <c r="J1461" s="4"/>
      <c r="K1461" s="4"/>
      <c r="L1461" s="4"/>
      <c r="M1461" s="4"/>
    </row>
    <row r="1462" spans="1:13" s="34" customFormat="1">
      <c r="A1462" s="3"/>
      <c r="B1462" s="4"/>
      <c r="C1462" s="4"/>
      <c r="D1462" s="4"/>
      <c r="E1462" s="4"/>
      <c r="F1462" s="4"/>
      <c r="G1462" s="4"/>
      <c r="H1462" s="4"/>
      <c r="I1462" s="4"/>
      <c r="J1462" s="4"/>
      <c r="K1462" s="4"/>
      <c r="L1462" s="4"/>
      <c r="M1462" s="4"/>
    </row>
    <row r="1463" spans="1:13" s="34" customFormat="1">
      <c r="A1463" s="3"/>
      <c r="B1463" s="4"/>
      <c r="C1463" s="4"/>
      <c r="D1463" s="4"/>
      <c r="E1463" s="4"/>
      <c r="F1463" s="4"/>
      <c r="G1463" s="4"/>
      <c r="H1463" s="4"/>
      <c r="I1463" s="4"/>
      <c r="J1463" s="4"/>
      <c r="K1463" s="4"/>
      <c r="L1463" s="4"/>
      <c r="M1463" s="4"/>
    </row>
    <row r="1464" spans="1:13" s="34" customFormat="1">
      <c r="A1464" s="3"/>
      <c r="B1464" s="4"/>
      <c r="C1464" s="4"/>
      <c r="D1464" s="4"/>
      <c r="E1464" s="4"/>
      <c r="F1464" s="4"/>
      <c r="G1464" s="4"/>
      <c r="H1464" s="4"/>
      <c r="I1464" s="4"/>
      <c r="J1464" s="4"/>
      <c r="K1464" s="4"/>
      <c r="L1464" s="4"/>
      <c r="M1464" s="4"/>
    </row>
    <row r="1465" spans="1:13" s="34" customFormat="1">
      <c r="A1465" s="3"/>
      <c r="B1465" s="4"/>
      <c r="C1465" s="4"/>
      <c r="D1465" s="4"/>
      <c r="E1465" s="4"/>
      <c r="F1465" s="4"/>
      <c r="G1465" s="4"/>
      <c r="H1465" s="4"/>
      <c r="I1465" s="4"/>
      <c r="J1465" s="4"/>
      <c r="K1465" s="4"/>
      <c r="L1465" s="4"/>
      <c r="M1465" s="4"/>
    </row>
    <row r="1466" spans="1:13" s="34" customFormat="1">
      <c r="A1466" s="3"/>
      <c r="B1466" s="4"/>
      <c r="C1466" s="4"/>
      <c r="D1466" s="4"/>
      <c r="E1466" s="4"/>
      <c r="F1466" s="4"/>
      <c r="G1466" s="4"/>
      <c r="H1466" s="4"/>
      <c r="I1466" s="4"/>
      <c r="J1466" s="4"/>
      <c r="K1466" s="4"/>
      <c r="L1466" s="4"/>
      <c r="M1466" s="4"/>
    </row>
    <row r="1467" spans="1:13" s="34" customFormat="1">
      <c r="A1467" s="3"/>
      <c r="B1467" s="4"/>
      <c r="C1467" s="4"/>
      <c r="D1467" s="4"/>
      <c r="E1467" s="4"/>
      <c r="F1467" s="4"/>
      <c r="G1467" s="4"/>
      <c r="H1467" s="4"/>
      <c r="I1467" s="4"/>
      <c r="J1467" s="4"/>
      <c r="K1467" s="4"/>
      <c r="L1467" s="4"/>
      <c r="M1467" s="4"/>
    </row>
    <row r="1468" spans="1:13" s="34" customFormat="1">
      <c r="A1468" s="3"/>
      <c r="B1468" s="4"/>
      <c r="C1468" s="4"/>
      <c r="D1468" s="4"/>
      <c r="E1468" s="4"/>
      <c r="F1468" s="4"/>
      <c r="G1468" s="4"/>
      <c r="H1468" s="4"/>
      <c r="I1468" s="4"/>
      <c r="J1468" s="4"/>
      <c r="K1468" s="4"/>
      <c r="L1468" s="4"/>
      <c r="M1468" s="4"/>
    </row>
    <row r="1469" spans="1:13" s="34" customFormat="1">
      <c r="A1469" s="3"/>
      <c r="B1469" s="4"/>
      <c r="C1469" s="4"/>
      <c r="D1469" s="4"/>
      <c r="E1469" s="4"/>
      <c r="F1469" s="4"/>
      <c r="G1469" s="4"/>
      <c r="H1469" s="4"/>
      <c r="I1469" s="4"/>
      <c r="J1469" s="4"/>
      <c r="K1469" s="4"/>
      <c r="L1469" s="4"/>
      <c r="M1469" s="4"/>
    </row>
    <row r="1470" spans="1:13" s="34" customFormat="1">
      <c r="A1470" s="3"/>
      <c r="B1470" s="4"/>
      <c r="C1470" s="4"/>
      <c r="D1470" s="4"/>
      <c r="E1470" s="4"/>
      <c r="F1470" s="4"/>
      <c r="G1470" s="4"/>
      <c r="H1470" s="4"/>
      <c r="I1470" s="4"/>
      <c r="J1470" s="4"/>
      <c r="K1470" s="4"/>
      <c r="L1470" s="4"/>
      <c r="M1470" s="4"/>
    </row>
    <row r="1471" spans="1:13" s="34" customFormat="1">
      <c r="A1471" s="3"/>
      <c r="B1471" s="4"/>
      <c r="C1471" s="4"/>
      <c r="D1471" s="4"/>
      <c r="E1471" s="4"/>
      <c r="F1471" s="4"/>
      <c r="G1471" s="4"/>
      <c r="H1471" s="4"/>
      <c r="I1471" s="4"/>
      <c r="J1471" s="4"/>
      <c r="K1471" s="4"/>
      <c r="L1471" s="4"/>
      <c r="M1471" s="4"/>
    </row>
    <row r="1472" spans="1:13" s="34" customFormat="1">
      <c r="A1472" s="3"/>
      <c r="B1472" s="4"/>
      <c r="C1472" s="4"/>
      <c r="D1472" s="4"/>
      <c r="E1472" s="4"/>
      <c r="F1472" s="4"/>
      <c r="G1472" s="4"/>
      <c r="H1472" s="4"/>
      <c r="I1472" s="4"/>
      <c r="J1472" s="4"/>
      <c r="K1472" s="4"/>
      <c r="L1472" s="4"/>
      <c r="M1472" s="4"/>
    </row>
    <row r="1473" spans="1:13" s="34" customFormat="1">
      <c r="A1473" s="3"/>
      <c r="B1473" s="4"/>
      <c r="C1473" s="4"/>
      <c r="D1473" s="4"/>
      <c r="E1473" s="4"/>
      <c r="F1473" s="4"/>
      <c r="G1473" s="4"/>
      <c r="H1473" s="4"/>
      <c r="I1473" s="4"/>
      <c r="J1473" s="4"/>
      <c r="K1473" s="4"/>
      <c r="L1473" s="4"/>
      <c r="M1473" s="4"/>
    </row>
    <row r="1474" spans="1:13" s="34" customFormat="1">
      <c r="A1474" s="3"/>
      <c r="B1474" s="4"/>
      <c r="C1474" s="4"/>
      <c r="D1474" s="4"/>
      <c r="E1474" s="4"/>
      <c r="F1474" s="4"/>
      <c r="G1474" s="4"/>
      <c r="H1474" s="4"/>
      <c r="I1474" s="4"/>
      <c r="J1474" s="4"/>
      <c r="K1474" s="4"/>
      <c r="L1474" s="4"/>
      <c r="M1474" s="4"/>
    </row>
    <row r="1475" spans="1:13" s="34" customFormat="1">
      <c r="A1475" s="3"/>
      <c r="B1475" s="4"/>
      <c r="C1475" s="4"/>
      <c r="D1475" s="4"/>
      <c r="E1475" s="4"/>
      <c r="F1475" s="4"/>
      <c r="G1475" s="4"/>
      <c r="H1475" s="4"/>
      <c r="I1475" s="4"/>
      <c r="J1475" s="4"/>
      <c r="K1475" s="4"/>
      <c r="L1475" s="4"/>
      <c r="M1475" s="4"/>
    </row>
    <row r="1476" spans="1:13" s="34" customFormat="1">
      <c r="A1476" s="3"/>
      <c r="B1476" s="4"/>
      <c r="C1476" s="4"/>
      <c r="D1476" s="4"/>
      <c r="E1476" s="4"/>
      <c r="F1476" s="4"/>
      <c r="G1476" s="4"/>
      <c r="H1476" s="4"/>
      <c r="I1476" s="4"/>
      <c r="J1476" s="4"/>
      <c r="K1476" s="4"/>
      <c r="L1476" s="4"/>
      <c r="M1476" s="4"/>
    </row>
    <row r="1477" spans="1:13" s="34" customFormat="1">
      <c r="A1477" s="3"/>
      <c r="B1477" s="4"/>
      <c r="C1477" s="4"/>
      <c r="D1477" s="4"/>
      <c r="E1477" s="4"/>
      <c r="F1477" s="4"/>
      <c r="G1477" s="4"/>
      <c r="H1477" s="4"/>
      <c r="I1477" s="4"/>
      <c r="J1477" s="4"/>
      <c r="K1477" s="4"/>
      <c r="L1477" s="4"/>
      <c r="M1477" s="4"/>
    </row>
    <row r="1478" spans="1:13" s="34" customFormat="1">
      <c r="A1478" s="3"/>
      <c r="B1478" s="4"/>
      <c r="C1478" s="4"/>
      <c r="D1478" s="4"/>
      <c r="E1478" s="4"/>
      <c r="F1478" s="4"/>
      <c r="G1478" s="4"/>
      <c r="H1478" s="4"/>
      <c r="I1478" s="4"/>
      <c r="J1478" s="4"/>
      <c r="K1478" s="4"/>
      <c r="L1478" s="4"/>
      <c r="M1478" s="4"/>
    </row>
    <row r="1479" spans="1:13" s="34" customFormat="1">
      <c r="A1479" s="3"/>
      <c r="B1479" s="4"/>
      <c r="C1479" s="4"/>
      <c r="D1479" s="4"/>
      <c r="E1479" s="4"/>
      <c r="F1479" s="4"/>
      <c r="G1479" s="4"/>
      <c r="H1479" s="4"/>
      <c r="I1479" s="4"/>
      <c r="J1479" s="4"/>
      <c r="K1479" s="4"/>
      <c r="L1479" s="4"/>
      <c r="M1479" s="4"/>
    </row>
    <row r="1480" spans="1:13" s="34" customFormat="1">
      <c r="A1480" s="3"/>
      <c r="B1480" s="4"/>
      <c r="C1480" s="4"/>
      <c r="D1480" s="4"/>
      <c r="E1480" s="4"/>
      <c r="F1480" s="4"/>
      <c r="G1480" s="4"/>
      <c r="H1480" s="4"/>
      <c r="I1480" s="4"/>
      <c r="J1480" s="4"/>
      <c r="K1480" s="4"/>
      <c r="L1480" s="4"/>
      <c r="M1480" s="4"/>
    </row>
    <row r="1481" spans="1:13" s="34" customFormat="1">
      <c r="A1481" s="3"/>
      <c r="B1481" s="4"/>
      <c r="C1481" s="4"/>
      <c r="D1481" s="4"/>
      <c r="E1481" s="4"/>
      <c r="F1481" s="4"/>
      <c r="G1481" s="4"/>
      <c r="H1481" s="4"/>
      <c r="I1481" s="4"/>
      <c r="J1481" s="4"/>
      <c r="K1481" s="4"/>
      <c r="L1481" s="4"/>
      <c r="M1481" s="4"/>
    </row>
    <row r="1482" spans="1:13" s="34" customFormat="1">
      <c r="A1482" s="3"/>
      <c r="B1482" s="4"/>
      <c r="C1482" s="4"/>
      <c r="D1482" s="4"/>
      <c r="E1482" s="4"/>
      <c r="F1482" s="4"/>
      <c r="G1482" s="4"/>
      <c r="H1482" s="4"/>
      <c r="I1482" s="4"/>
      <c r="J1482" s="4"/>
      <c r="K1482" s="4"/>
      <c r="L1482" s="4"/>
      <c r="M1482" s="4"/>
    </row>
    <row r="1483" spans="1:13" s="34" customFormat="1">
      <c r="A1483" s="3"/>
      <c r="B1483" s="4"/>
      <c r="C1483" s="4"/>
      <c r="D1483" s="4"/>
      <c r="E1483" s="4"/>
      <c r="F1483" s="4"/>
      <c r="G1483" s="4"/>
      <c r="H1483" s="4"/>
      <c r="I1483" s="4"/>
      <c r="J1483" s="4"/>
      <c r="K1483" s="4"/>
      <c r="L1483" s="4"/>
      <c r="M1483" s="4"/>
    </row>
    <row r="1484" spans="1:13" s="34" customFormat="1">
      <c r="A1484" s="3"/>
      <c r="B1484" s="4"/>
      <c r="C1484" s="4"/>
      <c r="D1484" s="4"/>
      <c r="E1484" s="4"/>
      <c r="F1484" s="4"/>
      <c r="G1484" s="4"/>
      <c r="H1484" s="4"/>
      <c r="I1484" s="4"/>
      <c r="J1484" s="4"/>
      <c r="K1484" s="4"/>
      <c r="L1484" s="4"/>
      <c r="M1484" s="4"/>
    </row>
    <row r="1485" spans="1:13" s="34" customFormat="1">
      <c r="A1485" s="3"/>
      <c r="B1485" s="4"/>
      <c r="C1485" s="4"/>
      <c r="D1485" s="4"/>
      <c r="E1485" s="4"/>
      <c r="F1485" s="4"/>
      <c r="G1485" s="4"/>
      <c r="H1485" s="4"/>
      <c r="I1485" s="4"/>
      <c r="J1485" s="4"/>
      <c r="K1485" s="4"/>
      <c r="L1485" s="4"/>
      <c r="M1485" s="4"/>
    </row>
    <row r="1486" spans="1:13" s="34" customFormat="1">
      <c r="A1486" s="3"/>
      <c r="B1486" s="4"/>
      <c r="C1486" s="4"/>
      <c r="D1486" s="4"/>
      <c r="E1486" s="4"/>
      <c r="F1486" s="4"/>
      <c r="G1486" s="4"/>
      <c r="H1486" s="4"/>
      <c r="I1486" s="4"/>
      <c r="J1486" s="4"/>
      <c r="K1486" s="4"/>
      <c r="L1486" s="4"/>
      <c r="M1486" s="4"/>
    </row>
    <row r="1487" spans="1:13" s="34" customFormat="1">
      <c r="A1487" s="3"/>
      <c r="B1487" s="4"/>
      <c r="C1487" s="4"/>
      <c r="D1487" s="4"/>
      <c r="E1487" s="4"/>
      <c r="F1487" s="4"/>
      <c r="G1487" s="4"/>
      <c r="H1487" s="4"/>
      <c r="I1487" s="4"/>
      <c r="J1487" s="4"/>
      <c r="K1487" s="4"/>
      <c r="L1487" s="4"/>
      <c r="M1487" s="4"/>
    </row>
    <row r="1488" spans="1:13" s="34" customFormat="1">
      <c r="A1488" s="3"/>
      <c r="B1488" s="4"/>
      <c r="C1488" s="4"/>
      <c r="D1488" s="4"/>
      <c r="E1488" s="4"/>
      <c r="F1488" s="4"/>
      <c r="G1488" s="4"/>
      <c r="H1488" s="4"/>
      <c r="I1488" s="4"/>
      <c r="J1488" s="4"/>
      <c r="K1488" s="4"/>
      <c r="L1488" s="4"/>
      <c r="M1488" s="4"/>
    </row>
    <row r="1489" spans="1:13" s="34" customFormat="1">
      <c r="A1489" s="3"/>
      <c r="B1489" s="4"/>
      <c r="C1489" s="4"/>
      <c r="D1489" s="4"/>
      <c r="E1489" s="4"/>
      <c r="F1489" s="4"/>
      <c r="G1489" s="4"/>
      <c r="H1489" s="4"/>
      <c r="I1489" s="4"/>
      <c r="J1489" s="4"/>
      <c r="K1489" s="4"/>
      <c r="L1489" s="4"/>
      <c r="M1489" s="4"/>
    </row>
    <row r="1490" spans="1:13" s="34" customFormat="1">
      <c r="A1490" s="3"/>
      <c r="B1490" s="4"/>
      <c r="C1490" s="4"/>
      <c r="D1490" s="4"/>
      <c r="E1490" s="4"/>
      <c r="F1490" s="4"/>
      <c r="G1490" s="4"/>
      <c r="H1490" s="4"/>
      <c r="I1490" s="4"/>
      <c r="J1490" s="4"/>
      <c r="K1490" s="4"/>
      <c r="L1490" s="4"/>
      <c r="M1490" s="4"/>
    </row>
    <row r="1491" spans="1:13" s="34" customFormat="1">
      <c r="A1491" s="3"/>
      <c r="B1491" s="4"/>
      <c r="C1491" s="4"/>
      <c r="D1491" s="4"/>
      <c r="E1491" s="4"/>
      <c r="F1491" s="4"/>
      <c r="G1491" s="4"/>
      <c r="H1491" s="4"/>
      <c r="I1491" s="4"/>
      <c r="J1491" s="4"/>
      <c r="K1491" s="4"/>
      <c r="L1491" s="4"/>
      <c r="M1491" s="4"/>
    </row>
    <row r="1492" spans="1:13" s="34" customFormat="1">
      <c r="A1492" s="3"/>
      <c r="B1492" s="4"/>
      <c r="C1492" s="4"/>
      <c r="D1492" s="4"/>
      <c r="E1492" s="4"/>
      <c r="F1492" s="4"/>
      <c r="G1492" s="4"/>
      <c r="H1492" s="4"/>
      <c r="I1492" s="4"/>
      <c r="J1492" s="4"/>
      <c r="K1492" s="4"/>
      <c r="L1492" s="4"/>
      <c r="M1492" s="4"/>
    </row>
    <row r="1493" spans="1:13" s="34" customFormat="1">
      <c r="A1493" s="3"/>
      <c r="B1493" s="4"/>
      <c r="C1493" s="4"/>
      <c r="D1493" s="4"/>
      <c r="E1493" s="4"/>
      <c r="F1493" s="4"/>
      <c r="G1493" s="4"/>
      <c r="H1493" s="4"/>
      <c r="I1493" s="4"/>
      <c r="J1493" s="4"/>
      <c r="K1493" s="4"/>
      <c r="L1493" s="4"/>
      <c r="M1493" s="4"/>
    </row>
    <row r="1494" spans="1:13" s="34" customFormat="1">
      <c r="A1494" s="3"/>
      <c r="B1494" s="4"/>
      <c r="C1494" s="4"/>
      <c r="D1494" s="4"/>
      <c r="E1494" s="4"/>
      <c r="F1494" s="4"/>
      <c r="G1494" s="4"/>
      <c r="H1494" s="4"/>
      <c r="I1494" s="4"/>
      <c r="J1494" s="4"/>
      <c r="K1494" s="4"/>
      <c r="L1494" s="4"/>
      <c r="M1494" s="4"/>
    </row>
    <row r="1495" spans="1:13" s="34" customFormat="1">
      <c r="A1495" s="3"/>
      <c r="B1495" s="4"/>
      <c r="C1495" s="4"/>
      <c r="D1495" s="4"/>
      <c r="E1495" s="4"/>
      <c r="F1495" s="4"/>
      <c r="G1495" s="4"/>
      <c r="H1495" s="4"/>
      <c r="I1495" s="4"/>
      <c r="J1495" s="4"/>
      <c r="K1495" s="4"/>
      <c r="L1495" s="4"/>
      <c r="M1495" s="4"/>
    </row>
    <row r="1496" spans="1:13" s="34" customFormat="1">
      <c r="A1496" s="3"/>
      <c r="B1496" s="4"/>
      <c r="C1496" s="4"/>
      <c r="D1496" s="4"/>
      <c r="E1496" s="4"/>
      <c r="F1496" s="4"/>
      <c r="G1496" s="4"/>
      <c r="H1496" s="4"/>
      <c r="I1496" s="4"/>
      <c r="J1496" s="4"/>
      <c r="K1496" s="4"/>
      <c r="L1496" s="4"/>
      <c r="M1496" s="4"/>
    </row>
    <row r="1497" spans="1:13" s="34" customFormat="1">
      <c r="A1497" s="3"/>
      <c r="B1497" s="4"/>
      <c r="C1497" s="4"/>
      <c r="D1497" s="4"/>
      <c r="E1497" s="4"/>
      <c r="F1497" s="4"/>
      <c r="G1497" s="4"/>
      <c r="H1497" s="4"/>
      <c r="I1497" s="4"/>
      <c r="J1497" s="4"/>
      <c r="K1497" s="4"/>
      <c r="L1497" s="4"/>
      <c r="M1497" s="4"/>
    </row>
    <row r="1498" spans="1:13" s="34" customFormat="1">
      <c r="A1498" s="3"/>
      <c r="B1498" s="4"/>
      <c r="C1498" s="4"/>
      <c r="D1498" s="4"/>
      <c r="E1498" s="4"/>
      <c r="F1498" s="4"/>
      <c r="G1498" s="4"/>
      <c r="H1498" s="4"/>
      <c r="I1498" s="4"/>
      <c r="J1498" s="4"/>
      <c r="K1498" s="4"/>
      <c r="L1498" s="4"/>
      <c r="M1498" s="4"/>
    </row>
    <row r="1499" spans="1:13" s="34" customFormat="1">
      <c r="A1499" s="3"/>
      <c r="B1499" s="4"/>
      <c r="C1499" s="4"/>
      <c r="D1499" s="4"/>
      <c r="E1499" s="4"/>
      <c r="F1499" s="4"/>
      <c r="G1499" s="4"/>
      <c r="H1499" s="4"/>
      <c r="I1499" s="4"/>
      <c r="J1499" s="4"/>
      <c r="K1499" s="4"/>
      <c r="L1499" s="4"/>
      <c r="M1499" s="4"/>
    </row>
    <row r="1500" spans="1:13" s="34" customFormat="1">
      <c r="A1500" s="3"/>
      <c r="B1500" s="4"/>
      <c r="C1500" s="4"/>
      <c r="D1500" s="4"/>
      <c r="E1500" s="4"/>
      <c r="F1500" s="4"/>
      <c r="G1500" s="4"/>
      <c r="H1500" s="4"/>
      <c r="I1500" s="4"/>
      <c r="J1500" s="4"/>
      <c r="K1500" s="4"/>
      <c r="L1500" s="4"/>
      <c r="M1500" s="4"/>
    </row>
    <row r="1501" spans="1:13" s="34" customFormat="1">
      <c r="A1501" s="3"/>
      <c r="B1501" s="4"/>
      <c r="C1501" s="4"/>
      <c r="D1501" s="4"/>
      <c r="E1501" s="4"/>
      <c r="F1501" s="4"/>
      <c r="G1501" s="4"/>
      <c r="H1501" s="4"/>
      <c r="I1501" s="4"/>
      <c r="J1501" s="4"/>
      <c r="K1501" s="4"/>
      <c r="L1501" s="4"/>
      <c r="M1501" s="4"/>
    </row>
    <row r="1502" spans="1:13" s="34" customFormat="1">
      <c r="A1502" s="3"/>
      <c r="B1502" s="4"/>
      <c r="C1502" s="4"/>
      <c r="D1502" s="4"/>
      <c r="E1502" s="4"/>
      <c r="F1502" s="4"/>
      <c r="G1502" s="4"/>
      <c r="H1502" s="4"/>
      <c r="I1502" s="4"/>
      <c r="J1502" s="4"/>
      <c r="K1502" s="4"/>
      <c r="L1502" s="4"/>
      <c r="M1502" s="4"/>
    </row>
    <row r="1503" spans="1:13" s="34" customFormat="1">
      <c r="A1503" s="3"/>
      <c r="B1503" s="4"/>
      <c r="C1503" s="4"/>
      <c r="D1503" s="4"/>
      <c r="E1503" s="4"/>
      <c r="F1503" s="4"/>
      <c r="G1503" s="4"/>
      <c r="H1503" s="4"/>
      <c r="I1503" s="4"/>
      <c r="J1503" s="4"/>
      <c r="K1503" s="4"/>
      <c r="L1503" s="4"/>
      <c r="M1503" s="4"/>
    </row>
    <row r="1504" spans="1:13" s="34" customFormat="1">
      <c r="A1504" s="3"/>
      <c r="B1504" s="4"/>
      <c r="C1504" s="4"/>
      <c r="D1504" s="4"/>
      <c r="E1504" s="4"/>
      <c r="F1504" s="4"/>
      <c r="G1504" s="4"/>
      <c r="H1504" s="4"/>
      <c r="I1504" s="4"/>
      <c r="J1504" s="4"/>
      <c r="K1504" s="4"/>
      <c r="L1504" s="4"/>
      <c r="M1504" s="4"/>
    </row>
    <row r="1505" spans="1:13" s="34" customFormat="1">
      <c r="A1505" s="3"/>
      <c r="B1505" s="4"/>
      <c r="C1505" s="4"/>
      <c r="D1505" s="4"/>
      <c r="E1505" s="4"/>
      <c r="F1505" s="4"/>
      <c r="G1505" s="4"/>
      <c r="H1505" s="4"/>
      <c r="I1505" s="4"/>
      <c r="J1505" s="4"/>
      <c r="K1505" s="4"/>
      <c r="L1505" s="4"/>
      <c r="M1505" s="4"/>
    </row>
    <row r="1506" spans="1:13" s="34" customFormat="1">
      <c r="A1506" s="3"/>
      <c r="B1506" s="4"/>
      <c r="C1506" s="4"/>
      <c r="D1506" s="4"/>
      <c r="E1506" s="4"/>
      <c r="F1506" s="4"/>
      <c r="G1506" s="4"/>
      <c r="H1506" s="4"/>
      <c r="I1506" s="4"/>
      <c r="J1506" s="4"/>
      <c r="K1506" s="4"/>
      <c r="L1506" s="4"/>
      <c r="M1506" s="4"/>
    </row>
    <row r="1507" spans="1:13" s="34" customFormat="1">
      <c r="A1507" s="3"/>
      <c r="B1507" s="4"/>
      <c r="C1507" s="4"/>
      <c r="D1507" s="4"/>
      <c r="E1507" s="4"/>
      <c r="F1507" s="4"/>
      <c r="G1507" s="4"/>
      <c r="H1507" s="4"/>
      <c r="I1507" s="4"/>
      <c r="J1507" s="4"/>
      <c r="K1507" s="4"/>
      <c r="L1507" s="4"/>
      <c r="M1507" s="4"/>
    </row>
    <row r="1508" spans="1:13" s="34" customFormat="1">
      <c r="A1508" s="3"/>
      <c r="B1508" s="4"/>
      <c r="C1508" s="4"/>
      <c r="D1508" s="4"/>
      <c r="E1508" s="4"/>
      <c r="F1508" s="4"/>
      <c r="G1508" s="4"/>
      <c r="H1508" s="4"/>
      <c r="I1508" s="4"/>
      <c r="J1508" s="4"/>
      <c r="K1508" s="4"/>
      <c r="L1508" s="4"/>
      <c r="M1508" s="4"/>
    </row>
    <row r="1509" spans="1:13" s="34" customFormat="1">
      <c r="A1509" s="3"/>
      <c r="B1509" s="4"/>
      <c r="C1509" s="4"/>
      <c r="D1509" s="4"/>
      <c r="E1509" s="4"/>
      <c r="F1509" s="4"/>
      <c r="G1509" s="4"/>
      <c r="H1509" s="4"/>
      <c r="I1509" s="4"/>
      <c r="J1509" s="4"/>
      <c r="K1509" s="4"/>
      <c r="L1509" s="4"/>
      <c r="M1509" s="4"/>
    </row>
    <row r="1510" spans="1:13" s="34" customFormat="1">
      <c r="A1510" s="3"/>
      <c r="B1510" s="4"/>
      <c r="C1510" s="4"/>
      <c r="D1510" s="4"/>
      <c r="E1510" s="4"/>
      <c r="F1510" s="4"/>
      <c r="G1510" s="4"/>
      <c r="H1510" s="4"/>
      <c r="I1510" s="4"/>
      <c r="J1510" s="4"/>
      <c r="K1510" s="4"/>
      <c r="L1510" s="4"/>
      <c r="M1510" s="4"/>
    </row>
    <row r="1511" spans="1:13" s="34" customFormat="1">
      <c r="A1511" s="3"/>
      <c r="B1511" s="4"/>
      <c r="C1511" s="4"/>
      <c r="D1511" s="4"/>
      <c r="E1511" s="4"/>
      <c r="F1511" s="4"/>
      <c r="G1511" s="4"/>
      <c r="H1511" s="4"/>
      <c r="I1511" s="4"/>
      <c r="J1511" s="4"/>
      <c r="K1511" s="4"/>
      <c r="L1511" s="4"/>
      <c r="M1511" s="4"/>
    </row>
    <row r="1512" spans="1:13" s="34" customFormat="1">
      <c r="A1512" s="3"/>
      <c r="B1512" s="4"/>
      <c r="C1512" s="4"/>
      <c r="D1512" s="4"/>
      <c r="E1512" s="4"/>
      <c r="F1512" s="4"/>
      <c r="G1512" s="4"/>
      <c r="H1512" s="4"/>
      <c r="I1512" s="4"/>
      <c r="J1512" s="4"/>
      <c r="K1512" s="4"/>
      <c r="L1512" s="4"/>
      <c r="M1512" s="4"/>
    </row>
    <row r="1513" spans="1:13" s="34" customFormat="1">
      <c r="A1513" s="3"/>
      <c r="B1513" s="4"/>
      <c r="C1513" s="4"/>
      <c r="D1513" s="4"/>
      <c r="E1513" s="4"/>
      <c r="F1513" s="4"/>
      <c r="G1513" s="4"/>
      <c r="H1513" s="4"/>
      <c r="I1513" s="4"/>
      <c r="J1513" s="4"/>
      <c r="K1513" s="4"/>
      <c r="L1513" s="4"/>
      <c r="M1513" s="4"/>
    </row>
    <row r="1514" spans="1:13" s="34" customFormat="1">
      <c r="A1514" s="3"/>
      <c r="B1514" s="4"/>
      <c r="C1514" s="4"/>
      <c r="D1514" s="4"/>
      <c r="E1514" s="4"/>
      <c r="F1514" s="4"/>
      <c r="G1514" s="4"/>
      <c r="H1514" s="4"/>
      <c r="I1514" s="4"/>
      <c r="J1514" s="4"/>
      <c r="K1514" s="4"/>
      <c r="L1514" s="4"/>
      <c r="M1514" s="4"/>
    </row>
    <row r="1515" spans="1:13" s="34" customFormat="1">
      <c r="A1515" s="3"/>
      <c r="B1515" s="4"/>
      <c r="C1515" s="4"/>
      <c r="D1515" s="4"/>
      <c r="E1515" s="4"/>
      <c r="F1515" s="4"/>
      <c r="G1515" s="4"/>
      <c r="H1515" s="4"/>
      <c r="I1515" s="4"/>
      <c r="J1515" s="4"/>
      <c r="K1515" s="4"/>
      <c r="L1515" s="4"/>
      <c r="M1515" s="4"/>
    </row>
    <row r="1516" spans="1:13" s="34" customFormat="1">
      <c r="A1516" s="3"/>
      <c r="B1516" s="4"/>
      <c r="C1516" s="4"/>
      <c r="D1516" s="4"/>
      <c r="E1516" s="4"/>
      <c r="F1516" s="4"/>
      <c r="G1516" s="4"/>
      <c r="H1516" s="4"/>
      <c r="I1516" s="4"/>
      <c r="J1516" s="4"/>
      <c r="K1516" s="4"/>
      <c r="L1516" s="4"/>
      <c r="M1516" s="4"/>
    </row>
    <row r="1517" spans="1:13" s="34" customFormat="1">
      <c r="A1517" s="3"/>
      <c r="B1517" s="4"/>
      <c r="C1517" s="4"/>
      <c r="D1517" s="4"/>
      <c r="E1517" s="4"/>
      <c r="F1517" s="4"/>
      <c r="G1517" s="4"/>
      <c r="H1517" s="4"/>
      <c r="I1517" s="4"/>
      <c r="J1517" s="4"/>
      <c r="K1517" s="4"/>
      <c r="L1517" s="4"/>
      <c r="M1517" s="4"/>
    </row>
    <row r="1518" spans="1:13" s="34" customFormat="1">
      <c r="A1518" s="3"/>
      <c r="B1518" s="4"/>
      <c r="C1518" s="4"/>
      <c r="D1518" s="4"/>
      <c r="E1518" s="4"/>
      <c r="F1518" s="4"/>
      <c r="G1518" s="4"/>
      <c r="H1518" s="4"/>
      <c r="I1518" s="4"/>
      <c r="J1518" s="4"/>
      <c r="K1518" s="4"/>
      <c r="L1518" s="4"/>
      <c r="M1518" s="4"/>
    </row>
    <row r="1519" spans="1:13" s="34" customFormat="1">
      <c r="A1519" s="3"/>
      <c r="B1519" s="4"/>
      <c r="C1519" s="4"/>
      <c r="D1519" s="4"/>
      <c r="E1519" s="4"/>
      <c r="F1519" s="4"/>
      <c r="G1519" s="4"/>
      <c r="H1519" s="4"/>
      <c r="I1519" s="4"/>
      <c r="J1519" s="4"/>
      <c r="K1519" s="4"/>
      <c r="L1519" s="4"/>
      <c r="M1519" s="4"/>
    </row>
    <row r="1520" spans="1:13" s="34" customFormat="1">
      <c r="A1520" s="3"/>
      <c r="B1520" s="4"/>
      <c r="C1520" s="4"/>
      <c r="D1520" s="4"/>
      <c r="E1520" s="4"/>
      <c r="F1520" s="4"/>
      <c r="G1520" s="4"/>
      <c r="H1520" s="4"/>
      <c r="I1520" s="4"/>
      <c r="J1520" s="4"/>
      <c r="K1520" s="4"/>
      <c r="L1520" s="4"/>
      <c r="M1520" s="4"/>
    </row>
    <row r="1521" spans="1:13" s="34" customFormat="1">
      <c r="A1521" s="3"/>
      <c r="B1521" s="4"/>
      <c r="C1521" s="4"/>
      <c r="D1521" s="4"/>
      <c r="E1521" s="4"/>
      <c r="F1521" s="4"/>
      <c r="G1521" s="4"/>
      <c r="H1521" s="4"/>
      <c r="I1521" s="4"/>
      <c r="J1521" s="4"/>
      <c r="K1521" s="4"/>
      <c r="L1521" s="4"/>
      <c r="M1521" s="4"/>
    </row>
    <row r="1522" spans="1:13" s="34" customFormat="1">
      <c r="A1522" s="3"/>
      <c r="B1522" s="4"/>
      <c r="C1522" s="4"/>
      <c r="D1522" s="4"/>
      <c r="E1522" s="4"/>
      <c r="F1522" s="4"/>
      <c r="G1522" s="4"/>
      <c r="H1522" s="4"/>
      <c r="I1522" s="4"/>
      <c r="J1522" s="4"/>
      <c r="K1522" s="4"/>
      <c r="L1522" s="4"/>
      <c r="M1522" s="4"/>
    </row>
    <row r="1523" spans="1:13" s="34" customFormat="1">
      <c r="A1523" s="3"/>
      <c r="B1523" s="4"/>
      <c r="C1523" s="4"/>
      <c r="D1523" s="4"/>
      <c r="E1523" s="4"/>
      <c r="F1523" s="4"/>
      <c r="G1523" s="4"/>
      <c r="H1523" s="4"/>
      <c r="I1523" s="4"/>
      <c r="J1523" s="4"/>
      <c r="K1523" s="4"/>
      <c r="L1523" s="4"/>
      <c r="M1523" s="4"/>
    </row>
    <row r="1524" spans="1:13" s="34" customFormat="1">
      <c r="A1524" s="3"/>
      <c r="B1524" s="4"/>
      <c r="C1524" s="4"/>
      <c r="D1524" s="4"/>
      <c r="E1524" s="4"/>
      <c r="F1524" s="4"/>
      <c r="G1524" s="4"/>
      <c r="H1524" s="4"/>
      <c r="I1524" s="4"/>
      <c r="J1524" s="4"/>
      <c r="K1524" s="4"/>
      <c r="L1524" s="4"/>
      <c r="M1524" s="4"/>
    </row>
    <row r="1525" spans="1:13" s="34" customFormat="1">
      <c r="A1525" s="3"/>
      <c r="B1525" s="4"/>
      <c r="C1525" s="4"/>
      <c r="D1525" s="4"/>
      <c r="E1525" s="4"/>
      <c r="F1525" s="4"/>
      <c r="G1525" s="4"/>
      <c r="H1525" s="4"/>
      <c r="I1525" s="4"/>
      <c r="J1525" s="4"/>
      <c r="K1525" s="4"/>
      <c r="L1525" s="4"/>
      <c r="M1525" s="4"/>
    </row>
    <row r="1526" spans="1:13" s="34" customFormat="1">
      <c r="A1526" s="3"/>
      <c r="B1526" s="4"/>
      <c r="C1526" s="4"/>
      <c r="D1526" s="4"/>
      <c r="E1526" s="4"/>
      <c r="F1526" s="4"/>
      <c r="G1526" s="4"/>
      <c r="H1526" s="4"/>
      <c r="I1526" s="4"/>
      <c r="J1526" s="4"/>
      <c r="K1526" s="4"/>
      <c r="L1526" s="4"/>
      <c r="M1526" s="4"/>
    </row>
    <row r="1527" spans="1:13" s="34" customFormat="1">
      <c r="A1527" s="3"/>
      <c r="B1527" s="4"/>
      <c r="C1527" s="4"/>
      <c r="D1527" s="4"/>
      <c r="E1527" s="4"/>
      <c r="F1527" s="4"/>
      <c r="G1527" s="4"/>
      <c r="H1527" s="4"/>
      <c r="I1527" s="4"/>
      <c r="J1527" s="4"/>
      <c r="K1527" s="4"/>
      <c r="L1527" s="4"/>
      <c r="M1527" s="4"/>
    </row>
    <row r="1528" spans="1:13" s="34" customFormat="1">
      <c r="A1528" s="3"/>
      <c r="B1528" s="4"/>
      <c r="C1528" s="4"/>
      <c r="D1528" s="4"/>
      <c r="E1528" s="4"/>
      <c r="F1528" s="4"/>
      <c r="G1528" s="4"/>
      <c r="H1528" s="4"/>
      <c r="I1528" s="4"/>
      <c r="J1528" s="4"/>
      <c r="K1528" s="4"/>
      <c r="L1528" s="4"/>
      <c r="M1528" s="4"/>
    </row>
    <row r="1529" spans="1:13" s="34" customFormat="1">
      <c r="A1529" s="3"/>
      <c r="B1529" s="4"/>
      <c r="C1529" s="4"/>
      <c r="D1529" s="4"/>
      <c r="E1529" s="4"/>
      <c r="F1529" s="4"/>
      <c r="G1529" s="4"/>
      <c r="H1529" s="4"/>
      <c r="I1529" s="4"/>
      <c r="J1529" s="4"/>
      <c r="K1529" s="4"/>
      <c r="L1529" s="4"/>
      <c r="M1529" s="4"/>
    </row>
    <row r="1530" spans="1:13" s="34" customFormat="1">
      <c r="A1530" s="3"/>
      <c r="B1530" s="4"/>
      <c r="C1530" s="4"/>
      <c r="D1530" s="4"/>
      <c r="E1530" s="4"/>
      <c r="F1530" s="4"/>
      <c r="G1530" s="4"/>
      <c r="H1530" s="4"/>
      <c r="I1530" s="4"/>
      <c r="J1530" s="4"/>
      <c r="K1530" s="4"/>
      <c r="L1530" s="4"/>
      <c r="M1530" s="4"/>
    </row>
    <row r="1531" spans="1:13" s="34" customFormat="1">
      <c r="A1531" s="3"/>
      <c r="B1531" s="4"/>
      <c r="C1531" s="4"/>
      <c r="D1531" s="4"/>
      <c r="E1531" s="4"/>
      <c r="F1531" s="4"/>
      <c r="G1531" s="4"/>
      <c r="H1531" s="4"/>
      <c r="I1531" s="4"/>
      <c r="J1531" s="4"/>
      <c r="K1531" s="4"/>
      <c r="L1531" s="4"/>
      <c r="M1531" s="4"/>
    </row>
    <row r="1532" spans="1:13" s="34" customFormat="1">
      <c r="A1532" s="3"/>
      <c r="B1532" s="4"/>
      <c r="C1532" s="4"/>
      <c r="D1532" s="4"/>
      <c r="E1532" s="4"/>
      <c r="F1532" s="4"/>
      <c r="G1532" s="4"/>
      <c r="H1532" s="4"/>
      <c r="I1532" s="4"/>
      <c r="J1532" s="4"/>
      <c r="K1532" s="4"/>
      <c r="L1532" s="4"/>
      <c r="M1532" s="4"/>
    </row>
    <row r="1533" spans="1:13" s="34" customFormat="1">
      <c r="A1533" s="3"/>
      <c r="B1533" s="4"/>
      <c r="C1533" s="4"/>
      <c r="D1533" s="4"/>
      <c r="E1533" s="4"/>
      <c r="F1533" s="4"/>
      <c r="G1533" s="4"/>
      <c r="H1533" s="4"/>
      <c r="I1533" s="4"/>
      <c r="J1533" s="4"/>
      <c r="K1533" s="4"/>
      <c r="L1533" s="4"/>
      <c r="M1533" s="4"/>
    </row>
    <row r="1534" spans="1:13" s="34" customFormat="1">
      <c r="A1534" s="3"/>
      <c r="B1534" s="4"/>
      <c r="C1534" s="4"/>
      <c r="D1534" s="4"/>
      <c r="E1534" s="4"/>
      <c r="F1534" s="4"/>
      <c r="G1534" s="4"/>
      <c r="H1534" s="4"/>
      <c r="I1534" s="4"/>
      <c r="J1534" s="4"/>
      <c r="K1534" s="4"/>
      <c r="L1534" s="4"/>
      <c r="M1534" s="4"/>
    </row>
    <row r="1535" spans="1:13" s="34" customFormat="1">
      <c r="A1535" s="3"/>
      <c r="B1535" s="4"/>
      <c r="C1535" s="4"/>
      <c r="D1535" s="4"/>
      <c r="E1535" s="4"/>
      <c r="F1535" s="4"/>
      <c r="G1535" s="4"/>
      <c r="H1535" s="4"/>
      <c r="I1535" s="4"/>
      <c r="J1535" s="4"/>
      <c r="K1535" s="4"/>
      <c r="L1535" s="4"/>
      <c r="M1535" s="4"/>
    </row>
    <row r="1536" spans="1:13" s="34" customFormat="1">
      <c r="A1536" s="3"/>
      <c r="B1536" s="4"/>
      <c r="C1536" s="4"/>
      <c r="D1536" s="4"/>
      <c r="E1536" s="4"/>
      <c r="F1536" s="4"/>
      <c r="G1536" s="4"/>
      <c r="H1536" s="4"/>
      <c r="I1536" s="4"/>
      <c r="J1536" s="4"/>
      <c r="K1536" s="4"/>
      <c r="L1536" s="4"/>
      <c r="M1536" s="4"/>
    </row>
    <row r="1537" spans="1:13" s="34" customFormat="1">
      <c r="A1537" s="3"/>
      <c r="B1537" s="4"/>
      <c r="C1537" s="4"/>
      <c r="D1537" s="4"/>
      <c r="E1537" s="4"/>
      <c r="F1537" s="4"/>
      <c r="G1537" s="4"/>
      <c r="H1537" s="4"/>
      <c r="I1537" s="4"/>
      <c r="J1537" s="4"/>
      <c r="K1537" s="4"/>
      <c r="L1537" s="4"/>
      <c r="M1537" s="4"/>
    </row>
    <row r="1538" spans="1:13" s="34" customFormat="1">
      <c r="A1538" s="3"/>
      <c r="B1538" s="4"/>
      <c r="C1538" s="4"/>
      <c r="D1538" s="4"/>
      <c r="E1538" s="4"/>
      <c r="F1538" s="4"/>
      <c r="G1538" s="4"/>
      <c r="H1538" s="4"/>
      <c r="I1538" s="4"/>
      <c r="J1538" s="4"/>
      <c r="K1538" s="4"/>
      <c r="L1538" s="4"/>
      <c r="M1538" s="4"/>
    </row>
    <row r="1539" spans="1:13" s="34" customFormat="1">
      <c r="A1539" s="3"/>
      <c r="B1539" s="4"/>
      <c r="C1539" s="4"/>
      <c r="D1539" s="4"/>
      <c r="E1539" s="4"/>
      <c r="F1539" s="4"/>
      <c r="G1539" s="4"/>
      <c r="H1539" s="4"/>
      <c r="I1539" s="4"/>
      <c r="J1539" s="4"/>
      <c r="K1539" s="4"/>
      <c r="L1539" s="4"/>
      <c r="M1539" s="4"/>
    </row>
    <row r="1540" spans="1:13" s="34" customFormat="1">
      <c r="A1540" s="3"/>
      <c r="B1540" s="4"/>
      <c r="C1540" s="4"/>
      <c r="D1540" s="4"/>
      <c r="E1540" s="4"/>
      <c r="F1540" s="4"/>
      <c r="G1540" s="4"/>
      <c r="H1540" s="4"/>
      <c r="I1540" s="4"/>
      <c r="J1540" s="4"/>
      <c r="K1540" s="4"/>
      <c r="L1540" s="4"/>
      <c r="M1540" s="4"/>
    </row>
    <row r="1541" spans="1:13" s="34" customFormat="1">
      <c r="A1541" s="3"/>
      <c r="B1541" s="4"/>
      <c r="C1541" s="4"/>
      <c r="D1541" s="4"/>
      <c r="E1541" s="4"/>
      <c r="F1541" s="4"/>
      <c r="G1541" s="4"/>
      <c r="H1541" s="4"/>
      <c r="I1541" s="4"/>
      <c r="J1541" s="4"/>
      <c r="K1541" s="4"/>
      <c r="L1541" s="4"/>
      <c r="M1541" s="4"/>
    </row>
    <row r="1542" spans="1:13" s="34" customFormat="1">
      <c r="A1542" s="3"/>
      <c r="B1542" s="4"/>
      <c r="C1542" s="4"/>
      <c r="D1542" s="4"/>
      <c r="E1542" s="4"/>
      <c r="F1542" s="4"/>
      <c r="G1542" s="4"/>
      <c r="H1542" s="4"/>
      <c r="I1542" s="4"/>
      <c r="J1542" s="4"/>
      <c r="K1542" s="4"/>
      <c r="L1542" s="4"/>
      <c r="M1542" s="4"/>
    </row>
    <row r="1543" spans="1:13" s="34" customFormat="1">
      <c r="A1543" s="3"/>
      <c r="B1543" s="4"/>
      <c r="C1543" s="4"/>
      <c r="D1543" s="4"/>
      <c r="E1543" s="4"/>
      <c r="F1543" s="4"/>
      <c r="G1543" s="4"/>
      <c r="H1543" s="4"/>
      <c r="I1543" s="4"/>
      <c r="J1543" s="4"/>
      <c r="K1543" s="4"/>
      <c r="L1543" s="4"/>
      <c r="M1543" s="4"/>
    </row>
    <row r="1544" spans="1:13" s="34" customFormat="1">
      <c r="A1544" s="3"/>
      <c r="B1544" s="4"/>
      <c r="C1544" s="4"/>
      <c r="D1544" s="4"/>
      <c r="E1544" s="4"/>
      <c r="F1544" s="4"/>
      <c r="G1544" s="4"/>
      <c r="H1544" s="4"/>
      <c r="I1544" s="4"/>
      <c r="J1544" s="4"/>
      <c r="K1544" s="4"/>
      <c r="L1544" s="4"/>
      <c r="M1544" s="4"/>
    </row>
    <row r="1545" spans="1:13" s="34" customFormat="1">
      <c r="A1545" s="3"/>
      <c r="B1545" s="4"/>
      <c r="C1545" s="4"/>
      <c r="D1545" s="4"/>
      <c r="E1545" s="4"/>
      <c r="F1545" s="4"/>
      <c r="G1545" s="4"/>
      <c r="H1545" s="4"/>
      <c r="I1545" s="4"/>
      <c r="J1545" s="4"/>
      <c r="K1545" s="4"/>
      <c r="L1545" s="4"/>
      <c r="M1545" s="4"/>
    </row>
    <row r="1546" spans="1:13" s="34" customFormat="1">
      <c r="A1546" s="3"/>
      <c r="B1546" s="4"/>
      <c r="C1546" s="4"/>
      <c r="D1546" s="4"/>
      <c r="E1546" s="4"/>
      <c r="F1546" s="4"/>
      <c r="G1546" s="4"/>
      <c r="H1546" s="4"/>
      <c r="I1546" s="4"/>
      <c r="J1546" s="4"/>
      <c r="K1546" s="4"/>
      <c r="L1546" s="4"/>
      <c r="M1546" s="4"/>
    </row>
    <row r="1547" spans="1:13" s="34" customFormat="1">
      <c r="A1547" s="3"/>
      <c r="B1547" s="4"/>
      <c r="C1547" s="4"/>
      <c r="D1547" s="4"/>
      <c r="E1547" s="4"/>
      <c r="F1547" s="4"/>
      <c r="G1547" s="4"/>
      <c r="H1547" s="4"/>
      <c r="I1547" s="4"/>
      <c r="J1547" s="4"/>
      <c r="K1547" s="4"/>
      <c r="L1547" s="4"/>
      <c r="M1547" s="4"/>
    </row>
    <row r="1548" spans="1:13" s="34" customFormat="1">
      <c r="A1548" s="3"/>
      <c r="B1548" s="4"/>
      <c r="C1548" s="4"/>
      <c r="D1548" s="4"/>
      <c r="E1548" s="4"/>
      <c r="F1548" s="4"/>
      <c r="G1548" s="4"/>
      <c r="H1548" s="4"/>
      <c r="I1548" s="4"/>
      <c r="J1548" s="4"/>
      <c r="K1548" s="4"/>
      <c r="L1548" s="4"/>
      <c r="M1548" s="4"/>
    </row>
    <row r="1549" spans="1:13" s="34" customFormat="1">
      <c r="A1549" s="3"/>
      <c r="B1549" s="4"/>
      <c r="C1549" s="4"/>
      <c r="D1549" s="4"/>
      <c r="E1549" s="4"/>
      <c r="F1549" s="4"/>
      <c r="G1549" s="4"/>
      <c r="H1549" s="4"/>
      <c r="I1549" s="4"/>
      <c r="J1549" s="4"/>
      <c r="K1549" s="4"/>
      <c r="L1549" s="4"/>
      <c r="M1549" s="4"/>
    </row>
    <row r="1550" spans="1:13" s="34" customFormat="1">
      <c r="A1550" s="3"/>
      <c r="B1550" s="4"/>
      <c r="C1550" s="4"/>
      <c r="D1550" s="4"/>
      <c r="E1550" s="4"/>
      <c r="F1550" s="4"/>
      <c r="G1550" s="4"/>
      <c r="H1550" s="4"/>
      <c r="I1550" s="4"/>
      <c r="J1550" s="4"/>
      <c r="K1550" s="4"/>
      <c r="L1550" s="4"/>
      <c r="M1550" s="4"/>
    </row>
    <row r="1551" spans="1:13" s="34" customFormat="1">
      <c r="A1551" s="3"/>
      <c r="B1551" s="4"/>
      <c r="C1551" s="4"/>
      <c r="D1551" s="4"/>
      <c r="E1551" s="4"/>
      <c r="F1551" s="4"/>
      <c r="G1551" s="4"/>
      <c r="H1551" s="4"/>
      <c r="I1551" s="4"/>
      <c r="J1551" s="4"/>
      <c r="K1551" s="4"/>
      <c r="L1551" s="4"/>
      <c r="M1551" s="4"/>
    </row>
    <row r="1552" spans="1:13" s="34" customFormat="1">
      <c r="A1552" s="3"/>
      <c r="B1552" s="4"/>
      <c r="C1552" s="4"/>
      <c r="D1552" s="4"/>
      <c r="E1552" s="4"/>
      <c r="F1552" s="4"/>
      <c r="G1552" s="4"/>
      <c r="H1552" s="4"/>
      <c r="I1552" s="4"/>
      <c r="J1552" s="4"/>
      <c r="K1552" s="4"/>
      <c r="L1552" s="4"/>
      <c r="M1552" s="4"/>
    </row>
    <row r="1553" spans="1:13" s="34" customFormat="1">
      <c r="A1553" s="3"/>
      <c r="B1553" s="4"/>
      <c r="C1553" s="4"/>
      <c r="D1553" s="4"/>
      <c r="E1553" s="4"/>
      <c r="F1553" s="4"/>
      <c r="G1553" s="4"/>
      <c r="H1553" s="4"/>
      <c r="I1553" s="4"/>
      <c r="J1553" s="4"/>
      <c r="K1553" s="4"/>
      <c r="L1553" s="4"/>
      <c r="M1553" s="4"/>
    </row>
    <row r="1554" spans="1:13" s="34" customFormat="1">
      <c r="A1554" s="3"/>
      <c r="B1554" s="4"/>
      <c r="C1554" s="4"/>
      <c r="D1554" s="4"/>
      <c r="E1554" s="4"/>
      <c r="F1554" s="4"/>
      <c r="G1554" s="4"/>
      <c r="H1554" s="4"/>
      <c r="I1554" s="4"/>
      <c r="J1554" s="4"/>
      <c r="K1554" s="4"/>
      <c r="L1554" s="4"/>
      <c r="M1554" s="4"/>
    </row>
    <row r="1555" spans="1:13" s="34" customFormat="1">
      <c r="A1555" s="3"/>
      <c r="B1555" s="4"/>
      <c r="C1555" s="4"/>
      <c r="D1555" s="4"/>
      <c r="E1555" s="4"/>
      <c r="F1555" s="4"/>
      <c r="G1555" s="4"/>
      <c r="H1555" s="4"/>
      <c r="I1555" s="4"/>
      <c r="J1555" s="4"/>
      <c r="K1555" s="4"/>
      <c r="L1555" s="4"/>
      <c r="M1555" s="4"/>
    </row>
    <row r="1556" spans="1:13" s="34" customFormat="1">
      <c r="A1556" s="3"/>
      <c r="B1556" s="4"/>
      <c r="C1556" s="4"/>
      <c r="D1556" s="4"/>
      <c r="E1556" s="4"/>
      <c r="F1556" s="4"/>
      <c r="G1556" s="4"/>
      <c r="H1556" s="4"/>
      <c r="I1556" s="4"/>
      <c r="J1556" s="4"/>
      <c r="K1556" s="4"/>
      <c r="L1556" s="4"/>
      <c r="M1556" s="4"/>
    </row>
    <row r="1557" spans="1:13" s="34" customFormat="1">
      <c r="A1557" s="3"/>
      <c r="B1557" s="4"/>
      <c r="C1557" s="4"/>
      <c r="D1557" s="4"/>
      <c r="E1557" s="4"/>
      <c r="F1557" s="4"/>
      <c r="G1557" s="4"/>
      <c r="H1557" s="4"/>
      <c r="I1557" s="4"/>
      <c r="J1557" s="4"/>
      <c r="K1557" s="4"/>
      <c r="L1557" s="4"/>
      <c r="M1557" s="4"/>
    </row>
    <row r="1558" spans="1:13" s="34" customFormat="1">
      <c r="A1558" s="3"/>
      <c r="B1558" s="4"/>
      <c r="C1558" s="4"/>
      <c r="D1558" s="4"/>
      <c r="E1558" s="4"/>
      <c r="F1558" s="4"/>
      <c r="G1558" s="4"/>
      <c r="H1558" s="4"/>
      <c r="I1558" s="4"/>
      <c r="J1558" s="4"/>
      <c r="K1558" s="4"/>
      <c r="L1558" s="4"/>
      <c r="M1558" s="4"/>
    </row>
    <row r="1559" spans="1:13" s="34" customFormat="1">
      <c r="A1559" s="3"/>
      <c r="B1559" s="4"/>
      <c r="C1559" s="4"/>
      <c r="D1559" s="4"/>
      <c r="E1559" s="4"/>
      <c r="F1559" s="4"/>
      <c r="G1559" s="4"/>
      <c r="H1559" s="4"/>
      <c r="I1559" s="4"/>
      <c r="J1559" s="4"/>
      <c r="K1559" s="4"/>
      <c r="L1559" s="4"/>
      <c r="M1559" s="4"/>
    </row>
    <row r="1560" spans="1:13" s="34" customFormat="1">
      <c r="A1560" s="3"/>
      <c r="B1560" s="4"/>
      <c r="C1560" s="4"/>
      <c r="D1560" s="4"/>
      <c r="E1560" s="4"/>
      <c r="F1560" s="4"/>
      <c r="G1560" s="4"/>
      <c r="H1560" s="4"/>
      <c r="I1560" s="4"/>
      <c r="J1560" s="4"/>
      <c r="K1560" s="4"/>
      <c r="L1560" s="4"/>
      <c r="M1560" s="4"/>
    </row>
    <row r="1561" spans="1:13" s="34" customFormat="1">
      <c r="A1561" s="3"/>
      <c r="B1561" s="4"/>
      <c r="C1561" s="4"/>
      <c r="D1561" s="4"/>
      <c r="E1561" s="4"/>
      <c r="F1561" s="4"/>
      <c r="G1561" s="4"/>
      <c r="H1561" s="4"/>
      <c r="I1561" s="4"/>
      <c r="J1561" s="4"/>
      <c r="K1561" s="4"/>
      <c r="L1561" s="4"/>
      <c r="M1561" s="4"/>
    </row>
    <row r="1562" spans="1:13" s="34" customFormat="1">
      <c r="A1562" s="3"/>
      <c r="B1562" s="4"/>
      <c r="C1562" s="4"/>
      <c r="D1562" s="4"/>
      <c r="E1562" s="4"/>
      <c r="F1562" s="4"/>
      <c r="G1562" s="4"/>
      <c r="H1562" s="4"/>
      <c r="I1562" s="4"/>
      <c r="J1562" s="4"/>
      <c r="K1562" s="4"/>
      <c r="L1562" s="4"/>
      <c r="M1562" s="4"/>
    </row>
    <row r="1563" spans="1:13" s="34" customFormat="1">
      <c r="A1563" s="3"/>
      <c r="B1563" s="4"/>
      <c r="C1563" s="4"/>
      <c r="D1563" s="4"/>
      <c r="E1563" s="4"/>
      <c r="F1563" s="4"/>
      <c r="G1563" s="4"/>
      <c r="H1563" s="4"/>
      <c r="I1563" s="4"/>
      <c r="J1563" s="4"/>
      <c r="K1563" s="4"/>
      <c r="L1563" s="4"/>
      <c r="M1563" s="4"/>
    </row>
    <row r="1564" spans="1:13" s="34" customFormat="1">
      <c r="A1564" s="3"/>
      <c r="B1564" s="4"/>
      <c r="C1564" s="4"/>
      <c r="D1564" s="4"/>
      <c r="E1564" s="4"/>
      <c r="F1564" s="4"/>
      <c r="G1564" s="4"/>
      <c r="H1564" s="4"/>
      <c r="I1564" s="4"/>
      <c r="J1564" s="4"/>
      <c r="K1564" s="4"/>
      <c r="L1564" s="4"/>
      <c r="M1564" s="4"/>
    </row>
    <row r="1565" spans="1:13" s="34" customFormat="1">
      <c r="A1565" s="3"/>
      <c r="B1565" s="4"/>
      <c r="C1565" s="4"/>
      <c r="D1565" s="4"/>
      <c r="E1565" s="4"/>
      <c r="F1565" s="4"/>
      <c r="G1565" s="4"/>
      <c r="H1565" s="4"/>
      <c r="I1565" s="4"/>
      <c r="J1565" s="4"/>
      <c r="K1565" s="4"/>
      <c r="L1565" s="4"/>
      <c r="M1565" s="4"/>
    </row>
    <row r="1566" spans="1:13" s="34" customFormat="1">
      <c r="A1566" s="3"/>
      <c r="B1566" s="4"/>
      <c r="C1566" s="4"/>
      <c r="D1566" s="4"/>
      <c r="E1566" s="4"/>
      <c r="F1566" s="4"/>
      <c r="G1566" s="4"/>
      <c r="H1566" s="4"/>
      <c r="I1566" s="4"/>
      <c r="J1566" s="4"/>
      <c r="K1566" s="4"/>
      <c r="L1566" s="4"/>
      <c r="M1566" s="4"/>
    </row>
    <row r="1567" spans="1:13" s="34" customFormat="1">
      <c r="A1567" s="3"/>
      <c r="B1567" s="4"/>
      <c r="C1567" s="4"/>
      <c r="D1567" s="4"/>
      <c r="E1567" s="4"/>
      <c r="F1567" s="4"/>
      <c r="G1567" s="4"/>
      <c r="H1567" s="4"/>
      <c r="I1567" s="4"/>
      <c r="J1567" s="4"/>
      <c r="K1567" s="4"/>
      <c r="L1567" s="4"/>
      <c r="M1567" s="4"/>
    </row>
    <row r="1568" spans="1:13" s="34" customFormat="1">
      <c r="A1568" s="3"/>
      <c r="B1568" s="4"/>
      <c r="C1568" s="4"/>
      <c r="D1568" s="4"/>
      <c r="E1568" s="4"/>
      <c r="F1568" s="4"/>
      <c r="G1568" s="4"/>
      <c r="H1568" s="4"/>
      <c r="I1568" s="4"/>
      <c r="J1568" s="4"/>
      <c r="K1568" s="4"/>
      <c r="L1568" s="4"/>
      <c r="M1568" s="4"/>
    </row>
    <row r="1569" spans="1:13" s="34" customFormat="1">
      <c r="A1569" s="3"/>
      <c r="B1569" s="4"/>
      <c r="C1569" s="4"/>
      <c r="D1569" s="4"/>
      <c r="E1569" s="4"/>
      <c r="F1569" s="4"/>
      <c r="G1569" s="4"/>
      <c r="H1569" s="4"/>
      <c r="I1569" s="4"/>
      <c r="J1569" s="4"/>
      <c r="K1569" s="4"/>
      <c r="L1569" s="4"/>
      <c r="M1569" s="4"/>
    </row>
    <row r="1570" spans="1:13" s="34" customFormat="1">
      <c r="A1570" s="3"/>
      <c r="B1570" s="4"/>
      <c r="C1570" s="4"/>
      <c r="D1570" s="4"/>
      <c r="E1570" s="4"/>
      <c r="F1570" s="4"/>
      <c r="G1570" s="4"/>
      <c r="H1570" s="4"/>
      <c r="I1570" s="4"/>
      <c r="J1570" s="4"/>
      <c r="K1570" s="4"/>
      <c r="L1570" s="4"/>
      <c r="M1570" s="4"/>
    </row>
    <row r="1571" spans="1:13" s="34" customFormat="1">
      <c r="A1571" s="3"/>
      <c r="B1571" s="4"/>
      <c r="C1571" s="4"/>
      <c r="D1571" s="4"/>
      <c r="E1571" s="4"/>
      <c r="F1571" s="4"/>
      <c r="G1571" s="4"/>
      <c r="H1571" s="4"/>
      <c r="I1571" s="4"/>
      <c r="J1571" s="4"/>
      <c r="K1571" s="4"/>
      <c r="L1571" s="4"/>
      <c r="M1571" s="4"/>
    </row>
    <row r="1572" spans="1:13" s="34" customFormat="1">
      <c r="A1572" s="3"/>
      <c r="B1572" s="4"/>
      <c r="C1572" s="4"/>
      <c r="D1572" s="4"/>
      <c r="E1572" s="4"/>
      <c r="F1572" s="4"/>
      <c r="G1572" s="4"/>
      <c r="H1572" s="4"/>
      <c r="I1572" s="4"/>
      <c r="J1572" s="4"/>
      <c r="K1572" s="4"/>
      <c r="L1572" s="4"/>
      <c r="M1572" s="4"/>
    </row>
    <row r="1573" spans="1:13" s="34" customFormat="1">
      <c r="A1573" s="3"/>
      <c r="B1573" s="4"/>
      <c r="C1573" s="4"/>
      <c r="D1573" s="4"/>
      <c r="E1573" s="4"/>
      <c r="F1573" s="4"/>
      <c r="G1573" s="4"/>
      <c r="H1573" s="4"/>
      <c r="I1573" s="4"/>
      <c r="J1573" s="4"/>
      <c r="K1573" s="4"/>
      <c r="L1573" s="4"/>
      <c r="M1573" s="4"/>
    </row>
    <row r="1574" spans="1:13" s="34" customFormat="1">
      <c r="A1574" s="3"/>
      <c r="B1574" s="4"/>
      <c r="C1574" s="4"/>
      <c r="D1574" s="4"/>
      <c r="E1574" s="4"/>
      <c r="F1574" s="4"/>
      <c r="G1574" s="4"/>
      <c r="H1574" s="4"/>
      <c r="I1574" s="4"/>
      <c r="J1574" s="4"/>
      <c r="K1574" s="4"/>
      <c r="L1574" s="4"/>
      <c r="M1574" s="4"/>
    </row>
    <row r="1575" spans="1:13" s="34" customFormat="1">
      <c r="A1575" s="3"/>
      <c r="B1575" s="4"/>
      <c r="C1575" s="4"/>
      <c r="D1575" s="4"/>
      <c r="E1575" s="4"/>
      <c r="F1575" s="4"/>
      <c r="G1575" s="4"/>
      <c r="H1575" s="4"/>
      <c r="I1575" s="4"/>
      <c r="J1575" s="4"/>
      <c r="K1575" s="4"/>
      <c r="L1575" s="4"/>
      <c r="M1575" s="4"/>
    </row>
    <row r="1576" spans="1:13" s="34" customFormat="1">
      <c r="A1576" s="3"/>
      <c r="B1576" s="4"/>
      <c r="C1576" s="4"/>
      <c r="D1576" s="4"/>
      <c r="E1576" s="4"/>
      <c r="F1576" s="4"/>
      <c r="G1576" s="4"/>
      <c r="H1576" s="4"/>
      <c r="I1576" s="4"/>
      <c r="J1576" s="4"/>
      <c r="K1576" s="4"/>
      <c r="L1576" s="4"/>
      <c r="M1576" s="4"/>
    </row>
    <row r="1577" spans="1:13" s="34" customFormat="1">
      <c r="A1577" s="3"/>
      <c r="B1577" s="4"/>
      <c r="C1577" s="4"/>
      <c r="D1577" s="4"/>
      <c r="E1577" s="4"/>
      <c r="F1577" s="4"/>
      <c r="G1577" s="4"/>
      <c r="H1577" s="4"/>
      <c r="I1577" s="4"/>
      <c r="J1577" s="4"/>
      <c r="K1577" s="4"/>
      <c r="L1577" s="4"/>
      <c r="M1577" s="4"/>
    </row>
    <row r="1578" spans="1:13" s="34" customFormat="1">
      <c r="A1578" s="3"/>
      <c r="B1578" s="4"/>
      <c r="C1578" s="4"/>
      <c r="D1578" s="4"/>
      <c r="E1578" s="4"/>
      <c r="F1578" s="4"/>
      <c r="G1578" s="4"/>
      <c r="H1578" s="4"/>
      <c r="I1578" s="4"/>
      <c r="J1578" s="4"/>
      <c r="K1578" s="4"/>
      <c r="L1578" s="4"/>
      <c r="M1578" s="4"/>
    </row>
    <row r="1579" spans="1:13" s="34" customFormat="1">
      <c r="A1579" s="3"/>
      <c r="B1579" s="4"/>
      <c r="C1579" s="4"/>
      <c r="D1579" s="4"/>
      <c r="E1579" s="4"/>
      <c r="F1579" s="4"/>
      <c r="G1579" s="4"/>
      <c r="H1579" s="4"/>
      <c r="I1579" s="4"/>
      <c r="J1579" s="4"/>
      <c r="K1579" s="4"/>
      <c r="L1579" s="4"/>
      <c r="M1579" s="4"/>
    </row>
    <row r="1580" spans="1:13" s="34" customFormat="1">
      <c r="A1580" s="3"/>
      <c r="B1580" s="4"/>
      <c r="C1580" s="4"/>
      <c r="D1580" s="4"/>
      <c r="E1580" s="4"/>
      <c r="F1580" s="4"/>
      <c r="G1580" s="4"/>
      <c r="H1580" s="4"/>
      <c r="I1580" s="4"/>
      <c r="J1580" s="4"/>
      <c r="K1580" s="4"/>
      <c r="L1580" s="4"/>
      <c r="M1580" s="4"/>
    </row>
    <row r="1581" spans="1:13" s="34" customFormat="1">
      <c r="A1581" s="3"/>
      <c r="B1581" s="4"/>
      <c r="C1581" s="4"/>
      <c r="D1581" s="4"/>
      <c r="E1581" s="4"/>
      <c r="F1581" s="4"/>
      <c r="G1581" s="4"/>
      <c r="H1581" s="4"/>
      <c r="I1581" s="4"/>
      <c r="J1581" s="4"/>
      <c r="K1581" s="4"/>
      <c r="L1581" s="4"/>
      <c r="M1581" s="4"/>
    </row>
    <row r="1582" spans="1:13" s="34" customFormat="1">
      <c r="A1582" s="3"/>
      <c r="B1582" s="4"/>
      <c r="C1582" s="4"/>
      <c r="D1582" s="4"/>
      <c r="E1582" s="4"/>
      <c r="F1582" s="4"/>
      <c r="G1582" s="4"/>
      <c r="H1582" s="4"/>
      <c r="I1582" s="4"/>
      <c r="J1582" s="4"/>
      <c r="K1582" s="4"/>
      <c r="L1582" s="4"/>
      <c r="M1582" s="4"/>
    </row>
    <row r="1583" spans="1:13" s="34" customFormat="1">
      <c r="A1583" s="3"/>
      <c r="B1583" s="4"/>
      <c r="C1583" s="4"/>
      <c r="D1583" s="4"/>
      <c r="E1583" s="4"/>
      <c r="F1583" s="4"/>
      <c r="G1583" s="4"/>
      <c r="H1583" s="4"/>
      <c r="I1583" s="4"/>
      <c r="J1583" s="4"/>
      <c r="K1583" s="4"/>
      <c r="L1583" s="4"/>
      <c r="M1583" s="4"/>
    </row>
    <row r="1584" spans="1:13" s="34" customFormat="1">
      <c r="A1584" s="3"/>
      <c r="B1584" s="4"/>
      <c r="C1584" s="4"/>
      <c r="D1584" s="4"/>
      <c r="E1584" s="4"/>
      <c r="F1584" s="4"/>
      <c r="G1584" s="4"/>
      <c r="H1584" s="4"/>
      <c r="I1584" s="4"/>
      <c r="J1584" s="4"/>
      <c r="K1584" s="4"/>
      <c r="L1584" s="4"/>
      <c r="M1584" s="4"/>
    </row>
    <row r="1585" spans="1:13" s="34" customFormat="1">
      <c r="A1585" s="3"/>
      <c r="B1585" s="4"/>
      <c r="C1585" s="4"/>
      <c r="D1585" s="4"/>
      <c r="E1585" s="4"/>
      <c r="F1585" s="4"/>
      <c r="G1585" s="4"/>
      <c r="H1585" s="4"/>
      <c r="I1585" s="4"/>
      <c r="J1585" s="4"/>
      <c r="K1585" s="4"/>
      <c r="L1585" s="4"/>
      <c r="M1585" s="4"/>
    </row>
    <row r="1586" spans="1:13" s="34" customFormat="1">
      <c r="A1586" s="3"/>
      <c r="B1586" s="4"/>
      <c r="C1586" s="4"/>
      <c r="D1586" s="4"/>
      <c r="E1586" s="4"/>
      <c r="F1586" s="4"/>
      <c r="G1586" s="4"/>
      <c r="H1586" s="4"/>
      <c r="I1586" s="4"/>
      <c r="J1586" s="4"/>
      <c r="K1586" s="4"/>
      <c r="L1586" s="4"/>
      <c r="M1586" s="4"/>
    </row>
    <row r="1587" spans="1:13" s="34" customFormat="1">
      <c r="A1587" s="3"/>
      <c r="B1587" s="4"/>
      <c r="C1587" s="4"/>
      <c r="D1587" s="4"/>
      <c r="E1587" s="4"/>
      <c r="F1587" s="4"/>
      <c r="G1587" s="4"/>
      <c r="H1587" s="4"/>
      <c r="I1587" s="4"/>
      <c r="J1587" s="4"/>
      <c r="K1587" s="4"/>
      <c r="L1587" s="4"/>
      <c r="M1587" s="4"/>
    </row>
    <row r="1588" spans="1:13" s="34" customFormat="1">
      <c r="A1588" s="3"/>
      <c r="B1588" s="4"/>
      <c r="C1588" s="4"/>
      <c r="D1588" s="4"/>
      <c r="E1588" s="4"/>
      <c r="F1588" s="4"/>
      <c r="G1588" s="4"/>
      <c r="H1588" s="4"/>
      <c r="I1588" s="4"/>
      <c r="J1588" s="4"/>
      <c r="K1588" s="4"/>
      <c r="L1588" s="4"/>
      <c r="M1588" s="4"/>
    </row>
    <row r="1589" spans="1:13" s="34" customFormat="1">
      <c r="A1589" s="3"/>
      <c r="B1589" s="4"/>
      <c r="C1589" s="4"/>
      <c r="D1589" s="4"/>
      <c r="E1589" s="4"/>
      <c r="F1589" s="4"/>
      <c r="G1589" s="4"/>
      <c r="H1589" s="4"/>
      <c r="I1589" s="4"/>
      <c r="J1589" s="4"/>
      <c r="K1589" s="4"/>
      <c r="L1589" s="4"/>
      <c r="M1589" s="4"/>
    </row>
    <row r="1590" spans="1:13" s="34" customFormat="1">
      <c r="A1590" s="3"/>
      <c r="B1590" s="4"/>
      <c r="C1590" s="4"/>
      <c r="D1590" s="4"/>
      <c r="E1590" s="4"/>
      <c r="F1590" s="4"/>
      <c r="G1590" s="4"/>
      <c r="H1590" s="4"/>
      <c r="I1590" s="4"/>
      <c r="J1590" s="4"/>
      <c r="K1590" s="4"/>
      <c r="L1590" s="4"/>
      <c r="M1590" s="4"/>
    </row>
    <row r="1591" spans="1:13" s="34" customFormat="1">
      <c r="A1591" s="3"/>
      <c r="B1591" s="4"/>
      <c r="C1591" s="4"/>
      <c r="D1591" s="4"/>
      <c r="E1591" s="4"/>
      <c r="F1591" s="4"/>
      <c r="G1591" s="4"/>
      <c r="H1591" s="4"/>
      <c r="I1591" s="4"/>
      <c r="J1591" s="4"/>
      <c r="K1591" s="4"/>
      <c r="L1591" s="4"/>
      <c r="M1591" s="4"/>
    </row>
    <row r="1592" spans="1:13" s="34" customFormat="1">
      <c r="A1592" s="3"/>
      <c r="B1592" s="4"/>
      <c r="C1592" s="4"/>
      <c r="D1592" s="4"/>
      <c r="E1592" s="4"/>
      <c r="F1592" s="4"/>
      <c r="G1592" s="4"/>
      <c r="H1592" s="4"/>
      <c r="I1592" s="4"/>
      <c r="J1592" s="4"/>
      <c r="K1592" s="4"/>
      <c r="L1592" s="4"/>
      <c r="M1592" s="4"/>
    </row>
    <row r="1593" spans="1:13" s="34" customFormat="1">
      <c r="A1593" s="3"/>
      <c r="B1593" s="4"/>
      <c r="C1593" s="4"/>
      <c r="D1593" s="4"/>
      <c r="E1593" s="4"/>
      <c r="F1593" s="4"/>
      <c r="G1593" s="4"/>
      <c r="H1593" s="4"/>
      <c r="I1593" s="4"/>
      <c r="J1593" s="4"/>
      <c r="K1593" s="4"/>
      <c r="L1593" s="4"/>
      <c r="M1593" s="4"/>
    </row>
    <row r="1594" spans="1:13" s="34" customFormat="1">
      <c r="A1594" s="3"/>
      <c r="B1594" s="4"/>
      <c r="C1594" s="4"/>
      <c r="D1594" s="4"/>
      <c r="E1594" s="4"/>
      <c r="F1594" s="4"/>
      <c r="G1594" s="4"/>
      <c r="H1594" s="4"/>
      <c r="I1594" s="4"/>
      <c r="J1594" s="4"/>
      <c r="K1594" s="4"/>
      <c r="L1594" s="4"/>
      <c r="M1594" s="4"/>
    </row>
    <row r="1595" spans="1:13" s="34" customFormat="1">
      <c r="A1595" s="3"/>
      <c r="B1595" s="4"/>
      <c r="C1595" s="4"/>
      <c r="D1595" s="4"/>
      <c r="E1595" s="4"/>
      <c r="F1595" s="4"/>
      <c r="G1595" s="4"/>
      <c r="H1595" s="4"/>
      <c r="I1595" s="4"/>
      <c r="J1595" s="4"/>
      <c r="K1595" s="4"/>
      <c r="L1595" s="4"/>
      <c r="M1595" s="4"/>
    </row>
    <row r="1596" spans="1:13" s="34" customFormat="1">
      <c r="A1596" s="3"/>
      <c r="B1596" s="4"/>
      <c r="C1596" s="4"/>
      <c r="D1596" s="4"/>
      <c r="E1596" s="4"/>
      <c r="F1596" s="4"/>
      <c r="G1596" s="4"/>
      <c r="H1596" s="4"/>
      <c r="I1596" s="4"/>
      <c r="J1596" s="4"/>
      <c r="K1596" s="4"/>
      <c r="L1596" s="4"/>
      <c r="M1596" s="4"/>
    </row>
    <row r="1597" spans="1:13" s="34" customFormat="1">
      <c r="A1597" s="3"/>
      <c r="B1597" s="4"/>
      <c r="C1597" s="4"/>
      <c r="D1597" s="4"/>
      <c r="E1597" s="4"/>
      <c r="F1597" s="4"/>
      <c r="G1597" s="4"/>
      <c r="H1597" s="4"/>
      <c r="I1597" s="4"/>
      <c r="J1597" s="4"/>
      <c r="K1597" s="4"/>
      <c r="L1597" s="4"/>
      <c r="M1597" s="4"/>
    </row>
    <row r="1598" spans="1:13" s="34" customFormat="1">
      <c r="A1598" s="3"/>
      <c r="B1598" s="4"/>
      <c r="C1598" s="4"/>
      <c r="D1598" s="4"/>
      <c r="E1598" s="4"/>
      <c r="F1598" s="4"/>
      <c r="G1598" s="4"/>
      <c r="H1598" s="4"/>
      <c r="I1598" s="4"/>
      <c r="J1598" s="4"/>
      <c r="K1598" s="4"/>
      <c r="L1598" s="4"/>
      <c r="M1598" s="4"/>
    </row>
    <row r="1599" spans="1:13" s="34" customFormat="1">
      <c r="A1599" s="3"/>
      <c r="B1599" s="4"/>
      <c r="C1599" s="4"/>
      <c r="D1599" s="4"/>
      <c r="E1599" s="4"/>
      <c r="F1599" s="4"/>
      <c r="G1599" s="4"/>
      <c r="H1599" s="4"/>
      <c r="I1599" s="4"/>
      <c r="J1599" s="4"/>
      <c r="K1599" s="4"/>
      <c r="L1599" s="4"/>
      <c r="M1599" s="4"/>
    </row>
    <row r="1600" spans="1:13" s="34" customFormat="1">
      <c r="A1600" s="3"/>
      <c r="B1600" s="4"/>
      <c r="C1600" s="4"/>
      <c r="D1600" s="4"/>
      <c r="E1600" s="4"/>
      <c r="F1600" s="4"/>
      <c r="G1600" s="4"/>
      <c r="H1600" s="4"/>
      <c r="I1600" s="4"/>
      <c r="J1600" s="4"/>
      <c r="K1600" s="4"/>
      <c r="L1600" s="4"/>
      <c r="M1600" s="4"/>
    </row>
    <row r="1601" spans="1:13" s="34" customFormat="1">
      <c r="A1601" s="3"/>
      <c r="B1601" s="4"/>
      <c r="C1601" s="4"/>
      <c r="D1601" s="4"/>
      <c r="E1601" s="4"/>
      <c r="F1601" s="4"/>
      <c r="G1601" s="4"/>
      <c r="H1601" s="4"/>
      <c r="I1601" s="4"/>
      <c r="J1601" s="4"/>
      <c r="K1601" s="4"/>
      <c r="L1601" s="4"/>
      <c r="M1601" s="4"/>
    </row>
    <row r="1602" spans="1:13" s="34" customFormat="1">
      <c r="A1602" s="3"/>
      <c r="B1602" s="4"/>
      <c r="C1602" s="4"/>
      <c r="D1602" s="4"/>
      <c r="E1602" s="4"/>
      <c r="F1602" s="4"/>
      <c r="G1602" s="4"/>
      <c r="H1602" s="4"/>
      <c r="I1602" s="4"/>
      <c r="J1602" s="4"/>
      <c r="K1602" s="4"/>
      <c r="L1602" s="4"/>
      <c r="M1602" s="4"/>
    </row>
    <row r="1603" spans="1:13" s="34" customFormat="1">
      <c r="A1603" s="3"/>
      <c r="B1603" s="4"/>
      <c r="C1603" s="4"/>
      <c r="D1603" s="4"/>
      <c r="E1603" s="4"/>
      <c r="F1603" s="4"/>
      <c r="G1603" s="4"/>
      <c r="H1603" s="4"/>
      <c r="I1603" s="4"/>
      <c r="J1603" s="4"/>
      <c r="K1603" s="4"/>
      <c r="L1603" s="4"/>
      <c r="M1603" s="4"/>
    </row>
    <row r="1604" spans="1:13" s="34" customFormat="1">
      <c r="A1604" s="3"/>
      <c r="B1604" s="4"/>
      <c r="C1604" s="4"/>
      <c r="D1604" s="4"/>
      <c r="E1604" s="4"/>
      <c r="F1604" s="4"/>
      <c r="G1604" s="4"/>
      <c r="H1604" s="4"/>
      <c r="I1604" s="4"/>
      <c r="J1604" s="4"/>
      <c r="K1604" s="4"/>
      <c r="L1604" s="4"/>
      <c r="M1604" s="4"/>
    </row>
    <row r="1605" spans="1:13" s="34" customFormat="1">
      <c r="A1605" s="3"/>
      <c r="B1605" s="4"/>
      <c r="C1605" s="4"/>
      <c r="D1605" s="4"/>
      <c r="E1605" s="4"/>
      <c r="F1605" s="4"/>
      <c r="G1605" s="4"/>
      <c r="H1605" s="4"/>
      <c r="I1605" s="4"/>
      <c r="J1605" s="4"/>
      <c r="K1605" s="4"/>
      <c r="L1605" s="4"/>
      <c r="M1605" s="4"/>
    </row>
    <row r="1606" spans="1:13" s="34" customFormat="1">
      <c r="A1606" s="3"/>
      <c r="B1606" s="4"/>
      <c r="C1606" s="4"/>
      <c r="D1606" s="4"/>
      <c r="E1606" s="4"/>
      <c r="F1606" s="4"/>
      <c r="G1606" s="4"/>
      <c r="H1606" s="4"/>
      <c r="I1606" s="4"/>
      <c r="J1606" s="4"/>
      <c r="K1606" s="4"/>
      <c r="L1606" s="4"/>
      <c r="M1606" s="4"/>
    </row>
    <row r="1607" spans="1:13" s="34" customFormat="1">
      <c r="A1607" s="3"/>
      <c r="B1607" s="4"/>
      <c r="C1607" s="4"/>
      <c r="D1607" s="4"/>
      <c r="E1607" s="4"/>
      <c r="F1607" s="4"/>
      <c r="G1607" s="4"/>
      <c r="H1607" s="4"/>
      <c r="I1607" s="4"/>
      <c r="J1607" s="4"/>
      <c r="K1607" s="4"/>
      <c r="L1607" s="4"/>
      <c r="M1607" s="4"/>
    </row>
    <row r="1608" spans="1:13" s="34" customFormat="1">
      <c r="A1608" s="3"/>
      <c r="B1608" s="4"/>
      <c r="C1608" s="4"/>
      <c r="D1608" s="4"/>
      <c r="E1608" s="4"/>
      <c r="F1608" s="4"/>
      <c r="G1608" s="4"/>
      <c r="H1608" s="4"/>
      <c r="I1608" s="4"/>
      <c r="J1608" s="4"/>
      <c r="K1608" s="4"/>
      <c r="L1608" s="4"/>
      <c r="M1608" s="4"/>
    </row>
    <row r="1609" spans="1:13" s="34" customFormat="1">
      <c r="A1609" s="3"/>
      <c r="B1609" s="4"/>
      <c r="C1609" s="4"/>
      <c r="D1609" s="4"/>
      <c r="E1609" s="4"/>
      <c r="F1609" s="4"/>
      <c r="G1609" s="4"/>
      <c r="H1609" s="4"/>
      <c r="I1609" s="4"/>
      <c r="J1609" s="4"/>
      <c r="K1609" s="4"/>
      <c r="L1609" s="4"/>
      <c r="M1609" s="4"/>
    </row>
    <row r="1610" spans="1:13" s="34" customFormat="1">
      <c r="A1610" s="3"/>
      <c r="B1610" s="4"/>
      <c r="C1610" s="4"/>
      <c r="D1610" s="4"/>
      <c r="E1610" s="4"/>
      <c r="F1610" s="4"/>
      <c r="G1610" s="4"/>
      <c r="H1610" s="4"/>
      <c r="I1610" s="4"/>
      <c r="J1610" s="4"/>
      <c r="K1610" s="4"/>
      <c r="L1610" s="4"/>
      <c r="M1610" s="4"/>
    </row>
    <row r="1611" spans="1:13" s="34" customFormat="1">
      <c r="A1611" s="3"/>
      <c r="B1611" s="4"/>
      <c r="C1611" s="4"/>
      <c r="D1611" s="4"/>
      <c r="E1611" s="4"/>
      <c r="F1611" s="4"/>
      <c r="G1611" s="4"/>
      <c r="H1611" s="4"/>
      <c r="I1611" s="4"/>
      <c r="J1611" s="4"/>
      <c r="K1611" s="4"/>
      <c r="L1611" s="4"/>
      <c r="M1611" s="4"/>
    </row>
    <row r="1612" spans="1:13" s="34" customFormat="1">
      <c r="A1612" s="3"/>
      <c r="B1612" s="4"/>
      <c r="C1612" s="4"/>
      <c r="D1612" s="4"/>
      <c r="E1612" s="4"/>
      <c r="F1612" s="4"/>
      <c r="G1612" s="4"/>
      <c r="H1612" s="4"/>
      <c r="I1612" s="4"/>
      <c r="J1612" s="4"/>
      <c r="K1612" s="4"/>
      <c r="L1612" s="4"/>
      <c r="M1612" s="4"/>
    </row>
    <row r="1613" spans="1:13" s="34" customFormat="1">
      <c r="A1613" s="3"/>
      <c r="B1613" s="4"/>
      <c r="C1613" s="4"/>
      <c r="D1613" s="4"/>
      <c r="E1613" s="4"/>
      <c r="F1613" s="4"/>
      <c r="G1613" s="4"/>
      <c r="H1613" s="4"/>
      <c r="I1613" s="4"/>
      <c r="J1613" s="4"/>
      <c r="K1613" s="4"/>
      <c r="L1613" s="4"/>
      <c r="M1613" s="4"/>
    </row>
    <row r="1614" spans="1:13" s="34" customFormat="1">
      <c r="A1614" s="3"/>
      <c r="B1614" s="4"/>
      <c r="C1614" s="4"/>
      <c r="D1614" s="4"/>
      <c r="E1614" s="4"/>
      <c r="F1614" s="4"/>
      <c r="G1614" s="4"/>
      <c r="H1614" s="4"/>
      <c r="I1614" s="4"/>
      <c r="J1614" s="4"/>
      <c r="K1614" s="4"/>
      <c r="L1614" s="4"/>
      <c r="M1614" s="4"/>
    </row>
    <row r="1615" spans="1:13" s="34" customFormat="1">
      <c r="A1615" s="3"/>
      <c r="B1615" s="4"/>
      <c r="C1615" s="4"/>
      <c r="D1615" s="4"/>
      <c r="E1615" s="4"/>
      <c r="F1615" s="4"/>
      <c r="G1615" s="4"/>
      <c r="H1615" s="4"/>
      <c r="I1615" s="4"/>
      <c r="J1615" s="4"/>
      <c r="K1615" s="4"/>
      <c r="L1615" s="4"/>
      <c r="M1615" s="4"/>
    </row>
    <row r="1616" spans="1:13" s="34" customFormat="1">
      <c r="A1616" s="3"/>
      <c r="B1616" s="4"/>
      <c r="C1616" s="4"/>
      <c r="D1616" s="4"/>
      <c r="E1616" s="4"/>
      <c r="F1616" s="4"/>
      <c r="G1616" s="4"/>
      <c r="H1616" s="4"/>
      <c r="I1616" s="4"/>
      <c r="J1616" s="4"/>
      <c r="K1616" s="4"/>
      <c r="L1616" s="4"/>
      <c r="M1616" s="4"/>
    </row>
    <row r="1617" spans="1:13" s="34" customFormat="1">
      <c r="A1617" s="3"/>
      <c r="B1617" s="4"/>
      <c r="C1617" s="4"/>
      <c r="D1617" s="4"/>
      <c r="E1617" s="4"/>
      <c r="F1617" s="4"/>
      <c r="G1617" s="4"/>
      <c r="H1617" s="4"/>
      <c r="I1617" s="4"/>
      <c r="J1617" s="4"/>
      <c r="K1617" s="4"/>
      <c r="L1617" s="4"/>
      <c r="M1617" s="4"/>
    </row>
    <row r="1618" spans="1:13" s="34" customFormat="1">
      <c r="A1618" s="3"/>
      <c r="B1618" s="4"/>
      <c r="C1618" s="4"/>
      <c r="D1618" s="4"/>
      <c r="E1618" s="4"/>
      <c r="F1618" s="4"/>
      <c r="G1618" s="4"/>
      <c r="H1618" s="4"/>
      <c r="I1618" s="4"/>
      <c r="J1618" s="4"/>
      <c r="K1618" s="4"/>
      <c r="L1618" s="4"/>
      <c r="M1618" s="4"/>
    </row>
    <row r="1619" spans="1:13" s="34" customFormat="1">
      <c r="A1619" s="3"/>
      <c r="B1619" s="4"/>
      <c r="C1619" s="4"/>
      <c r="D1619" s="4"/>
      <c r="E1619" s="4"/>
      <c r="F1619" s="4"/>
      <c r="G1619" s="4"/>
      <c r="H1619" s="4"/>
      <c r="I1619" s="4"/>
      <c r="J1619" s="4"/>
      <c r="K1619" s="4"/>
      <c r="L1619" s="4"/>
      <c r="M1619" s="4"/>
    </row>
    <row r="1620" spans="1:13" s="34" customFormat="1">
      <c r="A1620" s="3"/>
      <c r="B1620" s="4"/>
      <c r="C1620" s="4"/>
      <c r="D1620" s="4"/>
      <c r="E1620" s="4"/>
      <c r="F1620" s="4"/>
      <c r="G1620" s="4"/>
      <c r="H1620" s="4"/>
      <c r="I1620" s="4"/>
      <c r="J1620" s="4"/>
      <c r="K1620" s="4"/>
      <c r="L1620" s="4"/>
      <c r="M1620" s="4"/>
    </row>
    <row r="1621" spans="1:13" s="34" customFormat="1">
      <c r="A1621" s="3"/>
      <c r="B1621" s="4"/>
      <c r="C1621" s="4"/>
      <c r="D1621" s="4"/>
      <c r="E1621" s="4"/>
      <c r="F1621" s="4"/>
      <c r="G1621" s="4"/>
      <c r="H1621" s="4"/>
      <c r="I1621" s="4"/>
      <c r="J1621" s="4"/>
      <c r="K1621" s="4"/>
      <c r="L1621" s="4"/>
      <c r="M1621" s="4"/>
    </row>
    <row r="1622" spans="1:13" s="34" customFormat="1">
      <c r="A1622" s="3"/>
      <c r="B1622" s="4"/>
      <c r="C1622" s="4"/>
      <c r="D1622" s="4"/>
      <c r="E1622" s="4"/>
      <c r="F1622" s="4"/>
      <c r="G1622" s="4"/>
      <c r="H1622" s="4"/>
      <c r="I1622" s="4"/>
      <c r="J1622" s="4"/>
      <c r="K1622" s="4"/>
      <c r="L1622" s="4"/>
      <c r="M1622" s="4"/>
    </row>
    <row r="1623" spans="1:13" s="34" customFormat="1">
      <c r="A1623" s="3"/>
      <c r="B1623" s="4"/>
      <c r="C1623" s="4"/>
      <c r="D1623" s="4"/>
      <c r="E1623" s="4"/>
      <c r="F1623" s="4"/>
      <c r="G1623" s="4"/>
      <c r="H1623" s="4"/>
      <c r="I1623" s="4"/>
      <c r="J1623" s="4"/>
      <c r="K1623" s="4"/>
      <c r="L1623" s="4"/>
      <c r="M1623" s="4"/>
    </row>
    <row r="1624" spans="1:13" s="34" customFormat="1">
      <c r="A1624" s="3"/>
      <c r="B1624" s="4"/>
      <c r="C1624" s="4"/>
      <c r="D1624" s="4"/>
      <c r="E1624" s="4"/>
      <c r="F1624" s="4"/>
      <c r="G1624" s="4"/>
      <c r="H1624" s="4"/>
      <c r="I1624" s="4"/>
      <c r="J1624" s="4"/>
      <c r="K1624" s="4"/>
      <c r="L1624" s="4"/>
      <c r="M1624" s="4"/>
    </row>
    <row r="1625" spans="1:13" s="34" customFormat="1">
      <c r="A1625" s="3"/>
      <c r="B1625" s="4"/>
      <c r="C1625" s="4"/>
      <c r="D1625" s="4"/>
      <c r="E1625" s="4"/>
      <c r="F1625" s="4"/>
      <c r="G1625" s="4"/>
      <c r="H1625" s="4"/>
      <c r="I1625" s="4"/>
      <c r="J1625" s="4"/>
      <c r="K1625" s="4"/>
      <c r="L1625" s="4"/>
      <c r="M1625" s="4"/>
    </row>
    <row r="1626" spans="1:13" s="34" customFormat="1">
      <c r="A1626" s="3"/>
      <c r="B1626" s="4"/>
      <c r="C1626" s="4"/>
      <c r="D1626" s="4"/>
      <c r="E1626" s="4"/>
      <c r="F1626" s="4"/>
      <c r="G1626" s="4"/>
      <c r="H1626" s="4"/>
      <c r="I1626" s="4"/>
      <c r="J1626" s="4"/>
      <c r="K1626" s="4"/>
      <c r="L1626" s="4"/>
      <c r="M1626" s="4"/>
    </row>
    <row r="1627" spans="1:13" s="34" customFormat="1">
      <c r="A1627" s="3"/>
      <c r="B1627" s="4"/>
      <c r="C1627" s="4"/>
      <c r="D1627" s="4"/>
      <c r="E1627" s="4"/>
      <c r="F1627" s="4"/>
      <c r="G1627" s="4"/>
      <c r="H1627" s="4"/>
      <c r="I1627" s="4"/>
      <c r="J1627" s="4"/>
      <c r="K1627" s="4"/>
      <c r="L1627" s="4"/>
      <c r="M1627" s="4"/>
    </row>
    <row r="1628" spans="1:13" s="34" customFormat="1">
      <c r="A1628" s="3"/>
      <c r="B1628" s="4"/>
      <c r="C1628" s="4"/>
      <c r="D1628" s="4"/>
      <c r="E1628" s="4"/>
      <c r="F1628" s="4"/>
      <c r="G1628" s="4"/>
      <c r="H1628" s="4"/>
      <c r="I1628" s="4"/>
      <c r="J1628" s="4"/>
      <c r="K1628" s="4"/>
      <c r="L1628" s="4"/>
      <c r="M1628" s="4"/>
    </row>
    <row r="1629" spans="1:13" s="34" customFormat="1">
      <c r="A1629" s="3"/>
      <c r="B1629" s="4"/>
      <c r="C1629" s="4"/>
      <c r="D1629" s="4"/>
      <c r="E1629" s="4"/>
      <c r="F1629" s="4"/>
      <c r="G1629" s="4"/>
      <c r="H1629" s="4"/>
      <c r="I1629" s="4"/>
      <c r="J1629" s="4"/>
      <c r="K1629" s="4"/>
      <c r="L1629" s="4"/>
      <c r="M1629" s="4"/>
    </row>
    <row r="1630" spans="1:13" s="34" customFormat="1">
      <c r="A1630" s="3"/>
      <c r="B1630" s="4"/>
      <c r="C1630" s="4"/>
      <c r="D1630" s="4"/>
      <c r="E1630" s="4"/>
      <c r="F1630" s="4"/>
      <c r="G1630" s="4"/>
      <c r="H1630" s="4"/>
      <c r="I1630" s="4"/>
      <c r="J1630" s="4"/>
      <c r="K1630" s="4"/>
      <c r="L1630" s="4"/>
      <c r="M1630" s="4"/>
    </row>
    <row r="1631" spans="1:13" s="34" customFormat="1">
      <c r="A1631" s="3"/>
      <c r="B1631" s="4"/>
      <c r="C1631" s="4"/>
      <c r="D1631" s="4"/>
      <c r="E1631" s="4"/>
      <c r="F1631" s="4"/>
      <c r="G1631" s="4"/>
      <c r="H1631" s="4"/>
      <c r="I1631" s="4"/>
      <c r="J1631" s="4"/>
      <c r="K1631" s="4"/>
      <c r="L1631" s="4"/>
      <c r="M1631" s="4"/>
    </row>
    <row r="1632" spans="1:13" s="34" customFormat="1">
      <c r="A1632" s="3"/>
      <c r="B1632" s="4"/>
      <c r="C1632" s="4"/>
      <c r="D1632" s="4"/>
      <c r="E1632" s="4"/>
      <c r="F1632" s="4"/>
      <c r="G1632" s="4"/>
      <c r="H1632" s="4"/>
      <c r="I1632" s="4"/>
      <c r="J1632" s="4"/>
      <c r="K1632" s="4"/>
      <c r="L1632" s="4"/>
      <c r="M1632" s="4"/>
    </row>
    <row r="1633" spans="1:13" s="34" customFormat="1">
      <c r="A1633" s="3"/>
      <c r="B1633" s="4"/>
      <c r="C1633" s="4"/>
      <c r="D1633" s="4"/>
      <c r="E1633" s="4"/>
      <c r="F1633" s="4"/>
      <c r="G1633" s="4"/>
      <c r="H1633" s="4"/>
      <c r="I1633" s="4"/>
      <c r="J1633" s="4"/>
      <c r="K1633" s="4"/>
      <c r="L1633" s="4"/>
      <c r="M1633" s="4"/>
    </row>
    <row r="1634" spans="1:13" s="34" customFormat="1">
      <c r="A1634" s="3"/>
      <c r="B1634" s="4"/>
      <c r="C1634" s="4"/>
      <c r="D1634" s="4"/>
      <c r="E1634" s="4"/>
      <c r="F1634" s="4"/>
      <c r="G1634" s="4"/>
      <c r="H1634" s="4"/>
      <c r="I1634" s="4"/>
      <c r="J1634" s="4"/>
      <c r="K1634" s="4"/>
      <c r="L1634" s="4"/>
      <c r="M1634" s="4"/>
    </row>
    <row r="1635" spans="1:13" s="34" customFormat="1">
      <c r="A1635" s="3"/>
      <c r="B1635" s="4"/>
      <c r="C1635" s="4"/>
      <c r="D1635" s="4"/>
      <c r="E1635" s="4"/>
      <c r="F1635" s="4"/>
      <c r="G1635" s="4"/>
      <c r="H1635" s="4"/>
      <c r="I1635" s="4"/>
      <c r="J1635" s="4"/>
      <c r="K1635" s="4"/>
      <c r="L1635" s="4"/>
      <c r="M1635" s="4"/>
    </row>
    <row r="1636" spans="1:13" s="34" customFormat="1">
      <c r="A1636" s="3"/>
      <c r="B1636" s="4"/>
      <c r="C1636" s="4"/>
      <c r="D1636" s="4"/>
      <c r="E1636" s="4"/>
      <c r="F1636" s="4"/>
      <c r="G1636" s="4"/>
      <c r="H1636" s="4"/>
      <c r="I1636" s="4"/>
      <c r="J1636" s="4"/>
      <c r="K1636" s="4"/>
      <c r="L1636" s="4"/>
      <c r="M1636" s="4"/>
    </row>
    <row r="1637" spans="1:13" s="34" customFormat="1">
      <c r="A1637" s="3"/>
      <c r="B1637" s="4"/>
      <c r="C1637" s="4"/>
      <c r="D1637" s="4"/>
      <c r="E1637" s="4"/>
      <c r="F1637" s="4"/>
      <c r="G1637" s="4"/>
      <c r="H1637" s="4"/>
      <c r="I1637" s="4"/>
      <c r="J1637" s="4"/>
      <c r="K1637" s="4"/>
      <c r="L1637" s="4"/>
      <c r="M1637" s="4"/>
    </row>
    <row r="1638" spans="1:13" s="34" customFormat="1">
      <c r="A1638" s="3"/>
      <c r="B1638" s="4"/>
      <c r="C1638" s="4"/>
      <c r="D1638" s="4"/>
      <c r="E1638" s="4"/>
      <c r="F1638" s="4"/>
      <c r="G1638" s="4"/>
      <c r="H1638" s="4"/>
      <c r="I1638" s="4"/>
      <c r="J1638" s="4"/>
      <c r="K1638" s="4"/>
      <c r="L1638" s="4"/>
      <c r="M1638" s="4"/>
    </row>
    <row r="1639" spans="1:13" s="34" customFormat="1">
      <c r="A1639" s="3"/>
      <c r="B1639" s="4"/>
      <c r="C1639" s="4"/>
      <c r="D1639" s="4"/>
      <c r="E1639" s="4"/>
      <c r="F1639" s="4"/>
      <c r="G1639" s="4"/>
      <c r="H1639" s="4"/>
      <c r="I1639" s="4"/>
      <c r="J1639" s="4"/>
      <c r="K1639" s="4"/>
      <c r="L1639" s="4"/>
      <c r="M1639" s="4"/>
    </row>
    <row r="1640" spans="1:13" s="34" customFormat="1">
      <c r="A1640" s="3"/>
      <c r="B1640" s="4"/>
      <c r="C1640" s="4"/>
      <c r="D1640" s="4"/>
      <c r="E1640" s="4"/>
      <c r="F1640" s="4"/>
      <c r="G1640" s="4"/>
      <c r="H1640" s="4"/>
      <c r="I1640" s="4"/>
      <c r="J1640" s="4"/>
      <c r="K1640" s="4"/>
      <c r="L1640" s="4"/>
      <c r="M1640" s="4"/>
    </row>
    <row r="1641" spans="1:13" s="34" customFormat="1">
      <c r="A1641" s="3"/>
      <c r="B1641" s="4"/>
      <c r="C1641" s="4"/>
      <c r="D1641" s="4"/>
      <c r="E1641" s="4"/>
      <c r="F1641" s="4"/>
      <c r="G1641" s="4"/>
      <c r="H1641" s="4"/>
      <c r="I1641" s="4"/>
      <c r="J1641" s="4"/>
      <c r="K1641" s="4"/>
      <c r="L1641" s="4"/>
      <c r="M1641" s="4"/>
    </row>
    <row r="1642" spans="1:13" s="34" customFormat="1">
      <c r="A1642" s="3"/>
      <c r="B1642" s="4"/>
      <c r="C1642" s="4"/>
      <c r="D1642" s="4"/>
      <c r="E1642" s="4"/>
      <c r="F1642" s="4"/>
      <c r="G1642" s="4"/>
      <c r="H1642" s="4"/>
      <c r="I1642" s="4"/>
      <c r="J1642" s="4"/>
      <c r="K1642" s="4"/>
      <c r="L1642" s="4"/>
      <c r="M1642" s="4"/>
    </row>
    <row r="1643" spans="1:13" s="34" customFormat="1">
      <c r="A1643" s="3"/>
      <c r="B1643" s="4"/>
      <c r="C1643" s="4"/>
      <c r="D1643" s="4"/>
      <c r="E1643" s="4"/>
      <c r="F1643" s="4"/>
      <c r="G1643" s="4"/>
      <c r="H1643" s="4"/>
      <c r="I1643" s="4"/>
      <c r="J1643" s="4"/>
      <c r="K1643" s="4"/>
      <c r="L1643" s="4"/>
      <c r="M1643" s="4"/>
    </row>
    <row r="1644" spans="1:13" s="34" customFormat="1">
      <c r="A1644" s="3"/>
      <c r="B1644" s="4"/>
      <c r="C1644" s="4"/>
      <c r="D1644" s="4"/>
      <c r="E1644" s="4"/>
      <c r="F1644" s="4"/>
      <c r="G1644" s="4"/>
      <c r="H1644" s="4"/>
      <c r="I1644" s="4"/>
      <c r="J1644" s="4"/>
      <c r="K1644" s="4"/>
      <c r="L1644" s="4"/>
      <c r="M1644" s="4"/>
    </row>
    <row r="1645" spans="1:13" s="34" customFormat="1">
      <c r="A1645" s="3"/>
      <c r="B1645" s="4"/>
      <c r="C1645" s="4"/>
      <c r="D1645" s="4"/>
      <c r="E1645" s="4"/>
      <c r="F1645" s="4"/>
      <c r="G1645" s="4"/>
      <c r="H1645" s="4"/>
      <c r="I1645" s="4"/>
      <c r="J1645" s="4"/>
      <c r="K1645" s="4"/>
      <c r="L1645" s="4"/>
      <c r="M1645" s="4"/>
    </row>
    <row r="1646" spans="1:13" s="34" customFormat="1">
      <c r="A1646" s="3"/>
      <c r="B1646" s="4"/>
      <c r="C1646" s="4"/>
      <c r="D1646" s="4"/>
      <c r="E1646" s="4"/>
      <c r="F1646" s="4"/>
      <c r="G1646" s="4"/>
      <c r="H1646" s="4"/>
      <c r="I1646" s="4"/>
      <c r="J1646" s="4"/>
      <c r="K1646" s="4"/>
      <c r="L1646" s="4"/>
      <c r="M1646" s="4"/>
    </row>
    <row r="1647" spans="1:13" s="34" customFormat="1">
      <c r="A1647" s="3"/>
      <c r="B1647" s="4"/>
      <c r="C1647" s="4"/>
      <c r="D1647" s="4"/>
      <c r="E1647" s="4"/>
      <c r="F1647" s="4"/>
      <c r="G1647" s="4"/>
      <c r="H1647" s="4"/>
      <c r="I1647" s="4"/>
      <c r="J1647" s="4"/>
      <c r="K1647" s="4"/>
      <c r="L1647" s="4"/>
      <c r="M1647" s="4"/>
    </row>
    <row r="1648" spans="1:13" s="34" customFormat="1">
      <c r="A1648" s="3"/>
      <c r="B1648" s="4"/>
      <c r="C1648" s="4"/>
      <c r="D1648" s="4"/>
      <c r="E1648" s="4"/>
      <c r="F1648" s="4"/>
      <c r="G1648" s="4"/>
      <c r="H1648" s="4"/>
      <c r="I1648" s="4"/>
      <c r="J1648" s="4"/>
      <c r="K1648" s="4"/>
      <c r="L1648" s="4"/>
      <c r="M1648" s="4"/>
    </row>
    <row r="1649" spans="1:13" s="34" customFormat="1">
      <c r="A1649" s="3"/>
      <c r="B1649" s="4"/>
      <c r="C1649" s="4"/>
      <c r="D1649" s="4"/>
      <c r="E1649" s="4"/>
      <c r="F1649" s="4"/>
      <c r="G1649" s="4"/>
      <c r="H1649" s="4"/>
      <c r="I1649" s="4"/>
      <c r="J1649" s="4"/>
      <c r="K1649" s="4"/>
      <c r="L1649" s="4"/>
      <c r="M1649" s="4"/>
    </row>
    <row r="1650" spans="1:13" s="34" customFormat="1">
      <c r="A1650" s="3"/>
      <c r="B1650" s="4"/>
      <c r="C1650" s="4"/>
      <c r="D1650" s="4"/>
      <c r="E1650" s="4"/>
      <c r="F1650" s="4"/>
      <c r="G1650" s="4"/>
      <c r="H1650" s="4"/>
      <c r="I1650" s="4"/>
      <c r="J1650" s="4"/>
      <c r="K1650" s="4"/>
      <c r="L1650" s="4"/>
      <c r="M1650" s="4"/>
    </row>
    <row r="1651" spans="1:13" s="34" customFormat="1">
      <c r="A1651" s="3"/>
      <c r="B1651" s="4"/>
      <c r="C1651" s="4"/>
      <c r="D1651" s="4"/>
      <c r="E1651" s="4"/>
      <c r="F1651" s="4"/>
      <c r="G1651" s="4"/>
      <c r="H1651" s="4"/>
      <c r="I1651" s="4"/>
      <c r="J1651" s="4"/>
      <c r="K1651" s="4"/>
      <c r="L1651" s="4"/>
      <c r="M1651" s="4"/>
    </row>
    <row r="1652" spans="1:13" s="34" customFormat="1">
      <c r="A1652" s="3"/>
      <c r="B1652" s="4"/>
      <c r="C1652" s="4"/>
      <c r="D1652" s="4"/>
      <c r="E1652" s="4"/>
      <c r="F1652" s="4"/>
      <c r="G1652" s="4"/>
      <c r="H1652" s="4"/>
      <c r="I1652" s="4"/>
      <c r="J1652" s="4"/>
      <c r="K1652" s="4"/>
      <c r="L1652" s="4"/>
      <c r="M1652" s="4"/>
    </row>
    <row r="1653" spans="1:13" s="34" customFormat="1">
      <c r="A1653" s="3"/>
      <c r="B1653" s="4"/>
      <c r="C1653" s="4"/>
      <c r="D1653" s="4"/>
      <c r="E1653" s="4"/>
      <c r="F1653" s="4"/>
      <c r="G1653" s="4"/>
      <c r="H1653" s="4"/>
      <c r="I1653" s="4"/>
      <c r="J1653" s="4"/>
      <c r="K1653" s="4"/>
      <c r="L1653" s="4"/>
      <c r="M1653" s="4"/>
    </row>
    <row r="1654" spans="1:13" s="34" customFormat="1">
      <c r="A1654" s="3"/>
      <c r="B1654" s="4"/>
      <c r="C1654" s="4"/>
      <c r="D1654" s="4"/>
      <c r="E1654" s="4"/>
      <c r="F1654" s="4"/>
      <c r="G1654" s="4"/>
      <c r="H1654" s="4"/>
      <c r="I1654" s="4"/>
      <c r="J1654" s="4"/>
      <c r="K1654" s="4"/>
      <c r="L1654" s="4"/>
      <c r="M1654" s="4"/>
    </row>
    <row r="1655" spans="1:13" s="34" customFormat="1">
      <c r="A1655" s="3"/>
      <c r="B1655" s="4"/>
      <c r="C1655" s="4"/>
      <c r="D1655" s="4"/>
      <c r="E1655" s="4"/>
      <c r="F1655" s="4"/>
      <c r="G1655" s="4"/>
      <c r="H1655" s="4"/>
      <c r="I1655" s="4"/>
      <c r="J1655" s="4"/>
      <c r="K1655" s="4"/>
      <c r="L1655" s="4"/>
      <c r="M1655" s="4"/>
    </row>
    <row r="1656" spans="1:13" s="34" customFormat="1">
      <c r="A1656" s="3"/>
      <c r="B1656" s="4"/>
      <c r="C1656" s="4"/>
      <c r="D1656" s="4"/>
      <c r="E1656" s="4"/>
      <c r="F1656" s="4"/>
      <c r="G1656" s="4"/>
      <c r="H1656" s="4"/>
      <c r="I1656" s="4"/>
      <c r="J1656" s="4"/>
      <c r="K1656" s="4"/>
      <c r="L1656" s="4"/>
      <c r="M1656" s="4"/>
    </row>
    <row r="1657" spans="1:13" s="34" customFormat="1">
      <c r="A1657" s="3"/>
      <c r="B1657" s="4"/>
      <c r="C1657" s="4"/>
      <c r="D1657" s="4"/>
      <c r="E1657" s="4"/>
      <c r="F1657" s="4"/>
      <c r="G1657" s="4"/>
      <c r="H1657" s="4"/>
      <c r="I1657" s="4"/>
      <c r="J1657" s="4"/>
      <c r="K1657" s="4"/>
      <c r="L1657" s="4"/>
      <c r="M1657" s="4"/>
    </row>
    <row r="1658" spans="1:13" s="34" customFormat="1">
      <c r="A1658" s="3"/>
      <c r="B1658" s="4"/>
      <c r="C1658" s="4"/>
      <c r="D1658" s="4"/>
      <c r="E1658" s="4"/>
      <c r="F1658" s="4"/>
      <c r="G1658" s="4"/>
      <c r="H1658" s="4"/>
      <c r="I1658" s="4"/>
      <c r="J1658" s="4"/>
      <c r="K1658" s="4"/>
      <c r="L1658" s="4"/>
      <c r="M1658" s="4"/>
    </row>
    <row r="1659" spans="1:13" s="34" customFormat="1">
      <c r="A1659" s="3"/>
      <c r="B1659" s="4"/>
      <c r="C1659" s="4"/>
      <c r="D1659" s="4"/>
      <c r="E1659" s="4"/>
      <c r="F1659" s="4"/>
      <c r="G1659" s="4"/>
      <c r="H1659" s="4"/>
      <c r="I1659" s="4"/>
      <c r="J1659" s="4"/>
      <c r="K1659" s="4"/>
      <c r="L1659" s="4"/>
      <c r="M1659" s="4"/>
    </row>
    <row r="1660" spans="1:13" s="34" customFormat="1">
      <c r="A1660" s="3"/>
      <c r="B1660" s="4"/>
      <c r="C1660" s="4"/>
      <c r="D1660" s="4"/>
      <c r="E1660" s="4"/>
      <c r="F1660" s="4"/>
      <c r="G1660" s="4"/>
      <c r="H1660" s="4"/>
      <c r="I1660" s="4"/>
      <c r="J1660" s="4"/>
      <c r="K1660" s="4"/>
      <c r="L1660" s="4"/>
      <c r="M1660" s="4"/>
    </row>
    <row r="1661" spans="1:13" s="34" customFormat="1">
      <c r="A1661" s="3"/>
      <c r="B1661" s="4"/>
      <c r="C1661" s="4"/>
      <c r="D1661" s="4"/>
      <c r="E1661" s="4"/>
      <c r="F1661" s="4"/>
      <c r="G1661" s="4"/>
      <c r="H1661" s="4"/>
      <c r="I1661" s="4"/>
      <c r="J1661" s="4"/>
      <c r="K1661" s="4"/>
      <c r="L1661" s="4"/>
      <c r="M1661" s="4"/>
    </row>
    <row r="1662" spans="1:13" s="34" customFormat="1">
      <c r="A1662" s="3"/>
      <c r="B1662" s="4"/>
      <c r="C1662" s="4"/>
      <c r="D1662" s="4"/>
      <c r="E1662" s="4"/>
      <c r="F1662" s="4"/>
      <c r="G1662" s="4"/>
      <c r="H1662" s="4"/>
      <c r="I1662" s="4"/>
      <c r="J1662" s="4"/>
      <c r="K1662" s="4"/>
      <c r="L1662" s="4"/>
      <c r="M1662" s="4"/>
    </row>
    <row r="1663" spans="1:13" s="34" customFormat="1">
      <c r="A1663" s="3"/>
      <c r="B1663" s="4"/>
      <c r="C1663" s="4"/>
      <c r="D1663" s="4"/>
      <c r="E1663" s="4"/>
      <c r="F1663" s="4"/>
      <c r="G1663" s="4"/>
      <c r="H1663" s="4"/>
      <c r="I1663" s="4"/>
      <c r="J1663" s="4"/>
      <c r="K1663" s="4"/>
      <c r="L1663" s="4"/>
      <c r="M1663" s="4"/>
    </row>
    <row r="1664" spans="1:13" s="34" customFormat="1">
      <c r="A1664" s="3"/>
      <c r="B1664" s="4"/>
      <c r="C1664" s="4"/>
      <c r="D1664" s="4"/>
      <c r="E1664" s="4"/>
      <c r="F1664" s="4"/>
      <c r="G1664" s="4"/>
      <c r="H1664" s="4"/>
      <c r="I1664" s="4"/>
      <c r="J1664" s="4"/>
      <c r="K1664" s="4"/>
      <c r="L1664" s="4"/>
      <c r="M1664" s="4"/>
    </row>
    <row r="1665" spans="1:13" s="34" customFormat="1">
      <c r="A1665" s="3"/>
      <c r="B1665" s="4"/>
      <c r="C1665" s="4"/>
      <c r="D1665" s="4"/>
      <c r="E1665" s="4"/>
      <c r="F1665" s="4"/>
      <c r="G1665" s="4"/>
      <c r="H1665" s="4"/>
      <c r="I1665" s="4"/>
      <c r="J1665" s="4"/>
      <c r="K1665" s="4"/>
      <c r="L1665" s="4"/>
      <c r="M1665" s="4"/>
    </row>
    <row r="1666" spans="1:13" s="34" customFormat="1">
      <c r="A1666" s="3"/>
      <c r="B1666" s="4"/>
      <c r="C1666" s="4"/>
      <c r="D1666" s="4"/>
      <c r="E1666" s="4"/>
      <c r="F1666" s="4"/>
      <c r="G1666" s="4"/>
      <c r="H1666" s="4"/>
      <c r="I1666" s="4"/>
      <c r="J1666" s="4"/>
      <c r="K1666" s="4"/>
      <c r="L1666" s="4"/>
      <c r="M1666" s="4"/>
    </row>
    <row r="1667" spans="1:13" s="34" customFormat="1">
      <c r="A1667" s="3"/>
      <c r="B1667" s="4"/>
      <c r="C1667" s="4"/>
      <c r="D1667" s="4"/>
      <c r="E1667" s="4"/>
      <c r="F1667" s="4"/>
      <c r="G1667" s="4"/>
      <c r="H1667" s="4"/>
      <c r="I1667" s="4"/>
      <c r="J1667" s="4"/>
      <c r="K1667" s="4"/>
      <c r="L1667" s="4"/>
      <c r="M1667" s="4"/>
    </row>
    <row r="1668" spans="1:13" s="34" customFormat="1">
      <c r="A1668" s="3"/>
      <c r="B1668" s="4"/>
      <c r="C1668" s="4"/>
      <c r="D1668" s="4"/>
      <c r="E1668" s="4"/>
      <c r="F1668" s="4"/>
      <c r="G1668" s="4"/>
      <c r="H1668" s="4"/>
      <c r="I1668" s="4"/>
      <c r="J1668" s="4"/>
      <c r="K1668" s="4"/>
      <c r="L1668" s="4"/>
      <c r="M1668" s="4"/>
    </row>
    <row r="1669" spans="1:13" s="34" customFormat="1">
      <c r="A1669" s="3"/>
      <c r="B1669" s="4"/>
      <c r="C1669" s="4"/>
      <c r="D1669" s="4"/>
      <c r="E1669" s="4"/>
      <c r="F1669" s="4"/>
      <c r="G1669" s="4"/>
      <c r="H1669" s="4"/>
      <c r="I1669" s="4"/>
      <c r="J1669" s="4"/>
      <c r="K1669" s="4"/>
      <c r="L1669" s="4"/>
      <c r="M1669" s="4"/>
    </row>
    <row r="1670" spans="1:13" s="34" customFormat="1">
      <c r="A1670" s="3"/>
      <c r="B1670" s="4"/>
      <c r="C1670" s="4"/>
      <c r="D1670" s="4"/>
      <c r="E1670" s="4"/>
      <c r="F1670" s="4"/>
      <c r="G1670" s="4"/>
      <c r="H1670" s="4"/>
      <c r="I1670" s="4"/>
      <c r="J1670" s="4"/>
      <c r="K1670" s="4"/>
      <c r="L1670" s="4"/>
      <c r="M1670" s="4"/>
    </row>
    <row r="1671" spans="1:13" s="34" customFormat="1">
      <c r="A1671" s="3"/>
      <c r="B1671" s="4"/>
      <c r="C1671" s="4"/>
      <c r="D1671" s="4"/>
      <c r="E1671" s="4"/>
      <c r="F1671" s="4"/>
      <c r="G1671" s="4"/>
      <c r="H1671" s="4"/>
      <c r="I1671" s="4"/>
      <c r="J1671" s="4"/>
      <c r="K1671" s="4"/>
      <c r="L1671" s="4"/>
      <c r="M1671" s="4"/>
    </row>
    <row r="1672" spans="1:13" s="34" customFormat="1">
      <c r="A1672" s="3"/>
      <c r="B1672" s="4"/>
      <c r="C1672" s="4"/>
      <c r="D1672" s="4"/>
      <c r="E1672" s="4"/>
      <c r="F1672" s="4"/>
      <c r="G1672" s="4"/>
      <c r="H1672" s="4"/>
      <c r="I1672" s="4"/>
      <c r="J1672" s="4"/>
      <c r="K1672" s="4"/>
      <c r="L1672" s="4"/>
      <c r="M1672" s="4"/>
    </row>
    <row r="1673" spans="1:13" s="34" customFormat="1">
      <c r="A1673" s="3"/>
      <c r="B1673" s="4"/>
      <c r="C1673" s="4"/>
      <c r="D1673" s="4"/>
      <c r="E1673" s="4"/>
      <c r="F1673" s="4"/>
      <c r="G1673" s="4"/>
      <c r="H1673" s="4"/>
      <c r="I1673" s="4"/>
      <c r="J1673" s="4"/>
      <c r="K1673" s="4"/>
      <c r="L1673" s="4"/>
      <c r="M1673" s="4"/>
    </row>
    <row r="1674" spans="1:13" s="34" customFormat="1">
      <c r="A1674" s="3"/>
      <c r="B1674" s="4"/>
      <c r="C1674" s="4"/>
      <c r="D1674" s="4"/>
      <c r="E1674" s="4"/>
      <c r="F1674" s="4"/>
      <c r="G1674" s="4"/>
      <c r="H1674" s="4"/>
      <c r="I1674" s="4"/>
      <c r="J1674" s="4"/>
      <c r="K1674" s="4"/>
      <c r="L1674" s="4"/>
      <c r="M1674" s="4"/>
    </row>
    <row r="1675" spans="1:13" s="34" customFormat="1">
      <c r="A1675" s="3"/>
      <c r="B1675" s="4"/>
      <c r="C1675" s="4"/>
      <c r="D1675" s="4"/>
      <c r="E1675" s="4"/>
      <c r="F1675" s="4"/>
      <c r="G1675" s="4"/>
      <c r="H1675" s="4"/>
      <c r="I1675" s="4"/>
      <c r="J1675" s="4"/>
      <c r="K1675" s="4"/>
      <c r="L1675" s="4"/>
      <c r="M1675" s="4"/>
    </row>
    <row r="1676" spans="1:13" s="34" customFormat="1">
      <c r="A1676" s="3"/>
      <c r="B1676" s="4"/>
      <c r="C1676" s="4"/>
      <c r="D1676" s="4"/>
      <c r="E1676" s="4"/>
      <c r="F1676" s="4"/>
      <c r="G1676" s="4"/>
      <c r="H1676" s="4"/>
      <c r="I1676" s="4"/>
      <c r="J1676" s="4"/>
      <c r="K1676" s="4"/>
      <c r="L1676" s="4"/>
      <c r="M1676" s="4"/>
    </row>
    <row r="1677" spans="1:13" s="34" customFormat="1">
      <c r="A1677" s="3"/>
      <c r="B1677" s="4"/>
      <c r="C1677" s="4"/>
      <c r="D1677" s="4"/>
      <c r="E1677" s="4"/>
      <c r="F1677" s="4"/>
      <c r="G1677" s="4"/>
      <c r="H1677" s="4"/>
      <c r="I1677" s="4"/>
      <c r="J1677" s="4"/>
      <c r="K1677" s="4"/>
      <c r="L1677" s="4"/>
      <c r="M1677" s="4"/>
    </row>
    <row r="1678" spans="1:13" s="34" customFormat="1">
      <c r="A1678" s="3"/>
      <c r="B1678" s="4"/>
      <c r="C1678" s="4"/>
      <c r="D1678" s="4"/>
      <c r="E1678" s="4"/>
      <c r="F1678" s="4"/>
      <c r="G1678" s="4"/>
      <c r="H1678" s="4"/>
      <c r="I1678" s="4"/>
      <c r="J1678" s="4"/>
      <c r="K1678" s="4"/>
      <c r="L1678" s="4"/>
      <c r="M1678" s="4"/>
    </row>
    <row r="1679" spans="1:13" s="34" customFormat="1">
      <c r="A1679" s="3"/>
      <c r="B1679" s="4"/>
      <c r="C1679" s="4"/>
      <c r="D1679" s="4"/>
      <c r="E1679" s="4"/>
      <c r="F1679" s="4"/>
      <c r="G1679" s="4"/>
      <c r="H1679" s="4"/>
      <c r="I1679" s="4"/>
      <c r="J1679" s="4"/>
      <c r="K1679" s="4"/>
      <c r="L1679" s="4"/>
      <c r="M1679" s="4"/>
    </row>
    <row r="1680" spans="1:13" s="34" customFormat="1">
      <c r="A1680" s="3"/>
      <c r="B1680" s="4"/>
      <c r="C1680" s="4"/>
      <c r="D1680" s="4"/>
      <c r="E1680" s="4"/>
      <c r="F1680" s="4"/>
      <c r="G1680" s="4"/>
      <c r="H1680" s="4"/>
      <c r="I1680" s="4"/>
      <c r="J1680" s="4"/>
      <c r="K1680" s="4"/>
      <c r="L1680" s="4"/>
      <c r="M1680" s="4"/>
    </row>
    <row r="1681" spans="1:13" s="34" customFormat="1">
      <c r="A1681" s="3"/>
      <c r="B1681" s="4"/>
      <c r="C1681" s="4"/>
      <c r="D1681" s="4"/>
      <c r="E1681" s="4"/>
      <c r="F1681" s="4"/>
      <c r="G1681" s="4"/>
      <c r="H1681" s="4"/>
      <c r="I1681" s="4"/>
      <c r="J1681" s="4"/>
      <c r="K1681" s="4"/>
      <c r="L1681" s="4"/>
      <c r="M1681" s="4"/>
    </row>
    <row r="1682" spans="1:13" s="34" customFormat="1">
      <c r="A1682" s="3"/>
      <c r="B1682" s="4"/>
      <c r="C1682" s="4"/>
      <c r="D1682" s="4"/>
      <c r="E1682" s="4"/>
      <c r="F1682" s="4"/>
      <c r="G1682" s="4"/>
      <c r="H1682" s="4"/>
      <c r="I1682" s="4"/>
      <c r="J1682" s="4"/>
      <c r="K1682" s="4"/>
      <c r="L1682" s="4"/>
      <c r="M1682" s="4"/>
    </row>
    <row r="1683" spans="1:13" s="34" customFormat="1">
      <c r="A1683" s="3"/>
      <c r="B1683" s="4"/>
      <c r="C1683" s="4"/>
      <c r="D1683" s="4"/>
      <c r="E1683" s="4"/>
      <c r="F1683" s="4"/>
      <c r="G1683" s="4"/>
      <c r="H1683" s="4"/>
      <c r="I1683" s="4"/>
      <c r="J1683" s="4"/>
      <c r="K1683" s="4"/>
      <c r="L1683" s="4"/>
      <c r="M1683" s="4"/>
    </row>
    <row r="1684" spans="1:13" s="34" customFormat="1">
      <c r="A1684" s="3"/>
      <c r="B1684" s="4"/>
      <c r="C1684" s="4"/>
      <c r="D1684" s="4"/>
      <c r="E1684" s="4"/>
      <c r="F1684" s="4"/>
      <c r="G1684" s="4"/>
      <c r="H1684" s="4"/>
      <c r="I1684" s="4"/>
      <c r="J1684" s="4"/>
      <c r="K1684" s="4"/>
      <c r="L1684" s="4"/>
      <c r="M1684" s="4"/>
    </row>
    <row r="1685" spans="1:13" s="34" customFormat="1">
      <c r="A1685" s="3"/>
      <c r="B1685" s="4"/>
      <c r="C1685" s="4"/>
      <c r="D1685" s="4"/>
      <c r="E1685" s="4"/>
      <c r="F1685" s="4"/>
      <c r="G1685" s="4"/>
      <c r="H1685" s="4"/>
      <c r="I1685" s="4"/>
      <c r="J1685" s="4"/>
      <c r="K1685" s="4"/>
      <c r="L1685" s="4"/>
      <c r="M1685" s="4"/>
    </row>
    <row r="1686" spans="1:13" s="34" customFormat="1">
      <c r="A1686" s="3"/>
      <c r="B1686" s="4"/>
      <c r="C1686" s="4"/>
      <c r="D1686" s="4"/>
      <c r="E1686" s="4"/>
      <c r="F1686" s="4"/>
      <c r="G1686" s="4"/>
      <c r="H1686" s="4"/>
      <c r="I1686" s="4"/>
      <c r="J1686" s="4"/>
      <c r="K1686" s="4"/>
      <c r="L1686" s="4"/>
      <c r="M1686" s="4"/>
    </row>
    <row r="1687" spans="1:13" s="34" customFormat="1">
      <c r="A1687" s="3"/>
      <c r="B1687" s="4"/>
      <c r="C1687" s="4"/>
      <c r="D1687" s="4"/>
      <c r="E1687" s="4"/>
      <c r="F1687" s="4"/>
      <c r="G1687" s="4"/>
      <c r="H1687" s="4"/>
      <c r="I1687" s="4"/>
      <c r="J1687" s="4"/>
      <c r="K1687" s="4"/>
      <c r="L1687" s="4"/>
      <c r="M1687" s="4"/>
    </row>
    <row r="1688" spans="1:13" s="34" customFormat="1">
      <c r="A1688" s="3"/>
      <c r="B1688" s="4"/>
      <c r="C1688" s="4"/>
      <c r="D1688" s="4"/>
      <c r="E1688" s="4"/>
      <c r="F1688" s="4"/>
      <c r="G1688" s="4"/>
      <c r="H1688" s="4"/>
      <c r="I1688" s="4"/>
      <c r="J1688" s="4"/>
      <c r="K1688" s="4"/>
      <c r="L1688" s="4"/>
      <c r="M1688" s="4"/>
    </row>
    <row r="1689" spans="1:13" s="34" customFormat="1">
      <c r="A1689" s="3"/>
      <c r="B1689" s="4"/>
      <c r="C1689" s="4"/>
      <c r="D1689" s="4"/>
      <c r="E1689" s="4"/>
      <c r="F1689" s="4"/>
      <c r="G1689" s="4"/>
      <c r="H1689" s="4"/>
      <c r="I1689" s="4"/>
      <c r="J1689" s="4"/>
      <c r="K1689" s="4"/>
      <c r="L1689" s="4"/>
      <c r="M1689" s="4"/>
    </row>
    <row r="1690" spans="1:13" s="34" customFormat="1">
      <c r="A1690" s="3"/>
      <c r="B1690" s="4"/>
      <c r="C1690" s="4"/>
      <c r="D1690" s="4"/>
      <c r="E1690" s="4"/>
      <c r="F1690" s="4"/>
      <c r="G1690" s="4"/>
      <c r="H1690" s="4"/>
      <c r="I1690" s="4"/>
      <c r="J1690" s="4"/>
      <c r="K1690" s="4"/>
      <c r="L1690" s="4"/>
      <c r="M1690" s="4"/>
    </row>
    <row r="1691" spans="1:13" s="34" customFormat="1">
      <c r="A1691" s="3"/>
      <c r="B1691" s="4"/>
      <c r="C1691" s="4"/>
      <c r="D1691" s="4"/>
      <c r="E1691" s="4"/>
      <c r="F1691" s="4"/>
      <c r="G1691" s="4"/>
      <c r="H1691" s="4"/>
      <c r="I1691" s="4"/>
      <c r="J1691" s="4"/>
      <c r="K1691" s="4"/>
      <c r="L1691" s="4"/>
      <c r="M1691" s="4"/>
    </row>
    <row r="1692" spans="1:13" s="34" customFormat="1">
      <c r="A1692" s="3"/>
      <c r="B1692" s="4"/>
      <c r="C1692" s="4"/>
      <c r="D1692" s="4"/>
      <c r="E1692" s="4"/>
      <c r="F1692" s="4"/>
      <c r="G1692" s="4"/>
      <c r="H1692" s="4"/>
      <c r="I1692" s="4"/>
      <c r="J1692" s="4"/>
      <c r="K1692" s="4"/>
      <c r="L1692" s="4"/>
      <c r="M1692" s="4"/>
    </row>
    <row r="1693" spans="1:13" s="34" customFormat="1">
      <c r="A1693" s="3"/>
      <c r="B1693" s="4"/>
      <c r="C1693" s="4"/>
      <c r="D1693" s="4"/>
      <c r="E1693" s="4"/>
      <c r="F1693" s="4"/>
      <c r="G1693" s="4"/>
      <c r="H1693" s="4"/>
      <c r="I1693" s="4"/>
      <c r="J1693" s="4"/>
      <c r="K1693" s="4"/>
      <c r="L1693" s="4"/>
      <c r="M1693" s="4"/>
    </row>
    <row r="1694" spans="1:13" s="34" customFormat="1">
      <c r="A1694" s="3"/>
      <c r="B1694" s="4"/>
      <c r="C1694" s="4"/>
      <c r="D1694" s="4"/>
      <c r="E1694" s="4"/>
      <c r="F1694" s="4"/>
      <c r="G1694" s="4"/>
      <c r="H1694" s="4"/>
      <c r="I1694" s="4"/>
      <c r="J1694" s="4"/>
      <c r="K1694" s="4"/>
      <c r="L1694" s="4"/>
      <c r="M1694" s="4"/>
    </row>
    <row r="1695" spans="1:13" s="34" customFormat="1">
      <c r="A1695" s="3"/>
      <c r="B1695" s="4"/>
      <c r="C1695" s="4"/>
      <c r="D1695" s="4"/>
      <c r="E1695" s="4"/>
      <c r="F1695" s="4"/>
      <c r="G1695" s="4"/>
      <c r="H1695" s="4"/>
      <c r="I1695" s="4"/>
      <c r="J1695" s="4"/>
      <c r="K1695" s="4"/>
      <c r="L1695" s="4"/>
      <c r="M1695" s="4"/>
    </row>
    <row r="1696" spans="1:13" s="34" customFormat="1">
      <c r="A1696" s="3"/>
      <c r="B1696" s="4"/>
      <c r="C1696" s="4"/>
      <c r="D1696" s="4"/>
      <c r="E1696" s="4"/>
      <c r="F1696" s="4"/>
      <c r="G1696" s="4"/>
      <c r="H1696" s="4"/>
      <c r="I1696" s="4"/>
      <c r="J1696" s="4"/>
      <c r="K1696" s="4"/>
      <c r="L1696" s="4"/>
      <c r="M1696" s="4"/>
    </row>
    <row r="1697" spans="1:13" s="34" customFormat="1">
      <c r="A1697" s="3"/>
      <c r="B1697" s="4"/>
      <c r="C1697" s="4"/>
      <c r="D1697" s="4"/>
      <c r="E1697" s="4"/>
      <c r="F1697" s="4"/>
      <c r="G1697" s="4"/>
      <c r="H1697" s="4"/>
      <c r="I1697" s="4"/>
      <c r="J1697" s="4"/>
      <c r="K1697" s="4"/>
      <c r="L1697" s="4"/>
      <c r="M1697" s="4"/>
    </row>
    <row r="1698" spans="1:13" s="34" customFormat="1">
      <c r="A1698" s="3"/>
      <c r="B1698" s="4"/>
      <c r="C1698" s="4"/>
      <c r="D1698" s="4"/>
      <c r="E1698" s="4"/>
      <c r="F1698" s="4"/>
      <c r="G1698" s="4"/>
      <c r="H1698" s="4"/>
      <c r="I1698" s="4"/>
      <c r="J1698" s="4"/>
      <c r="K1698" s="4"/>
      <c r="L1698" s="4"/>
      <c r="M1698" s="4"/>
    </row>
    <row r="1699" spans="1:13" s="34" customFormat="1">
      <c r="A1699" s="3"/>
      <c r="B1699" s="4"/>
      <c r="C1699" s="4"/>
      <c r="D1699" s="4"/>
      <c r="E1699" s="4"/>
      <c r="F1699" s="4"/>
      <c r="G1699" s="4"/>
      <c r="H1699" s="4"/>
      <c r="I1699" s="4"/>
      <c r="J1699" s="4"/>
      <c r="K1699" s="4"/>
      <c r="L1699" s="4"/>
      <c r="M1699" s="4"/>
    </row>
    <row r="1700" spans="1:13" s="34" customFormat="1">
      <c r="A1700" s="3"/>
      <c r="B1700" s="4"/>
      <c r="C1700" s="4"/>
      <c r="D1700" s="4"/>
      <c r="E1700" s="4"/>
      <c r="F1700" s="4"/>
      <c r="G1700" s="4"/>
      <c r="H1700" s="4"/>
      <c r="I1700" s="4"/>
      <c r="J1700" s="4"/>
      <c r="K1700" s="4"/>
      <c r="L1700" s="4"/>
      <c r="M1700" s="4"/>
    </row>
    <row r="1701" spans="1:13" s="34" customFormat="1">
      <c r="A1701" s="3"/>
      <c r="B1701" s="4"/>
      <c r="C1701" s="4"/>
      <c r="D1701" s="4"/>
      <c r="E1701" s="4"/>
      <c r="F1701" s="4"/>
      <c r="G1701" s="4"/>
      <c r="H1701" s="4"/>
      <c r="I1701" s="4"/>
      <c r="J1701" s="4"/>
      <c r="K1701" s="4"/>
      <c r="L1701" s="4"/>
      <c r="M1701" s="4"/>
    </row>
    <row r="1702" spans="1:13" s="34" customFormat="1">
      <c r="A1702" s="3"/>
      <c r="B1702" s="4"/>
      <c r="C1702" s="4"/>
      <c r="D1702" s="4"/>
      <c r="E1702" s="4"/>
      <c r="F1702" s="4"/>
      <c r="G1702" s="4"/>
      <c r="H1702" s="4"/>
      <c r="I1702" s="4"/>
      <c r="J1702" s="4"/>
      <c r="K1702" s="4"/>
      <c r="L1702" s="4"/>
      <c r="M1702" s="4"/>
    </row>
    <row r="1703" spans="1:13" s="34" customFormat="1">
      <c r="A1703" s="3"/>
      <c r="B1703" s="4"/>
      <c r="C1703" s="4"/>
      <c r="D1703" s="4"/>
      <c r="E1703" s="4"/>
      <c r="F1703" s="4"/>
      <c r="G1703" s="4"/>
      <c r="H1703" s="4"/>
      <c r="I1703" s="4"/>
      <c r="J1703" s="4"/>
      <c r="K1703" s="4"/>
      <c r="L1703" s="4"/>
      <c r="M1703" s="4"/>
    </row>
    <row r="1704" spans="1:13" s="34" customFormat="1">
      <c r="A1704" s="3"/>
      <c r="B1704" s="4"/>
      <c r="C1704" s="4"/>
      <c r="D1704" s="4"/>
      <c r="E1704" s="4"/>
      <c r="F1704" s="4"/>
      <c r="G1704" s="4"/>
      <c r="H1704" s="4"/>
      <c r="I1704" s="4"/>
      <c r="J1704" s="4"/>
      <c r="K1704" s="4"/>
      <c r="L1704" s="4"/>
      <c r="M1704" s="4"/>
    </row>
    <row r="1705" spans="1:13" s="34" customFormat="1">
      <c r="A1705" s="3"/>
      <c r="B1705" s="4"/>
      <c r="C1705" s="4"/>
      <c r="D1705" s="4"/>
      <c r="E1705" s="4"/>
      <c r="F1705" s="4"/>
      <c r="G1705" s="4"/>
      <c r="H1705" s="4"/>
      <c r="I1705" s="4"/>
      <c r="J1705" s="4"/>
      <c r="K1705" s="4"/>
      <c r="L1705" s="4"/>
      <c r="M1705" s="4"/>
    </row>
    <row r="1706" spans="1:13" s="34" customFormat="1">
      <c r="A1706" s="3"/>
      <c r="B1706" s="4"/>
      <c r="C1706" s="4"/>
      <c r="D1706" s="4"/>
      <c r="E1706" s="4"/>
      <c r="F1706" s="4"/>
      <c r="G1706" s="4"/>
      <c r="H1706" s="4"/>
      <c r="I1706" s="4"/>
      <c r="J1706" s="4"/>
      <c r="K1706" s="4"/>
      <c r="L1706" s="4"/>
      <c r="M1706" s="4"/>
    </row>
    <row r="1707" spans="1:13" s="34" customFormat="1">
      <c r="A1707" s="3"/>
      <c r="B1707" s="4"/>
      <c r="C1707" s="4"/>
      <c r="D1707" s="4"/>
      <c r="E1707" s="4"/>
      <c r="F1707" s="4"/>
      <c r="G1707" s="4"/>
      <c r="H1707" s="4"/>
      <c r="I1707" s="4"/>
      <c r="J1707" s="4"/>
      <c r="K1707" s="4"/>
      <c r="L1707" s="4"/>
      <c r="M1707" s="4"/>
    </row>
    <row r="1708" spans="1:13" s="34" customFormat="1">
      <c r="A1708" s="3"/>
      <c r="B1708" s="4"/>
      <c r="C1708" s="4"/>
      <c r="D1708" s="4"/>
      <c r="E1708" s="4"/>
      <c r="F1708" s="4"/>
      <c r="G1708" s="4"/>
      <c r="H1708" s="4"/>
      <c r="I1708" s="4"/>
      <c r="J1708" s="4"/>
      <c r="K1708" s="4"/>
      <c r="L1708" s="4"/>
      <c r="M1708" s="4"/>
    </row>
    <row r="1709" spans="1:13" s="34" customFormat="1">
      <c r="A1709" s="3"/>
      <c r="B1709" s="4"/>
      <c r="C1709" s="4"/>
      <c r="D1709" s="4"/>
      <c r="E1709" s="4"/>
      <c r="F1709" s="4"/>
      <c r="G1709" s="4"/>
      <c r="H1709" s="4"/>
      <c r="I1709" s="4"/>
      <c r="J1709" s="4"/>
      <c r="K1709" s="4"/>
      <c r="L1709" s="4"/>
      <c r="M1709" s="4"/>
    </row>
    <row r="1710" spans="1:13" s="34" customFormat="1">
      <c r="A1710" s="3"/>
      <c r="B1710" s="4"/>
      <c r="C1710" s="4"/>
      <c r="D1710" s="4"/>
      <c r="E1710" s="4"/>
      <c r="F1710" s="4"/>
      <c r="G1710" s="4"/>
      <c r="H1710" s="4"/>
      <c r="I1710" s="4"/>
      <c r="J1710" s="4"/>
      <c r="K1710" s="4"/>
      <c r="L1710" s="4"/>
      <c r="M1710" s="4"/>
    </row>
    <row r="1711" spans="1:13" s="34" customFormat="1">
      <c r="A1711" s="3"/>
      <c r="B1711" s="4"/>
      <c r="C1711" s="4"/>
      <c r="D1711" s="4"/>
      <c r="E1711" s="4"/>
      <c r="F1711" s="4"/>
      <c r="G1711" s="4"/>
      <c r="H1711" s="4"/>
      <c r="I1711" s="4"/>
      <c r="J1711" s="4"/>
      <c r="K1711" s="4"/>
      <c r="L1711" s="4"/>
      <c r="M1711" s="4"/>
    </row>
    <row r="1712" spans="1:13" s="34" customFormat="1">
      <c r="A1712" s="3"/>
      <c r="B1712" s="4"/>
      <c r="C1712" s="4"/>
      <c r="D1712" s="4"/>
      <c r="E1712" s="4"/>
      <c r="F1712" s="4"/>
      <c r="G1712" s="4"/>
      <c r="H1712" s="4"/>
      <c r="I1712" s="4"/>
      <c r="J1712" s="4"/>
      <c r="K1712" s="4"/>
      <c r="L1712" s="4"/>
      <c r="M1712" s="4"/>
    </row>
    <row r="1713" spans="1:13" s="34" customFormat="1">
      <c r="A1713" s="3"/>
      <c r="B1713" s="4"/>
      <c r="C1713" s="4"/>
      <c r="D1713" s="4"/>
      <c r="E1713" s="4"/>
      <c r="F1713" s="4"/>
      <c r="G1713" s="4"/>
      <c r="H1713" s="4"/>
      <c r="I1713" s="4"/>
      <c r="J1713" s="4"/>
      <c r="K1713" s="4"/>
      <c r="L1713" s="4"/>
      <c r="M1713" s="4"/>
    </row>
    <row r="1714" spans="1:13" s="34" customFormat="1">
      <c r="A1714" s="3"/>
      <c r="B1714" s="4"/>
      <c r="C1714" s="4"/>
      <c r="D1714" s="4"/>
      <c r="E1714" s="4"/>
      <c r="F1714" s="4"/>
      <c r="G1714" s="4"/>
      <c r="H1714" s="4"/>
      <c r="I1714" s="4"/>
      <c r="J1714" s="4"/>
      <c r="K1714" s="4"/>
      <c r="L1714" s="4"/>
      <c r="M1714" s="4"/>
    </row>
    <row r="1715" spans="1:13" s="34" customFormat="1">
      <c r="A1715" s="3"/>
      <c r="B1715" s="4"/>
      <c r="C1715" s="4"/>
      <c r="D1715" s="4"/>
      <c r="E1715" s="4"/>
      <c r="F1715" s="4"/>
      <c r="G1715" s="4"/>
      <c r="H1715" s="4"/>
      <c r="I1715" s="4"/>
      <c r="J1715" s="4"/>
      <c r="K1715" s="4"/>
      <c r="L1715" s="4"/>
      <c r="M1715" s="4"/>
    </row>
    <row r="1716" spans="1:13" s="34" customFormat="1">
      <c r="A1716" s="3"/>
      <c r="B1716" s="4"/>
      <c r="C1716" s="4"/>
      <c r="D1716" s="4"/>
      <c r="E1716" s="4"/>
      <c r="F1716" s="4"/>
      <c r="G1716" s="4"/>
      <c r="H1716" s="4"/>
      <c r="I1716" s="4"/>
      <c r="J1716" s="4"/>
      <c r="K1716" s="4"/>
      <c r="L1716" s="4"/>
      <c r="M1716" s="4"/>
    </row>
    <row r="1717" spans="1:13" s="34" customFormat="1">
      <c r="A1717" s="3"/>
      <c r="B1717" s="4"/>
      <c r="C1717" s="4"/>
      <c r="D1717" s="4"/>
      <c r="E1717" s="4"/>
      <c r="F1717" s="4"/>
      <c r="G1717" s="4"/>
      <c r="H1717" s="4"/>
      <c r="I1717" s="4"/>
      <c r="J1717" s="4"/>
      <c r="K1717" s="4"/>
      <c r="L1717" s="4"/>
      <c r="M1717" s="4"/>
    </row>
    <row r="1718" spans="1:13" s="34" customFormat="1">
      <c r="A1718" s="3"/>
      <c r="B1718" s="4"/>
      <c r="C1718" s="4"/>
      <c r="D1718" s="4"/>
      <c r="E1718" s="4"/>
      <c r="F1718" s="4"/>
      <c r="G1718" s="4"/>
      <c r="H1718" s="4"/>
      <c r="I1718" s="4"/>
      <c r="J1718" s="4"/>
      <c r="K1718" s="4"/>
      <c r="L1718" s="4"/>
      <c r="M1718" s="4"/>
    </row>
    <row r="1719" spans="1:13" s="34" customFormat="1">
      <c r="A1719" s="3"/>
      <c r="B1719" s="4"/>
      <c r="C1719" s="4"/>
      <c r="D1719" s="4"/>
      <c r="E1719" s="4"/>
      <c r="F1719" s="4"/>
      <c r="G1719" s="4"/>
      <c r="H1719" s="4"/>
      <c r="I1719" s="4"/>
      <c r="J1719" s="4"/>
      <c r="K1719" s="4"/>
      <c r="L1719" s="4"/>
      <c r="M1719" s="4"/>
    </row>
    <row r="1720" spans="1:13" s="34" customFormat="1">
      <c r="A1720" s="3"/>
      <c r="B1720" s="4"/>
      <c r="C1720" s="4"/>
      <c r="D1720" s="4"/>
      <c r="E1720" s="4"/>
      <c r="F1720" s="4"/>
      <c r="G1720" s="4"/>
      <c r="H1720" s="4"/>
      <c r="I1720" s="4"/>
      <c r="J1720" s="4"/>
      <c r="K1720" s="4"/>
      <c r="L1720" s="4"/>
      <c r="M1720" s="4"/>
    </row>
    <row r="1721" spans="1:13" s="34" customFormat="1">
      <c r="A1721" s="3"/>
      <c r="B1721" s="4"/>
      <c r="C1721" s="4"/>
      <c r="D1721" s="4"/>
      <c r="E1721" s="4"/>
      <c r="F1721" s="4"/>
      <c r="G1721" s="4"/>
      <c r="H1721" s="4"/>
      <c r="I1721" s="4"/>
      <c r="J1721" s="4"/>
      <c r="K1721" s="4"/>
      <c r="L1721" s="4"/>
      <c r="M1721" s="4"/>
    </row>
    <row r="1722" spans="1:13" s="34" customFormat="1">
      <c r="A1722" s="3"/>
      <c r="B1722" s="4"/>
      <c r="C1722" s="4"/>
      <c r="D1722" s="4"/>
      <c r="E1722" s="4"/>
      <c r="F1722" s="4"/>
      <c r="G1722" s="4"/>
      <c r="H1722" s="4"/>
      <c r="I1722" s="4"/>
      <c r="J1722" s="4"/>
      <c r="K1722" s="4"/>
      <c r="L1722" s="4"/>
      <c r="M1722" s="4"/>
    </row>
    <row r="1723" spans="1:13" s="34" customFormat="1">
      <c r="A1723" s="3"/>
      <c r="B1723" s="4"/>
      <c r="C1723" s="4"/>
      <c r="D1723" s="4"/>
      <c r="E1723" s="4"/>
      <c r="F1723" s="4"/>
      <c r="G1723" s="4"/>
      <c r="H1723" s="4"/>
      <c r="I1723" s="4"/>
      <c r="J1723" s="4"/>
      <c r="K1723" s="4"/>
      <c r="L1723" s="4"/>
      <c r="M1723" s="4"/>
    </row>
    <row r="1724" spans="1:13" s="34" customFormat="1">
      <c r="A1724" s="3"/>
      <c r="B1724" s="4"/>
      <c r="C1724" s="4"/>
      <c r="D1724" s="4"/>
      <c r="E1724" s="4"/>
      <c r="F1724" s="4"/>
      <c r="G1724" s="4"/>
      <c r="H1724" s="4"/>
      <c r="I1724" s="4"/>
      <c r="J1724" s="4"/>
      <c r="K1724" s="4"/>
      <c r="L1724" s="4"/>
      <c r="M1724" s="4"/>
    </row>
    <row r="1725" spans="1:13" s="34" customFormat="1">
      <c r="A1725" s="3"/>
      <c r="B1725" s="4"/>
      <c r="C1725" s="4"/>
      <c r="D1725" s="4"/>
      <c r="E1725" s="4"/>
      <c r="F1725" s="4"/>
      <c r="G1725" s="4"/>
      <c r="H1725" s="4"/>
      <c r="I1725" s="4"/>
      <c r="J1725" s="4"/>
      <c r="K1725" s="4"/>
      <c r="L1725" s="4"/>
      <c r="M1725" s="4"/>
    </row>
    <row r="1726" spans="1:13" s="34" customFormat="1">
      <c r="A1726" s="3"/>
      <c r="B1726" s="4"/>
      <c r="C1726" s="4"/>
      <c r="D1726" s="4"/>
      <c r="E1726" s="4"/>
      <c r="F1726" s="4"/>
      <c r="G1726" s="4"/>
      <c r="H1726" s="4"/>
      <c r="I1726" s="4"/>
      <c r="J1726" s="4"/>
      <c r="K1726" s="4"/>
      <c r="L1726" s="4"/>
      <c r="M1726" s="4"/>
    </row>
    <row r="1727" spans="1:13" s="34" customFormat="1">
      <c r="A1727" s="3"/>
      <c r="B1727" s="4"/>
      <c r="C1727" s="4"/>
      <c r="D1727" s="4"/>
      <c r="E1727" s="4"/>
      <c r="F1727" s="4"/>
      <c r="G1727" s="4"/>
      <c r="H1727" s="4"/>
      <c r="I1727" s="4"/>
      <c r="J1727" s="4"/>
      <c r="K1727" s="4"/>
      <c r="L1727" s="4"/>
      <c r="M1727" s="4"/>
    </row>
    <row r="1728" spans="1:13" s="34" customFormat="1">
      <c r="A1728" s="3"/>
      <c r="B1728" s="4"/>
      <c r="C1728" s="4"/>
      <c r="D1728" s="4"/>
      <c r="E1728" s="4"/>
      <c r="F1728" s="4"/>
      <c r="G1728" s="4"/>
      <c r="H1728" s="4"/>
      <c r="I1728" s="4"/>
      <c r="J1728" s="4"/>
      <c r="K1728" s="4"/>
      <c r="L1728" s="4"/>
      <c r="M1728" s="4"/>
    </row>
    <row r="1729" spans="1:13" s="34" customFormat="1">
      <c r="A1729" s="3"/>
      <c r="B1729" s="4"/>
      <c r="C1729" s="4"/>
      <c r="D1729" s="4"/>
      <c r="E1729" s="4"/>
      <c r="F1729" s="4"/>
      <c r="G1729" s="4"/>
      <c r="H1729" s="4"/>
      <c r="I1729" s="4"/>
      <c r="J1729" s="4"/>
      <c r="K1729" s="4"/>
      <c r="L1729" s="4"/>
      <c r="M1729" s="4"/>
    </row>
    <row r="1730" spans="1:13" s="34" customFormat="1">
      <c r="A1730" s="3"/>
      <c r="B1730" s="4"/>
      <c r="C1730" s="4"/>
      <c r="D1730" s="4"/>
      <c r="E1730" s="4"/>
      <c r="F1730" s="4"/>
      <c r="G1730" s="4"/>
      <c r="H1730" s="4"/>
      <c r="I1730" s="4"/>
      <c r="J1730" s="4"/>
      <c r="K1730" s="4"/>
      <c r="L1730" s="4"/>
      <c r="M1730" s="4"/>
    </row>
    <row r="1731" spans="1:13" s="34" customFormat="1">
      <c r="A1731" s="3"/>
      <c r="B1731" s="4"/>
      <c r="C1731" s="4"/>
      <c r="D1731" s="4"/>
      <c r="E1731" s="4"/>
      <c r="F1731" s="4"/>
      <c r="G1731" s="4"/>
      <c r="H1731" s="4"/>
      <c r="I1731" s="4"/>
      <c r="J1731" s="4"/>
      <c r="K1731" s="4"/>
      <c r="L1731" s="4"/>
      <c r="M1731" s="4"/>
    </row>
    <row r="1732" spans="1:13" s="34" customFormat="1">
      <c r="A1732" s="3"/>
      <c r="B1732" s="4"/>
      <c r="C1732" s="4"/>
      <c r="D1732" s="4"/>
      <c r="E1732" s="4"/>
      <c r="F1732" s="4"/>
      <c r="G1732" s="4"/>
      <c r="H1732" s="4"/>
      <c r="I1732" s="4"/>
      <c r="J1732" s="4"/>
      <c r="K1732" s="4"/>
      <c r="L1732" s="4"/>
      <c r="M1732" s="4"/>
    </row>
    <row r="1733" spans="1:13" s="34" customFormat="1">
      <c r="A1733" s="3"/>
      <c r="B1733" s="4"/>
      <c r="C1733" s="4"/>
      <c r="D1733" s="4"/>
      <c r="E1733" s="4"/>
      <c r="F1733" s="4"/>
      <c r="G1733" s="4"/>
      <c r="H1733" s="4"/>
      <c r="I1733" s="4"/>
      <c r="J1733" s="4"/>
      <c r="K1733" s="4"/>
      <c r="L1733" s="4"/>
      <c r="M1733" s="4"/>
    </row>
    <row r="1734" spans="1:13" s="34" customFormat="1">
      <c r="A1734" s="3"/>
      <c r="B1734" s="4"/>
      <c r="C1734" s="4"/>
      <c r="D1734" s="4"/>
      <c r="E1734" s="4"/>
      <c r="F1734" s="4"/>
      <c r="G1734" s="4"/>
      <c r="H1734" s="4"/>
      <c r="I1734" s="4"/>
      <c r="J1734" s="4"/>
      <c r="K1734" s="4"/>
      <c r="L1734" s="4"/>
      <c r="M1734" s="4"/>
    </row>
    <row r="1735" spans="1:13" s="34" customFormat="1">
      <c r="A1735" s="3"/>
      <c r="B1735" s="4"/>
      <c r="C1735" s="4"/>
      <c r="D1735" s="4"/>
      <c r="E1735" s="4"/>
      <c r="F1735" s="4"/>
      <c r="G1735" s="4"/>
      <c r="H1735" s="4"/>
      <c r="I1735" s="4"/>
      <c r="J1735" s="4"/>
      <c r="K1735" s="4"/>
      <c r="L1735" s="4"/>
      <c r="M1735" s="4"/>
    </row>
    <row r="1736" spans="1:13" s="34" customFormat="1">
      <c r="A1736" s="3"/>
      <c r="B1736" s="4"/>
      <c r="C1736" s="4"/>
      <c r="D1736" s="4"/>
      <c r="E1736" s="4"/>
      <c r="F1736" s="4"/>
      <c r="G1736" s="4"/>
      <c r="H1736" s="4"/>
      <c r="I1736" s="4"/>
      <c r="J1736" s="4"/>
      <c r="K1736" s="4"/>
      <c r="L1736" s="4"/>
      <c r="M1736" s="4"/>
    </row>
    <row r="1737" spans="1:13" s="34" customFormat="1">
      <c r="A1737" s="3"/>
      <c r="B1737" s="4"/>
      <c r="C1737" s="4"/>
      <c r="D1737" s="4"/>
      <c r="E1737" s="4"/>
      <c r="F1737" s="4"/>
      <c r="G1737" s="4"/>
      <c r="H1737" s="4"/>
      <c r="I1737" s="4"/>
      <c r="J1737" s="4"/>
      <c r="K1737" s="4"/>
      <c r="L1737" s="4"/>
      <c r="M1737" s="4"/>
    </row>
    <row r="1738" spans="1:13" s="34" customFormat="1">
      <c r="A1738" s="3"/>
      <c r="B1738" s="4"/>
      <c r="C1738" s="4"/>
      <c r="D1738" s="4"/>
      <c r="E1738" s="4"/>
      <c r="F1738" s="4"/>
      <c r="G1738" s="4"/>
      <c r="H1738" s="4"/>
      <c r="I1738" s="4"/>
      <c r="J1738" s="4"/>
      <c r="K1738" s="4"/>
      <c r="L1738" s="4"/>
      <c r="M1738" s="4"/>
    </row>
    <row r="1739" spans="1:13" s="34" customFormat="1">
      <c r="A1739" s="3"/>
      <c r="B1739" s="4"/>
      <c r="C1739" s="4"/>
      <c r="D1739" s="4"/>
      <c r="E1739" s="4"/>
      <c r="F1739" s="4"/>
      <c r="G1739" s="4"/>
      <c r="H1739" s="4"/>
      <c r="I1739" s="4"/>
      <c r="J1739" s="4"/>
      <c r="K1739" s="4"/>
      <c r="L1739" s="4"/>
      <c r="M1739" s="4"/>
    </row>
    <row r="1740" spans="1:13" s="34" customFormat="1">
      <c r="A1740" s="3"/>
      <c r="B1740" s="4"/>
      <c r="C1740" s="4"/>
      <c r="D1740" s="4"/>
      <c r="E1740" s="4"/>
      <c r="F1740" s="4"/>
      <c r="G1740" s="4"/>
      <c r="H1740" s="4"/>
      <c r="I1740" s="4"/>
      <c r="J1740" s="4"/>
      <c r="K1740" s="4"/>
      <c r="L1740" s="4"/>
      <c r="M1740" s="4"/>
    </row>
    <row r="1741" spans="1:13" s="34" customFormat="1">
      <c r="A1741" s="3"/>
      <c r="B1741" s="4"/>
      <c r="C1741" s="4"/>
      <c r="D1741" s="4"/>
      <c r="E1741" s="4"/>
      <c r="F1741" s="4"/>
      <c r="G1741" s="4"/>
      <c r="H1741" s="4"/>
      <c r="I1741" s="4"/>
      <c r="J1741" s="4"/>
      <c r="K1741" s="4"/>
      <c r="L1741" s="4"/>
      <c r="M1741" s="4"/>
    </row>
    <row r="1742" spans="1:13" s="34" customFormat="1">
      <c r="A1742" s="3"/>
      <c r="B1742" s="4"/>
      <c r="C1742" s="4"/>
      <c r="D1742" s="4"/>
      <c r="E1742" s="4"/>
      <c r="F1742" s="4"/>
      <c r="G1742" s="4"/>
      <c r="H1742" s="4"/>
      <c r="I1742" s="4"/>
      <c r="J1742" s="4"/>
      <c r="K1742" s="4"/>
      <c r="L1742" s="4"/>
      <c r="M1742" s="4"/>
    </row>
    <row r="1743" spans="1:13" s="34" customFormat="1">
      <c r="A1743" s="3"/>
      <c r="B1743" s="4"/>
      <c r="C1743" s="4"/>
      <c r="D1743" s="4"/>
      <c r="E1743" s="4"/>
      <c r="F1743" s="4"/>
      <c r="G1743" s="4"/>
      <c r="H1743" s="4"/>
      <c r="I1743" s="4"/>
      <c r="J1743" s="4"/>
      <c r="K1743" s="4"/>
      <c r="L1743" s="4"/>
      <c r="M1743" s="4"/>
    </row>
    <row r="1744" spans="1:13" s="34" customFormat="1">
      <c r="A1744" s="3"/>
      <c r="B1744" s="4"/>
      <c r="C1744" s="4"/>
      <c r="D1744" s="4"/>
      <c r="E1744" s="4"/>
      <c r="F1744" s="4"/>
      <c r="G1744" s="4"/>
      <c r="H1744" s="4"/>
      <c r="I1744" s="4"/>
      <c r="J1744" s="4"/>
      <c r="K1744" s="4"/>
      <c r="L1744" s="4"/>
      <c r="M1744" s="4"/>
    </row>
    <row r="1745" spans="1:13" s="34" customFormat="1">
      <c r="A1745" s="3"/>
      <c r="B1745" s="4"/>
      <c r="C1745" s="4"/>
      <c r="D1745" s="4"/>
      <c r="E1745" s="4"/>
      <c r="F1745" s="4"/>
      <c r="G1745" s="4"/>
      <c r="H1745" s="4"/>
      <c r="I1745" s="4"/>
      <c r="J1745" s="4"/>
      <c r="K1745" s="4"/>
      <c r="L1745" s="4"/>
      <c r="M1745" s="4"/>
    </row>
    <row r="1746" spans="1:13" s="34" customFormat="1">
      <c r="A1746" s="3"/>
      <c r="B1746" s="4"/>
      <c r="C1746" s="4"/>
      <c r="D1746" s="4"/>
      <c r="E1746" s="4"/>
      <c r="F1746" s="4"/>
      <c r="G1746" s="4"/>
      <c r="H1746" s="4"/>
      <c r="I1746" s="4"/>
      <c r="J1746" s="4"/>
      <c r="K1746" s="4"/>
      <c r="L1746" s="4"/>
      <c r="M1746" s="4"/>
    </row>
    <row r="1747" spans="1:13" s="34" customFormat="1">
      <c r="A1747" s="3"/>
      <c r="B1747" s="4"/>
      <c r="C1747" s="4"/>
      <c r="D1747" s="4"/>
      <c r="E1747" s="4"/>
      <c r="F1747" s="4"/>
      <c r="G1747" s="4"/>
      <c r="H1747" s="4"/>
      <c r="I1747" s="4"/>
      <c r="J1747" s="4"/>
      <c r="K1747" s="4"/>
      <c r="L1747" s="4"/>
      <c r="M1747" s="4"/>
    </row>
    <row r="1748" spans="1:13" s="34" customFormat="1">
      <c r="A1748" s="3"/>
      <c r="B1748" s="4"/>
      <c r="C1748" s="4"/>
      <c r="D1748" s="4"/>
      <c r="E1748" s="4"/>
      <c r="F1748" s="4"/>
      <c r="G1748" s="4"/>
      <c r="H1748" s="4"/>
      <c r="I1748" s="4"/>
      <c r="J1748" s="4"/>
      <c r="K1748" s="4"/>
      <c r="L1748" s="4"/>
      <c r="M1748" s="4"/>
    </row>
    <row r="1749" spans="1:13" s="34" customFormat="1">
      <c r="A1749" s="3"/>
      <c r="B1749" s="4"/>
      <c r="C1749" s="4"/>
      <c r="D1749" s="4"/>
      <c r="E1749" s="4"/>
      <c r="F1749" s="4"/>
      <c r="G1749" s="4"/>
      <c r="H1749" s="4"/>
      <c r="I1749" s="4"/>
      <c r="J1749" s="4"/>
      <c r="K1749" s="4"/>
      <c r="L1749" s="4"/>
      <c r="M1749" s="4"/>
    </row>
    <row r="1750" spans="1:13" s="34" customFormat="1">
      <c r="A1750" s="3"/>
      <c r="B1750" s="4"/>
      <c r="C1750" s="4"/>
      <c r="D1750" s="4"/>
      <c r="E1750" s="4"/>
      <c r="F1750" s="4"/>
      <c r="G1750" s="4"/>
      <c r="H1750" s="4"/>
      <c r="I1750" s="4"/>
      <c r="J1750" s="4"/>
      <c r="K1750" s="4"/>
      <c r="L1750" s="4"/>
      <c r="M1750" s="4"/>
    </row>
    <row r="1751" spans="1:13" s="34" customFormat="1">
      <c r="A1751" s="3"/>
      <c r="B1751" s="4"/>
      <c r="C1751" s="4"/>
      <c r="D1751" s="4"/>
      <c r="E1751" s="4"/>
      <c r="F1751" s="4"/>
      <c r="G1751" s="4"/>
      <c r="H1751" s="4"/>
      <c r="I1751" s="4"/>
      <c r="J1751" s="4"/>
      <c r="K1751" s="4"/>
      <c r="L1751" s="4"/>
      <c r="M1751" s="4"/>
    </row>
    <row r="1752" spans="1:13" s="34" customFormat="1">
      <c r="A1752" s="3"/>
      <c r="B1752" s="4"/>
      <c r="C1752" s="4"/>
      <c r="D1752" s="4"/>
      <c r="E1752" s="4"/>
      <c r="F1752" s="4"/>
      <c r="G1752" s="4"/>
      <c r="H1752" s="4"/>
      <c r="I1752" s="4"/>
      <c r="J1752" s="4"/>
      <c r="K1752" s="4"/>
      <c r="L1752" s="4"/>
      <c r="M1752" s="4"/>
    </row>
    <row r="1753" spans="1:13" s="34" customFormat="1">
      <c r="A1753" s="3"/>
      <c r="B1753" s="4"/>
      <c r="C1753" s="4"/>
      <c r="D1753" s="4"/>
      <c r="E1753" s="4"/>
      <c r="F1753" s="4"/>
      <c r="G1753" s="4"/>
      <c r="H1753" s="4"/>
      <c r="I1753" s="4"/>
      <c r="J1753" s="4"/>
      <c r="K1753" s="4"/>
      <c r="L1753" s="4"/>
      <c r="M1753" s="4"/>
    </row>
    <row r="1754" spans="1:13" s="34" customFormat="1">
      <c r="A1754" s="3"/>
      <c r="B1754" s="4"/>
      <c r="C1754" s="4"/>
      <c r="D1754" s="4"/>
      <c r="E1754" s="4"/>
      <c r="F1754" s="4"/>
      <c r="G1754" s="4"/>
      <c r="H1754" s="4"/>
      <c r="I1754" s="4"/>
      <c r="J1754" s="4"/>
      <c r="K1754" s="4"/>
      <c r="L1754" s="4"/>
      <c r="M1754" s="4"/>
    </row>
    <row r="1755" spans="1:13" s="34" customFormat="1">
      <c r="A1755" s="3"/>
      <c r="B1755" s="4"/>
      <c r="C1755" s="4"/>
      <c r="D1755" s="4"/>
      <c r="E1755" s="4"/>
      <c r="F1755" s="4"/>
      <c r="G1755" s="4"/>
      <c r="H1755" s="4"/>
      <c r="I1755" s="4"/>
      <c r="J1755" s="4"/>
      <c r="K1755" s="4"/>
      <c r="L1755" s="4"/>
      <c r="M1755" s="4"/>
    </row>
    <row r="1756" spans="1:13" s="34" customFormat="1">
      <c r="A1756" s="3"/>
      <c r="B1756" s="4"/>
      <c r="C1756" s="4"/>
      <c r="D1756" s="4"/>
      <c r="E1756" s="4"/>
      <c r="F1756" s="4"/>
      <c r="G1756" s="4"/>
      <c r="H1756" s="4"/>
      <c r="I1756" s="4"/>
      <c r="J1756" s="4"/>
      <c r="K1756" s="4"/>
      <c r="L1756" s="4"/>
      <c r="M1756" s="4"/>
    </row>
    <row r="1757" spans="1:13" s="34" customFormat="1">
      <c r="A1757" s="3"/>
      <c r="B1757" s="4"/>
      <c r="C1757" s="4"/>
      <c r="D1757" s="4"/>
      <c r="E1757" s="4"/>
      <c r="F1757" s="4"/>
      <c r="G1757" s="4"/>
      <c r="H1757" s="4"/>
      <c r="I1757" s="4"/>
      <c r="J1757" s="4"/>
      <c r="K1757" s="4"/>
      <c r="L1757" s="4"/>
      <c r="M1757" s="4"/>
    </row>
    <row r="1758" spans="1:13" s="34" customFormat="1">
      <c r="A1758" s="3"/>
      <c r="B1758" s="4"/>
      <c r="C1758" s="4"/>
      <c r="D1758" s="4"/>
      <c r="E1758" s="4"/>
      <c r="F1758" s="4"/>
      <c r="G1758" s="4"/>
      <c r="H1758" s="4"/>
      <c r="I1758" s="4"/>
      <c r="J1758" s="4"/>
      <c r="K1758" s="4"/>
      <c r="L1758" s="4"/>
      <c r="M1758" s="4"/>
    </row>
    <row r="1759" spans="1:13" s="34" customFormat="1">
      <c r="A1759" s="3"/>
      <c r="B1759" s="4"/>
      <c r="C1759" s="4"/>
      <c r="D1759" s="4"/>
      <c r="E1759" s="4"/>
      <c r="F1759" s="4"/>
      <c r="G1759" s="4"/>
      <c r="H1759" s="4"/>
      <c r="I1759" s="4"/>
      <c r="J1759" s="4"/>
      <c r="K1759" s="4"/>
      <c r="L1759" s="4"/>
      <c r="M1759" s="4"/>
    </row>
    <row r="1760" spans="1:13" s="34" customFormat="1">
      <c r="A1760" s="3"/>
      <c r="B1760" s="4"/>
      <c r="C1760" s="4"/>
      <c r="D1760" s="4"/>
      <c r="E1760" s="4"/>
      <c r="F1760" s="4"/>
      <c r="G1760" s="4"/>
      <c r="H1760" s="4"/>
      <c r="I1760" s="4"/>
      <c r="J1760" s="4"/>
      <c r="K1760" s="4"/>
      <c r="L1760" s="4"/>
      <c r="M1760" s="4"/>
    </row>
    <row r="1761" spans="1:13" s="34" customFormat="1">
      <c r="A1761" s="3"/>
      <c r="B1761" s="4"/>
      <c r="C1761" s="4"/>
      <c r="D1761" s="4"/>
      <c r="E1761" s="4"/>
      <c r="F1761" s="4"/>
      <c r="G1761" s="4"/>
      <c r="H1761" s="4"/>
      <c r="I1761" s="4"/>
      <c r="J1761" s="4"/>
      <c r="K1761" s="4"/>
      <c r="L1761" s="4"/>
      <c r="M1761" s="4"/>
    </row>
    <row r="1762" spans="1:13" s="34" customFormat="1">
      <c r="A1762" s="3"/>
      <c r="B1762" s="4"/>
      <c r="C1762" s="4"/>
      <c r="D1762" s="4"/>
      <c r="E1762" s="4"/>
      <c r="F1762" s="4"/>
      <c r="G1762" s="4"/>
      <c r="H1762" s="4"/>
      <c r="I1762" s="4"/>
      <c r="J1762" s="4"/>
      <c r="K1762" s="4"/>
      <c r="L1762" s="4"/>
      <c r="M1762" s="4"/>
    </row>
    <row r="1763" spans="1:13" s="34" customFormat="1">
      <c r="A1763" s="3"/>
      <c r="B1763" s="4"/>
      <c r="C1763" s="4"/>
      <c r="D1763" s="4"/>
      <c r="E1763" s="4"/>
      <c r="F1763" s="4"/>
      <c r="G1763" s="4"/>
      <c r="H1763" s="4"/>
      <c r="I1763" s="4"/>
      <c r="J1763" s="4"/>
      <c r="K1763" s="4"/>
      <c r="L1763" s="4"/>
      <c r="M1763" s="4"/>
    </row>
    <row r="1764" spans="1:13" s="34" customFormat="1">
      <c r="A1764" s="3"/>
      <c r="B1764" s="4"/>
      <c r="C1764" s="4"/>
      <c r="D1764" s="4"/>
      <c r="E1764" s="4"/>
      <c r="F1764" s="4"/>
      <c r="G1764" s="4"/>
      <c r="H1764" s="4"/>
      <c r="I1764" s="4"/>
      <c r="J1764" s="4"/>
      <c r="K1764" s="4"/>
      <c r="L1764" s="4"/>
      <c r="M1764" s="4"/>
    </row>
    <row r="1765" spans="1:13" s="34" customFormat="1">
      <c r="A1765" s="3"/>
      <c r="B1765" s="4"/>
      <c r="C1765" s="4"/>
      <c r="D1765" s="4"/>
      <c r="E1765" s="4"/>
      <c r="F1765" s="4"/>
      <c r="G1765" s="4"/>
      <c r="H1765" s="4"/>
      <c r="I1765" s="4"/>
      <c r="J1765" s="4"/>
      <c r="K1765" s="4"/>
      <c r="L1765" s="4"/>
      <c r="M1765" s="4"/>
    </row>
    <row r="1766" spans="1:13" s="34" customFormat="1">
      <c r="A1766" s="3"/>
      <c r="B1766" s="4"/>
      <c r="C1766" s="4"/>
      <c r="D1766" s="4"/>
      <c r="E1766" s="4"/>
      <c r="F1766" s="4"/>
      <c r="G1766" s="4"/>
      <c r="H1766" s="4"/>
      <c r="I1766" s="4"/>
      <c r="J1766" s="4"/>
      <c r="K1766" s="4"/>
      <c r="L1766" s="4"/>
      <c r="M1766" s="4"/>
    </row>
    <row r="1767" spans="1:13" s="34" customFormat="1">
      <c r="A1767" s="3"/>
      <c r="B1767" s="4"/>
      <c r="C1767" s="4"/>
      <c r="D1767" s="4"/>
      <c r="E1767" s="4"/>
      <c r="F1767" s="4"/>
      <c r="G1767" s="4"/>
      <c r="H1767" s="4"/>
      <c r="I1767" s="4"/>
      <c r="J1767" s="4"/>
      <c r="K1767" s="4"/>
      <c r="L1767" s="4"/>
      <c r="M1767" s="4"/>
    </row>
    <row r="1768" spans="1:13" s="34" customFormat="1">
      <c r="A1768" s="3"/>
      <c r="B1768" s="4"/>
      <c r="C1768" s="4"/>
      <c r="D1768" s="4"/>
      <c r="E1768" s="4"/>
      <c r="F1768" s="4"/>
      <c r="G1768" s="4"/>
      <c r="H1768" s="4"/>
      <c r="I1768" s="4"/>
      <c r="J1768" s="4"/>
      <c r="K1768" s="4"/>
      <c r="L1768" s="4"/>
      <c r="M1768" s="4"/>
    </row>
    <row r="1769" spans="1:13" s="34" customFormat="1">
      <c r="A1769" s="3"/>
      <c r="B1769" s="4"/>
      <c r="C1769" s="4"/>
      <c r="D1769" s="4"/>
      <c r="E1769" s="4"/>
      <c r="F1769" s="4"/>
      <c r="G1769" s="4"/>
      <c r="H1769" s="4"/>
      <c r="I1769" s="4"/>
      <c r="J1769" s="4"/>
      <c r="K1769" s="4"/>
      <c r="L1769" s="4"/>
      <c r="M1769" s="4"/>
    </row>
    <row r="1770" spans="1:13" s="34" customFormat="1">
      <c r="A1770" s="3"/>
      <c r="B1770" s="4"/>
      <c r="C1770" s="4"/>
      <c r="D1770" s="4"/>
      <c r="E1770" s="4"/>
      <c r="F1770" s="4"/>
      <c r="G1770" s="4"/>
      <c r="H1770" s="4"/>
      <c r="I1770" s="4"/>
      <c r="J1770" s="4"/>
      <c r="K1770" s="4"/>
      <c r="L1770" s="4"/>
      <c r="M1770" s="4"/>
    </row>
    <row r="1771" spans="1:13" s="34" customFormat="1">
      <c r="A1771" s="3"/>
      <c r="B1771" s="4"/>
      <c r="C1771" s="4"/>
      <c r="D1771" s="4"/>
      <c r="E1771" s="4"/>
      <c r="F1771" s="4"/>
      <c r="G1771" s="4"/>
      <c r="H1771" s="4"/>
      <c r="I1771" s="4"/>
      <c r="J1771" s="4"/>
      <c r="K1771" s="4"/>
      <c r="L1771" s="4"/>
      <c r="M1771" s="4"/>
    </row>
    <row r="1772" spans="1:13" s="34" customFormat="1">
      <c r="A1772" s="3"/>
      <c r="B1772" s="4"/>
      <c r="C1772" s="4"/>
      <c r="D1772" s="4"/>
      <c r="E1772" s="4"/>
      <c r="F1772" s="4"/>
      <c r="G1772" s="4"/>
      <c r="H1772" s="4"/>
      <c r="I1772" s="4"/>
      <c r="J1772" s="4"/>
      <c r="K1772" s="4"/>
      <c r="L1772" s="4"/>
      <c r="M1772" s="4"/>
    </row>
    <row r="1773" spans="1:13" s="34" customFormat="1">
      <c r="A1773" s="3"/>
      <c r="B1773" s="4"/>
      <c r="C1773" s="4"/>
      <c r="D1773" s="4"/>
      <c r="E1773" s="4"/>
      <c r="F1773" s="4"/>
      <c r="G1773" s="4"/>
      <c r="H1773" s="4"/>
      <c r="I1773" s="4"/>
      <c r="J1773" s="4"/>
      <c r="K1773" s="4"/>
      <c r="L1773" s="4"/>
      <c r="M1773" s="4"/>
    </row>
    <row r="1774" spans="1:13" s="34" customFormat="1">
      <c r="A1774" s="3"/>
      <c r="B1774" s="4"/>
      <c r="C1774" s="4"/>
      <c r="D1774" s="4"/>
      <c r="E1774" s="4"/>
      <c r="F1774" s="4"/>
      <c r="G1774" s="4"/>
      <c r="H1774" s="4"/>
      <c r="I1774" s="4"/>
      <c r="J1774" s="4"/>
      <c r="K1774" s="4"/>
      <c r="L1774" s="4"/>
      <c r="M1774" s="4"/>
    </row>
    <row r="1775" spans="1:13" s="34" customFormat="1">
      <c r="A1775" s="3"/>
      <c r="B1775" s="4"/>
      <c r="C1775" s="4"/>
      <c r="D1775" s="4"/>
      <c r="E1775" s="4"/>
      <c r="F1775" s="4"/>
      <c r="G1775" s="4"/>
      <c r="H1775" s="4"/>
      <c r="I1775" s="4"/>
      <c r="J1775" s="4"/>
      <c r="K1775" s="4"/>
      <c r="L1775" s="4"/>
      <c r="M1775" s="4"/>
    </row>
    <row r="1776" spans="1:13" s="34" customFormat="1">
      <c r="A1776" s="3"/>
      <c r="B1776" s="4"/>
      <c r="C1776" s="4"/>
      <c r="D1776" s="4"/>
      <c r="E1776" s="4"/>
      <c r="F1776" s="4"/>
      <c r="G1776" s="4"/>
      <c r="H1776" s="4"/>
      <c r="I1776" s="4"/>
      <c r="J1776" s="4"/>
      <c r="K1776" s="4"/>
      <c r="L1776" s="4"/>
      <c r="M1776" s="4"/>
    </row>
    <row r="1777" spans="1:13" s="34" customFormat="1">
      <c r="A1777" s="3"/>
      <c r="B1777" s="4"/>
      <c r="C1777" s="4"/>
      <c r="D1777" s="4"/>
      <c r="E1777" s="4"/>
      <c r="F1777" s="4"/>
      <c r="G1777" s="4"/>
      <c r="H1777" s="4"/>
      <c r="I1777" s="4"/>
      <c r="J1777" s="4"/>
      <c r="K1777" s="4"/>
      <c r="L1777" s="4"/>
      <c r="M1777" s="4"/>
    </row>
    <row r="1778" spans="1:13" s="34" customFormat="1">
      <c r="A1778" s="3"/>
      <c r="B1778" s="4"/>
      <c r="C1778" s="4"/>
      <c r="D1778" s="4"/>
      <c r="E1778" s="4"/>
      <c r="F1778" s="4"/>
      <c r="G1778" s="4"/>
      <c r="H1778" s="4"/>
      <c r="I1778" s="4"/>
      <c r="J1778" s="4"/>
      <c r="K1778" s="4"/>
      <c r="L1778" s="4"/>
      <c r="M1778" s="4"/>
    </row>
    <row r="1779" spans="1:13" s="34" customFormat="1">
      <c r="A1779" s="3"/>
      <c r="B1779" s="4"/>
      <c r="C1779" s="4"/>
      <c r="D1779" s="4"/>
      <c r="E1779" s="4"/>
      <c r="F1779" s="4"/>
      <c r="G1779" s="4"/>
      <c r="H1779" s="4"/>
      <c r="I1779" s="4"/>
      <c r="J1779" s="4"/>
      <c r="K1779" s="4"/>
      <c r="L1779" s="4"/>
      <c r="M1779" s="4"/>
    </row>
    <row r="1780" spans="1:13" s="34" customFormat="1">
      <c r="A1780" s="3"/>
      <c r="B1780" s="4"/>
      <c r="C1780" s="4"/>
      <c r="D1780" s="4"/>
      <c r="E1780" s="4"/>
      <c r="F1780" s="4"/>
      <c r="G1780" s="4"/>
      <c r="H1780" s="4"/>
      <c r="I1780" s="4"/>
      <c r="J1780" s="4"/>
      <c r="K1780" s="4"/>
      <c r="L1780" s="4"/>
      <c r="M1780" s="4"/>
    </row>
    <row r="1781" spans="1:13" s="34" customFormat="1">
      <c r="A1781" s="3"/>
      <c r="B1781" s="4"/>
      <c r="C1781" s="4"/>
      <c r="D1781" s="4"/>
      <c r="E1781" s="4"/>
      <c r="F1781" s="4"/>
      <c r="G1781" s="4"/>
      <c r="H1781" s="4"/>
      <c r="I1781" s="4"/>
      <c r="J1781" s="4"/>
      <c r="K1781" s="4"/>
      <c r="L1781" s="4"/>
      <c r="M1781" s="4"/>
    </row>
    <row r="1782" spans="1:13" s="34" customFormat="1">
      <c r="A1782" s="3"/>
      <c r="B1782" s="4"/>
      <c r="C1782" s="4"/>
      <c r="D1782" s="4"/>
      <c r="E1782" s="4"/>
      <c r="F1782" s="4"/>
      <c r="G1782" s="4"/>
      <c r="H1782" s="4"/>
      <c r="I1782" s="4"/>
      <c r="J1782" s="4"/>
      <c r="K1782" s="4"/>
      <c r="L1782" s="4"/>
      <c r="M1782" s="4"/>
    </row>
    <row r="1783" spans="1:13" s="34" customFormat="1">
      <c r="A1783" s="3"/>
      <c r="B1783" s="4"/>
      <c r="C1783" s="4"/>
      <c r="D1783" s="4"/>
      <c r="E1783" s="4"/>
      <c r="F1783" s="4"/>
      <c r="G1783" s="4"/>
      <c r="H1783" s="4"/>
      <c r="I1783" s="4"/>
      <c r="J1783" s="4"/>
      <c r="K1783" s="4"/>
      <c r="L1783" s="4"/>
      <c r="M1783" s="4"/>
    </row>
    <row r="1784" spans="1:13" s="34" customFormat="1">
      <c r="A1784" s="3"/>
      <c r="B1784" s="4"/>
      <c r="C1784" s="4"/>
      <c r="D1784" s="4"/>
      <c r="E1784" s="4"/>
      <c r="F1784" s="4"/>
      <c r="G1784" s="4"/>
      <c r="H1784" s="4"/>
      <c r="I1784" s="4"/>
      <c r="J1784" s="4"/>
      <c r="K1784" s="4"/>
      <c r="L1784" s="4"/>
      <c r="M1784" s="4"/>
    </row>
    <row r="1785" spans="1:13" s="34" customFormat="1">
      <c r="A1785" s="3"/>
      <c r="B1785" s="4"/>
      <c r="C1785" s="4"/>
      <c r="D1785" s="4"/>
      <c r="E1785" s="4"/>
      <c r="F1785" s="4"/>
      <c r="G1785" s="4"/>
      <c r="H1785" s="4"/>
      <c r="I1785" s="4"/>
      <c r="J1785" s="4"/>
      <c r="K1785" s="4"/>
      <c r="L1785" s="4"/>
      <c r="M1785" s="4"/>
    </row>
    <row r="1786" spans="1:13" s="34" customFormat="1">
      <c r="A1786" s="3"/>
      <c r="B1786" s="4"/>
      <c r="C1786" s="4"/>
      <c r="D1786" s="4"/>
      <c r="E1786" s="4"/>
      <c r="F1786" s="4"/>
      <c r="G1786" s="4"/>
      <c r="H1786" s="4"/>
      <c r="I1786" s="4"/>
      <c r="J1786" s="4"/>
      <c r="K1786" s="4"/>
      <c r="L1786" s="4"/>
      <c r="M1786" s="4"/>
    </row>
    <row r="1787" spans="1:13" s="34" customFormat="1">
      <c r="A1787" s="3"/>
      <c r="B1787" s="4"/>
      <c r="C1787" s="4"/>
      <c r="D1787" s="4"/>
      <c r="E1787" s="4"/>
      <c r="F1787" s="4"/>
      <c r="G1787" s="4"/>
      <c r="H1787" s="4"/>
      <c r="I1787" s="4"/>
      <c r="J1787" s="4"/>
      <c r="K1787" s="4"/>
      <c r="L1787" s="4"/>
      <c r="M1787" s="4"/>
    </row>
    <row r="1788" spans="1:13" s="34" customFormat="1">
      <c r="A1788" s="3"/>
      <c r="B1788" s="4"/>
      <c r="C1788" s="4"/>
      <c r="D1788" s="4"/>
      <c r="E1788" s="4"/>
      <c r="F1788" s="4"/>
      <c r="G1788" s="4"/>
      <c r="H1788" s="4"/>
      <c r="I1788" s="4"/>
      <c r="J1788" s="4"/>
      <c r="K1788" s="4"/>
      <c r="L1788" s="4"/>
      <c r="M1788" s="4"/>
    </row>
    <row r="1789" spans="1:13" s="34" customFormat="1">
      <c r="A1789" s="3"/>
      <c r="B1789" s="4"/>
      <c r="C1789" s="4"/>
      <c r="D1789" s="4"/>
      <c r="E1789" s="4"/>
      <c r="F1789" s="4"/>
      <c r="G1789" s="4"/>
      <c r="H1789" s="4"/>
      <c r="I1789" s="4"/>
      <c r="J1789" s="4"/>
      <c r="K1789" s="4"/>
      <c r="L1789" s="4"/>
      <c r="M1789" s="4"/>
    </row>
    <row r="1790" spans="1:13" s="34" customFormat="1">
      <c r="A1790" s="3"/>
      <c r="B1790" s="4"/>
      <c r="C1790" s="4"/>
      <c r="D1790" s="4"/>
      <c r="E1790" s="4"/>
      <c r="F1790" s="4"/>
      <c r="G1790" s="4"/>
      <c r="H1790" s="4"/>
      <c r="I1790" s="4"/>
      <c r="J1790" s="4"/>
      <c r="K1790" s="4"/>
      <c r="L1790" s="4"/>
      <c r="M1790" s="4"/>
    </row>
    <row r="1791" spans="1:13" s="34" customFormat="1">
      <c r="A1791" s="3"/>
      <c r="B1791" s="4"/>
      <c r="C1791" s="4"/>
      <c r="D1791" s="4"/>
      <c r="E1791" s="4"/>
      <c r="F1791" s="4"/>
      <c r="G1791" s="4"/>
      <c r="H1791" s="4"/>
      <c r="I1791" s="4"/>
      <c r="J1791" s="4"/>
      <c r="K1791" s="4"/>
      <c r="L1791" s="4"/>
      <c r="M1791" s="4"/>
    </row>
    <row r="1792" spans="1:13" s="34" customFormat="1">
      <c r="A1792" s="3"/>
      <c r="B1792" s="4"/>
      <c r="C1792" s="4"/>
      <c r="D1792" s="4"/>
      <c r="E1792" s="4"/>
      <c r="F1792" s="4"/>
      <c r="G1792" s="4"/>
      <c r="H1792" s="4"/>
      <c r="I1792" s="4"/>
      <c r="J1792" s="4"/>
      <c r="K1792" s="4"/>
      <c r="L1792" s="4"/>
      <c r="M1792" s="4"/>
    </row>
    <row r="1793" spans="1:13" s="34" customFormat="1">
      <c r="A1793" s="3"/>
      <c r="B1793" s="4"/>
      <c r="C1793" s="4"/>
      <c r="D1793" s="4"/>
      <c r="E1793" s="4"/>
      <c r="F1793" s="4"/>
      <c r="G1793" s="4"/>
      <c r="H1793" s="4"/>
      <c r="I1793" s="4"/>
      <c r="J1793" s="4"/>
      <c r="K1793" s="4"/>
      <c r="L1793" s="4"/>
      <c r="M1793" s="4"/>
    </row>
    <row r="1794" spans="1:13" s="34" customFormat="1">
      <c r="A1794" s="3"/>
      <c r="B1794" s="4"/>
      <c r="C1794" s="4"/>
      <c r="D1794" s="4"/>
      <c r="E1794" s="4"/>
      <c r="F1794" s="4"/>
      <c r="G1794" s="4"/>
      <c r="H1794" s="4"/>
      <c r="I1794" s="4"/>
      <c r="J1794" s="4"/>
      <c r="K1794" s="4"/>
      <c r="L1794" s="4"/>
      <c r="M1794" s="4"/>
    </row>
    <row r="1795" spans="1:13" s="34" customFormat="1">
      <c r="A1795" s="3"/>
      <c r="B1795" s="4"/>
      <c r="C1795" s="4"/>
      <c r="D1795" s="4"/>
      <c r="E1795" s="4"/>
      <c r="F1795" s="4"/>
      <c r="G1795" s="4"/>
      <c r="H1795" s="4"/>
      <c r="I1795" s="4"/>
      <c r="J1795" s="4"/>
      <c r="K1795" s="4"/>
      <c r="L1795" s="4"/>
      <c r="M1795" s="4"/>
    </row>
    <row r="1796" spans="1:13" s="34" customFormat="1">
      <c r="A1796" s="3"/>
      <c r="B1796" s="4"/>
      <c r="C1796" s="4"/>
      <c r="D1796" s="4"/>
      <c r="E1796" s="4"/>
      <c r="F1796" s="4"/>
      <c r="G1796" s="4"/>
      <c r="H1796" s="4"/>
      <c r="I1796" s="4"/>
      <c r="J1796" s="4"/>
      <c r="K1796" s="4"/>
      <c r="L1796" s="4"/>
      <c r="M1796" s="4"/>
    </row>
    <row r="1797" spans="1:13" s="34" customFormat="1">
      <c r="A1797" s="3"/>
      <c r="B1797" s="4"/>
      <c r="C1797" s="4"/>
      <c r="D1797" s="4"/>
      <c r="E1797" s="4"/>
      <c r="F1797" s="4"/>
      <c r="G1797" s="4"/>
      <c r="H1797" s="4"/>
      <c r="I1797" s="4"/>
      <c r="J1797" s="4"/>
      <c r="K1797" s="4"/>
      <c r="L1797" s="4"/>
      <c r="M1797" s="4"/>
    </row>
    <row r="1798" spans="1:13" s="34" customFormat="1">
      <c r="A1798" s="3"/>
      <c r="B1798" s="4"/>
      <c r="C1798" s="4"/>
      <c r="D1798" s="4"/>
      <c r="E1798" s="4"/>
      <c r="F1798" s="4"/>
      <c r="G1798" s="4"/>
      <c r="H1798" s="4"/>
      <c r="I1798" s="4"/>
      <c r="J1798" s="4"/>
      <c r="K1798" s="4"/>
      <c r="L1798" s="4"/>
      <c r="M1798" s="4"/>
    </row>
    <row r="1799" spans="1:13" s="34" customFormat="1">
      <c r="A1799" s="3"/>
      <c r="B1799" s="4"/>
      <c r="C1799" s="4"/>
      <c r="D1799" s="4"/>
      <c r="E1799" s="4"/>
      <c r="F1799" s="4"/>
      <c r="G1799" s="4"/>
      <c r="H1799" s="4"/>
      <c r="I1799" s="4"/>
      <c r="J1799" s="4"/>
      <c r="K1799" s="4"/>
      <c r="L1799" s="4"/>
      <c r="M1799" s="4"/>
    </row>
    <row r="1800" spans="1:13" s="34" customFormat="1">
      <c r="A1800" s="3"/>
      <c r="B1800" s="4"/>
      <c r="C1800" s="4"/>
      <c r="D1800" s="4"/>
      <c r="E1800" s="4"/>
      <c r="F1800" s="4"/>
      <c r="G1800" s="4"/>
      <c r="H1800" s="4"/>
      <c r="I1800" s="4"/>
      <c r="J1800" s="4"/>
      <c r="K1800" s="4"/>
      <c r="L1800" s="4"/>
      <c r="M1800" s="4"/>
    </row>
    <row r="1801" spans="1:13" s="34" customFormat="1">
      <c r="A1801" s="3"/>
      <c r="B1801" s="4"/>
      <c r="C1801" s="4"/>
      <c r="D1801" s="4"/>
      <c r="E1801" s="4"/>
      <c r="F1801" s="4"/>
      <c r="G1801" s="4"/>
      <c r="H1801" s="4"/>
      <c r="I1801" s="4"/>
      <c r="J1801" s="4"/>
      <c r="K1801" s="4"/>
      <c r="L1801" s="4"/>
      <c r="M1801" s="4"/>
    </row>
    <row r="1802" spans="1:13" s="34" customFormat="1">
      <c r="A1802" s="3"/>
      <c r="B1802" s="4"/>
      <c r="C1802" s="4"/>
      <c r="D1802" s="4"/>
      <c r="E1802" s="4"/>
      <c r="F1802" s="4"/>
      <c r="G1802" s="4"/>
      <c r="H1802" s="4"/>
      <c r="I1802" s="4"/>
      <c r="J1802" s="4"/>
      <c r="K1802" s="4"/>
      <c r="L1802" s="4"/>
      <c r="M1802" s="4"/>
    </row>
    <row r="1803" spans="1:13" s="34" customFormat="1">
      <c r="A1803" s="3"/>
      <c r="B1803" s="4"/>
      <c r="C1803" s="4"/>
      <c r="D1803" s="4"/>
      <c r="E1803" s="4"/>
      <c r="F1803" s="4"/>
      <c r="G1803" s="4"/>
      <c r="H1803" s="4"/>
      <c r="I1803" s="4"/>
      <c r="J1803" s="4"/>
      <c r="K1803" s="4"/>
      <c r="L1803" s="4"/>
      <c r="M1803" s="4"/>
    </row>
    <row r="1804" spans="1:13" s="34" customFormat="1">
      <c r="A1804" s="3"/>
      <c r="B1804" s="4"/>
      <c r="C1804" s="4"/>
      <c r="D1804" s="4"/>
      <c r="E1804" s="4"/>
      <c r="F1804" s="4"/>
      <c r="G1804" s="4"/>
      <c r="H1804" s="4"/>
      <c r="I1804" s="4"/>
      <c r="J1804" s="4"/>
      <c r="K1804" s="4"/>
      <c r="L1804" s="4"/>
      <c r="M1804" s="4"/>
    </row>
    <row r="1805" spans="1:13" s="34" customFormat="1">
      <c r="A1805" s="3"/>
      <c r="B1805" s="4"/>
      <c r="C1805" s="4"/>
      <c r="D1805" s="4"/>
      <c r="E1805" s="4"/>
      <c r="F1805" s="4"/>
      <c r="G1805" s="4"/>
      <c r="H1805" s="4"/>
      <c r="I1805" s="4"/>
      <c r="J1805" s="4"/>
      <c r="K1805" s="4"/>
      <c r="L1805" s="4"/>
      <c r="M1805" s="4"/>
    </row>
    <row r="1806" spans="1:13" s="34" customFormat="1">
      <c r="A1806" s="3"/>
      <c r="B1806" s="4"/>
      <c r="C1806" s="4"/>
      <c r="D1806" s="4"/>
      <c r="E1806" s="4"/>
      <c r="F1806" s="4"/>
      <c r="G1806" s="4"/>
      <c r="H1806" s="4"/>
      <c r="I1806" s="4"/>
      <c r="J1806" s="4"/>
      <c r="K1806" s="4"/>
      <c r="L1806" s="4"/>
      <c r="M1806" s="4"/>
    </row>
    <row r="1807" spans="1:13" s="34" customFormat="1">
      <c r="A1807" s="3"/>
      <c r="B1807" s="4"/>
      <c r="C1807" s="4"/>
      <c r="D1807" s="4"/>
      <c r="E1807" s="4"/>
      <c r="F1807" s="4"/>
      <c r="G1807" s="4"/>
      <c r="H1807" s="4"/>
      <c r="I1807" s="4"/>
      <c r="J1807" s="4"/>
      <c r="K1807" s="4"/>
      <c r="L1807" s="4"/>
      <c r="M1807" s="4"/>
    </row>
    <row r="1808" spans="1:13" s="34" customFormat="1">
      <c r="A1808" s="3"/>
      <c r="B1808" s="4"/>
      <c r="C1808" s="4"/>
      <c r="D1808" s="4"/>
      <c r="E1808" s="4"/>
      <c r="F1808" s="4"/>
      <c r="G1808" s="4"/>
      <c r="H1808" s="4"/>
      <c r="I1808" s="4"/>
      <c r="J1808" s="4"/>
      <c r="K1808" s="4"/>
      <c r="L1808" s="4"/>
      <c r="M1808" s="4"/>
    </row>
    <row r="1809" spans="1:13" s="34" customFormat="1">
      <c r="A1809" s="3"/>
      <c r="B1809" s="4"/>
      <c r="C1809" s="4"/>
      <c r="D1809" s="4"/>
      <c r="E1809" s="4"/>
      <c r="F1809" s="4"/>
      <c r="G1809" s="4"/>
      <c r="H1809" s="4"/>
      <c r="I1809" s="4"/>
      <c r="J1809" s="4"/>
      <c r="K1809" s="4"/>
      <c r="L1809" s="4"/>
      <c r="M1809" s="4"/>
    </row>
    <row r="1810" spans="1:13" s="34" customFormat="1">
      <c r="A1810" s="3"/>
      <c r="B1810" s="4"/>
      <c r="C1810" s="4"/>
      <c r="D1810" s="4"/>
      <c r="E1810" s="4"/>
      <c r="F1810" s="4"/>
      <c r="G1810" s="4"/>
      <c r="H1810" s="4"/>
      <c r="I1810" s="4"/>
      <c r="J1810" s="4"/>
      <c r="K1810" s="4"/>
      <c r="L1810" s="4"/>
      <c r="M1810" s="4"/>
    </row>
    <row r="1811" spans="1:13" s="34" customFormat="1">
      <c r="A1811" s="3"/>
      <c r="B1811" s="4"/>
      <c r="C1811" s="4"/>
      <c r="D1811" s="4"/>
      <c r="E1811" s="4"/>
      <c r="F1811" s="4"/>
      <c r="G1811" s="4"/>
      <c r="H1811" s="4"/>
      <c r="I1811" s="4"/>
      <c r="J1811" s="4"/>
      <c r="K1811" s="4"/>
      <c r="L1811" s="4"/>
      <c r="M1811" s="4"/>
    </row>
    <row r="1812" spans="1:13" s="34" customFormat="1">
      <c r="A1812" s="3"/>
      <c r="B1812" s="4"/>
      <c r="C1812" s="4"/>
      <c r="D1812" s="4"/>
      <c r="E1812" s="4"/>
      <c r="F1812" s="4"/>
      <c r="G1812" s="4"/>
      <c r="H1812" s="4"/>
      <c r="I1812" s="4"/>
      <c r="J1812" s="4"/>
      <c r="K1812" s="4"/>
      <c r="L1812" s="4"/>
      <c r="M1812" s="4"/>
    </row>
    <row r="1813" spans="1:13" s="34" customFormat="1">
      <c r="A1813" s="3"/>
      <c r="B1813" s="4"/>
      <c r="C1813" s="4"/>
      <c r="D1813" s="4"/>
      <c r="E1813" s="4"/>
      <c r="F1813" s="4"/>
      <c r="G1813" s="4"/>
      <c r="H1813" s="4"/>
      <c r="I1813" s="4"/>
      <c r="J1813" s="4"/>
      <c r="K1813" s="4"/>
      <c r="L1813" s="4"/>
      <c r="M1813" s="4"/>
    </row>
    <row r="1814" spans="1:13" s="34" customFormat="1">
      <c r="A1814" s="3"/>
      <c r="B1814" s="4"/>
      <c r="C1814" s="4"/>
      <c r="D1814" s="4"/>
      <c r="E1814" s="4"/>
      <c r="F1814" s="4"/>
      <c r="G1814" s="4"/>
      <c r="H1814" s="4"/>
      <c r="I1814" s="4"/>
      <c r="J1814" s="4"/>
      <c r="K1814" s="4"/>
      <c r="L1814" s="4"/>
      <c r="M1814" s="4"/>
    </row>
    <row r="1815" spans="1:13" s="34" customFormat="1">
      <c r="A1815" s="3"/>
      <c r="B1815" s="4"/>
      <c r="C1815" s="4"/>
      <c r="D1815" s="4"/>
      <c r="E1815" s="4"/>
      <c r="F1815" s="4"/>
      <c r="G1815" s="4"/>
      <c r="H1815" s="4"/>
      <c r="I1815" s="4"/>
      <c r="J1815" s="4"/>
      <c r="K1815" s="4"/>
      <c r="L1815" s="4"/>
      <c r="M1815" s="4"/>
    </row>
    <row r="1816" spans="1:13" s="34" customFormat="1">
      <c r="A1816" s="3"/>
      <c r="B1816" s="4"/>
      <c r="C1816" s="4"/>
      <c r="D1816" s="4"/>
      <c r="E1816" s="4"/>
      <c r="F1816" s="4"/>
      <c r="G1816" s="4"/>
      <c r="H1816" s="4"/>
      <c r="I1816" s="4"/>
      <c r="J1816" s="4"/>
      <c r="K1816" s="4"/>
      <c r="L1816" s="4"/>
      <c r="M1816" s="4"/>
    </row>
    <row r="1817" spans="1:13" s="34" customFormat="1">
      <c r="A1817" s="3"/>
      <c r="B1817" s="4"/>
      <c r="C1817" s="4"/>
      <c r="D1817" s="4"/>
      <c r="E1817" s="4"/>
      <c r="F1817" s="4"/>
      <c r="G1817" s="4"/>
      <c r="H1817" s="4"/>
      <c r="I1817" s="4"/>
      <c r="J1817" s="4"/>
      <c r="K1817" s="4"/>
      <c r="L1817" s="4"/>
      <c r="M1817" s="4"/>
    </row>
    <row r="1818" spans="1:13" s="34" customFormat="1">
      <c r="A1818" s="3"/>
      <c r="B1818" s="4"/>
      <c r="C1818" s="4"/>
      <c r="D1818" s="4"/>
      <c r="E1818" s="4"/>
      <c r="F1818" s="4"/>
      <c r="G1818" s="4"/>
      <c r="H1818" s="4"/>
      <c r="I1818" s="4"/>
      <c r="J1818" s="4"/>
      <c r="K1818" s="4"/>
      <c r="L1818" s="4"/>
      <c r="M1818" s="4"/>
    </row>
    <row r="1819" spans="1:13" s="34" customFormat="1">
      <c r="A1819" s="3"/>
      <c r="B1819" s="4"/>
      <c r="C1819" s="4"/>
      <c r="D1819" s="4"/>
      <c r="E1819" s="4"/>
      <c r="F1819" s="4"/>
      <c r="G1819" s="4"/>
      <c r="H1819" s="4"/>
      <c r="I1819" s="4"/>
      <c r="J1819" s="4"/>
      <c r="K1819" s="4"/>
      <c r="L1819" s="4"/>
      <c r="M1819" s="4"/>
    </row>
    <row r="1820" spans="1:13" s="34" customFormat="1">
      <c r="A1820" s="3"/>
      <c r="B1820" s="4"/>
      <c r="C1820" s="4"/>
      <c r="D1820" s="4"/>
      <c r="E1820" s="4"/>
      <c r="F1820" s="4"/>
      <c r="G1820" s="4"/>
      <c r="H1820" s="4"/>
      <c r="I1820" s="4"/>
      <c r="J1820" s="4"/>
      <c r="K1820" s="4"/>
      <c r="L1820" s="4"/>
      <c r="M1820" s="4"/>
    </row>
    <row r="1821" spans="1:13" s="34" customFormat="1">
      <c r="A1821" s="3"/>
      <c r="B1821" s="4"/>
      <c r="C1821" s="4"/>
      <c r="D1821" s="4"/>
      <c r="E1821" s="4"/>
      <c r="F1821" s="4"/>
      <c r="G1821" s="4"/>
      <c r="H1821" s="4"/>
      <c r="I1821" s="4"/>
      <c r="J1821" s="4"/>
      <c r="K1821" s="4"/>
      <c r="L1821" s="4"/>
      <c r="M1821" s="4"/>
    </row>
    <row r="1822" spans="1:13" s="34" customFormat="1">
      <c r="A1822" s="3"/>
      <c r="B1822" s="4"/>
      <c r="C1822" s="4"/>
      <c r="D1822" s="4"/>
      <c r="E1822" s="4"/>
      <c r="F1822" s="4"/>
      <c r="G1822" s="4"/>
      <c r="H1822" s="4"/>
      <c r="I1822" s="4"/>
      <c r="J1822" s="4"/>
      <c r="K1822" s="4"/>
      <c r="L1822" s="4"/>
      <c r="M1822" s="4"/>
    </row>
    <row r="1823" spans="1:13" s="34" customFormat="1">
      <c r="A1823" s="3"/>
      <c r="B1823" s="4"/>
      <c r="C1823" s="4"/>
      <c r="D1823" s="4"/>
      <c r="E1823" s="4"/>
      <c r="F1823" s="4"/>
      <c r="G1823" s="4"/>
      <c r="H1823" s="4"/>
      <c r="I1823" s="4"/>
      <c r="J1823" s="4"/>
      <c r="K1823" s="4"/>
      <c r="L1823" s="4"/>
      <c r="M1823" s="4"/>
    </row>
    <row r="1824" spans="1:13" s="34" customFormat="1">
      <c r="A1824" s="3"/>
      <c r="B1824" s="4"/>
      <c r="C1824" s="4"/>
      <c r="D1824" s="4"/>
      <c r="E1824" s="4"/>
      <c r="F1824" s="4"/>
      <c r="G1824" s="4"/>
      <c r="H1824" s="4"/>
      <c r="I1824" s="4"/>
      <c r="J1824" s="4"/>
      <c r="K1824" s="4"/>
      <c r="L1824" s="4"/>
      <c r="M1824" s="4"/>
    </row>
    <row r="1825" spans="1:13" s="34" customFormat="1">
      <c r="A1825" s="3"/>
      <c r="B1825" s="4"/>
      <c r="C1825" s="4"/>
      <c r="D1825" s="4"/>
      <c r="E1825" s="4"/>
      <c r="F1825" s="4"/>
      <c r="G1825" s="4"/>
      <c r="H1825" s="4"/>
      <c r="I1825" s="4"/>
      <c r="J1825" s="4"/>
      <c r="K1825" s="4"/>
      <c r="L1825" s="4"/>
      <c r="M1825" s="4"/>
    </row>
    <row r="1826" spans="1:13" s="34" customFormat="1">
      <c r="A1826" s="3"/>
      <c r="B1826" s="4"/>
      <c r="C1826" s="4"/>
      <c r="D1826" s="4"/>
      <c r="E1826" s="4"/>
      <c r="F1826" s="4"/>
      <c r="G1826" s="4"/>
      <c r="H1826" s="4"/>
      <c r="I1826" s="4"/>
      <c r="J1826" s="4"/>
      <c r="K1826" s="4"/>
      <c r="L1826" s="4"/>
      <c r="M1826" s="4"/>
    </row>
    <row r="1827" spans="1:13" s="34" customFormat="1">
      <c r="A1827" s="3"/>
      <c r="B1827" s="4"/>
      <c r="C1827" s="4"/>
      <c r="D1827" s="4"/>
      <c r="E1827" s="4"/>
      <c r="F1827" s="4"/>
      <c r="G1827" s="4"/>
      <c r="H1827" s="4"/>
      <c r="I1827" s="4"/>
      <c r="J1827" s="4"/>
      <c r="K1827" s="4"/>
      <c r="L1827" s="4"/>
      <c r="M1827" s="4"/>
    </row>
    <row r="1828" spans="1:13" s="34" customFormat="1">
      <c r="A1828" s="3"/>
      <c r="B1828" s="4"/>
      <c r="C1828" s="4"/>
      <c r="D1828" s="4"/>
      <c r="E1828" s="4"/>
      <c r="F1828" s="4"/>
      <c r="G1828" s="4"/>
      <c r="H1828" s="4"/>
      <c r="I1828" s="4"/>
      <c r="J1828" s="4"/>
      <c r="K1828" s="4"/>
      <c r="L1828" s="4"/>
      <c r="M1828" s="4"/>
    </row>
    <row r="1829" spans="1:13" s="34" customFormat="1">
      <c r="A1829" s="3"/>
      <c r="B1829" s="4"/>
      <c r="C1829" s="4"/>
      <c r="D1829" s="4"/>
      <c r="E1829" s="4"/>
      <c r="F1829" s="4"/>
      <c r="G1829" s="4"/>
      <c r="H1829" s="4"/>
      <c r="I1829" s="4"/>
      <c r="J1829" s="4"/>
      <c r="K1829" s="4"/>
      <c r="L1829" s="4"/>
      <c r="M1829" s="4"/>
    </row>
    <row r="1830" spans="1:13" s="34" customFormat="1">
      <c r="A1830" s="3"/>
      <c r="B1830" s="4"/>
      <c r="C1830" s="4"/>
      <c r="D1830" s="4"/>
      <c r="E1830" s="4"/>
      <c r="F1830" s="4"/>
      <c r="G1830" s="4"/>
      <c r="H1830" s="4"/>
      <c r="I1830" s="4"/>
      <c r="J1830" s="4"/>
      <c r="K1830" s="4"/>
      <c r="L1830" s="4"/>
      <c r="M1830" s="4"/>
    </row>
    <row r="1831" spans="1:13" s="34" customFormat="1">
      <c r="A1831" s="3"/>
      <c r="B1831" s="4"/>
      <c r="C1831" s="4"/>
      <c r="D1831" s="4"/>
      <c r="E1831" s="4"/>
      <c r="F1831" s="4"/>
      <c r="G1831" s="4"/>
      <c r="H1831" s="4"/>
      <c r="I1831" s="4"/>
      <c r="J1831" s="4"/>
      <c r="K1831" s="4"/>
      <c r="L1831" s="4"/>
      <c r="M1831" s="4"/>
    </row>
    <row r="1832" spans="1:13" s="34" customFormat="1">
      <c r="A1832" s="3"/>
      <c r="B1832" s="4"/>
      <c r="C1832" s="4"/>
      <c r="D1832" s="4"/>
      <c r="E1832" s="4"/>
      <c r="F1832" s="4"/>
      <c r="G1832" s="4"/>
      <c r="H1832" s="4"/>
      <c r="I1832" s="4"/>
      <c r="J1832" s="4"/>
      <c r="K1832" s="4"/>
      <c r="L1832" s="4"/>
      <c r="M1832" s="4"/>
    </row>
    <row r="1833" spans="1:13" s="34" customFormat="1">
      <c r="A1833" s="3"/>
      <c r="B1833" s="4"/>
      <c r="C1833" s="4"/>
      <c r="D1833" s="4"/>
      <c r="E1833" s="4"/>
      <c r="F1833" s="4"/>
      <c r="G1833" s="4"/>
      <c r="H1833" s="4"/>
      <c r="I1833" s="4"/>
      <c r="J1833" s="4"/>
      <c r="K1833" s="4"/>
      <c r="L1833" s="4"/>
      <c r="M1833" s="4"/>
    </row>
    <row r="1834" spans="1:13" s="34" customFormat="1">
      <c r="A1834" s="3"/>
      <c r="B1834" s="4"/>
      <c r="C1834" s="4"/>
      <c r="D1834" s="4"/>
      <c r="E1834" s="4"/>
      <c r="F1834" s="4"/>
      <c r="G1834" s="4"/>
      <c r="H1834" s="4"/>
      <c r="I1834" s="4"/>
      <c r="J1834" s="4"/>
      <c r="K1834" s="4"/>
      <c r="L1834" s="4"/>
      <c r="M1834" s="4"/>
    </row>
    <row r="1835" spans="1:13" s="34" customFormat="1">
      <c r="A1835" s="3"/>
      <c r="B1835" s="4"/>
      <c r="C1835" s="4"/>
      <c r="D1835" s="4"/>
      <c r="E1835" s="4"/>
      <c r="F1835" s="4"/>
      <c r="G1835" s="4"/>
      <c r="H1835" s="4"/>
      <c r="I1835" s="4"/>
      <c r="J1835" s="4"/>
      <c r="K1835" s="4"/>
      <c r="L1835" s="4"/>
      <c r="M1835" s="4"/>
    </row>
    <row r="1836" spans="1:13" s="34" customFormat="1">
      <c r="A1836" s="3"/>
      <c r="B1836" s="4"/>
      <c r="C1836" s="4"/>
      <c r="D1836" s="4"/>
      <c r="E1836" s="4"/>
      <c r="F1836" s="4"/>
      <c r="G1836" s="4"/>
      <c r="H1836" s="4"/>
      <c r="I1836" s="4"/>
      <c r="J1836" s="4"/>
      <c r="K1836" s="4"/>
      <c r="L1836" s="4"/>
      <c r="M1836" s="4"/>
    </row>
    <row r="1837" spans="1:13" s="34" customFormat="1">
      <c r="A1837" s="3"/>
      <c r="B1837" s="4"/>
      <c r="C1837" s="4"/>
      <c r="D1837" s="4"/>
      <c r="E1837" s="4"/>
      <c r="F1837" s="4"/>
      <c r="G1837" s="4"/>
      <c r="H1837" s="4"/>
      <c r="I1837" s="4"/>
      <c r="J1837" s="4"/>
      <c r="K1837" s="4"/>
      <c r="L1837" s="4"/>
      <c r="M1837" s="4"/>
    </row>
    <row r="1838" spans="1:13" s="34" customFormat="1">
      <c r="A1838" s="3"/>
      <c r="B1838" s="4"/>
      <c r="C1838" s="4"/>
      <c r="D1838" s="4"/>
      <c r="E1838" s="4"/>
      <c r="F1838" s="4"/>
      <c r="G1838" s="4"/>
      <c r="H1838" s="4"/>
      <c r="I1838" s="4"/>
      <c r="J1838" s="4"/>
      <c r="K1838" s="4"/>
      <c r="L1838" s="4"/>
      <c r="M1838" s="4"/>
    </row>
    <row r="1839" spans="1:13" s="34" customFormat="1">
      <c r="A1839" s="3"/>
      <c r="B1839" s="4"/>
      <c r="C1839" s="4"/>
      <c r="D1839" s="4"/>
      <c r="E1839" s="4"/>
      <c r="F1839" s="4"/>
      <c r="G1839" s="4"/>
      <c r="H1839" s="4"/>
      <c r="I1839" s="4"/>
      <c r="J1839" s="4"/>
      <c r="K1839" s="4"/>
      <c r="L1839" s="4"/>
      <c r="M1839" s="4"/>
    </row>
    <row r="1840" spans="1:13" s="34" customFormat="1">
      <c r="A1840" s="3"/>
      <c r="B1840" s="4"/>
      <c r="C1840" s="4"/>
      <c r="D1840" s="4"/>
      <c r="E1840" s="4"/>
      <c r="F1840" s="4"/>
      <c r="G1840" s="4"/>
      <c r="H1840" s="4"/>
      <c r="I1840" s="4"/>
      <c r="J1840" s="4"/>
      <c r="K1840" s="4"/>
      <c r="L1840" s="4"/>
      <c r="M1840" s="4"/>
    </row>
    <row r="1841" spans="1:13" s="34" customFormat="1">
      <c r="A1841" s="3"/>
      <c r="B1841" s="4"/>
      <c r="C1841" s="4"/>
      <c r="D1841" s="4"/>
      <c r="E1841" s="4"/>
      <c r="F1841" s="4"/>
      <c r="G1841" s="4"/>
      <c r="H1841" s="4"/>
      <c r="I1841" s="4"/>
      <c r="J1841" s="4"/>
      <c r="K1841" s="4"/>
      <c r="L1841" s="4"/>
      <c r="M1841" s="4"/>
    </row>
    <row r="1842" spans="1:13" s="34" customFormat="1">
      <c r="A1842" s="3"/>
      <c r="B1842" s="4"/>
      <c r="C1842" s="4"/>
      <c r="D1842" s="4"/>
      <c r="E1842" s="4"/>
      <c r="F1842" s="4"/>
      <c r="G1842" s="4"/>
      <c r="H1842" s="4"/>
      <c r="I1842" s="4"/>
      <c r="J1842" s="4"/>
      <c r="K1842" s="4"/>
      <c r="L1842" s="4"/>
      <c r="M1842" s="4"/>
    </row>
    <row r="1843" spans="1:13" s="34" customFormat="1">
      <c r="A1843" s="3"/>
      <c r="B1843" s="4"/>
      <c r="C1843" s="4"/>
      <c r="D1843" s="4"/>
      <c r="E1843" s="4"/>
      <c r="F1843" s="4"/>
      <c r="G1843" s="4"/>
      <c r="H1843" s="4"/>
      <c r="I1843" s="4"/>
      <c r="J1843" s="4"/>
      <c r="K1843" s="4"/>
      <c r="L1843" s="4"/>
      <c r="M1843" s="4"/>
    </row>
    <row r="1844" spans="1:13" s="34" customFormat="1">
      <c r="A1844" s="3"/>
      <c r="B1844" s="4"/>
      <c r="C1844" s="4"/>
      <c r="D1844" s="4"/>
      <c r="E1844" s="4"/>
      <c r="F1844" s="4"/>
      <c r="G1844" s="4"/>
      <c r="H1844" s="4"/>
      <c r="I1844" s="4"/>
      <c r="J1844" s="4"/>
      <c r="K1844" s="4"/>
      <c r="L1844" s="4"/>
      <c r="M1844" s="4"/>
    </row>
    <row r="1845" spans="1:13" s="34" customFormat="1">
      <c r="A1845" s="3"/>
      <c r="B1845" s="4"/>
      <c r="C1845" s="4"/>
      <c r="D1845" s="4"/>
      <c r="E1845" s="4"/>
      <c r="F1845" s="4"/>
      <c r="G1845" s="4"/>
      <c r="H1845" s="4"/>
      <c r="I1845" s="4"/>
      <c r="J1845" s="4"/>
      <c r="K1845" s="4"/>
      <c r="L1845" s="4"/>
      <c r="M1845" s="4"/>
    </row>
    <row r="1846" spans="1:13" s="34" customFormat="1">
      <c r="A1846" s="3"/>
      <c r="B1846" s="4"/>
      <c r="C1846" s="4"/>
      <c r="D1846" s="4"/>
      <c r="E1846" s="4"/>
      <c r="F1846" s="4"/>
      <c r="G1846" s="4"/>
      <c r="H1846" s="4"/>
      <c r="I1846" s="4"/>
      <c r="J1846" s="4"/>
      <c r="K1846" s="4"/>
      <c r="L1846" s="4"/>
      <c r="M1846" s="4"/>
    </row>
    <row r="1847" spans="1:13" s="34" customFormat="1">
      <c r="A1847" s="3"/>
      <c r="B1847" s="4"/>
      <c r="C1847" s="4"/>
      <c r="D1847" s="4"/>
      <c r="E1847" s="4"/>
      <c r="F1847" s="4"/>
      <c r="G1847" s="4"/>
      <c r="H1847" s="4"/>
      <c r="I1847" s="4"/>
      <c r="J1847" s="4"/>
      <c r="K1847" s="4"/>
      <c r="L1847" s="4"/>
      <c r="M1847" s="4"/>
    </row>
    <row r="1848" spans="1:13" s="34" customFormat="1">
      <c r="A1848" s="3"/>
      <c r="B1848" s="4"/>
      <c r="C1848" s="4"/>
      <c r="D1848" s="4"/>
      <c r="E1848" s="4"/>
      <c r="F1848" s="4"/>
      <c r="G1848" s="4"/>
      <c r="H1848" s="4"/>
      <c r="I1848" s="4"/>
      <c r="J1848" s="4"/>
      <c r="K1848" s="4"/>
      <c r="L1848" s="4"/>
      <c r="M1848" s="4"/>
    </row>
    <row r="1849" spans="1:13" s="34" customFormat="1">
      <c r="A1849" s="3"/>
      <c r="B1849" s="4"/>
      <c r="C1849" s="4"/>
      <c r="D1849" s="4"/>
      <c r="E1849" s="4"/>
      <c r="F1849" s="4"/>
      <c r="G1849" s="4"/>
      <c r="H1849" s="4"/>
      <c r="I1849" s="4"/>
      <c r="J1849" s="4"/>
      <c r="K1849" s="4"/>
      <c r="L1849" s="4"/>
      <c r="M1849" s="4"/>
    </row>
    <row r="1850" spans="1:13" s="34" customFormat="1">
      <c r="A1850" s="3"/>
      <c r="B1850" s="4"/>
      <c r="C1850" s="4"/>
      <c r="D1850" s="4"/>
      <c r="E1850" s="4"/>
      <c r="F1850" s="4"/>
      <c r="G1850" s="4"/>
      <c r="H1850" s="4"/>
      <c r="I1850" s="4"/>
      <c r="J1850" s="4"/>
      <c r="K1850" s="4"/>
      <c r="L1850" s="4"/>
      <c r="M1850" s="4"/>
    </row>
    <row r="1851" spans="1:13" s="34" customFormat="1">
      <c r="A1851" s="3"/>
      <c r="B1851" s="4"/>
      <c r="C1851" s="4"/>
      <c r="D1851" s="4"/>
      <c r="E1851" s="4"/>
      <c r="F1851" s="4"/>
      <c r="G1851" s="4"/>
      <c r="H1851" s="4"/>
      <c r="I1851" s="4"/>
      <c r="J1851" s="4"/>
      <c r="K1851" s="4"/>
      <c r="L1851" s="4"/>
      <c r="M1851" s="4"/>
    </row>
    <row r="1852" spans="1:13" s="34" customFormat="1">
      <c r="A1852" s="3"/>
      <c r="B1852" s="4"/>
      <c r="C1852" s="4"/>
      <c r="D1852" s="4"/>
      <c r="E1852" s="4"/>
      <c r="F1852" s="4"/>
      <c r="G1852" s="4"/>
      <c r="H1852" s="4"/>
      <c r="I1852" s="4"/>
      <c r="J1852" s="4"/>
      <c r="K1852" s="4"/>
      <c r="L1852" s="4"/>
      <c r="M1852" s="4"/>
    </row>
    <row r="1853" spans="1:13" s="34" customFormat="1">
      <c r="A1853" s="3"/>
      <c r="B1853" s="4"/>
      <c r="C1853" s="4"/>
      <c r="D1853" s="4"/>
      <c r="E1853" s="4"/>
      <c r="F1853" s="4"/>
      <c r="G1853" s="4"/>
      <c r="H1853" s="4"/>
      <c r="I1853" s="4"/>
      <c r="J1853" s="4"/>
      <c r="K1853" s="4"/>
      <c r="L1853" s="4"/>
      <c r="M1853" s="4"/>
    </row>
    <row r="1854" spans="1:13" s="34" customFormat="1">
      <c r="A1854" s="3"/>
      <c r="B1854" s="4"/>
      <c r="C1854" s="4"/>
      <c r="D1854" s="4"/>
      <c r="E1854" s="4"/>
      <c r="F1854" s="4"/>
      <c r="G1854" s="4"/>
      <c r="H1854" s="4"/>
      <c r="I1854" s="4"/>
      <c r="J1854" s="4"/>
      <c r="K1854" s="4"/>
      <c r="L1854" s="4"/>
      <c r="M1854" s="4"/>
    </row>
    <row r="1855" spans="1:13" s="34" customFormat="1">
      <c r="A1855" s="3"/>
      <c r="B1855" s="4"/>
      <c r="C1855" s="4"/>
      <c r="D1855" s="4"/>
      <c r="E1855" s="4"/>
      <c r="F1855" s="4"/>
      <c r="G1855" s="4"/>
      <c r="H1855" s="4"/>
      <c r="I1855" s="4"/>
      <c r="J1855" s="4"/>
      <c r="K1855" s="4"/>
      <c r="L1855" s="4"/>
      <c r="M1855" s="4"/>
    </row>
    <row r="1856" spans="1:13" s="34" customFormat="1">
      <c r="A1856" s="3"/>
      <c r="B1856" s="4"/>
      <c r="C1856" s="4"/>
      <c r="D1856" s="4"/>
      <c r="E1856" s="4"/>
      <c r="F1856" s="4"/>
      <c r="G1856" s="4"/>
      <c r="H1856" s="4"/>
      <c r="I1856" s="4"/>
      <c r="J1856" s="4"/>
      <c r="K1856" s="4"/>
      <c r="L1856" s="4"/>
      <c r="M1856" s="4"/>
    </row>
    <row r="1857" spans="1:13" s="34" customFormat="1">
      <c r="A1857" s="3"/>
      <c r="B1857" s="4"/>
      <c r="C1857" s="4"/>
      <c r="D1857" s="4"/>
      <c r="E1857" s="4"/>
      <c r="F1857" s="4"/>
      <c r="G1857" s="4"/>
      <c r="H1857" s="4"/>
      <c r="I1857" s="4"/>
      <c r="J1857" s="4"/>
      <c r="K1857" s="4"/>
      <c r="L1857" s="4"/>
      <c r="M1857" s="4"/>
    </row>
    <row r="1858" spans="1:13" s="34" customFormat="1">
      <c r="A1858" s="3"/>
      <c r="B1858" s="4"/>
      <c r="C1858" s="4"/>
      <c r="D1858" s="4"/>
      <c r="E1858" s="4"/>
      <c r="F1858" s="4"/>
      <c r="G1858" s="4"/>
      <c r="H1858" s="4"/>
      <c r="I1858" s="4"/>
      <c r="J1858" s="4"/>
      <c r="K1858" s="4"/>
      <c r="L1858" s="4"/>
      <c r="M1858" s="4"/>
    </row>
    <row r="1859" spans="1:13" s="34" customFormat="1">
      <c r="A1859" s="3"/>
      <c r="B1859" s="4"/>
      <c r="C1859" s="4"/>
      <c r="D1859" s="4"/>
      <c r="E1859" s="4"/>
      <c r="F1859" s="4"/>
      <c r="G1859" s="4"/>
      <c r="H1859" s="4"/>
      <c r="I1859" s="4"/>
      <c r="J1859" s="4"/>
      <c r="K1859" s="4"/>
      <c r="L1859" s="4"/>
      <c r="M1859" s="4"/>
    </row>
    <row r="1860" spans="1:13" s="34" customFormat="1">
      <c r="A1860" s="3"/>
      <c r="B1860" s="4"/>
      <c r="C1860" s="4"/>
      <c r="D1860" s="4"/>
      <c r="E1860" s="4"/>
      <c r="F1860" s="4"/>
      <c r="G1860" s="4"/>
      <c r="H1860" s="4"/>
      <c r="I1860" s="4"/>
      <c r="J1860" s="4"/>
      <c r="K1860" s="4"/>
      <c r="L1860" s="4"/>
      <c r="M1860" s="4"/>
    </row>
    <row r="1861" spans="1:13" s="34" customFormat="1">
      <c r="A1861" s="3"/>
      <c r="B1861" s="4"/>
      <c r="C1861" s="4"/>
      <c r="D1861" s="4"/>
      <c r="E1861" s="4"/>
      <c r="F1861" s="4"/>
      <c r="G1861" s="4"/>
      <c r="H1861" s="4"/>
      <c r="I1861" s="4"/>
      <c r="J1861" s="4"/>
      <c r="K1861" s="4"/>
      <c r="L1861" s="4"/>
      <c r="M1861" s="4"/>
    </row>
    <row r="1862" spans="1:13" s="34" customFormat="1">
      <c r="A1862" s="3"/>
      <c r="B1862" s="4"/>
      <c r="C1862" s="4"/>
      <c r="D1862" s="4"/>
      <c r="E1862" s="4"/>
      <c r="F1862" s="4"/>
      <c r="G1862" s="4"/>
      <c r="H1862" s="4"/>
      <c r="I1862" s="4"/>
      <c r="J1862" s="4"/>
      <c r="K1862" s="4"/>
      <c r="L1862" s="4"/>
      <c r="M1862" s="4"/>
    </row>
    <row r="1863" spans="1:13" s="34" customFormat="1">
      <c r="A1863" s="3"/>
      <c r="B1863" s="4"/>
      <c r="C1863" s="4"/>
      <c r="D1863" s="4"/>
      <c r="E1863" s="4"/>
      <c r="F1863" s="4"/>
      <c r="G1863" s="4"/>
      <c r="H1863" s="4"/>
      <c r="I1863" s="4"/>
      <c r="J1863" s="4"/>
      <c r="K1863" s="4"/>
      <c r="L1863" s="4"/>
      <c r="M1863" s="4"/>
    </row>
    <row r="1864" spans="1:13" s="34" customFormat="1">
      <c r="A1864" s="3"/>
      <c r="B1864" s="4"/>
      <c r="C1864" s="4"/>
      <c r="D1864" s="4"/>
      <c r="E1864" s="4"/>
      <c r="F1864" s="4"/>
      <c r="G1864" s="4"/>
      <c r="H1864" s="4"/>
      <c r="I1864" s="4"/>
      <c r="J1864" s="4"/>
      <c r="K1864" s="4"/>
      <c r="L1864" s="4"/>
      <c r="M1864" s="4"/>
    </row>
    <row r="1865" spans="1:13" s="34" customFormat="1">
      <c r="A1865" s="3"/>
      <c r="B1865" s="4"/>
      <c r="C1865" s="4"/>
      <c r="D1865" s="4"/>
      <c r="E1865" s="4"/>
      <c r="F1865" s="4"/>
      <c r="G1865" s="4"/>
      <c r="H1865" s="4"/>
      <c r="I1865" s="4"/>
      <c r="J1865" s="4"/>
      <c r="K1865" s="4"/>
      <c r="L1865" s="4"/>
      <c r="M1865" s="4"/>
    </row>
    <row r="1866" spans="1:13" s="34" customFormat="1">
      <c r="A1866" s="3"/>
      <c r="B1866" s="4"/>
      <c r="C1866" s="4"/>
      <c r="D1866" s="4"/>
      <c r="E1866" s="4"/>
      <c r="F1866" s="4"/>
      <c r="G1866" s="4"/>
      <c r="H1866" s="4"/>
      <c r="I1866" s="4"/>
      <c r="J1866" s="4"/>
      <c r="K1866" s="4"/>
      <c r="L1866" s="4"/>
      <c r="M1866" s="4"/>
    </row>
    <row r="1867" spans="1:13" s="34" customFormat="1">
      <c r="A1867" s="3"/>
      <c r="B1867" s="4"/>
      <c r="C1867" s="4"/>
      <c r="D1867" s="4"/>
      <c r="E1867" s="4"/>
      <c r="F1867" s="4"/>
      <c r="G1867" s="4"/>
      <c r="H1867" s="4"/>
      <c r="I1867" s="4"/>
      <c r="J1867" s="4"/>
      <c r="K1867" s="4"/>
      <c r="L1867" s="4"/>
      <c r="M1867" s="4"/>
    </row>
    <row r="1868" spans="1:13" s="34" customFormat="1">
      <c r="A1868" s="3"/>
      <c r="B1868" s="4"/>
      <c r="C1868" s="4"/>
      <c r="D1868" s="4"/>
      <c r="E1868" s="4"/>
      <c r="F1868" s="4"/>
      <c r="G1868" s="4"/>
      <c r="H1868" s="4"/>
      <c r="I1868" s="4"/>
      <c r="J1868" s="4"/>
      <c r="K1868" s="4"/>
      <c r="L1868" s="4"/>
      <c r="M1868" s="4"/>
    </row>
    <row r="1869" spans="1:13" s="34" customFormat="1">
      <c r="A1869" s="3"/>
      <c r="B1869" s="4"/>
      <c r="C1869" s="4"/>
      <c r="D1869" s="4"/>
      <c r="E1869" s="4"/>
      <c r="F1869" s="4"/>
      <c r="G1869" s="4"/>
      <c r="H1869" s="4"/>
      <c r="I1869" s="4"/>
      <c r="J1869" s="4"/>
      <c r="K1869" s="4"/>
      <c r="L1869" s="4"/>
      <c r="M1869" s="4"/>
    </row>
    <row r="1870" spans="1:13" s="34" customFormat="1">
      <c r="A1870" s="3"/>
      <c r="B1870" s="4"/>
      <c r="C1870" s="4"/>
      <c r="D1870" s="4"/>
      <c r="E1870" s="4"/>
      <c r="F1870" s="4"/>
      <c r="G1870" s="4"/>
      <c r="H1870" s="4"/>
      <c r="I1870" s="4"/>
      <c r="J1870" s="4"/>
      <c r="K1870" s="4"/>
      <c r="L1870" s="4"/>
      <c r="M1870" s="4"/>
    </row>
    <row r="1871" spans="1:13" s="34" customFormat="1">
      <c r="A1871" s="3"/>
      <c r="B1871" s="4"/>
      <c r="C1871" s="4"/>
      <c r="D1871" s="4"/>
      <c r="E1871" s="4"/>
      <c r="F1871" s="4"/>
      <c r="G1871" s="4"/>
      <c r="H1871" s="4"/>
      <c r="I1871" s="4"/>
      <c r="J1871" s="4"/>
      <c r="K1871" s="4"/>
      <c r="L1871" s="4"/>
      <c r="M1871" s="4"/>
    </row>
    <row r="1872" spans="1:13" s="34" customFormat="1">
      <c r="A1872" s="3"/>
      <c r="B1872" s="4"/>
      <c r="C1872" s="4"/>
      <c r="D1872" s="4"/>
      <c r="E1872" s="4"/>
      <c r="F1872" s="4"/>
      <c r="G1872" s="4"/>
      <c r="H1872" s="4"/>
      <c r="I1872" s="4"/>
      <c r="J1872" s="4"/>
      <c r="K1872" s="4"/>
      <c r="L1872" s="4"/>
      <c r="M1872" s="4"/>
    </row>
    <row r="1873" spans="1:13" s="34" customFormat="1">
      <c r="A1873" s="3"/>
      <c r="B1873" s="4"/>
      <c r="C1873" s="4"/>
      <c r="D1873" s="4"/>
      <c r="E1873" s="4"/>
      <c r="F1873" s="4"/>
      <c r="G1873" s="4"/>
      <c r="H1873" s="4"/>
      <c r="I1873" s="4"/>
      <c r="J1873" s="4"/>
      <c r="K1873" s="4"/>
      <c r="L1873" s="4"/>
      <c r="M1873" s="4"/>
    </row>
    <row r="1874" spans="1:13" s="34" customFormat="1">
      <c r="A1874" s="3"/>
      <c r="B1874" s="4"/>
      <c r="C1874" s="4"/>
      <c r="D1874" s="4"/>
      <c r="E1874" s="4"/>
      <c r="F1874" s="4"/>
      <c r="G1874" s="4"/>
      <c r="H1874" s="4"/>
      <c r="I1874" s="4"/>
      <c r="J1874" s="4"/>
      <c r="K1874" s="4"/>
      <c r="L1874" s="4"/>
      <c r="M1874" s="4"/>
    </row>
    <row r="1875" spans="1:13" s="34" customFormat="1">
      <c r="A1875" s="3"/>
      <c r="B1875" s="4"/>
      <c r="C1875" s="4"/>
      <c r="D1875" s="4"/>
      <c r="E1875" s="4"/>
      <c r="F1875" s="4"/>
      <c r="G1875" s="4"/>
      <c r="H1875" s="4"/>
      <c r="I1875" s="4"/>
      <c r="J1875" s="4"/>
      <c r="K1875" s="4"/>
      <c r="L1875" s="4"/>
      <c r="M1875" s="4"/>
    </row>
    <row r="1876" spans="1:13" s="34" customFormat="1">
      <c r="A1876" s="3"/>
      <c r="B1876" s="4"/>
      <c r="C1876" s="4"/>
      <c r="D1876" s="4"/>
      <c r="E1876" s="4"/>
      <c r="F1876" s="4"/>
      <c r="G1876" s="4"/>
      <c r="H1876" s="4"/>
      <c r="I1876" s="4"/>
      <c r="J1876" s="4"/>
      <c r="K1876" s="4"/>
      <c r="L1876" s="4"/>
      <c r="M1876" s="4"/>
    </row>
    <row r="1877" spans="1:13" s="34" customFormat="1">
      <c r="A1877" s="3"/>
      <c r="B1877" s="4"/>
      <c r="C1877" s="4"/>
      <c r="D1877" s="4"/>
      <c r="E1877" s="4"/>
      <c r="F1877" s="4"/>
      <c r="G1877" s="4"/>
      <c r="H1877" s="4"/>
      <c r="I1877" s="4"/>
      <c r="J1877" s="4"/>
      <c r="K1877" s="4"/>
      <c r="L1877" s="4"/>
      <c r="M1877" s="4"/>
    </row>
    <row r="1878" spans="1:13" s="34" customFormat="1">
      <c r="A1878" s="3"/>
      <c r="B1878" s="4"/>
      <c r="C1878" s="4"/>
      <c r="D1878" s="4"/>
      <c r="E1878" s="4"/>
      <c r="F1878" s="4"/>
      <c r="G1878" s="4"/>
      <c r="H1878" s="4"/>
      <c r="I1878" s="4"/>
      <c r="J1878" s="4"/>
      <c r="K1878" s="4"/>
      <c r="L1878" s="4"/>
      <c r="M1878" s="4"/>
    </row>
    <row r="1879" spans="1:13" s="34" customFormat="1">
      <c r="A1879" s="3"/>
      <c r="B1879" s="4"/>
      <c r="C1879" s="4"/>
      <c r="D1879" s="4"/>
      <c r="E1879" s="4"/>
      <c r="F1879" s="4"/>
      <c r="G1879" s="4"/>
      <c r="H1879" s="4"/>
      <c r="I1879" s="4"/>
      <c r="J1879" s="4"/>
      <c r="K1879" s="4"/>
      <c r="L1879" s="4"/>
      <c r="M1879" s="4"/>
    </row>
    <row r="1880" spans="1:13" s="34" customFormat="1">
      <c r="A1880" s="3"/>
      <c r="B1880" s="4"/>
      <c r="C1880" s="4"/>
      <c r="D1880" s="4"/>
      <c r="E1880" s="4"/>
      <c r="F1880" s="4"/>
      <c r="G1880" s="4"/>
      <c r="H1880" s="4"/>
      <c r="I1880" s="4"/>
      <c r="J1880" s="4"/>
      <c r="K1880" s="4"/>
      <c r="L1880" s="4"/>
      <c r="M1880" s="4"/>
    </row>
    <row r="1881" spans="1:13" s="34" customFormat="1">
      <c r="A1881" s="3"/>
      <c r="B1881" s="4"/>
      <c r="C1881" s="4"/>
      <c r="D1881" s="4"/>
      <c r="E1881" s="4"/>
      <c r="F1881" s="4"/>
      <c r="G1881" s="4"/>
      <c r="H1881" s="4"/>
      <c r="I1881" s="4"/>
      <c r="J1881" s="4"/>
      <c r="K1881" s="4"/>
      <c r="L1881" s="4"/>
      <c r="M1881" s="4"/>
    </row>
    <row r="1882" spans="1:13" s="34" customFormat="1">
      <c r="A1882" s="3"/>
      <c r="B1882" s="4"/>
      <c r="C1882" s="4"/>
      <c r="D1882" s="4"/>
      <c r="E1882" s="4"/>
      <c r="F1882" s="4"/>
      <c r="G1882" s="4"/>
      <c r="H1882" s="4"/>
      <c r="I1882" s="4"/>
      <c r="J1882" s="4"/>
      <c r="K1882" s="4"/>
      <c r="L1882" s="4"/>
      <c r="M1882" s="4"/>
    </row>
    <row r="1883" spans="1:13" s="34" customFormat="1">
      <c r="A1883" s="3"/>
      <c r="B1883" s="4"/>
      <c r="C1883" s="4"/>
      <c r="D1883" s="4"/>
      <c r="E1883" s="4"/>
      <c r="F1883" s="4"/>
      <c r="G1883" s="4"/>
      <c r="H1883" s="4"/>
      <c r="I1883" s="4"/>
      <c r="J1883" s="4"/>
      <c r="K1883" s="4"/>
      <c r="L1883" s="4"/>
      <c r="M1883" s="4"/>
    </row>
    <row r="1884" spans="1:13" s="34" customFormat="1">
      <c r="A1884" s="3"/>
      <c r="B1884" s="4"/>
      <c r="C1884" s="4"/>
      <c r="D1884" s="4"/>
      <c r="E1884" s="4"/>
      <c r="F1884" s="4"/>
      <c r="G1884" s="4"/>
      <c r="H1884" s="4"/>
      <c r="I1884" s="4"/>
      <c r="J1884" s="4"/>
      <c r="K1884" s="4"/>
      <c r="L1884" s="4"/>
      <c r="M1884" s="4"/>
    </row>
    <row r="1885" spans="1:13" s="34" customFormat="1">
      <c r="A1885" s="3"/>
      <c r="B1885" s="4"/>
      <c r="C1885" s="4"/>
      <c r="D1885" s="4"/>
      <c r="E1885" s="4"/>
      <c r="F1885" s="4"/>
      <c r="G1885" s="4"/>
      <c r="H1885" s="4"/>
      <c r="I1885" s="4"/>
      <c r="J1885" s="4"/>
      <c r="K1885" s="4"/>
      <c r="L1885" s="4"/>
      <c r="M1885" s="4"/>
    </row>
    <row r="1886" spans="1:13" s="34" customFormat="1">
      <c r="A1886" s="3"/>
      <c r="B1886" s="4"/>
      <c r="C1886" s="4"/>
      <c r="D1886" s="4"/>
      <c r="E1886" s="4"/>
      <c r="F1886" s="4"/>
      <c r="G1886" s="4"/>
      <c r="H1886" s="4"/>
      <c r="I1886" s="4"/>
      <c r="J1886" s="4"/>
      <c r="K1886" s="4"/>
      <c r="L1886" s="4"/>
      <c r="M1886" s="4"/>
    </row>
    <row r="1887" spans="1:13" s="34" customFormat="1">
      <c r="A1887" s="3"/>
      <c r="B1887" s="4"/>
      <c r="C1887" s="4"/>
      <c r="D1887" s="4"/>
      <c r="E1887" s="4"/>
      <c r="F1887" s="4"/>
      <c r="G1887" s="4"/>
      <c r="H1887" s="4"/>
      <c r="I1887" s="4"/>
      <c r="J1887" s="4"/>
      <c r="K1887" s="4"/>
      <c r="L1887" s="4"/>
      <c r="M1887" s="4"/>
    </row>
    <row r="1888" spans="1:13" s="34" customFormat="1">
      <c r="A1888" s="3"/>
      <c r="B1888" s="4"/>
      <c r="C1888" s="4"/>
      <c r="D1888" s="4"/>
      <c r="E1888" s="4"/>
      <c r="F1888" s="4"/>
      <c r="G1888" s="4"/>
      <c r="H1888" s="3"/>
      <c r="I1888" s="4"/>
      <c r="J1888" s="4"/>
      <c r="K1888" s="4"/>
      <c r="L1888" s="4"/>
      <c r="M1888" s="4"/>
    </row>
    <row r="1889" spans="1:13" s="34" customFormat="1">
      <c r="A1889" s="3"/>
      <c r="B1889" s="4"/>
      <c r="C1889" s="4"/>
      <c r="D1889" s="4"/>
      <c r="E1889" s="4"/>
      <c r="F1889" s="4"/>
      <c r="G1889" s="4"/>
      <c r="H1889" s="3"/>
      <c r="I1889" s="4"/>
      <c r="J1889" s="4"/>
      <c r="K1889" s="4"/>
      <c r="L1889" s="4"/>
      <c r="M1889" s="4"/>
    </row>
    <row r="1890" spans="1:13" s="34" customFormat="1">
      <c r="A1890" s="3"/>
      <c r="B1890" s="4"/>
      <c r="C1890" s="4"/>
      <c r="D1890" s="4"/>
      <c r="E1890" s="4"/>
      <c r="F1890" s="4"/>
      <c r="G1890" s="4"/>
      <c r="H1890" s="3"/>
      <c r="I1890" s="4"/>
      <c r="J1890" s="4"/>
      <c r="K1890" s="4"/>
      <c r="L1890" s="4"/>
      <c r="M1890" s="4"/>
    </row>
    <row r="1891" spans="1:13" s="34" customFormat="1">
      <c r="A1891" s="3"/>
      <c r="B1891" s="4"/>
      <c r="C1891" s="4"/>
      <c r="D1891" s="4"/>
      <c r="E1891" s="4"/>
      <c r="F1891" s="4"/>
      <c r="G1891" s="4"/>
      <c r="H1891" s="3"/>
      <c r="I1891" s="4"/>
      <c r="J1891" s="4"/>
      <c r="K1891" s="4"/>
      <c r="L1891" s="4"/>
      <c r="M1891" s="4"/>
    </row>
    <row r="1892" spans="1:13" s="34" customFormat="1">
      <c r="A1892" s="3"/>
      <c r="B1892" s="4"/>
      <c r="C1892" s="4"/>
      <c r="D1892" s="4"/>
      <c r="E1892" s="4"/>
      <c r="F1892" s="4"/>
      <c r="G1892" s="4"/>
      <c r="H1892" s="3"/>
      <c r="I1892" s="4"/>
      <c r="J1892" s="4"/>
      <c r="K1892" s="4"/>
      <c r="L1892" s="4"/>
      <c r="M1892" s="4"/>
    </row>
    <row r="1893" spans="1:13" s="34" customFormat="1">
      <c r="A1893" s="3"/>
      <c r="B1893" s="4"/>
      <c r="C1893" s="4"/>
      <c r="D1893" s="4"/>
      <c r="E1893" s="4"/>
      <c r="F1893" s="4"/>
      <c r="G1893" s="4"/>
      <c r="H1893" s="3"/>
      <c r="I1893" s="4"/>
      <c r="J1893" s="4"/>
      <c r="K1893" s="4"/>
      <c r="L1893" s="4"/>
      <c r="M1893" s="4"/>
    </row>
    <row r="1894" spans="1:13" s="34" customFormat="1">
      <c r="A1894" s="3"/>
      <c r="B1894" s="4"/>
      <c r="C1894" s="4"/>
      <c r="D1894" s="4"/>
      <c r="E1894" s="4"/>
      <c r="F1894" s="4"/>
      <c r="G1894" s="4"/>
      <c r="H1894" s="3"/>
      <c r="I1894" s="4"/>
      <c r="J1894" s="4"/>
      <c r="K1894" s="4"/>
      <c r="L1894" s="4"/>
      <c r="M1894" s="4"/>
    </row>
    <row r="1895" spans="1:13" s="34" customFormat="1">
      <c r="A1895" s="3"/>
      <c r="B1895" s="4"/>
      <c r="C1895" s="4"/>
      <c r="D1895" s="4"/>
      <c r="E1895" s="4"/>
      <c r="F1895" s="4"/>
      <c r="G1895" s="4"/>
      <c r="H1895" s="3"/>
      <c r="I1895" s="4"/>
      <c r="J1895" s="4"/>
      <c r="K1895" s="4"/>
      <c r="L1895" s="4"/>
      <c r="M1895" s="4"/>
    </row>
    <row r="1896" spans="1:13" s="34" customFormat="1">
      <c r="A1896" s="3"/>
      <c r="B1896" s="4"/>
      <c r="C1896" s="4"/>
      <c r="D1896" s="4"/>
      <c r="E1896" s="4"/>
      <c r="F1896" s="4"/>
      <c r="G1896" s="4"/>
      <c r="H1896" s="3"/>
      <c r="I1896" s="4"/>
      <c r="J1896" s="4"/>
      <c r="K1896" s="4"/>
      <c r="L1896" s="4"/>
      <c r="M1896" s="4"/>
    </row>
    <row r="1897" spans="1:13" s="34" customFormat="1">
      <c r="A1897" s="3"/>
      <c r="B1897" s="4"/>
      <c r="C1897" s="4"/>
      <c r="D1897" s="4"/>
      <c r="E1897" s="4"/>
      <c r="F1897" s="4"/>
      <c r="G1897" s="4"/>
      <c r="H1897" s="3"/>
      <c r="I1897" s="4"/>
      <c r="J1897" s="4"/>
      <c r="K1897" s="4"/>
      <c r="L1897" s="4"/>
      <c r="M1897" s="4"/>
    </row>
    <row r="1898" spans="1:13" s="34" customFormat="1">
      <c r="A1898" s="3"/>
      <c r="B1898" s="4"/>
      <c r="C1898" s="4"/>
      <c r="D1898" s="4"/>
      <c r="E1898" s="4"/>
      <c r="F1898" s="4"/>
      <c r="G1898" s="4"/>
      <c r="H1898" s="3"/>
      <c r="I1898" s="4"/>
      <c r="J1898" s="4"/>
      <c r="K1898" s="4"/>
      <c r="L1898" s="4"/>
      <c r="M1898" s="4"/>
    </row>
    <row r="1899" spans="1:13" s="34" customFormat="1">
      <c r="A1899" s="3"/>
      <c r="B1899" s="4"/>
      <c r="C1899" s="4"/>
      <c r="D1899" s="4"/>
      <c r="E1899" s="4"/>
      <c r="F1899" s="4"/>
      <c r="G1899" s="4"/>
      <c r="H1899" s="3"/>
      <c r="I1899" s="4"/>
      <c r="J1899" s="4"/>
      <c r="K1899" s="4"/>
      <c r="L1899" s="4"/>
      <c r="M1899" s="4"/>
    </row>
    <row r="1900" spans="1:13" s="34" customFormat="1">
      <c r="A1900" s="3"/>
      <c r="B1900" s="4"/>
      <c r="C1900" s="4"/>
      <c r="D1900" s="4"/>
      <c r="E1900" s="4"/>
      <c r="F1900" s="4"/>
      <c r="G1900" s="4"/>
      <c r="H1900" s="3"/>
      <c r="I1900" s="4"/>
      <c r="J1900" s="4"/>
      <c r="K1900" s="4"/>
      <c r="L1900" s="4"/>
      <c r="M1900" s="4"/>
    </row>
    <row r="1901" spans="1:13" s="34" customFormat="1">
      <c r="A1901" s="3"/>
      <c r="B1901" s="4"/>
      <c r="C1901" s="4"/>
      <c r="D1901" s="4"/>
      <c r="E1901" s="4"/>
      <c r="F1901" s="4"/>
      <c r="G1901" s="4"/>
      <c r="H1901" s="3"/>
      <c r="I1901" s="4"/>
      <c r="J1901" s="4"/>
      <c r="K1901" s="4"/>
      <c r="L1901" s="4"/>
      <c r="M1901" s="4"/>
    </row>
    <row r="1902" spans="1:13" s="34" customFormat="1">
      <c r="A1902" s="3"/>
      <c r="B1902" s="4"/>
      <c r="C1902" s="4"/>
      <c r="D1902" s="4"/>
      <c r="E1902" s="4"/>
      <c r="F1902" s="4"/>
      <c r="G1902" s="4"/>
      <c r="H1902" s="3"/>
      <c r="I1902" s="4"/>
      <c r="J1902" s="4"/>
      <c r="K1902" s="4"/>
      <c r="L1902" s="4"/>
      <c r="M1902" s="4"/>
    </row>
    <row r="1903" spans="1:13" s="34" customFormat="1">
      <c r="A1903" s="3"/>
      <c r="B1903" s="4"/>
      <c r="C1903" s="4"/>
      <c r="D1903" s="4"/>
      <c r="E1903" s="4"/>
      <c r="F1903" s="4"/>
      <c r="G1903" s="4"/>
      <c r="H1903" s="3"/>
      <c r="I1903" s="4"/>
      <c r="J1903" s="4"/>
      <c r="K1903" s="4"/>
      <c r="L1903" s="4"/>
      <c r="M1903" s="4"/>
    </row>
    <row r="1904" spans="1:13" s="34" customFormat="1">
      <c r="A1904" s="3"/>
      <c r="B1904" s="4"/>
      <c r="C1904" s="4"/>
      <c r="D1904" s="4"/>
      <c r="E1904" s="4"/>
      <c r="F1904" s="4"/>
      <c r="G1904" s="4"/>
      <c r="H1904" s="3"/>
      <c r="I1904" s="4"/>
      <c r="J1904" s="4"/>
      <c r="K1904" s="4"/>
      <c r="L1904" s="4"/>
      <c r="M1904" s="4"/>
    </row>
    <row r="1905" spans="1:13" s="34" customFormat="1">
      <c r="A1905" s="3"/>
      <c r="B1905" s="4"/>
      <c r="C1905" s="4"/>
      <c r="D1905" s="4"/>
      <c r="E1905" s="4"/>
      <c r="F1905" s="4"/>
      <c r="G1905" s="4"/>
      <c r="H1905" s="3"/>
      <c r="I1905" s="4"/>
      <c r="J1905" s="4"/>
      <c r="K1905" s="4"/>
      <c r="L1905" s="4"/>
      <c r="M1905" s="4"/>
    </row>
    <row r="1906" spans="1:13" s="34" customFormat="1">
      <c r="A1906" s="3"/>
      <c r="B1906" s="4"/>
      <c r="C1906" s="4"/>
      <c r="D1906" s="4"/>
      <c r="E1906" s="4"/>
      <c r="F1906" s="4"/>
      <c r="G1906" s="4"/>
      <c r="H1906" s="3"/>
      <c r="I1906" s="4"/>
      <c r="J1906" s="4"/>
      <c r="K1906" s="4"/>
      <c r="L1906" s="4"/>
      <c r="M1906" s="4"/>
    </row>
    <row r="1907" spans="1:13" s="34" customFormat="1">
      <c r="A1907" s="3"/>
      <c r="B1907" s="4"/>
      <c r="C1907" s="4"/>
      <c r="D1907" s="4"/>
      <c r="E1907" s="4"/>
      <c r="F1907" s="4"/>
      <c r="G1907" s="4"/>
      <c r="H1907" s="3"/>
      <c r="I1907" s="4"/>
      <c r="J1907" s="4"/>
      <c r="K1907" s="4"/>
      <c r="L1907" s="4"/>
      <c r="M1907" s="4"/>
    </row>
    <row r="1908" spans="1:13" s="34" customFormat="1">
      <c r="A1908" s="3"/>
      <c r="B1908" s="4"/>
      <c r="C1908" s="4"/>
      <c r="D1908" s="4"/>
      <c r="E1908" s="4"/>
      <c r="F1908" s="4"/>
      <c r="G1908" s="4"/>
      <c r="H1908" s="3"/>
      <c r="I1908" s="4"/>
      <c r="J1908" s="4"/>
      <c r="K1908" s="4"/>
      <c r="L1908" s="4"/>
      <c r="M1908" s="4"/>
    </row>
    <row r="1909" spans="1:13" s="34" customFormat="1">
      <c r="A1909" s="3"/>
      <c r="B1909" s="4"/>
      <c r="C1909" s="4"/>
      <c r="D1909" s="4"/>
      <c r="E1909" s="4"/>
      <c r="F1909" s="4"/>
      <c r="G1909" s="4"/>
      <c r="H1909" s="3"/>
      <c r="I1909" s="4"/>
      <c r="J1909" s="4"/>
      <c r="K1909" s="4"/>
      <c r="L1909" s="4"/>
      <c r="M1909" s="4"/>
    </row>
  </sheetData>
  <customSheetViews>
    <customSheetView guid="{69CDD2E0-B7B0-11D3-B354-005004B48B2E}" scale="75" fitToPage="1" showRuler="0" topLeftCell="A30">
      <pageMargins left="0.5" right="0.5" top="0.71" bottom="0.77" header="0.5" footer="0.5"/>
      <printOptions horizontalCentered="1"/>
      <pageSetup scale="83" firstPageNumber="3" orientation="portrait" horizontalDpi="4294967292" verticalDpi="4294967292" r:id="rId1"/>
      <headerFooter alignWithMargins="0">
        <oddFooter>&amp;Lkwpierce&amp;C7/31/96&amp;R&amp;F, Rev.1_x000D_Page &amp;P</oddFooter>
      </headerFooter>
    </customSheetView>
  </customSheetViews>
  <printOptions horizontalCentered="1"/>
  <pageMargins left="0.75" right="0.75" top="1" bottom="1" header="0.5" footer="0.5"/>
  <pageSetup scale="76" firstPageNumber="3" orientation="portrait" horizontalDpi="4294967292" verticalDpi="4294967292" r:id="rId2"/>
  <headerFooter alignWithMargins="0">
    <oddFooter>&amp;LScot Chambers
&amp;D&amp;R&amp;F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AK352"/>
  <sheetViews>
    <sheetView zoomScale="75" zoomScaleNormal="25" zoomScaleSheetLayoutView="100" workbookViewId="0">
      <selection activeCell="F28" sqref="F28"/>
    </sheetView>
  </sheetViews>
  <sheetFormatPr defaultRowHeight="12.75"/>
  <cols>
    <col min="1" max="1" width="9.140625" style="3"/>
    <col min="2" max="2" width="39.28515625" style="3" customWidth="1"/>
    <col min="3" max="3" width="18.7109375" style="3" customWidth="1"/>
    <col min="4" max="4" width="12" style="3" customWidth="1"/>
    <col min="5" max="5" width="9.140625" style="3"/>
    <col min="6" max="16384" width="9.140625" style="2"/>
  </cols>
  <sheetData>
    <row r="1" spans="1:37" ht="15.75">
      <c r="A1" s="1" t="str">
        <f>Scope!A1</f>
        <v>Rochester Public Utilities LM6000 PC Power Project</v>
      </c>
      <c r="B1" s="68"/>
      <c r="C1" s="68"/>
      <c r="D1" s="68"/>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row>
    <row r="2" spans="1:37" ht="15.75">
      <c r="A2" s="33" t="s">
        <v>633</v>
      </c>
      <c r="B2" s="68"/>
      <c r="C2" s="68"/>
      <c r="D2" s="68"/>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row>
    <row r="3" spans="1:37" ht="13.5" thickBot="1">
      <c r="A3" s="34"/>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row>
    <row r="4" spans="1:37" ht="13.5" thickBot="1">
      <c r="A4" s="69"/>
      <c r="B4" s="70"/>
      <c r="C4" s="170"/>
      <c r="D4" s="71" t="s">
        <v>669</v>
      </c>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row>
    <row r="5" spans="1:37">
      <c r="A5"/>
      <c r="B5" s="23"/>
      <c r="C5" s="167"/>
      <c r="D5" s="36"/>
      <c r="E5" s="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row>
    <row r="6" spans="1:37">
      <c r="A6" s="41" t="s">
        <v>693</v>
      </c>
      <c r="B6" s="23"/>
      <c r="C6" s="167"/>
      <c r="D6" s="22">
        <f>Mob_Backup!H16</f>
        <v>0</v>
      </c>
      <c r="E6" s="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row>
    <row r="7" spans="1:37">
      <c r="A7" s="41"/>
      <c r="B7" s="23"/>
      <c r="C7" s="167"/>
      <c r="D7" s="37"/>
      <c r="E7" s="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row>
    <row r="8" spans="1:37">
      <c r="A8" s="38" t="s">
        <v>694</v>
      </c>
      <c r="B8" s="23"/>
      <c r="C8" s="167"/>
      <c r="D8" s="22">
        <f>Mob_Backup!H22</f>
        <v>145405.93539999999</v>
      </c>
      <c r="E8" s="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row>
    <row r="9" spans="1:37">
      <c r="A9" s="41"/>
      <c r="B9" s="23"/>
      <c r="C9" s="167"/>
      <c r="D9" s="37"/>
      <c r="E9" s="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row>
    <row r="10" spans="1:37">
      <c r="A10" s="41" t="s">
        <v>673</v>
      </c>
      <c r="B10" s="23"/>
      <c r="C10" s="167"/>
      <c r="D10" s="37"/>
      <c r="E10" s="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row>
    <row r="11" spans="1:37" hidden="1">
      <c r="A11" s="4"/>
      <c r="B11" s="23" t="s">
        <v>695</v>
      </c>
      <c r="C11" s="168"/>
      <c r="D11" s="22">
        <f>Mob_Backup!H28</f>
        <v>0</v>
      </c>
      <c r="E11" s="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row>
    <row r="12" spans="1:37">
      <c r="A12" s="4"/>
      <c r="B12" s="23" t="s">
        <v>696</v>
      </c>
      <c r="C12" s="168"/>
      <c r="D12" s="22">
        <f>Mob_Backup!H35</f>
        <v>22750</v>
      </c>
      <c r="E12" s="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row>
    <row r="13" spans="1:37">
      <c r="A13" s="4"/>
      <c r="B13" s="23" t="s">
        <v>697</v>
      </c>
      <c r="C13" s="168"/>
      <c r="D13" s="22">
        <f>Mob_Backup!H43</f>
        <v>40000</v>
      </c>
      <c r="E13" s="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row>
    <row r="14" spans="1:37">
      <c r="A14" s="4"/>
      <c r="B14" s="23" t="s">
        <v>698</v>
      </c>
      <c r="C14" s="168"/>
      <c r="D14" s="22">
        <f>Mob_Backup!H68</f>
        <v>25000</v>
      </c>
      <c r="E14" s="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row>
    <row r="15" spans="1:37">
      <c r="A15" s="4"/>
      <c r="B15" s="23" t="s">
        <v>699</v>
      </c>
      <c r="C15" s="168"/>
      <c r="D15" s="22">
        <f>Mob_Backup!H79</f>
        <v>23750</v>
      </c>
      <c r="E15" s="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row>
    <row r="16" spans="1:37">
      <c r="A16" s="4"/>
      <c r="B16" s="23" t="s">
        <v>700</v>
      </c>
      <c r="C16" s="168"/>
      <c r="D16" s="22">
        <f>Mob_Backup!H85</f>
        <v>10400</v>
      </c>
      <c r="E16" s="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row>
    <row r="17" spans="1:37">
      <c r="A17" s="4"/>
      <c r="B17" s="23" t="s">
        <v>701</v>
      </c>
      <c r="C17" s="168"/>
      <c r="D17" s="22">
        <f>Mob_Backup!H93</f>
        <v>18800</v>
      </c>
      <c r="E17" s="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row>
    <row r="18" spans="1:37">
      <c r="A18" s="4"/>
      <c r="B18" s="23" t="s">
        <v>702</v>
      </c>
      <c r="C18" s="168"/>
      <c r="D18" s="22">
        <f>Mob_Backup!H110</f>
        <v>131827.5</v>
      </c>
      <c r="E18" s="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row>
    <row r="19" spans="1:37">
      <c r="A19" s="4"/>
      <c r="B19" s="23" t="s">
        <v>703</v>
      </c>
      <c r="C19" s="168"/>
      <c r="D19" s="22">
        <f>Mob_Backup!H130</f>
        <v>72100</v>
      </c>
      <c r="E19" s="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row>
    <row r="20" spans="1:37" hidden="1">
      <c r="A20" s="4"/>
      <c r="B20" s="23" t="s">
        <v>704</v>
      </c>
      <c r="C20" s="168"/>
      <c r="D20" s="22">
        <f>Mob_Backup!H133</f>
        <v>0</v>
      </c>
      <c r="E20" s="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row>
    <row r="21" spans="1:37" hidden="1">
      <c r="A21" s="4"/>
      <c r="B21" s="88" t="s">
        <v>705</v>
      </c>
      <c r="C21" s="168"/>
      <c r="D21" s="22">
        <f>Mob_Backup!H137</f>
        <v>0</v>
      </c>
      <c r="E21" s="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row>
    <row r="22" spans="1:37">
      <c r="A22" s="4"/>
      <c r="B22" s="88" t="s">
        <v>706</v>
      </c>
      <c r="C22" s="168"/>
      <c r="D22" s="22">
        <f>Mob_Backup!H144</f>
        <v>16500</v>
      </c>
      <c r="E22" s="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row>
    <row r="23" spans="1:37">
      <c r="A23" s="4"/>
      <c r="B23" s="23"/>
      <c r="C23" s="168"/>
      <c r="D23" s="37"/>
      <c r="E23" s="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row>
    <row r="24" spans="1:37">
      <c r="A24" s="4"/>
      <c r="B24" s="38" t="s">
        <v>707</v>
      </c>
      <c r="C24" s="169"/>
      <c r="D24" s="22">
        <f>SUBTOTAL(9,D11:D23)</f>
        <v>361127.5</v>
      </c>
      <c r="E24" s="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row>
    <row r="25" spans="1:37">
      <c r="A25" s="4"/>
      <c r="B25" s="23"/>
      <c r="C25" s="168"/>
      <c r="D25" s="37"/>
      <c r="E25" s="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row>
    <row r="26" spans="1:37">
      <c r="A26" s="4"/>
      <c r="B26" s="23"/>
      <c r="C26" s="168"/>
      <c r="D26" s="37"/>
      <c r="E26" s="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row>
    <row r="27" spans="1:37">
      <c r="A27" s="41" t="s">
        <v>674</v>
      </c>
      <c r="B27" s="23"/>
      <c r="C27" s="168"/>
      <c r="D27" s="37"/>
      <c r="E27" s="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row>
    <row r="28" spans="1:37">
      <c r="A28" s="4"/>
      <c r="B28" s="23" t="s">
        <v>708</v>
      </c>
      <c r="C28" s="168"/>
      <c r="D28" s="22">
        <f>Mob_Backup!H180</f>
        <v>94967.25</v>
      </c>
      <c r="E28" s="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row>
    <row r="29" spans="1:37">
      <c r="A29" s="4"/>
      <c r="B29" s="23" t="s">
        <v>709</v>
      </c>
      <c r="C29" s="168"/>
      <c r="D29" s="22">
        <f>Mob_Backup!H194</f>
        <v>32130</v>
      </c>
      <c r="E29" s="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row>
    <row r="30" spans="1:37">
      <c r="A30" s="4"/>
      <c r="B30" s="23" t="s">
        <v>710</v>
      </c>
      <c r="C30" s="168"/>
      <c r="D30" s="22">
        <f>Mob_Backup!H213</f>
        <v>12495</v>
      </c>
      <c r="E30" s="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row>
    <row r="31" spans="1:37">
      <c r="A31" s="4"/>
      <c r="B31" s="23" t="s">
        <v>711</v>
      </c>
      <c r="C31" s="168"/>
      <c r="D31" s="22">
        <f>Mob_Backup!H221</f>
        <v>21000</v>
      </c>
      <c r="E31" s="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row>
    <row r="32" spans="1:37">
      <c r="A32" s="4"/>
      <c r="B32" s="23" t="s">
        <v>712</v>
      </c>
      <c r="C32" s="168"/>
      <c r="D32" s="22">
        <f>Mob_Backup!H229</f>
        <v>8400</v>
      </c>
      <c r="E32" s="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row>
    <row r="33" spans="1:37">
      <c r="A33" s="4"/>
      <c r="B33" s="23" t="s">
        <v>713</v>
      </c>
      <c r="C33" s="168"/>
      <c r="D33" s="22">
        <f>Mob_Backup!H279</f>
        <v>82367.25</v>
      </c>
      <c r="E33" s="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row>
    <row r="34" spans="1:37">
      <c r="A34" s="4"/>
      <c r="B34" s="23" t="s">
        <v>714</v>
      </c>
      <c r="C34" s="168"/>
      <c r="D34" s="22">
        <f>Mob_Backup!H285</f>
        <v>4161.3</v>
      </c>
      <c r="E34" s="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row>
    <row r="35" spans="1:37">
      <c r="A35" s="4"/>
      <c r="B35" s="23"/>
      <c r="C35" s="168"/>
      <c r="D35" s="37"/>
      <c r="E35" s="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row>
    <row r="36" spans="1:37">
      <c r="A36" s="4"/>
      <c r="B36" s="38" t="s">
        <v>715</v>
      </c>
      <c r="C36" s="169"/>
      <c r="D36" s="22">
        <f>SUBTOTAL(9,D27:D35)</f>
        <v>255520.8</v>
      </c>
      <c r="E36" s="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row>
    <row r="37" spans="1:37">
      <c r="A37" s="4"/>
      <c r="B37" s="23"/>
      <c r="C37" s="168"/>
      <c r="D37" s="37"/>
      <c r="E37" s="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row>
    <row r="38" spans="1:37" ht="13.5" thickBot="1">
      <c r="A38" s="41" t="s">
        <v>675</v>
      </c>
      <c r="B38" s="23"/>
      <c r="C38" s="168"/>
      <c r="D38" s="39">
        <f>D36+D24+D8+D6</f>
        <v>762054.23540000001</v>
      </c>
      <c r="E38" s="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row>
    <row r="39" spans="1:37">
      <c r="A39" s="41"/>
      <c r="B39" s="23"/>
      <c r="C39" s="167"/>
      <c r="D39" s="32"/>
      <c r="E39" s="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row>
    <row r="40" spans="1:37" ht="13.5" thickBot="1">
      <c r="A40" s="2"/>
      <c r="B40" s="2"/>
      <c r="C40" s="2"/>
      <c r="D40" s="2"/>
      <c r="E40" s="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row>
    <row r="41" spans="1:37" hidden="1">
      <c r="A41" s="41" t="s">
        <v>716</v>
      </c>
      <c r="B41" s="4"/>
      <c r="C41" s="167"/>
      <c r="D41" s="301">
        <v>0</v>
      </c>
      <c r="E41" s="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row>
    <row r="42" spans="1:37" hidden="1">
      <c r="A42" s="41"/>
      <c r="B42" s="4"/>
      <c r="C42" s="23"/>
      <c r="D42" s="22"/>
      <c r="E42" s="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row>
    <row r="43" spans="1:37" hidden="1">
      <c r="A43" s="90" t="s">
        <v>717</v>
      </c>
      <c r="B43" s="4"/>
      <c r="C43" s="23"/>
      <c r="D43" s="22">
        <f>Mob_Backup!H301</f>
        <v>0</v>
      </c>
      <c r="E43" s="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row>
    <row r="44" spans="1:37" hidden="1">
      <c r="A44" s="4"/>
      <c r="B44" s="41"/>
      <c r="C44" s="23"/>
      <c r="D44" s="22"/>
      <c r="E44" s="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row>
    <row r="45" spans="1:37" ht="13.5" hidden="1" thickBot="1">
      <c r="A45" s="222" t="s">
        <v>635</v>
      </c>
      <c r="B45" s="4"/>
      <c r="C45" s="4"/>
      <c r="D45" s="39">
        <f>Mob_Backup!H303</f>
        <v>0</v>
      </c>
      <c r="E45" s="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row>
    <row r="46" spans="1:37" hidden="1">
      <c r="A46" s="222"/>
      <c r="B46" s="4"/>
      <c r="C46" s="4"/>
      <c r="D46" s="32"/>
      <c r="E46" s="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row>
    <row r="47" spans="1:37" ht="13.5" hidden="1" thickBot="1">
      <c r="A47" s="4"/>
      <c r="B47" s="4"/>
      <c r="C47" s="4"/>
      <c r="D47" s="4"/>
      <c r="E47" s="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row>
    <row r="48" spans="1:37" ht="13.5" thickBot="1">
      <c r="A48" s="41" t="s">
        <v>641</v>
      </c>
      <c r="B48" s="4"/>
      <c r="C48" s="168"/>
      <c r="D48" s="28">
        <f>Mob_Backup!H311</f>
        <v>1006075.847</v>
      </c>
      <c r="E48" s="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row>
    <row r="49" spans="1:37">
      <c r="A49" s="41"/>
      <c r="B49" s="4"/>
      <c r="C49" s="167"/>
      <c r="D49" s="32"/>
      <c r="E49" s="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row>
    <row r="50" spans="1:37" ht="13.5" thickBot="1">
      <c r="A50" s="4"/>
      <c r="B50" s="4"/>
      <c r="C50" s="4"/>
      <c r="D50" s="4"/>
      <c r="E50" s="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row>
    <row r="51" spans="1:37">
      <c r="A51" s="41" t="s">
        <v>718</v>
      </c>
      <c r="B51" s="4"/>
      <c r="C51" s="4"/>
      <c r="D51" s="299">
        <f>ROUND(Mob_Backup!H291*(Mob_Estimate!D43+Mob_Estimate!D41+Mob_Estimate!D38),-4)</f>
        <v>80000</v>
      </c>
      <c r="E51" s="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row>
    <row r="52" spans="1:37" ht="13.5" thickBot="1">
      <c r="A52" s="38" t="s">
        <v>679</v>
      </c>
      <c r="B52" s="4"/>
      <c r="C52" s="4"/>
      <c r="D52" s="300">
        <f>ROUND(Mob_Backup!H297*Mob_Estimate!D8,-4)</f>
        <v>10000</v>
      </c>
      <c r="E52" s="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row>
    <row r="53" spans="1:37">
      <c r="A53" s="4"/>
      <c r="B53" s="4"/>
      <c r="C53" s="4"/>
      <c r="D53" s="4"/>
      <c r="E53" s="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row>
    <row r="54" spans="1:37">
      <c r="A54" s="4"/>
      <c r="B54" s="4"/>
      <c r="C54" s="4"/>
      <c r="D54" s="4"/>
      <c r="E54" s="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row>
    <row r="55" spans="1:37">
      <c r="A55" s="4"/>
      <c r="B55" s="4"/>
      <c r="C55" s="4"/>
      <c r="D55" s="4"/>
      <c r="E55" s="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row>
    <row r="56" spans="1:37">
      <c r="A56" s="4"/>
      <c r="B56" s="4"/>
      <c r="C56" s="4"/>
      <c r="D56" s="4"/>
      <c r="E56" s="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row>
    <row r="57" spans="1:37">
      <c r="A57" s="4"/>
      <c r="B57" s="4"/>
      <c r="C57" s="4"/>
      <c r="D57" s="4"/>
      <c r="E57" s="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row>
    <row r="58" spans="1:37">
      <c r="A58" s="4"/>
      <c r="B58" s="4"/>
      <c r="C58" s="4"/>
      <c r="D58" s="4"/>
      <c r="E58" s="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row>
    <row r="59" spans="1:37">
      <c r="A59" s="4"/>
      <c r="B59" s="4"/>
      <c r="C59" s="4"/>
      <c r="D59" s="4"/>
      <c r="E59" s="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row>
    <row r="60" spans="1:37">
      <c r="A60" s="4"/>
      <c r="B60" s="4"/>
      <c r="C60" s="4"/>
      <c r="D60" s="4"/>
      <c r="E60" s="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row>
    <row r="61" spans="1:37">
      <c r="A61" s="4"/>
      <c r="B61" s="4"/>
      <c r="C61" s="4"/>
      <c r="D61" s="4"/>
      <c r="E61" s="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row>
    <row r="62" spans="1:37">
      <c r="A62" s="4"/>
      <c r="B62" s="4"/>
      <c r="C62" s="4"/>
      <c r="D62" s="4"/>
      <c r="E62" s="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row>
    <row r="63" spans="1:37">
      <c r="A63" s="4"/>
      <c r="B63" s="4"/>
      <c r="C63" s="4"/>
      <c r="D63" s="4"/>
      <c r="E63" s="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row>
    <row r="64" spans="1:37">
      <c r="A64" s="4"/>
      <c r="B64" s="4"/>
      <c r="C64" s="4"/>
      <c r="D64" s="4"/>
      <c r="E64" s="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row>
    <row r="65" spans="1:37">
      <c r="A65" s="4"/>
      <c r="B65" s="4"/>
      <c r="C65" s="4"/>
      <c r="D65" s="4"/>
      <c r="E65" s="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row>
    <row r="66" spans="1:37">
      <c r="A66" s="4"/>
      <c r="B66" s="4"/>
      <c r="C66" s="4"/>
      <c r="D66" s="4"/>
      <c r="E66" s="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row>
    <row r="67" spans="1:37">
      <c r="A67" s="4"/>
      <c r="B67" s="4"/>
      <c r="C67" s="4"/>
      <c r="D67" s="4"/>
      <c r="E67" s="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row>
    <row r="68" spans="1:37">
      <c r="A68" s="4"/>
      <c r="B68" s="4"/>
      <c r="C68" s="4"/>
      <c r="D68" s="4"/>
      <c r="E68" s="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row>
    <row r="69" spans="1:37">
      <c r="A69" s="4"/>
      <c r="B69" s="4"/>
      <c r="C69" s="4"/>
      <c r="D69" s="4"/>
      <c r="E69" s="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row>
    <row r="70" spans="1:37">
      <c r="A70" s="4"/>
      <c r="B70" s="4"/>
      <c r="C70" s="4"/>
      <c r="D70" s="4"/>
      <c r="E70" s="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row>
    <row r="71" spans="1:37">
      <c r="A71" s="4"/>
      <c r="B71" s="4"/>
      <c r="C71" s="4"/>
      <c r="D71" s="4"/>
      <c r="E71" s="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row>
    <row r="72" spans="1:37">
      <c r="A72" s="4"/>
      <c r="B72" s="4"/>
      <c r="C72" s="4"/>
      <c r="D72" s="4"/>
      <c r="E72" s="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row>
    <row r="73" spans="1:37">
      <c r="A73" s="4"/>
      <c r="B73" s="4"/>
      <c r="C73" s="4"/>
      <c r="D73" s="4"/>
      <c r="E73" s="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row>
    <row r="74" spans="1:37">
      <c r="A74" s="4"/>
      <c r="B74" s="4"/>
      <c r="C74" s="4"/>
      <c r="D74" s="4"/>
      <c r="E74" s="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row>
    <row r="75" spans="1:37">
      <c r="A75" s="4"/>
      <c r="B75" s="4"/>
      <c r="C75" s="4"/>
      <c r="D75" s="4"/>
      <c r="E75" s="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row>
    <row r="76" spans="1:37">
      <c r="A76" s="4"/>
      <c r="B76" s="4"/>
      <c r="C76" s="4"/>
      <c r="D76" s="4"/>
      <c r="E76" s="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row>
    <row r="77" spans="1:37">
      <c r="A77" s="4"/>
      <c r="B77" s="4"/>
      <c r="C77" s="4"/>
      <c r="D77" s="4"/>
      <c r="E77" s="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row>
    <row r="78" spans="1:37">
      <c r="A78" s="4"/>
      <c r="B78" s="4"/>
      <c r="C78" s="4"/>
      <c r="D78" s="4"/>
      <c r="E78" s="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row>
    <row r="79" spans="1:37">
      <c r="A79" s="4"/>
      <c r="B79" s="4"/>
      <c r="C79" s="4"/>
      <c r="D79" s="4"/>
      <c r="E79" s="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row>
    <row r="80" spans="1:37">
      <c r="A80" s="4"/>
      <c r="B80" s="4"/>
      <c r="C80" s="4"/>
      <c r="D80" s="4"/>
      <c r="E80" s="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row>
    <row r="81" spans="1:37">
      <c r="A81" s="4"/>
      <c r="B81" s="4"/>
      <c r="C81" s="4"/>
      <c r="D81" s="4"/>
      <c r="E81" s="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row>
    <row r="82" spans="1:37">
      <c r="A82" s="4"/>
      <c r="B82" s="4"/>
      <c r="C82" s="4"/>
      <c r="D82" s="4"/>
      <c r="E82" s="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row>
    <row r="83" spans="1:37">
      <c r="A83" s="4"/>
      <c r="B83" s="4"/>
      <c r="C83" s="4"/>
      <c r="D83" s="4"/>
      <c r="E83" s="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row>
    <row r="84" spans="1:37">
      <c r="A84" s="4"/>
      <c r="B84" s="4"/>
      <c r="C84" s="4"/>
      <c r="D84" s="4"/>
      <c r="E84" s="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row>
    <row r="85" spans="1:37">
      <c r="A85" s="4"/>
      <c r="B85" s="4"/>
      <c r="C85" s="4"/>
      <c r="D85" s="4"/>
      <c r="E85" s="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row>
    <row r="86" spans="1:37">
      <c r="A86" s="4"/>
      <c r="B86" s="4"/>
      <c r="C86" s="4"/>
      <c r="D86" s="4"/>
      <c r="E86" s="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row>
    <row r="87" spans="1:37">
      <c r="A87" s="4"/>
      <c r="B87" s="4"/>
      <c r="C87" s="4"/>
      <c r="D87" s="4"/>
      <c r="E87" s="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row>
    <row r="88" spans="1:37">
      <c r="A88" s="4"/>
      <c r="B88" s="4"/>
      <c r="C88" s="4"/>
      <c r="D88" s="4"/>
      <c r="E88" s="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row>
    <row r="89" spans="1:37">
      <c r="A89" s="4"/>
      <c r="B89" s="4"/>
      <c r="C89" s="4"/>
      <c r="D89" s="4"/>
      <c r="E89" s="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row>
    <row r="90" spans="1:37">
      <c r="A90" s="4"/>
      <c r="B90" s="4"/>
      <c r="C90" s="4"/>
      <c r="D90" s="4"/>
      <c r="E90" s="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row>
    <row r="91" spans="1:37">
      <c r="A91" s="4"/>
      <c r="B91" s="4"/>
      <c r="C91" s="4"/>
      <c r="D91" s="4"/>
      <c r="E91" s="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row>
    <row r="92" spans="1:37">
      <c r="A92" s="4"/>
      <c r="B92" s="4"/>
      <c r="C92" s="4"/>
      <c r="D92" s="4"/>
      <c r="E92" s="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row>
    <row r="93" spans="1:37">
      <c r="A93" s="4"/>
      <c r="B93" s="4"/>
      <c r="C93" s="4"/>
      <c r="D93" s="4"/>
      <c r="E93" s="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row>
    <row r="94" spans="1:37">
      <c r="A94" s="4"/>
      <c r="B94" s="4"/>
      <c r="C94" s="4"/>
      <c r="D94" s="4"/>
      <c r="E94" s="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row>
    <row r="95" spans="1:37">
      <c r="A95" s="4"/>
      <c r="B95" s="4"/>
      <c r="C95" s="4"/>
      <c r="D95" s="4"/>
      <c r="E95" s="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row>
    <row r="96" spans="1:37">
      <c r="A96" s="4"/>
      <c r="B96" s="4"/>
      <c r="C96" s="4"/>
      <c r="D96" s="4"/>
      <c r="E96" s="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row>
    <row r="97" spans="1:37">
      <c r="A97" s="4"/>
      <c r="B97" s="4"/>
      <c r="C97" s="4"/>
      <c r="D97" s="4"/>
      <c r="E97" s="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row>
    <row r="98" spans="1:37">
      <c r="A98" s="4"/>
      <c r="B98" s="4"/>
      <c r="C98" s="4"/>
      <c r="D98" s="4"/>
      <c r="E98" s="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row>
    <row r="99" spans="1:37">
      <c r="A99" s="4"/>
      <c r="B99" s="4"/>
      <c r="C99" s="4"/>
      <c r="D99" s="4"/>
      <c r="E99" s="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row>
    <row r="100" spans="1:37">
      <c r="A100" s="4"/>
      <c r="B100" s="4"/>
      <c r="C100" s="4"/>
      <c r="D100" s="4"/>
      <c r="E100" s="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row>
    <row r="101" spans="1:37">
      <c r="A101" s="4"/>
      <c r="B101" s="4"/>
      <c r="C101" s="4"/>
      <c r="D101" s="4"/>
      <c r="E101" s="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row>
    <row r="102" spans="1:37">
      <c r="A102" s="4"/>
      <c r="B102" s="4"/>
      <c r="C102" s="4"/>
      <c r="D102" s="4"/>
      <c r="E102" s="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row>
    <row r="103" spans="1:37">
      <c r="A103" s="4"/>
      <c r="B103" s="4"/>
      <c r="C103" s="4"/>
      <c r="D103" s="4"/>
      <c r="E103" s="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row>
    <row r="104" spans="1:37">
      <c r="A104" s="4"/>
      <c r="B104" s="4"/>
      <c r="C104" s="4"/>
      <c r="D104" s="4"/>
      <c r="E104" s="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row>
    <row r="105" spans="1:37">
      <c r="A105" s="4"/>
      <c r="B105" s="4"/>
      <c r="C105" s="4"/>
      <c r="D105" s="4"/>
      <c r="E105" s="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row>
    <row r="106" spans="1:37">
      <c r="A106" s="4"/>
      <c r="B106" s="4"/>
      <c r="C106" s="4"/>
      <c r="D106" s="4"/>
      <c r="E106" s="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row>
    <row r="107" spans="1:37">
      <c r="A107" s="4"/>
      <c r="B107" s="4"/>
      <c r="C107" s="4"/>
      <c r="D107" s="4"/>
      <c r="E107" s="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row>
    <row r="108" spans="1:37">
      <c r="A108" s="4"/>
      <c r="B108" s="4"/>
      <c r="C108" s="4"/>
      <c r="D108" s="4"/>
      <c r="E108" s="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row>
    <row r="109" spans="1:37">
      <c r="A109" s="4"/>
      <c r="B109" s="4"/>
      <c r="C109" s="4"/>
      <c r="D109" s="4"/>
      <c r="E109" s="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row>
    <row r="110" spans="1:37">
      <c r="A110" s="4"/>
      <c r="B110" s="4"/>
      <c r="C110" s="4"/>
      <c r="D110" s="4"/>
      <c r="E110" s="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row>
    <row r="111" spans="1:37">
      <c r="A111" s="4"/>
      <c r="B111" s="4"/>
      <c r="C111" s="4"/>
      <c r="D111" s="4"/>
      <c r="E111" s="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row>
    <row r="112" spans="1:37">
      <c r="A112" s="4"/>
      <c r="B112" s="4"/>
      <c r="C112" s="4"/>
      <c r="D112" s="4"/>
      <c r="E112" s="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row>
    <row r="113" spans="1:37">
      <c r="A113" s="4"/>
      <c r="B113" s="4"/>
      <c r="C113" s="4"/>
      <c r="D113" s="4"/>
      <c r="E113" s="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row>
    <row r="114" spans="1:37">
      <c r="A114" s="4"/>
      <c r="B114" s="4"/>
      <c r="C114" s="4"/>
      <c r="D114" s="4"/>
      <c r="E114" s="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row>
    <row r="115" spans="1:37">
      <c r="A115" s="4"/>
      <c r="B115" s="4"/>
      <c r="C115" s="4"/>
      <c r="D115" s="4"/>
      <c r="E115" s="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row>
    <row r="116" spans="1:37">
      <c r="A116" s="4"/>
      <c r="B116" s="4"/>
      <c r="C116" s="4"/>
      <c r="D116" s="4"/>
      <c r="E116" s="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row>
    <row r="117" spans="1:37">
      <c r="A117" s="4"/>
      <c r="B117" s="4"/>
      <c r="C117" s="4"/>
      <c r="D117" s="4"/>
      <c r="E117" s="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row>
    <row r="118" spans="1:37">
      <c r="A118" s="4"/>
      <c r="B118" s="4"/>
      <c r="C118" s="4"/>
      <c r="D118" s="4"/>
      <c r="E118" s="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row>
    <row r="119" spans="1:37">
      <c r="A119" s="4"/>
      <c r="B119" s="4"/>
      <c r="C119" s="4"/>
      <c r="D119" s="4"/>
      <c r="E119" s="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row>
    <row r="120" spans="1:37">
      <c r="A120" s="4"/>
      <c r="B120" s="4"/>
      <c r="C120" s="4"/>
      <c r="D120" s="4"/>
      <c r="E120" s="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row>
    <row r="121" spans="1:37">
      <c r="A121" s="4"/>
      <c r="B121" s="4"/>
      <c r="C121" s="4"/>
      <c r="D121" s="4"/>
      <c r="E121" s="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row>
    <row r="122" spans="1:37">
      <c r="A122" s="4"/>
      <c r="B122" s="4"/>
      <c r="C122" s="4"/>
      <c r="D122" s="4"/>
      <c r="E122" s="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row>
    <row r="123" spans="1:37">
      <c r="A123" s="4"/>
      <c r="B123" s="4"/>
      <c r="C123" s="4"/>
      <c r="D123" s="4"/>
      <c r="E123" s="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row>
    <row r="124" spans="1:37">
      <c r="A124" s="4"/>
      <c r="B124" s="4"/>
      <c r="C124" s="4"/>
      <c r="D124" s="4"/>
      <c r="E124" s="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row>
    <row r="125" spans="1:37">
      <c r="A125" s="4"/>
      <c r="B125" s="4"/>
      <c r="C125" s="4"/>
      <c r="D125" s="4"/>
      <c r="E125" s="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row>
    <row r="126" spans="1:37">
      <c r="A126" s="4"/>
      <c r="B126" s="4"/>
      <c r="C126" s="4"/>
      <c r="D126" s="4"/>
      <c r="E126" s="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row>
    <row r="127" spans="1:37">
      <c r="A127" s="4"/>
      <c r="B127" s="4"/>
      <c r="C127" s="4"/>
      <c r="D127" s="4"/>
      <c r="E127" s="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row>
    <row r="128" spans="1:37">
      <c r="A128" s="4"/>
      <c r="B128" s="4"/>
      <c r="C128" s="4"/>
      <c r="D128" s="4"/>
      <c r="E128" s="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row>
    <row r="129" spans="1:37">
      <c r="A129" s="4"/>
      <c r="B129" s="4"/>
      <c r="C129" s="4"/>
      <c r="D129" s="4"/>
      <c r="E129" s="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row>
    <row r="130" spans="1:37">
      <c r="A130" s="4"/>
      <c r="B130" s="4"/>
      <c r="C130" s="4"/>
      <c r="D130" s="4"/>
      <c r="E130" s="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row>
    <row r="131" spans="1:37">
      <c r="A131" s="4"/>
      <c r="B131" s="4"/>
      <c r="C131" s="4"/>
      <c r="D131" s="4"/>
      <c r="E131" s="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row>
    <row r="132" spans="1:37">
      <c r="A132" s="4"/>
      <c r="B132" s="4"/>
      <c r="C132" s="4"/>
      <c r="D132" s="4"/>
      <c r="E132" s="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row>
    <row r="133" spans="1:37">
      <c r="A133" s="4"/>
      <c r="B133" s="4"/>
      <c r="C133" s="4"/>
      <c r="D133" s="4"/>
      <c r="E133" s="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row>
    <row r="134" spans="1:37">
      <c r="A134" s="4"/>
      <c r="B134" s="4"/>
      <c r="C134" s="4"/>
      <c r="D134" s="4"/>
      <c r="E134" s="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row>
    <row r="135" spans="1:37">
      <c r="A135" s="4"/>
      <c r="B135" s="4"/>
      <c r="C135" s="4"/>
      <c r="D135" s="4"/>
      <c r="E135" s="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row>
    <row r="136" spans="1:37">
      <c r="A136" s="4"/>
      <c r="B136" s="4"/>
      <c r="C136" s="4"/>
      <c r="D136" s="4"/>
      <c r="E136" s="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row>
    <row r="137" spans="1:37">
      <c r="A137" s="4"/>
      <c r="B137" s="4"/>
      <c r="C137" s="4"/>
      <c r="D137" s="4"/>
      <c r="E137" s="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row>
    <row r="138" spans="1:37">
      <c r="A138" s="4"/>
      <c r="B138" s="4"/>
      <c r="C138" s="4"/>
      <c r="D138" s="4"/>
      <c r="E138" s="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row>
    <row r="139" spans="1:37">
      <c r="A139" s="4"/>
      <c r="B139" s="4"/>
      <c r="C139" s="4"/>
      <c r="D139" s="4"/>
      <c r="E139" s="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row>
    <row r="140" spans="1:37">
      <c r="A140" s="4"/>
      <c r="B140" s="4"/>
      <c r="C140" s="4"/>
      <c r="D140" s="4"/>
      <c r="E140" s="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row>
    <row r="141" spans="1:37">
      <c r="A141" s="4"/>
      <c r="B141" s="4"/>
      <c r="C141" s="4"/>
      <c r="D141" s="4"/>
      <c r="E141" s="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row>
    <row r="142" spans="1:37">
      <c r="A142" s="4"/>
      <c r="B142" s="4"/>
      <c r="C142" s="4"/>
      <c r="D142" s="4"/>
      <c r="E142" s="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row>
    <row r="143" spans="1:37">
      <c r="A143" s="4"/>
      <c r="B143" s="4"/>
      <c r="C143" s="4"/>
      <c r="D143" s="4"/>
      <c r="E143" s="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row>
    <row r="144" spans="1:37">
      <c r="A144" s="4"/>
      <c r="B144" s="4"/>
      <c r="C144" s="4"/>
      <c r="D144" s="4"/>
      <c r="E144" s="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row>
    <row r="145" spans="1:37">
      <c r="A145" s="4"/>
      <c r="B145" s="4"/>
      <c r="C145" s="4"/>
      <c r="D145" s="4"/>
      <c r="E145" s="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row>
    <row r="146" spans="1:37">
      <c r="A146" s="4"/>
      <c r="B146" s="4"/>
      <c r="C146" s="4"/>
      <c r="D146" s="4"/>
      <c r="E146" s="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row>
    <row r="147" spans="1:37">
      <c r="A147" s="4"/>
      <c r="B147" s="4"/>
      <c r="C147" s="4"/>
      <c r="D147" s="4"/>
      <c r="E147" s="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row>
    <row r="148" spans="1:37">
      <c r="A148" s="4"/>
      <c r="B148" s="4"/>
      <c r="C148" s="4"/>
      <c r="D148" s="4"/>
      <c r="E148" s="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row>
    <row r="149" spans="1:37">
      <c r="A149" s="4"/>
      <c r="B149" s="4"/>
      <c r="C149" s="4"/>
      <c r="D149" s="4"/>
      <c r="E149" s="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row>
    <row r="150" spans="1:37">
      <c r="A150" s="4"/>
      <c r="B150" s="4"/>
      <c r="C150" s="4"/>
      <c r="D150" s="4"/>
      <c r="E150" s="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row>
    <row r="151" spans="1:37">
      <c r="A151" s="4"/>
      <c r="B151" s="4"/>
      <c r="C151" s="4"/>
      <c r="D151" s="4"/>
      <c r="E151" s="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row>
    <row r="152" spans="1:37">
      <c r="A152" s="4"/>
      <c r="B152" s="4"/>
      <c r="C152" s="4"/>
      <c r="D152" s="4"/>
      <c r="E152" s="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row>
    <row r="153" spans="1:37">
      <c r="A153" s="4"/>
      <c r="B153" s="4"/>
      <c r="C153" s="4"/>
      <c r="D153" s="4"/>
      <c r="E153" s="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row>
    <row r="154" spans="1:37">
      <c r="A154" s="4"/>
      <c r="B154" s="4"/>
      <c r="C154" s="4"/>
      <c r="D154" s="4"/>
      <c r="E154" s="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row>
    <row r="155" spans="1:37">
      <c r="A155" s="4"/>
      <c r="B155" s="4"/>
      <c r="C155" s="4"/>
      <c r="D155" s="4"/>
      <c r="E155" s="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row>
    <row r="156" spans="1:37">
      <c r="A156" s="4"/>
      <c r="B156" s="4"/>
      <c r="C156" s="4"/>
      <c r="D156" s="4"/>
      <c r="E156" s="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row>
    <row r="157" spans="1:37">
      <c r="A157" s="4"/>
      <c r="B157" s="4"/>
      <c r="C157" s="4"/>
      <c r="D157" s="4"/>
      <c r="E157" s="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row>
    <row r="158" spans="1:37">
      <c r="A158" s="4"/>
      <c r="B158" s="4"/>
      <c r="C158" s="4"/>
      <c r="D158" s="4"/>
      <c r="E158" s="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row>
    <row r="159" spans="1:37">
      <c r="A159" s="4"/>
      <c r="B159" s="4"/>
      <c r="C159" s="4"/>
      <c r="D159" s="4"/>
      <c r="E159" s="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row>
    <row r="160" spans="1:37">
      <c r="A160" s="4"/>
      <c r="B160" s="4"/>
      <c r="C160" s="4"/>
      <c r="D160" s="4"/>
      <c r="E160" s="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row>
    <row r="161" spans="1:37">
      <c r="A161" s="4"/>
      <c r="B161" s="4"/>
      <c r="C161" s="4"/>
      <c r="D161" s="4"/>
      <c r="E161" s="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row>
    <row r="162" spans="1:37">
      <c r="A162" s="4"/>
      <c r="B162" s="4"/>
      <c r="C162" s="4"/>
      <c r="D162" s="4"/>
      <c r="E162" s="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row>
    <row r="163" spans="1:37">
      <c r="A163" s="4"/>
      <c r="B163" s="4"/>
      <c r="C163" s="4"/>
      <c r="D163" s="4"/>
      <c r="E163" s="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row>
    <row r="164" spans="1:37">
      <c r="A164" s="4"/>
      <c r="B164" s="4"/>
      <c r="C164" s="4"/>
      <c r="D164" s="4"/>
      <c r="E164" s="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row>
    <row r="165" spans="1:37">
      <c r="A165" s="4"/>
      <c r="B165" s="4"/>
      <c r="C165" s="4"/>
      <c r="D165" s="4"/>
      <c r="E165" s="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row>
    <row r="166" spans="1:37">
      <c r="A166" s="4"/>
      <c r="B166" s="4"/>
      <c r="C166" s="4"/>
      <c r="D166" s="4"/>
      <c r="E166" s="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row>
    <row r="167" spans="1:37">
      <c r="A167" s="4"/>
      <c r="B167" s="4"/>
      <c r="C167" s="4"/>
      <c r="D167" s="4"/>
      <c r="E167" s="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row>
    <row r="168" spans="1:37">
      <c r="A168" s="4"/>
      <c r="B168" s="4"/>
      <c r="C168" s="4"/>
      <c r="D168" s="4"/>
      <c r="E168" s="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row>
    <row r="169" spans="1:37">
      <c r="A169" s="4"/>
      <c r="B169" s="4"/>
      <c r="C169" s="4"/>
      <c r="D169" s="4"/>
      <c r="E169" s="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row>
    <row r="170" spans="1:37">
      <c r="A170" s="4"/>
      <c r="B170" s="4"/>
      <c r="C170" s="4"/>
      <c r="D170" s="4"/>
      <c r="E170" s="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row>
    <row r="171" spans="1:37">
      <c r="A171" s="4"/>
      <c r="B171" s="4"/>
      <c r="C171" s="4"/>
      <c r="D171" s="4"/>
      <c r="E171" s="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row>
    <row r="172" spans="1:37">
      <c r="A172" s="4"/>
      <c r="B172" s="4"/>
      <c r="C172" s="4"/>
      <c r="D172" s="4"/>
      <c r="E172" s="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row>
    <row r="173" spans="1:37">
      <c r="A173" s="4"/>
      <c r="B173" s="4"/>
      <c r="C173" s="4"/>
      <c r="D173" s="4"/>
      <c r="E173" s="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row>
    <row r="174" spans="1:37">
      <c r="A174" s="4"/>
      <c r="B174" s="4"/>
      <c r="C174" s="4"/>
      <c r="D174" s="4"/>
      <c r="E174" s="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row>
    <row r="175" spans="1:37">
      <c r="A175" s="4"/>
      <c r="B175" s="4"/>
      <c r="C175" s="4"/>
      <c r="D175" s="4"/>
      <c r="E175" s="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row>
    <row r="176" spans="1:37">
      <c r="A176" s="4"/>
      <c r="B176" s="4"/>
      <c r="C176" s="4"/>
      <c r="D176" s="4"/>
      <c r="E176" s="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row>
    <row r="177" spans="1:37">
      <c r="A177" s="4"/>
      <c r="B177" s="4"/>
      <c r="C177" s="4"/>
      <c r="D177" s="4"/>
      <c r="E177" s="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row>
    <row r="178" spans="1:37">
      <c r="A178" s="4"/>
      <c r="B178" s="4"/>
      <c r="C178" s="4"/>
      <c r="D178" s="4"/>
      <c r="E178" s="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row>
    <row r="179" spans="1:37">
      <c r="A179" s="4"/>
      <c r="B179" s="4"/>
      <c r="C179" s="4"/>
      <c r="D179" s="4"/>
      <c r="E179" s="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row>
    <row r="180" spans="1:37">
      <c r="A180" s="4"/>
      <c r="B180" s="4"/>
      <c r="C180" s="4"/>
      <c r="D180" s="4"/>
      <c r="E180" s="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row>
    <row r="181" spans="1:37">
      <c r="A181" s="4"/>
      <c r="B181" s="4"/>
      <c r="C181" s="4"/>
      <c r="D181" s="4"/>
      <c r="E181" s="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row>
    <row r="182" spans="1:37">
      <c r="A182" s="4"/>
      <c r="B182" s="4"/>
      <c r="C182" s="4"/>
      <c r="D182" s="4"/>
      <c r="E182" s="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row>
    <row r="183" spans="1:37">
      <c r="A183" s="4"/>
      <c r="B183" s="4"/>
      <c r="C183" s="4"/>
      <c r="D183" s="4"/>
      <c r="E183" s="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row>
    <row r="184" spans="1:37">
      <c r="A184" s="4"/>
      <c r="B184" s="4"/>
      <c r="C184" s="4"/>
      <c r="D184" s="4"/>
      <c r="E184" s="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row>
    <row r="185" spans="1:37">
      <c r="A185" s="4"/>
      <c r="B185" s="4"/>
      <c r="C185" s="4"/>
      <c r="D185" s="4"/>
      <c r="E185" s="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row>
    <row r="186" spans="1:37">
      <c r="A186" s="4"/>
      <c r="B186" s="4"/>
      <c r="C186" s="4"/>
      <c r="D186" s="4"/>
      <c r="E186" s="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row>
    <row r="187" spans="1:37">
      <c r="A187" s="4"/>
      <c r="B187" s="4"/>
      <c r="C187" s="4"/>
      <c r="D187" s="4"/>
      <c r="E187" s="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row>
    <row r="188" spans="1:37">
      <c r="A188" s="4"/>
      <c r="B188" s="4"/>
      <c r="C188" s="4"/>
      <c r="D188" s="4"/>
      <c r="E188" s="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row>
    <row r="189" spans="1:37">
      <c r="A189" s="4"/>
      <c r="B189" s="4"/>
      <c r="C189" s="4"/>
      <c r="D189" s="4"/>
      <c r="E189" s="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row>
    <row r="190" spans="1:37">
      <c r="A190" s="4"/>
      <c r="B190" s="4"/>
      <c r="C190" s="4"/>
      <c r="D190" s="4"/>
      <c r="E190" s="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row>
    <row r="191" spans="1:37">
      <c r="A191" s="4"/>
      <c r="B191" s="4"/>
      <c r="C191" s="4"/>
      <c r="D191" s="4"/>
      <c r="E191" s="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row>
    <row r="192" spans="1:37">
      <c r="A192" s="4"/>
      <c r="B192" s="4"/>
      <c r="C192" s="4"/>
      <c r="D192" s="4"/>
      <c r="E192" s="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row>
    <row r="193" spans="1:37">
      <c r="A193" s="4"/>
      <c r="B193" s="4"/>
      <c r="C193" s="4"/>
      <c r="D193" s="4"/>
      <c r="E193" s="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row>
    <row r="194" spans="1:37">
      <c r="A194" s="4"/>
      <c r="B194" s="4"/>
      <c r="C194" s="4"/>
      <c r="D194" s="4"/>
      <c r="E194" s="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row>
    <row r="195" spans="1:37">
      <c r="A195" s="4"/>
      <c r="B195" s="4"/>
      <c r="C195" s="4"/>
      <c r="D195" s="4"/>
      <c r="E195" s="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row>
    <row r="196" spans="1:37">
      <c r="A196" s="4"/>
      <c r="B196" s="4"/>
      <c r="C196" s="4"/>
      <c r="D196" s="4"/>
      <c r="E196" s="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row>
    <row r="197" spans="1:37">
      <c r="A197" s="4"/>
      <c r="B197" s="4"/>
      <c r="C197" s="4"/>
      <c r="D197" s="4"/>
      <c r="E197" s="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row>
    <row r="198" spans="1:37">
      <c r="A198" s="4"/>
      <c r="B198" s="4"/>
      <c r="C198" s="4"/>
      <c r="D198" s="4"/>
      <c r="E198" s="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row>
    <row r="199" spans="1:37">
      <c r="A199" s="4"/>
      <c r="B199" s="4"/>
      <c r="C199" s="4"/>
      <c r="D199" s="4"/>
      <c r="E199" s="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row>
    <row r="200" spans="1:37">
      <c r="A200" s="4"/>
      <c r="B200" s="4"/>
      <c r="C200" s="4"/>
      <c r="D200" s="4"/>
      <c r="E200" s="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row>
    <row r="201" spans="1:37">
      <c r="A201" s="4"/>
      <c r="B201" s="4"/>
      <c r="C201" s="4"/>
      <c r="D201" s="4"/>
      <c r="E201" s="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row>
    <row r="202" spans="1:37">
      <c r="A202" s="4"/>
      <c r="B202" s="4"/>
      <c r="C202" s="4"/>
      <c r="D202" s="4"/>
      <c r="E202" s="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row>
    <row r="203" spans="1:37">
      <c r="A203" s="4"/>
      <c r="B203" s="4"/>
      <c r="C203" s="4"/>
      <c r="D203" s="4"/>
      <c r="E203" s="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row>
    <row r="204" spans="1:37">
      <c r="A204" s="4"/>
      <c r="B204" s="4"/>
      <c r="C204" s="4"/>
      <c r="D204" s="4"/>
      <c r="E204" s="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row>
    <row r="205" spans="1:37">
      <c r="A205" s="4"/>
      <c r="B205" s="4"/>
      <c r="C205" s="4"/>
      <c r="D205" s="4"/>
      <c r="E205" s="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row>
    <row r="206" spans="1:37">
      <c r="A206" s="4"/>
      <c r="B206" s="4"/>
      <c r="C206" s="4"/>
      <c r="D206" s="4"/>
      <c r="E206" s="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row>
    <row r="207" spans="1:37">
      <c r="A207" s="4"/>
      <c r="B207" s="4"/>
      <c r="C207" s="4"/>
      <c r="D207" s="4"/>
      <c r="E207" s="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row>
    <row r="208" spans="1:37">
      <c r="A208" s="4"/>
      <c r="B208" s="4"/>
      <c r="C208" s="4"/>
      <c r="D208" s="4"/>
      <c r="E208" s="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row>
    <row r="209" spans="1:37">
      <c r="A209" s="4"/>
      <c r="B209" s="4"/>
      <c r="C209" s="4"/>
      <c r="D209" s="4"/>
      <c r="E209" s="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row>
    <row r="210" spans="1:37">
      <c r="A210" s="4"/>
      <c r="B210" s="4"/>
      <c r="C210" s="4"/>
      <c r="D210" s="4"/>
      <c r="E210" s="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row>
    <row r="211" spans="1:37">
      <c r="A211" s="4"/>
      <c r="B211" s="4"/>
      <c r="C211" s="4"/>
      <c r="D211" s="4"/>
      <c r="E211" s="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row>
    <row r="212" spans="1:37">
      <c r="A212" s="4"/>
      <c r="B212" s="4"/>
      <c r="C212" s="4"/>
      <c r="D212" s="4"/>
      <c r="E212" s="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row>
    <row r="213" spans="1:37">
      <c r="A213" s="4"/>
      <c r="B213" s="4"/>
      <c r="C213" s="4"/>
      <c r="D213" s="4"/>
      <c r="E213" s="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row>
    <row r="214" spans="1:37">
      <c r="A214" s="4"/>
      <c r="B214" s="4"/>
      <c r="C214" s="4"/>
      <c r="D214" s="4"/>
      <c r="E214" s="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row>
    <row r="215" spans="1:37">
      <c r="A215" s="4"/>
      <c r="B215" s="4"/>
      <c r="C215" s="4"/>
      <c r="D215" s="4"/>
      <c r="E215" s="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row>
    <row r="216" spans="1:37">
      <c r="A216" s="4"/>
      <c r="B216" s="4"/>
      <c r="C216" s="4"/>
      <c r="D216" s="4"/>
      <c r="E216" s="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row>
    <row r="217" spans="1:37">
      <c r="A217" s="4"/>
      <c r="B217" s="4"/>
      <c r="C217" s="4"/>
      <c r="D217" s="4"/>
      <c r="E217" s="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row>
    <row r="218" spans="1:37">
      <c r="A218" s="4"/>
      <c r="B218" s="4"/>
      <c r="C218" s="4"/>
      <c r="D218" s="4"/>
      <c r="E218" s="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row>
    <row r="219" spans="1:37">
      <c r="A219" s="4"/>
      <c r="B219" s="4"/>
      <c r="C219" s="4"/>
      <c r="D219" s="4"/>
      <c r="E219" s="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row>
    <row r="220" spans="1:37">
      <c r="A220" s="4"/>
      <c r="B220" s="4"/>
      <c r="C220" s="4"/>
      <c r="D220" s="4"/>
      <c r="E220" s="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row>
    <row r="221" spans="1:37">
      <c r="A221" s="4"/>
      <c r="B221" s="4"/>
      <c r="C221" s="4"/>
      <c r="D221" s="4"/>
      <c r="E221" s="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row>
    <row r="222" spans="1:37">
      <c r="A222" s="4"/>
      <c r="B222" s="4"/>
      <c r="C222" s="4"/>
      <c r="D222" s="4"/>
      <c r="E222" s="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row>
    <row r="223" spans="1:37">
      <c r="A223" s="4"/>
      <c r="B223" s="4"/>
      <c r="C223" s="4"/>
      <c r="D223" s="4"/>
      <c r="E223" s="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row>
    <row r="224" spans="1:37">
      <c r="A224" s="4"/>
      <c r="B224" s="4"/>
      <c r="C224" s="4"/>
      <c r="D224" s="4"/>
      <c r="E224" s="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row>
    <row r="225" spans="1:37">
      <c r="A225" s="4"/>
      <c r="B225" s="4"/>
      <c r="C225" s="4"/>
      <c r="D225" s="4"/>
      <c r="E225" s="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row>
    <row r="226" spans="1:37">
      <c r="A226" s="4"/>
      <c r="B226" s="4"/>
      <c r="C226" s="4"/>
      <c r="D226" s="4"/>
      <c r="E226" s="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row>
    <row r="227" spans="1:37">
      <c r="A227" s="4"/>
      <c r="B227" s="4"/>
      <c r="C227" s="4"/>
      <c r="D227" s="4"/>
      <c r="E227" s="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row>
    <row r="228" spans="1:37">
      <c r="A228" s="4"/>
      <c r="B228" s="4"/>
      <c r="C228" s="4"/>
      <c r="D228" s="4"/>
      <c r="E228" s="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row>
    <row r="229" spans="1:37">
      <c r="A229" s="4"/>
      <c r="B229" s="4"/>
      <c r="C229" s="4"/>
      <c r="D229" s="4"/>
      <c r="E229" s="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row>
    <row r="230" spans="1:37">
      <c r="A230" s="4"/>
      <c r="B230" s="4"/>
      <c r="C230" s="4"/>
      <c r="D230" s="4"/>
      <c r="E230" s="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row>
    <row r="231" spans="1:37">
      <c r="A231" s="4"/>
      <c r="B231" s="4"/>
      <c r="C231" s="4"/>
      <c r="D231" s="4"/>
      <c r="E231" s="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row>
    <row r="232" spans="1:37">
      <c r="A232" s="4"/>
      <c r="B232" s="4"/>
      <c r="C232" s="4"/>
      <c r="D232" s="4"/>
      <c r="E232" s="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row>
    <row r="233" spans="1:37">
      <c r="A233" s="4"/>
      <c r="B233" s="4"/>
      <c r="C233" s="4"/>
      <c r="D233" s="4"/>
      <c r="E233" s="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row>
    <row r="234" spans="1:37">
      <c r="A234" s="4"/>
      <c r="B234" s="4"/>
      <c r="C234" s="4"/>
      <c r="D234" s="4"/>
      <c r="E234" s="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row>
    <row r="235" spans="1:37">
      <c r="A235" s="4"/>
      <c r="B235" s="4"/>
      <c r="C235" s="4"/>
      <c r="D235" s="4"/>
      <c r="E235" s="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row>
    <row r="236" spans="1:37">
      <c r="A236" s="4"/>
      <c r="B236" s="4"/>
      <c r="C236" s="4"/>
      <c r="D236" s="4"/>
      <c r="E236" s="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row>
    <row r="237" spans="1:37">
      <c r="A237" s="4"/>
      <c r="B237" s="4"/>
      <c r="C237" s="4"/>
      <c r="D237" s="4"/>
      <c r="E237" s="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row>
    <row r="238" spans="1:37">
      <c r="A238" s="4"/>
      <c r="B238" s="4"/>
      <c r="C238" s="4"/>
      <c r="D238" s="4"/>
      <c r="E238" s="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row>
    <row r="239" spans="1:37">
      <c r="A239" s="4"/>
      <c r="B239" s="4"/>
      <c r="C239" s="4"/>
      <c r="D239" s="4"/>
      <c r="E239" s="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row>
    <row r="240" spans="1:37">
      <c r="A240" s="4"/>
      <c r="B240" s="4"/>
      <c r="C240" s="4"/>
      <c r="D240" s="4"/>
      <c r="E240" s="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row>
    <row r="241" spans="1:37">
      <c r="A241" s="4"/>
      <c r="B241" s="4"/>
      <c r="C241" s="4"/>
      <c r="D241" s="4"/>
      <c r="E241" s="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row>
    <row r="242" spans="1:37">
      <c r="A242" s="4"/>
      <c r="B242" s="4"/>
      <c r="C242" s="4"/>
      <c r="D242" s="4"/>
      <c r="E242" s="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row>
    <row r="243" spans="1:37">
      <c r="A243" s="4"/>
      <c r="B243" s="4"/>
      <c r="C243" s="4"/>
      <c r="D243" s="4"/>
      <c r="E243" s="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row>
    <row r="244" spans="1:37">
      <c r="A244" s="4"/>
      <c r="B244" s="4"/>
      <c r="C244" s="4"/>
      <c r="D244" s="4"/>
      <c r="E244" s="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row>
    <row r="245" spans="1:37">
      <c r="A245" s="4"/>
      <c r="B245" s="4"/>
      <c r="C245" s="4"/>
      <c r="D245" s="4"/>
      <c r="E245" s="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row>
    <row r="246" spans="1:37">
      <c r="A246" s="4"/>
      <c r="B246" s="4"/>
      <c r="C246" s="4"/>
      <c r="D246" s="4"/>
      <c r="E246" s="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c r="AH246" s="34"/>
      <c r="AI246" s="34"/>
      <c r="AJ246" s="34"/>
      <c r="AK246" s="34"/>
    </row>
    <row r="247" spans="1:37">
      <c r="A247" s="4"/>
      <c r="B247" s="4"/>
      <c r="C247" s="4"/>
      <c r="D247" s="4"/>
      <c r="E247" s="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row>
    <row r="248" spans="1:37">
      <c r="A248" s="4"/>
      <c r="B248" s="4"/>
      <c r="C248" s="4"/>
      <c r="D248" s="4"/>
      <c r="E248" s="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4"/>
    </row>
    <row r="249" spans="1:37">
      <c r="A249" s="4"/>
      <c r="B249" s="4"/>
      <c r="C249" s="4"/>
      <c r="D249" s="4"/>
      <c r="E249" s="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row>
    <row r="250" spans="1:37">
      <c r="A250" s="4"/>
      <c r="B250" s="4"/>
      <c r="C250" s="4"/>
      <c r="D250" s="4"/>
      <c r="E250" s="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4"/>
    </row>
    <row r="251" spans="1:37">
      <c r="A251" s="4"/>
      <c r="B251" s="4"/>
      <c r="C251" s="4"/>
      <c r="D251" s="4"/>
      <c r="E251" s="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row>
    <row r="252" spans="1:37">
      <c r="A252" s="4"/>
      <c r="B252" s="4"/>
      <c r="C252" s="4"/>
      <c r="D252" s="4"/>
      <c r="E252" s="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row>
    <row r="253" spans="1:37">
      <c r="A253" s="4"/>
      <c r="B253" s="4"/>
      <c r="C253" s="4"/>
      <c r="D253" s="4"/>
      <c r="E253" s="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row>
    <row r="254" spans="1:37">
      <c r="A254" s="4"/>
      <c r="B254" s="4"/>
      <c r="C254" s="4"/>
      <c r="D254" s="4"/>
      <c r="E254" s="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row>
    <row r="255" spans="1:37">
      <c r="A255" s="4"/>
      <c r="B255" s="4"/>
      <c r="C255" s="4"/>
      <c r="D255" s="4"/>
      <c r="E255" s="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row>
    <row r="256" spans="1:37">
      <c r="A256" s="4"/>
      <c r="B256" s="4"/>
      <c r="C256" s="4"/>
      <c r="D256" s="4"/>
      <c r="E256" s="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row>
    <row r="257" spans="1:37">
      <c r="A257" s="4"/>
      <c r="B257" s="4"/>
      <c r="C257" s="4"/>
      <c r="D257" s="4"/>
      <c r="E257" s="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row>
    <row r="258" spans="1:37">
      <c r="A258" s="4"/>
      <c r="B258" s="4"/>
      <c r="C258" s="4"/>
      <c r="D258" s="4"/>
      <c r="E258" s="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row>
    <row r="259" spans="1:37">
      <c r="A259" s="4"/>
      <c r="B259" s="4"/>
      <c r="C259" s="4"/>
      <c r="D259" s="4"/>
      <c r="E259" s="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row>
    <row r="260" spans="1:37">
      <c r="A260" s="4"/>
      <c r="B260" s="4"/>
      <c r="C260" s="4"/>
      <c r="D260" s="4"/>
      <c r="E260" s="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row>
    <row r="261" spans="1:37">
      <c r="A261" s="4"/>
      <c r="B261" s="4"/>
      <c r="C261" s="4"/>
      <c r="D261" s="4"/>
      <c r="E261" s="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row>
    <row r="262" spans="1:37">
      <c r="A262" s="4"/>
      <c r="B262" s="4"/>
      <c r="C262" s="4"/>
      <c r="D262" s="4"/>
      <c r="E262" s="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row>
    <row r="263" spans="1:37">
      <c r="A263" s="4"/>
      <c r="B263" s="4"/>
      <c r="C263" s="4"/>
      <c r="D263" s="4"/>
      <c r="E263" s="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row>
    <row r="264" spans="1:37">
      <c r="A264" s="4"/>
      <c r="B264" s="4"/>
      <c r="C264" s="4"/>
      <c r="D264" s="4"/>
      <c r="E264" s="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row>
    <row r="265" spans="1:37">
      <c r="A265" s="4"/>
      <c r="B265" s="4"/>
      <c r="C265" s="4"/>
      <c r="D265" s="4"/>
      <c r="E265" s="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row>
    <row r="266" spans="1:37">
      <c r="A266" s="4"/>
      <c r="B266" s="4"/>
      <c r="C266" s="4"/>
      <c r="D266" s="4"/>
      <c r="E266" s="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row>
    <row r="267" spans="1:37">
      <c r="A267" s="4"/>
      <c r="B267" s="4"/>
      <c r="C267" s="4"/>
      <c r="D267" s="4"/>
      <c r="E267" s="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row>
    <row r="268" spans="1:37">
      <c r="A268" s="4"/>
      <c r="B268" s="4"/>
      <c r="C268" s="4"/>
      <c r="D268" s="4"/>
      <c r="E268" s="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row>
    <row r="269" spans="1:37">
      <c r="A269" s="4"/>
      <c r="B269" s="4"/>
      <c r="C269" s="4"/>
      <c r="D269" s="4"/>
      <c r="E269" s="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row>
    <row r="270" spans="1:37">
      <c r="A270" s="4"/>
      <c r="B270" s="4"/>
      <c r="C270" s="4"/>
      <c r="D270" s="4"/>
      <c r="E270" s="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row>
    <row r="271" spans="1:37">
      <c r="A271" s="4"/>
      <c r="B271" s="4"/>
      <c r="C271" s="4"/>
      <c r="D271" s="4"/>
      <c r="E271" s="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row>
    <row r="272" spans="1:37">
      <c r="A272" s="4"/>
      <c r="B272" s="4"/>
      <c r="C272" s="4"/>
      <c r="D272" s="4"/>
      <c r="E272" s="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row>
    <row r="273" spans="1:37">
      <c r="A273" s="4"/>
      <c r="B273" s="4"/>
      <c r="C273" s="4"/>
      <c r="D273" s="4"/>
      <c r="E273" s="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row>
    <row r="274" spans="1:37">
      <c r="A274" s="4"/>
      <c r="B274" s="4"/>
      <c r="C274" s="4"/>
      <c r="D274" s="4"/>
      <c r="E274" s="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row>
    <row r="275" spans="1:37">
      <c r="A275" s="4"/>
      <c r="B275" s="4"/>
      <c r="C275" s="4"/>
      <c r="D275" s="4"/>
      <c r="E275" s="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row>
    <row r="276" spans="1:37">
      <c r="A276" s="4"/>
      <c r="B276" s="4"/>
      <c r="C276" s="4"/>
      <c r="D276" s="4"/>
      <c r="E276" s="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row>
    <row r="277" spans="1:37">
      <c r="A277" s="4"/>
      <c r="B277" s="4"/>
      <c r="C277" s="4"/>
      <c r="D277" s="4"/>
      <c r="E277" s="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row>
    <row r="278" spans="1:37">
      <c r="A278" s="4"/>
      <c r="B278" s="4"/>
      <c r="C278" s="4"/>
      <c r="D278" s="4"/>
      <c r="E278" s="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row>
    <row r="279" spans="1:37">
      <c r="A279" s="4"/>
      <c r="B279" s="4"/>
      <c r="C279" s="4"/>
      <c r="D279" s="4"/>
      <c r="E279" s="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row>
    <row r="280" spans="1:37">
      <c r="A280" s="4"/>
      <c r="B280" s="4"/>
      <c r="C280" s="4"/>
      <c r="D280" s="4"/>
      <c r="E280" s="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row>
    <row r="281" spans="1:37">
      <c r="A281" s="4"/>
      <c r="B281" s="4"/>
      <c r="C281" s="4"/>
      <c r="D281" s="4"/>
      <c r="E281" s="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row>
    <row r="282" spans="1:37">
      <c r="A282" s="4"/>
      <c r="B282" s="4"/>
      <c r="C282" s="4"/>
      <c r="D282" s="4"/>
      <c r="E282" s="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row>
    <row r="283" spans="1:37">
      <c r="A283" s="4"/>
      <c r="B283" s="4"/>
      <c r="C283" s="4"/>
      <c r="D283" s="4"/>
      <c r="E283" s="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row>
    <row r="284" spans="1:37">
      <c r="A284" s="4"/>
      <c r="B284" s="4"/>
      <c r="C284" s="4"/>
      <c r="D284" s="4"/>
      <c r="E284" s="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row>
    <row r="285" spans="1:37">
      <c r="A285" s="4"/>
      <c r="B285" s="4"/>
      <c r="C285" s="4"/>
      <c r="D285" s="4"/>
      <c r="E285" s="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row>
    <row r="286" spans="1:37">
      <c r="A286" s="4"/>
      <c r="B286" s="4"/>
      <c r="C286" s="4"/>
      <c r="D286" s="4"/>
      <c r="E286" s="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row>
    <row r="287" spans="1:37">
      <c r="A287" s="4"/>
      <c r="B287" s="4"/>
      <c r="C287" s="4"/>
      <c r="D287" s="4"/>
      <c r="E287" s="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row>
    <row r="288" spans="1:37">
      <c r="A288" s="4"/>
      <c r="B288" s="4"/>
      <c r="C288" s="4"/>
      <c r="D288" s="4"/>
      <c r="E288" s="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row>
    <row r="289" spans="1:37">
      <c r="A289" s="4"/>
      <c r="B289" s="4"/>
      <c r="C289" s="4"/>
      <c r="D289" s="4"/>
      <c r="E289" s="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c r="AH289" s="34"/>
      <c r="AI289" s="34"/>
      <c r="AJ289" s="34"/>
      <c r="AK289" s="34"/>
    </row>
    <row r="290" spans="1:37">
      <c r="A290" s="4"/>
      <c r="B290" s="4"/>
      <c r="C290" s="4"/>
      <c r="D290" s="4"/>
      <c r="E290" s="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row>
    <row r="291" spans="1:37">
      <c r="A291" s="4"/>
      <c r="B291" s="4"/>
      <c r="C291" s="4"/>
      <c r="D291" s="4"/>
      <c r="E291" s="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row>
    <row r="292" spans="1:37">
      <c r="A292" s="4"/>
      <c r="B292" s="4"/>
      <c r="C292" s="4"/>
      <c r="D292" s="4"/>
      <c r="E292" s="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row>
    <row r="293" spans="1:37">
      <c r="A293" s="4"/>
      <c r="B293" s="4"/>
      <c r="C293" s="4"/>
      <c r="D293" s="4"/>
      <c r="E293" s="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row>
    <row r="294" spans="1:37">
      <c r="A294" s="4"/>
      <c r="B294" s="4"/>
      <c r="C294" s="4"/>
      <c r="D294" s="4"/>
      <c r="E294" s="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c r="AH294" s="34"/>
      <c r="AI294" s="34"/>
      <c r="AJ294" s="34"/>
      <c r="AK294" s="34"/>
    </row>
    <row r="295" spans="1:37">
      <c r="A295" s="4"/>
      <c r="B295" s="4"/>
      <c r="C295" s="4"/>
      <c r="D295" s="4"/>
      <c r="E295" s="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row>
    <row r="296" spans="1:37">
      <c r="A296" s="4"/>
      <c r="B296" s="4"/>
      <c r="C296" s="4"/>
      <c r="D296" s="4"/>
      <c r="E296" s="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row>
    <row r="297" spans="1:37">
      <c r="A297" s="4"/>
      <c r="B297" s="4"/>
      <c r="C297" s="4"/>
      <c r="D297" s="4"/>
      <c r="E297" s="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c r="AF297" s="34"/>
      <c r="AG297" s="34"/>
      <c r="AH297" s="34"/>
      <c r="AI297" s="34"/>
      <c r="AJ297" s="34"/>
      <c r="AK297" s="34"/>
    </row>
    <row r="298" spans="1:37">
      <c r="A298" s="4"/>
      <c r="B298" s="4"/>
      <c r="C298" s="4"/>
      <c r="D298" s="4"/>
      <c r="E298" s="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c r="AF298" s="34"/>
      <c r="AG298" s="34"/>
      <c r="AH298" s="34"/>
      <c r="AI298" s="34"/>
      <c r="AJ298" s="34"/>
      <c r="AK298" s="34"/>
    </row>
    <row r="299" spans="1:37">
      <c r="A299" s="4"/>
      <c r="B299" s="4"/>
      <c r="C299" s="4"/>
      <c r="D299" s="4"/>
      <c r="E299" s="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c r="AF299" s="34"/>
      <c r="AG299" s="34"/>
      <c r="AH299" s="34"/>
      <c r="AI299" s="34"/>
      <c r="AJ299" s="34"/>
      <c r="AK299" s="34"/>
    </row>
    <row r="300" spans="1:37">
      <c r="A300" s="4"/>
      <c r="B300" s="4"/>
      <c r="C300" s="4"/>
      <c r="D300" s="4"/>
      <c r="E300" s="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row>
    <row r="301" spans="1:37">
      <c r="A301" s="4"/>
      <c r="B301" s="4"/>
      <c r="C301" s="4"/>
      <c r="D301" s="4"/>
      <c r="E301" s="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c r="AF301" s="34"/>
      <c r="AG301" s="34"/>
      <c r="AH301" s="34"/>
      <c r="AI301" s="34"/>
      <c r="AJ301" s="34"/>
      <c r="AK301" s="34"/>
    </row>
    <row r="302" spans="1:37">
      <c r="A302" s="4"/>
      <c r="B302" s="4"/>
      <c r="C302" s="4"/>
      <c r="D302" s="4"/>
      <c r="E302" s="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c r="AF302" s="34"/>
      <c r="AG302" s="34"/>
      <c r="AH302" s="34"/>
      <c r="AI302" s="34"/>
      <c r="AJ302" s="34"/>
      <c r="AK302" s="34"/>
    </row>
    <row r="303" spans="1:37">
      <c r="A303" s="4"/>
      <c r="B303" s="4"/>
      <c r="C303" s="4"/>
      <c r="D303" s="4"/>
      <c r="E303" s="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c r="AH303" s="34"/>
      <c r="AI303" s="34"/>
      <c r="AJ303" s="34"/>
      <c r="AK303" s="34"/>
    </row>
    <row r="304" spans="1:37">
      <c r="A304" s="4"/>
      <c r="B304" s="4"/>
      <c r="C304" s="4"/>
      <c r="D304" s="4"/>
      <c r="E304" s="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c r="AF304" s="34"/>
      <c r="AG304" s="34"/>
      <c r="AH304" s="34"/>
      <c r="AI304" s="34"/>
      <c r="AJ304" s="34"/>
      <c r="AK304" s="34"/>
    </row>
    <row r="305" spans="1:37">
      <c r="A305" s="4"/>
      <c r="B305" s="4"/>
      <c r="C305" s="4"/>
      <c r="D305" s="4"/>
      <c r="E305" s="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c r="AF305" s="34"/>
      <c r="AG305" s="34"/>
      <c r="AH305" s="34"/>
      <c r="AI305" s="34"/>
      <c r="AJ305" s="34"/>
      <c r="AK305" s="34"/>
    </row>
    <row r="306" spans="1:37">
      <c r="A306" s="4"/>
      <c r="B306" s="4"/>
      <c r="C306" s="4"/>
      <c r="D306" s="4"/>
      <c r="E306" s="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c r="AF306" s="34"/>
      <c r="AG306" s="34"/>
      <c r="AH306" s="34"/>
      <c r="AI306" s="34"/>
      <c r="AJ306" s="34"/>
      <c r="AK306" s="34"/>
    </row>
    <row r="307" spans="1:37">
      <c r="A307" s="4"/>
      <c r="B307" s="4"/>
      <c r="C307" s="4"/>
      <c r="D307" s="4"/>
      <c r="E307" s="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c r="AF307" s="34"/>
      <c r="AG307" s="34"/>
      <c r="AH307" s="34"/>
      <c r="AI307" s="34"/>
      <c r="AJ307" s="34"/>
      <c r="AK307" s="34"/>
    </row>
    <row r="308" spans="1:37">
      <c r="A308" s="4"/>
      <c r="B308" s="4"/>
      <c r="C308" s="4"/>
      <c r="D308" s="4"/>
      <c r="E308" s="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c r="AF308" s="34"/>
      <c r="AG308" s="34"/>
      <c r="AH308" s="34"/>
      <c r="AI308" s="34"/>
      <c r="AJ308" s="34"/>
      <c r="AK308" s="34"/>
    </row>
    <row r="309" spans="1:37">
      <c r="A309" s="4"/>
      <c r="B309" s="4"/>
      <c r="C309" s="4"/>
      <c r="D309" s="4"/>
      <c r="E309" s="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c r="AF309" s="34"/>
      <c r="AG309" s="34"/>
      <c r="AH309" s="34"/>
      <c r="AI309" s="34"/>
      <c r="AJ309" s="34"/>
      <c r="AK309" s="34"/>
    </row>
    <row r="310" spans="1:37">
      <c r="A310" s="4"/>
      <c r="B310" s="4"/>
      <c r="C310" s="4"/>
      <c r="D310" s="4"/>
      <c r="E310" s="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c r="AF310" s="34"/>
      <c r="AG310" s="34"/>
      <c r="AH310" s="34"/>
      <c r="AI310" s="34"/>
      <c r="AJ310" s="34"/>
      <c r="AK310" s="34"/>
    </row>
    <row r="311" spans="1:37">
      <c r="A311" s="4"/>
      <c r="B311" s="4"/>
      <c r="C311" s="4"/>
      <c r="D311" s="4"/>
      <c r="E311" s="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c r="AF311" s="34"/>
      <c r="AG311" s="34"/>
      <c r="AH311" s="34"/>
      <c r="AI311" s="34"/>
      <c r="AJ311" s="34"/>
      <c r="AK311" s="34"/>
    </row>
    <row r="312" spans="1:37">
      <c r="A312" s="4"/>
      <c r="B312" s="4"/>
      <c r="C312" s="4"/>
      <c r="D312" s="4"/>
      <c r="E312" s="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row>
    <row r="313" spans="1:37">
      <c r="A313" s="4"/>
      <c r="B313" s="4"/>
      <c r="C313" s="4"/>
      <c r="D313" s="4"/>
      <c r="E313" s="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row>
    <row r="314" spans="1:37">
      <c r="A314" s="4"/>
      <c r="B314" s="4"/>
      <c r="C314" s="4"/>
      <c r="D314" s="4"/>
      <c r="E314" s="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c r="AF314" s="34"/>
      <c r="AG314" s="34"/>
      <c r="AH314" s="34"/>
      <c r="AI314" s="34"/>
      <c r="AJ314" s="34"/>
      <c r="AK314" s="34"/>
    </row>
    <row r="315" spans="1:37">
      <c r="A315" s="4"/>
      <c r="B315" s="4"/>
      <c r="C315" s="4"/>
      <c r="D315" s="4"/>
      <c r="E315" s="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row>
    <row r="316" spans="1:37">
      <c r="A316" s="4"/>
      <c r="B316" s="4"/>
      <c r="C316" s="4"/>
      <c r="D316" s="4"/>
      <c r="E316" s="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c r="AF316" s="34"/>
      <c r="AG316" s="34"/>
      <c r="AH316" s="34"/>
      <c r="AI316" s="34"/>
      <c r="AJ316" s="34"/>
      <c r="AK316" s="34"/>
    </row>
    <row r="317" spans="1:37">
      <c r="A317" s="4"/>
      <c r="B317" s="4"/>
      <c r="C317" s="4"/>
      <c r="D317" s="4"/>
      <c r="E317" s="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c r="AF317" s="34"/>
      <c r="AG317" s="34"/>
      <c r="AH317" s="34"/>
      <c r="AI317" s="34"/>
      <c r="AJ317" s="34"/>
      <c r="AK317" s="34"/>
    </row>
    <row r="318" spans="1:37">
      <c r="A318" s="4"/>
      <c r="B318" s="4"/>
      <c r="C318" s="4"/>
      <c r="D318" s="4"/>
      <c r="E318" s="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c r="AF318" s="34"/>
      <c r="AG318" s="34"/>
      <c r="AH318" s="34"/>
      <c r="AI318" s="34"/>
      <c r="AJ318" s="34"/>
      <c r="AK318" s="34"/>
    </row>
    <row r="319" spans="1:37">
      <c r="A319" s="4"/>
      <c r="B319" s="4"/>
      <c r="C319" s="4"/>
      <c r="D319" s="4"/>
      <c r="E319" s="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c r="AF319" s="34"/>
      <c r="AG319" s="34"/>
      <c r="AH319" s="34"/>
      <c r="AI319" s="34"/>
      <c r="AJ319" s="34"/>
      <c r="AK319" s="34"/>
    </row>
    <row r="320" spans="1:37">
      <c r="A320" s="4"/>
      <c r="B320" s="4"/>
      <c r="C320" s="4"/>
      <c r="D320" s="4"/>
      <c r="E320" s="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c r="AF320" s="34"/>
      <c r="AG320" s="34"/>
      <c r="AH320" s="34"/>
      <c r="AI320" s="34"/>
      <c r="AJ320" s="34"/>
      <c r="AK320" s="34"/>
    </row>
    <row r="321" spans="1:37">
      <c r="A321" s="4"/>
      <c r="B321" s="4"/>
      <c r="C321" s="4"/>
      <c r="D321" s="4"/>
      <c r="E321" s="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c r="AF321" s="34"/>
      <c r="AG321" s="34"/>
      <c r="AH321" s="34"/>
      <c r="AI321" s="34"/>
      <c r="AJ321" s="34"/>
      <c r="AK321" s="34"/>
    </row>
    <row r="322" spans="1:37">
      <c r="A322" s="4"/>
      <c r="B322" s="4"/>
      <c r="C322" s="4"/>
      <c r="D322" s="4"/>
      <c r="E322" s="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c r="AF322" s="34"/>
      <c r="AG322" s="34"/>
      <c r="AH322" s="34"/>
      <c r="AI322" s="34"/>
      <c r="AJ322" s="34"/>
      <c r="AK322" s="34"/>
    </row>
    <row r="323" spans="1:37">
      <c r="A323" s="4"/>
      <c r="B323" s="4"/>
      <c r="C323" s="4"/>
      <c r="D323" s="4"/>
      <c r="E323" s="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c r="AF323" s="34"/>
      <c r="AG323" s="34"/>
      <c r="AH323" s="34"/>
      <c r="AI323" s="34"/>
      <c r="AJ323" s="34"/>
      <c r="AK323" s="34"/>
    </row>
    <row r="324" spans="1:37">
      <c r="A324" s="4"/>
      <c r="B324" s="4"/>
      <c r="C324" s="4"/>
      <c r="D324" s="4"/>
      <c r="E324" s="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row>
    <row r="325" spans="1:37">
      <c r="A325" s="4"/>
      <c r="B325" s="4"/>
      <c r="C325" s="4"/>
      <c r="D325" s="4"/>
      <c r="E325" s="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c r="AH325" s="34"/>
      <c r="AI325" s="34"/>
      <c r="AJ325" s="34"/>
      <c r="AK325" s="34"/>
    </row>
    <row r="326" spans="1:37">
      <c r="A326" s="4"/>
      <c r="B326" s="4"/>
      <c r="C326" s="4"/>
      <c r="D326" s="4"/>
      <c r="E326" s="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c r="AF326" s="34"/>
      <c r="AG326" s="34"/>
      <c r="AH326" s="34"/>
      <c r="AI326" s="34"/>
      <c r="AJ326" s="34"/>
      <c r="AK326" s="34"/>
    </row>
    <row r="327" spans="1:37">
      <c r="A327" s="4"/>
      <c r="B327" s="4"/>
      <c r="C327" s="4"/>
      <c r="D327" s="4"/>
      <c r="E327" s="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c r="AH327" s="34"/>
      <c r="AI327" s="34"/>
      <c r="AJ327" s="34"/>
      <c r="AK327" s="34"/>
    </row>
    <row r="328" spans="1:37">
      <c r="A328" s="4"/>
      <c r="B328" s="4"/>
      <c r="C328" s="4"/>
      <c r="D328" s="4"/>
      <c r="E328" s="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c r="AF328" s="34"/>
      <c r="AG328" s="34"/>
      <c r="AH328" s="34"/>
      <c r="AI328" s="34"/>
      <c r="AJ328" s="34"/>
      <c r="AK328" s="34"/>
    </row>
    <row r="329" spans="1:37">
      <c r="A329" s="4"/>
      <c r="B329" s="4"/>
      <c r="C329" s="4"/>
      <c r="D329" s="4"/>
      <c r="E329" s="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c r="AF329" s="34"/>
      <c r="AG329" s="34"/>
      <c r="AH329" s="34"/>
      <c r="AI329" s="34"/>
      <c r="AJ329" s="34"/>
      <c r="AK329" s="34"/>
    </row>
    <row r="330" spans="1:37">
      <c r="A330" s="4"/>
      <c r="B330" s="4"/>
      <c r="C330" s="4"/>
      <c r="D330" s="4"/>
      <c r="E330" s="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c r="AF330" s="34"/>
      <c r="AG330" s="34"/>
      <c r="AH330" s="34"/>
      <c r="AI330" s="34"/>
      <c r="AJ330" s="34"/>
      <c r="AK330" s="34"/>
    </row>
    <row r="331" spans="1:37">
      <c r="A331" s="4"/>
      <c r="B331" s="4"/>
      <c r="C331" s="4"/>
      <c r="D331" s="4"/>
      <c r="E331" s="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c r="AF331" s="34"/>
      <c r="AG331" s="34"/>
      <c r="AH331" s="34"/>
      <c r="AI331" s="34"/>
      <c r="AJ331" s="34"/>
      <c r="AK331" s="34"/>
    </row>
    <row r="332" spans="1:37">
      <c r="A332" s="4"/>
      <c r="B332" s="4"/>
      <c r="C332" s="4"/>
      <c r="D332" s="4"/>
      <c r="E332" s="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c r="AF332" s="34"/>
      <c r="AG332" s="34"/>
      <c r="AH332" s="34"/>
      <c r="AI332" s="34"/>
      <c r="AJ332" s="34"/>
      <c r="AK332" s="34"/>
    </row>
    <row r="333" spans="1:37">
      <c r="A333" s="4"/>
      <c r="B333" s="4"/>
      <c r="C333" s="4"/>
      <c r="D333" s="4"/>
      <c r="E333" s="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c r="AF333" s="34"/>
      <c r="AG333" s="34"/>
      <c r="AH333" s="34"/>
      <c r="AI333" s="34"/>
      <c r="AJ333" s="34"/>
      <c r="AK333" s="34"/>
    </row>
    <row r="334" spans="1:37">
      <c r="A334" s="4"/>
      <c r="B334" s="4"/>
      <c r="C334" s="4"/>
      <c r="D334" s="4"/>
      <c r="E334" s="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c r="AF334" s="34"/>
      <c r="AG334" s="34"/>
      <c r="AH334" s="34"/>
      <c r="AI334" s="34"/>
      <c r="AJ334" s="34"/>
      <c r="AK334" s="34"/>
    </row>
    <row r="335" spans="1:37">
      <c r="A335" s="4"/>
      <c r="B335" s="4"/>
      <c r="C335" s="4"/>
      <c r="D335" s="4"/>
      <c r="E335" s="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row>
    <row r="336" spans="1:37">
      <c r="A336" s="4"/>
      <c r="B336" s="4"/>
      <c r="C336" s="4"/>
      <c r="D336" s="4"/>
      <c r="E336" s="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row>
    <row r="337" spans="1:37">
      <c r="A337" s="4"/>
      <c r="B337" s="4"/>
      <c r="C337" s="4"/>
      <c r="D337" s="4"/>
      <c r="E337" s="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c r="AF337" s="34"/>
      <c r="AG337" s="34"/>
      <c r="AH337" s="34"/>
      <c r="AI337" s="34"/>
      <c r="AJ337" s="34"/>
      <c r="AK337" s="34"/>
    </row>
    <row r="338" spans="1:37">
      <c r="A338" s="4"/>
      <c r="B338" s="4"/>
      <c r="C338" s="4"/>
      <c r="D338" s="4"/>
      <c r="E338" s="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c r="AF338" s="34"/>
      <c r="AG338" s="34"/>
      <c r="AH338" s="34"/>
      <c r="AI338" s="34"/>
      <c r="AJ338" s="34"/>
      <c r="AK338" s="34"/>
    </row>
    <row r="339" spans="1:37">
      <c r="A339" s="4"/>
      <c r="B339" s="4"/>
      <c r="C339" s="4"/>
      <c r="D339" s="4"/>
      <c r="E339" s="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c r="AF339" s="34"/>
      <c r="AG339" s="34"/>
      <c r="AH339" s="34"/>
      <c r="AI339" s="34"/>
      <c r="AJ339" s="34"/>
      <c r="AK339" s="34"/>
    </row>
    <row r="340" spans="1:37">
      <c r="A340" s="4"/>
      <c r="B340" s="4"/>
      <c r="C340" s="4"/>
      <c r="D340" s="4"/>
      <c r="E340" s="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c r="AF340" s="34"/>
      <c r="AG340" s="34"/>
      <c r="AH340" s="34"/>
      <c r="AI340" s="34"/>
      <c r="AJ340" s="34"/>
      <c r="AK340" s="34"/>
    </row>
    <row r="341" spans="1:37">
      <c r="A341" s="4"/>
      <c r="B341" s="4"/>
      <c r="C341" s="4"/>
      <c r="D341" s="4"/>
      <c r="E341" s="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c r="AF341" s="34"/>
      <c r="AG341" s="34"/>
      <c r="AH341" s="34"/>
      <c r="AI341" s="34"/>
      <c r="AJ341" s="34"/>
      <c r="AK341" s="34"/>
    </row>
    <row r="342" spans="1:37">
      <c r="A342" s="4"/>
      <c r="B342" s="4"/>
      <c r="C342" s="4"/>
      <c r="D342" s="4"/>
      <c r="E342" s="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c r="AF342" s="34"/>
      <c r="AG342" s="34"/>
      <c r="AH342" s="34"/>
      <c r="AI342" s="34"/>
      <c r="AJ342" s="34"/>
      <c r="AK342" s="34"/>
    </row>
    <row r="343" spans="1:37">
      <c r="A343" s="4"/>
      <c r="B343" s="4"/>
      <c r="C343" s="4"/>
      <c r="D343" s="4"/>
      <c r="E343" s="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c r="AF343" s="34"/>
      <c r="AG343" s="34"/>
      <c r="AH343" s="34"/>
      <c r="AI343" s="34"/>
      <c r="AJ343" s="34"/>
      <c r="AK343" s="34"/>
    </row>
    <row r="344" spans="1:37">
      <c r="A344" s="4"/>
      <c r="B344" s="4"/>
      <c r="C344" s="4"/>
      <c r="D344" s="4"/>
      <c r="E344" s="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c r="AF344" s="34"/>
      <c r="AG344" s="34"/>
      <c r="AH344" s="34"/>
      <c r="AI344" s="34"/>
      <c r="AJ344" s="34"/>
      <c r="AK344" s="34"/>
    </row>
    <row r="345" spans="1:37">
      <c r="A345" s="4"/>
      <c r="B345" s="4"/>
      <c r="C345" s="4"/>
      <c r="D345" s="4"/>
      <c r="E345" s="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c r="AF345" s="34"/>
      <c r="AG345" s="34"/>
      <c r="AH345" s="34"/>
      <c r="AI345" s="34"/>
      <c r="AJ345" s="34"/>
      <c r="AK345" s="34"/>
    </row>
    <row r="346" spans="1:37">
      <c r="A346" s="4"/>
      <c r="B346" s="4"/>
      <c r="C346" s="4"/>
      <c r="D346" s="4"/>
      <c r="E346" s="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c r="AF346" s="34"/>
      <c r="AG346" s="34"/>
      <c r="AH346" s="34"/>
      <c r="AI346" s="34"/>
      <c r="AJ346" s="34"/>
      <c r="AK346" s="34"/>
    </row>
    <row r="347" spans="1:37">
      <c r="A347" s="4"/>
      <c r="B347" s="4"/>
      <c r="C347" s="4"/>
      <c r="D347" s="4"/>
      <c r="E347" s="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c r="AF347" s="34"/>
      <c r="AG347" s="34"/>
      <c r="AH347" s="34"/>
      <c r="AI347" s="34"/>
      <c r="AJ347" s="34"/>
      <c r="AK347" s="34"/>
    </row>
    <row r="348" spans="1:37">
      <c r="A348" s="4"/>
      <c r="B348" s="4"/>
      <c r="C348" s="4"/>
      <c r="D348" s="4"/>
      <c r="E348" s="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c r="AF348" s="34"/>
      <c r="AG348" s="34"/>
      <c r="AH348" s="34"/>
      <c r="AI348" s="34"/>
      <c r="AJ348" s="34"/>
      <c r="AK348" s="34"/>
    </row>
    <row r="349" spans="1:37">
      <c r="A349" s="4"/>
      <c r="B349" s="4"/>
      <c r="C349" s="4"/>
      <c r="D349" s="4"/>
      <c r="E349" s="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c r="AF349" s="34"/>
      <c r="AG349" s="34"/>
      <c r="AH349" s="34"/>
      <c r="AI349" s="34"/>
      <c r="AJ349" s="34"/>
      <c r="AK349" s="34"/>
    </row>
    <row r="350" spans="1:37">
      <c r="A350" s="4"/>
      <c r="B350" s="4"/>
      <c r="C350" s="4"/>
      <c r="D350" s="4"/>
      <c r="E350" s="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c r="AF350" s="34"/>
      <c r="AG350" s="34"/>
      <c r="AH350" s="34"/>
      <c r="AI350" s="34"/>
      <c r="AJ350" s="34"/>
      <c r="AK350" s="34"/>
    </row>
    <row r="351" spans="1:37">
      <c r="A351" s="4"/>
      <c r="B351" s="4"/>
      <c r="C351" s="4"/>
      <c r="D351" s="4"/>
      <c r="E351" s="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c r="AF351" s="34"/>
      <c r="AG351" s="34"/>
      <c r="AH351" s="34"/>
      <c r="AI351" s="34"/>
      <c r="AJ351" s="34"/>
      <c r="AK351" s="34"/>
    </row>
    <row r="352" spans="1:37">
      <c r="A352" s="4"/>
      <c r="B352" s="4"/>
      <c r="C352" s="4"/>
      <c r="D352" s="4"/>
      <c r="E352" s="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c r="AF352" s="34"/>
      <c r="AG352" s="34"/>
      <c r="AH352" s="34"/>
      <c r="AI352" s="34"/>
      <c r="AJ352" s="34"/>
      <c r="AK352" s="34"/>
    </row>
  </sheetData>
  <printOptions horizontalCentered="1"/>
  <pageMargins left="0.75" right="0.75" top="1" bottom="1" header="0.5" footer="0.5"/>
  <pageSetup firstPageNumber="6" orientation="portrait" horizontalDpi="4294967292" verticalDpi="4294967292" r:id="rId1"/>
  <headerFooter alignWithMargins="0">
    <oddFooter>&amp;LRichard Bickings
&amp;D&amp;CPage &amp;P&amp;R&amp;F
&amp;A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V361"/>
  <sheetViews>
    <sheetView zoomScale="50" zoomScaleNormal="25" zoomScaleSheetLayoutView="100" workbookViewId="0">
      <selection activeCell="F28" sqref="F28"/>
    </sheetView>
  </sheetViews>
  <sheetFormatPr defaultRowHeight="12.75"/>
  <cols>
    <col min="1" max="1" width="20.42578125" customWidth="1"/>
    <col min="2" max="2" width="11.85546875" hidden="1" customWidth="1"/>
    <col min="3" max="3" width="12.7109375" hidden="1" customWidth="1"/>
    <col min="4" max="4" width="10.42578125" hidden="1" customWidth="1"/>
    <col min="5" max="10" width="9.140625" hidden="1" customWidth="1"/>
    <col min="11" max="20" width="15.7109375" customWidth="1"/>
    <col min="24" max="24" width="9.28515625" customWidth="1"/>
  </cols>
  <sheetData>
    <row r="1" spans="1:48" ht="15.75">
      <c r="A1" s="1" t="str">
        <f>Scope!A1</f>
        <v>Rochester Public Utilities LM6000 PC Power Project</v>
      </c>
      <c r="B1" s="1"/>
      <c r="C1" s="1"/>
      <c r="D1" s="1"/>
      <c r="E1" s="15"/>
      <c r="F1" s="15"/>
      <c r="G1" s="15"/>
      <c r="H1" s="15"/>
      <c r="I1" s="15"/>
      <c r="J1" s="15"/>
      <c r="K1" s="15"/>
      <c r="L1" s="15"/>
      <c r="M1" s="15"/>
      <c r="N1" s="15"/>
      <c r="O1" s="15"/>
      <c r="P1" s="15"/>
      <c r="Q1" s="15"/>
      <c r="R1" s="15"/>
      <c r="S1" s="15"/>
      <c r="T1" s="15"/>
      <c r="U1" s="4"/>
      <c r="V1" s="4"/>
      <c r="W1" s="4"/>
      <c r="X1" s="4"/>
      <c r="Y1" s="4"/>
      <c r="Z1" s="4"/>
      <c r="AA1" s="4"/>
      <c r="AB1" s="4"/>
      <c r="AC1" s="4"/>
      <c r="AD1" s="4"/>
      <c r="AE1" s="4"/>
      <c r="AF1" s="4"/>
      <c r="AG1" s="4"/>
      <c r="AH1" s="4"/>
      <c r="AI1" s="4"/>
      <c r="AJ1" s="4"/>
      <c r="AK1" s="4"/>
      <c r="AL1" s="4"/>
      <c r="AM1" s="4"/>
      <c r="AN1" s="4"/>
      <c r="AO1" s="4"/>
      <c r="AP1" s="4"/>
      <c r="AQ1" s="4"/>
      <c r="AR1" s="4"/>
      <c r="AS1" s="4"/>
      <c r="AT1" s="4"/>
      <c r="AU1" s="4"/>
      <c r="AV1" s="4"/>
    </row>
    <row r="2" spans="1:48" ht="15.75">
      <c r="A2" s="44" t="s">
        <v>719</v>
      </c>
      <c r="B2" s="44"/>
      <c r="C2" s="44"/>
      <c r="D2" s="44"/>
      <c r="E2" s="15"/>
      <c r="F2" s="15"/>
      <c r="G2" s="15"/>
      <c r="H2" s="15"/>
      <c r="I2" s="15"/>
      <c r="J2" s="15"/>
      <c r="K2" s="15"/>
      <c r="L2" s="15"/>
      <c r="M2" s="15"/>
      <c r="N2" s="15"/>
      <c r="O2" s="15"/>
      <c r="P2" s="15"/>
      <c r="Q2" s="15"/>
      <c r="R2" s="15"/>
      <c r="S2" s="15"/>
      <c r="T2" s="15"/>
      <c r="U2" s="4"/>
      <c r="V2" s="4"/>
      <c r="W2" s="4"/>
      <c r="X2" s="4"/>
      <c r="Y2" s="4"/>
      <c r="Z2" s="4"/>
      <c r="AA2" s="4"/>
      <c r="AB2" s="4"/>
      <c r="AC2" s="4"/>
      <c r="AD2" s="4"/>
      <c r="AE2" s="4"/>
      <c r="AF2" s="4"/>
      <c r="AG2" s="4"/>
      <c r="AH2" s="4"/>
      <c r="AI2" s="4"/>
      <c r="AJ2" s="4"/>
      <c r="AK2" s="4"/>
      <c r="AL2" s="4"/>
      <c r="AM2" s="4"/>
      <c r="AN2" s="4"/>
      <c r="AO2" s="4"/>
      <c r="AP2" s="4"/>
      <c r="AQ2" s="4"/>
      <c r="AR2" s="4"/>
      <c r="AS2" s="4"/>
      <c r="AT2" s="4"/>
      <c r="AU2" s="4"/>
      <c r="AV2" s="4"/>
    </row>
    <row r="3" spans="1:48">
      <c r="A3" s="4"/>
      <c r="B3" s="4"/>
      <c r="C3" s="4"/>
      <c r="D3" s="4"/>
      <c r="E3" s="4"/>
      <c r="F3" s="4"/>
      <c r="G3" s="4"/>
      <c r="H3" s="4"/>
      <c r="I3" s="4"/>
      <c r="J3" s="4"/>
      <c r="K3" s="4"/>
      <c r="L3" s="4"/>
      <c r="M3" s="4"/>
      <c r="N3" s="4"/>
      <c r="O3" s="4"/>
      <c r="P3" s="4"/>
      <c r="Q3" s="4"/>
      <c r="R3" s="4"/>
      <c r="S3" s="4"/>
      <c r="T3" s="23"/>
      <c r="U3" s="4"/>
      <c r="V3" s="4"/>
      <c r="W3" s="4"/>
      <c r="X3" s="4"/>
      <c r="Y3" s="4"/>
      <c r="Z3" s="4"/>
      <c r="AA3" s="4"/>
      <c r="AB3" s="4"/>
      <c r="AC3" s="4"/>
      <c r="AD3" s="4"/>
      <c r="AE3" s="4"/>
      <c r="AF3" s="4"/>
      <c r="AG3" s="4"/>
      <c r="AH3" s="4"/>
      <c r="AI3" s="4"/>
      <c r="AJ3" s="4"/>
      <c r="AK3" s="4"/>
      <c r="AL3" s="4"/>
      <c r="AM3" s="4"/>
      <c r="AN3" s="4"/>
      <c r="AO3" s="4"/>
      <c r="AP3" s="4"/>
      <c r="AQ3" s="4"/>
      <c r="AR3" s="4"/>
      <c r="AS3" s="4"/>
      <c r="AT3" s="4"/>
      <c r="AU3" s="4"/>
      <c r="AV3" s="4"/>
    </row>
    <row r="4" spans="1:48" ht="15">
      <c r="A4" s="93"/>
      <c r="B4" s="93"/>
      <c r="C4" s="93"/>
      <c r="D4" s="93"/>
      <c r="E4" s="93"/>
      <c r="F4" s="93"/>
      <c r="G4" s="93"/>
      <c r="H4" s="93"/>
      <c r="I4" s="93"/>
      <c r="J4" s="93"/>
      <c r="K4" s="93"/>
      <c r="L4" s="93"/>
      <c r="M4" s="93"/>
      <c r="N4" s="93"/>
      <c r="O4" s="93"/>
      <c r="P4" s="93"/>
      <c r="Q4" s="93"/>
      <c r="R4" s="93"/>
      <c r="S4" s="93"/>
      <c r="T4" s="94"/>
      <c r="U4" s="4"/>
      <c r="V4" s="4"/>
      <c r="W4" s="4"/>
      <c r="X4" s="4"/>
      <c r="Y4" s="4"/>
      <c r="Z4" s="4"/>
      <c r="AA4" s="4"/>
      <c r="AB4" s="4"/>
      <c r="AC4" s="4"/>
      <c r="AD4" s="4"/>
      <c r="AE4" s="4"/>
      <c r="AF4" s="4"/>
      <c r="AG4" s="4"/>
      <c r="AH4" s="4"/>
      <c r="AI4" s="4"/>
      <c r="AJ4" s="4"/>
      <c r="AK4" s="4"/>
      <c r="AL4" s="4"/>
      <c r="AM4" s="4"/>
      <c r="AN4" s="4"/>
      <c r="AO4" s="4"/>
      <c r="AP4" s="4"/>
      <c r="AQ4" s="4"/>
      <c r="AR4" s="4"/>
      <c r="AS4" s="4"/>
      <c r="AT4" s="4"/>
      <c r="AU4" s="4"/>
      <c r="AV4" s="4"/>
    </row>
    <row r="5" spans="1:48" ht="15">
      <c r="A5" s="95" t="s">
        <v>720</v>
      </c>
      <c r="B5" s="96">
        <v>18</v>
      </c>
      <c r="C5" s="96">
        <v>17</v>
      </c>
      <c r="D5" s="258">
        <v>16</v>
      </c>
      <c r="E5" s="260">
        <v>15</v>
      </c>
      <c r="F5" s="140">
        <v>14</v>
      </c>
      <c r="G5" s="96">
        <v>13</v>
      </c>
      <c r="H5" s="96">
        <v>12</v>
      </c>
      <c r="I5" s="140">
        <f>H5-1</f>
        <v>11</v>
      </c>
      <c r="J5" s="140">
        <f t="shared" ref="J5:S5" si="0">I5-1</f>
        <v>10</v>
      </c>
      <c r="K5" s="140">
        <f t="shared" si="0"/>
        <v>9</v>
      </c>
      <c r="L5" s="140">
        <f t="shared" si="0"/>
        <v>8</v>
      </c>
      <c r="M5" s="140">
        <f t="shared" si="0"/>
        <v>7</v>
      </c>
      <c r="N5" s="505">
        <f t="shared" si="0"/>
        <v>6</v>
      </c>
      <c r="O5" s="140">
        <f t="shared" si="0"/>
        <v>5</v>
      </c>
      <c r="P5" s="505">
        <f t="shared" si="0"/>
        <v>4</v>
      </c>
      <c r="Q5" s="140">
        <f t="shared" si="0"/>
        <v>3</v>
      </c>
      <c r="R5" s="140">
        <f t="shared" si="0"/>
        <v>2</v>
      </c>
      <c r="S5" s="198">
        <f t="shared" si="0"/>
        <v>1</v>
      </c>
      <c r="T5" s="191" t="s">
        <v>649</v>
      </c>
      <c r="U5" s="4"/>
      <c r="V5" s="4"/>
      <c r="W5" s="4"/>
      <c r="X5" s="4"/>
      <c r="Y5" s="4"/>
      <c r="Z5" s="4"/>
      <c r="AA5" s="4"/>
      <c r="AB5" s="4"/>
      <c r="AC5" s="4"/>
      <c r="AD5" s="4"/>
      <c r="AE5" s="4"/>
      <c r="AF5" s="4"/>
      <c r="AG5" s="4"/>
      <c r="AH5" s="4"/>
      <c r="AI5" s="4"/>
      <c r="AJ5" s="4"/>
      <c r="AK5" s="4"/>
      <c r="AL5" s="4"/>
      <c r="AM5" s="4"/>
      <c r="AN5" s="4"/>
      <c r="AO5" s="4"/>
      <c r="AP5" s="4"/>
      <c r="AQ5" s="4"/>
      <c r="AR5" s="4"/>
      <c r="AS5" s="4"/>
      <c r="AT5" s="4"/>
      <c r="AU5" s="4"/>
      <c r="AV5" s="4"/>
    </row>
    <row r="6" spans="1:48" ht="15">
      <c r="A6" s="95" t="s">
        <v>721</v>
      </c>
      <c r="B6" s="262"/>
      <c r="C6" s="261"/>
      <c r="D6" s="261"/>
      <c r="E6" s="263"/>
      <c r="F6" s="259"/>
      <c r="G6" s="197"/>
      <c r="I6" s="197"/>
      <c r="J6" s="197"/>
      <c r="K6" s="713" t="s">
        <v>450</v>
      </c>
      <c r="L6" s="714"/>
      <c r="M6" s="714"/>
      <c r="N6" s="715"/>
      <c r="O6" s="716" t="s">
        <v>702</v>
      </c>
      <c r="P6" s="717"/>
      <c r="Q6" s="713" t="s">
        <v>325</v>
      </c>
      <c r="R6" s="718"/>
      <c r="S6" s="719"/>
      <c r="T6" s="506"/>
      <c r="U6" s="4"/>
      <c r="V6" s="4"/>
      <c r="W6" s="4"/>
      <c r="X6" s="4"/>
      <c r="Y6" s="4"/>
      <c r="Z6" s="4"/>
      <c r="AA6" s="4"/>
      <c r="AB6" s="4"/>
      <c r="AC6" s="4"/>
      <c r="AD6" s="4"/>
      <c r="AE6" s="4"/>
      <c r="AF6" s="4"/>
      <c r="AG6" s="4"/>
      <c r="AH6" s="4"/>
      <c r="AI6" s="4"/>
      <c r="AJ6" s="4"/>
      <c r="AK6" s="4"/>
      <c r="AL6" s="4"/>
      <c r="AM6" s="4"/>
      <c r="AN6" s="4"/>
      <c r="AO6" s="4"/>
      <c r="AP6" s="4"/>
      <c r="AQ6" s="4"/>
      <c r="AR6" s="4"/>
      <c r="AS6" s="4"/>
      <c r="AT6" s="4"/>
      <c r="AU6" s="4"/>
      <c r="AV6" s="4"/>
    </row>
    <row r="7" spans="1:48" ht="15">
      <c r="A7" s="95"/>
      <c r="B7" s="438"/>
      <c r="C7" s="100"/>
      <c r="D7" s="141"/>
      <c r="E7" s="141"/>
      <c r="F7" s="140"/>
      <c r="G7" s="140"/>
      <c r="H7" s="140"/>
      <c r="I7" s="501"/>
      <c r="K7" s="504" t="s">
        <v>15</v>
      </c>
      <c r="L7" s="97"/>
      <c r="M7" s="97"/>
      <c r="N7" s="97"/>
      <c r="O7" s="97"/>
      <c r="P7" s="97"/>
      <c r="Q7" s="97"/>
      <c r="R7" s="97"/>
      <c r="S7" s="97"/>
      <c r="T7" s="97"/>
      <c r="U7" s="4"/>
      <c r="V7" s="4"/>
      <c r="W7" s="4"/>
      <c r="X7" s="4"/>
      <c r="Y7" s="4"/>
      <c r="Z7" s="4"/>
      <c r="AA7" s="4"/>
      <c r="AB7" s="4"/>
      <c r="AC7" s="4"/>
      <c r="AD7" s="4"/>
      <c r="AE7" s="4"/>
      <c r="AF7" s="4"/>
      <c r="AG7" s="4"/>
      <c r="AH7" s="4"/>
      <c r="AI7" s="4"/>
      <c r="AJ7" s="4"/>
      <c r="AK7" s="4"/>
      <c r="AL7" s="4"/>
      <c r="AM7" s="4"/>
      <c r="AN7" s="4"/>
      <c r="AO7" s="4"/>
      <c r="AP7" s="4"/>
      <c r="AQ7" s="4"/>
      <c r="AR7" s="4"/>
      <c r="AS7" s="4"/>
      <c r="AT7" s="4"/>
      <c r="AU7" s="4"/>
      <c r="AV7" s="4"/>
    </row>
    <row r="8" spans="1:48" ht="15">
      <c r="A8" s="224"/>
      <c r="B8" s="502"/>
      <c r="C8" s="100"/>
      <c r="D8" s="141"/>
      <c r="E8" s="141"/>
      <c r="F8" s="141"/>
      <c r="G8" s="141"/>
      <c r="H8" s="140"/>
      <c r="I8" s="100"/>
      <c r="J8" s="224"/>
      <c r="K8" s="99"/>
      <c r="M8" s="100"/>
      <c r="N8" s="100"/>
      <c r="O8" s="100"/>
      <c r="P8" s="100"/>
      <c r="Q8" s="100"/>
      <c r="R8" s="100"/>
      <c r="S8" s="100"/>
      <c r="T8" s="100"/>
      <c r="U8" s="4"/>
      <c r="V8" s="4"/>
      <c r="W8" s="4"/>
      <c r="X8" s="4"/>
      <c r="Y8" s="4"/>
      <c r="Z8" s="4"/>
      <c r="AA8" s="4"/>
      <c r="AB8" s="4"/>
      <c r="AC8" s="4"/>
      <c r="AD8" s="4"/>
      <c r="AE8" s="4"/>
      <c r="AF8" s="4"/>
      <c r="AG8" s="4"/>
      <c r="AH8" s="4"/>
      <c r="AI8" s="4"/>
      <c r="AJ8" s="4"/>
      <c r="AK8" s="4"/>
      <c r="AL8" s="4"/>
      <c r="AM8" s="4"/>
      <c r="AN8" s="4"/>
      <c r="AO8" s="4"/>
      <c r="AP8" s="4"/>
      <c r="AQ8" s="4"/>
      <c r="AR8" s="4"/>
      <c r="AS8" s="4"/>
      <c r="AT8" s="4"/>
      <c r="AU8" s="4"/>
      <c r="AV8" s="4"/>
    </row>
    <row r="9" spans="1:48" ht="15">
      <c r="A9" s="224"/>
      <c r="B9" s="502"/>
      <c r="C9" s="100"/>
      <c r="D9" s="141"/>
      <c r="E9" s="141"/>
      <c r="F9" s="141"/>
      <c r="G9" s="141"/>
      <c r="H9" s="140"/>
      <c r="I9" s="141"/>
      <c r="J9" s="224"/>
      <c r="K9" s="99"/>
      <c r="L9" s="100"/>
      <c r="M9" s="100"/>
      <c r="N9" s="100"/>
      <c r="O9" s="439" t="s">
        <v>1180</v>
      </c>
      <c r="P9" s="100"/>
      <c r="Q9" s="100"/>
      <c r="R9" s="100"/>
      <c r="S9" s="100"/>
      <c r="T9" s="100"/>
      <c r="U9" s="4"/>
      <c r="V9" s="4"/>
      <c r="W9" s="4"/>
      <c r="X9" s="4"/>
      <c r="Y9" s="4"/>
      <c r="Z9" s="4"/>
      <c r="AA9" s="4"/>
      <c r="AB9" s="4"/>
      <c r="AC9" s="4"/>
      <c r="AD9" s="4"/>
      <c r="AE9" s="4"/>
      <c r="AF9" s="4"/>
      <c r="AG9" s="4"/>
      <c r="AH9" s="4"/>
      <c r="AI9" s="4"/>
      <c r="AJ9" s="4"/>
      <c r="AK9" s="4"/>
      <c r="AL9" s="4"/>
      <c r="AM9" s="4"/>
      <c r="AN9" s="4"/>
      <c r="AO9" s="4"/>
      <c r="AP9" s="4"/>
      <c r="AQ9" s="4"/>
      <c r="AR9" s="4"/>
      <c r="AS9" s="4"/>
      <c r="AT9" s="4"/>
      <c r="AU9" s="4"/>
      <c r="AV9" s="4"/>
    </row>
    <row r="10" spans="1:48" ht="15">
      <c r="A10" s="224"/>
      <c r="B10" s="99"/>
      <c r="C10" s="100"/>
      <c r="D10" s="141"/>
      <c r="E10" s="141"/>
      <c r="F10" s="141"/>
      <c r="G10" s="141"/>
      <c r="H10" s="140"/>
      <c r="I10" s="141"/>
      <c r="J10" s="503"/>
      <c r="K10" s="99"/>
      <c r="L10" s="100"/>
      <c r="M10" s="100"/>
      <c r="N10" s="100"/>
      <c r="O10" s="439"/>
      <c r="P10" s="100"/>
      <c r="Q10" s="100"/>
      <c r="R10" s="100"/>
      <c r="S10" s="100"/>
      <c r="T10" s="100"/>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row>
    <row r="11" spans="1:48" ht="15">
      <c r="A11" s="224"/>
      <c r="B11" s="99"/>
      <c r="C11" s="141"/>
      <c r="D11" s="100"/>
      <c r="E11" s="141"/>
      <c r="F11" s="100"/>
      <c r="G11" s="141"/>
      <c r="H11" s="140"/>
      <c r="I11" s="141"/>
      <c r="J11" s="503"/>
      <c r="K11" s="99"/>
      <c r="L11" s="100"/>
      <c r="M11" s="100"/>
      <c r="N11" s="100"/>
      <c r="O11" s="100"/>
      <c r="P11" s="100"/>
      <c r="Q11" s="100"/>
      <c r="R11" s="100"/>
      <c r="S11" s="100"/>
      <c r="T11" s="100"/>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row>
    <row r="12" spans="1:48" ht="15" hidden="1">
      <c r="A12" s="224"/>
      <c r="B12" s="99"/>
      <c r="C12" s="100"/>
      <c r="D12" s="100"/>
      <c r="F12" s="100"/>
      <c r="G12" s="141"/>
      <c r="H12" s="100"/>
      <c r="I12" s="141"/>
      <c r="J12" s="503"/>
      <c r="K12" s="99"/>
      <c r="L12" s="100"/>
      <c r="M12" s="100"/>
      <c r="O12" s="100"/>
      <c r="P12" s="100"/>
      <c r="Q12" s="100"/>
      <c r="R12" s="100"/>
      <c r="S12" s="100"/>
      <c r="T12" s="100"/>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row>
    <row r="13" spans="1:48" ht="15" hidden="1">
      <c r="A13" s="224"/>
      <c r="B13" s="99"/>
      <c r="C13" s="100"/>
      <c r="D13" s="100"/>
      <c r="F13" s="100"/>
      <c r="G13" s="141"/>
      <c r="H13" s="100"/>
      <c r="I13" s="141"/>
      <c r="J13" s="503"/>
      <c r="K13" s="99"/>
      <c r="L13" s="100"/>
      <c r="M13" s="100"/>
      <c r="N13" s="100"/>
      <c r="O13" s="100"/>
      <c r="P13" s="100"/>
      <c r="Q13" s="100"/>
      <c r="R13" s="100"/>
      <c r="S13" s="100"/>
      <c r="T13" s="100"/>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row>
    <row r="14" spans="1:48" ht="15" hidden="1">
      <c r="A14" s="224"/>
      <c r="B14" s="99"/>
      <c r="C14" s="100"/>
      <c r="D14" s="100"/>
      <c r="F14" s="100"/>
      <c r="G14" s="141"/>
      <c r="H14" s="100"/>
      <c r="I14" s="141"/>
      <c r="J14" s="503"/>
      <c r="K14" s="99"/>
      <c r="M14" s="100"/>
      <c r="N14" s="100"/>
      <c r="O14" s="100"/>
      <c r="P14" s="100"/>
      <c r="Q14" s="100"/>
      <c r="R14" s="100"/>
      <c r="S14" s="100"/>
      <c r="T14" s="100"/>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row>
    <row r="15" spans="1:48" ht="15" hidden="1">
      <c r="A15" s="224"/>
      <c r="B15" s="99"/>
      <c r="C15" s="100"/>
      <c r="D15" s="100"/>
      <c r="E15" s="141"/>
      <c r="F15" s="100"/>
      <c r="G15" s="141"/>
      <c r="H15" s="141"/>
      <c r="I15" s="141"/>
      <c r="J15" s="503"/>
      <c r="K15" s="99"/>
      <c r="L15" s="100"/>
      <c r="M15" s="100"/>
      <c r="N15" s="100"/>
      <c r="O15" s="100"/>
      <c r="P15" s="100"/>
      <c r="Q15" s="100"/>
      <c r="R15" s="100"/>
      <c r="S15" s="100"/>
      <c r="T15" s="100"/>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row>
    <row r="16" spans="1:48" ht="15" hidden="1">
      <c r="A16" s="224"/>
      <c r="B16" s="99"/>
      <c r="C16" s="141"/>
      <c r="D16" s="141"/>
      <c r="E16" s="141"/>
      <c r="F16" s="141"/>
      <c r="G16" s="141"/>
      <c r="H16" s="141"/>
      <c r="J16" s="503"/>
      <c r="K16" s="99"/>
      <c r="L16" s="100"/>
      <c r="M16" s="100"/>
      <c r="N16" s="100"/>
      <c r="O16" s="100"/>
      <c r="P16" s="100"/>
      <c r="Q16" s="100"/>
      <c r="R16" s="100"/>
      <c r="S16" s="100"/>
      <c r="T16" s="100"/>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row>
    <row r="17" spans="1:48" ht="15" hidden="1">
      <c r="A17" s="209"/>
      <c r="B17" s="141"/>
      <c r="C17" s="141"/>
      <c r="D17" s="141"/>
      <c r="E17" s="141"/>
      <c r="F17" s="141"/>
      <c r="G17" s="141"/>
      <c r="H17" s="141"/>
      <c r="J17" s="100"/>
      <c r="K17" s="100"/>
      <c r="L17" s="100"/>
      <c r="M17" s="100"/>
      <c r="N17" s="100"/>
      <c r="O17" s="100"/>
      <c r="P17" s="100"/>
      <c r="Q17" s="100"/>
      <c r="R17" s="100"/>
      <c r="S17" s="100"/>
      <c r="T17" s="100"/>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row>
    <row r="18" spans="1:48" ht="15" hidden="1">
      <c r="A18" s="209"/>
      <c r="B18" s="141"/>
      <c r="C18" s="141"/>
      <c r="D18" s="141"/>
      <c r="E18" s="141"/>
      <c r="F18" s="141"/>
      <c r="G18" s="141"/>
      <c r="H18" s="141"/>
      <c r="J18" s="100"/>
      <c r="L18" s="100"/>
      <c r="M18" s="100"/>
      <c r="N18" s="100"/>
      <c r="O18" s="100"/>
      <c r="P18" s="100"/>
      <c r="Q18" s="100"/>
      <c r="R18" s="100"/>
      <c r="S18" s="100"/>
      <c r="T18" s="100"/>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row>
    <row r="19" spans="1:48" ht="15" hidden="1">
      <c r="A19" s="209"/>
      <c r="B19" s="141"/>
      <c r="C19" s="141"/>
      <c r="D19" s="141"/>
      <c r="E19" s="141"/>
      <c r="F19" s="141"/>
      <c r="G19" s="141"/>
      <c r="H19" s="141"/>
      <c r="I19" s="141"/>
      <c r="K19" s="100"/>
      <c r="L19" s="100"/>
      <c r="M19" s="100"/>
      <c r="N19" s="100"/>
      <c r="O19" s="100"/>
      <c r="P19" s="100"/>
      <c r="Q19" s="100"/>
      <c r="R19" s="100"/>
      <c r="S19" s="100"/>
      <c r="T19" s="100"/>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row>
    <row r="20" spans="1:48" ht="15" hidden="1">
      <c r="A20" s="209"/>
      <c r="B20" s="141"/>
      <c r="C20" s="141"/>
      <c r="D20" s="141"/>
      <c r="E20" s="141"/>
      <c r="F20" s="141"/>
      <c r="G20" s="141"/>
      <c r="H20" s="141"/>
      <c r="I20" s="141"/>
      <c r="K20" s="100"/>
      <c r="L20" s="100"/>
      <c r="M20" s="100"/>
      <c r="N20" s="100"/>
      <c r="O20" s="100"/>
      <c r="P20" s="100"/>
      <c r="Q20" s="100"/>
      <c r="R20" s="100"/>
      <c r="S20" s="100"/>
      <c r="T20" s="100"/>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row>
    <row r="21" spans="1:48" ht="15" hidden="1">
      <c r="A21" s="209"/>
      <c r="B21" s="141"/>
      <c r="C21" s="141"/>
      <c r="D21" s="141"/>
      <c r="E21" s="141"/>
      <c r="F21" s="141"/>
      <c r="G21" s="141"/>
      <c r="H21" s="141"/>
      <c r="I21" s="141"/>
      <c r="K21" s="100"/>
      <c r="L21" s="100"/>
      <c r="M21" s="100"/>
      <c r="O21" s="100"/>
      <c r="P21" s="100"/>
      <c r="Q21" s="100"/>
      <c r="R21" s="100"/>
      <c r="S21" s="100"/>
      <c r="T21" s="100"/>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row>
    <row r="22" spans="1:48" ht="15" hidden="1">
      <c r="A22" s="209"/>
      <c r="B22" s="141"/>
      <c r="C22" s="141"/>
      <c r="D22" s="141"/>
      <c r="E22" s="141"/>
      <c r="F22" s="141"/>
      <c r="G22" s="141"/>
      <c r="H22" s="141"/>
      <c r="I22" s="141"/>
      <c r="J22" s="100"/>
      <c r="K22" s="100"/>
      <c r="L22" s="100"/>
      <c r="M22" s="100"/>
      <c r="O22" s="100"/>
      <c r="P22" s="100"/>
      <c r="Q22" s="100"/>
      <c r="R22" s="100"/>
      <c r="S22" s="100"/>
      <c r="T22" s="100"/>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row>
    <row r="23" spans="1:48" ht="15" hidden="1">
      <c r="A23" s="209"/>
      <c r="B23" s="141"/>
      <c r="C23" s="141"/>
      <c r="D23" s="141"/>
      <c r="E23" s="141"/>
      <c r="F23" s="141"/>
      <c r="G23" s="141"/>
      <c r="H23" s="141"/>
      <c r="I23" s="141"/>
      <c r="J23" s="100"/>
      <c r="K23" s="100"/>
      <c r="L23" s="100"/>
      <c r="M23" s="100"/>
      <c r="O23" s="100"/>
      <c r="P23" s="100"/>
      <c r="Q23" s="100"/>
      <c r="R23" s="100"/>
      <c r="S23" s="100"/>
      <c r="T23" s="100"/>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row>
    <row r="24" spans="1:48" ht="15" hidden="1">
      <c r="A24" s="209"/>
      <c r="B24" s="141"/>
      <c r="C24" s="141"/>
      <c r="D24" s="141"/>
      <c r="E24" s="141"/>
      <c r="F24" s="141"/>
      <c r="G24" s="141"/>
      <c r="H24" s="141"/>
      <c r="I24" s="141"/>
      <c r="J24" s="100"/>
      <c r="K24" s="100"/>
      <c r="L24" s="100"/>
      <c r="M24" s="100"/>
      <c r="O24" s="100"/>
      <c r="P24" s="100"/>
      <c r="Q24" s="100"/>
      <c r="R24" s="100"/>
      <c r="S24" s="100"/>
      <c r="T24" s="100"/>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row>
    <row r="25" spans="1:48" ht="15" hidden="1">
      <c r="A25" s="209"/>
      <c r="B25" s="141"/>
      <c r="C25" s="141"/>
      <c r="D25" s="141"/>
      <c r="E25" s="141"/>
      <c r="F25" s="141"/>
      <c r="G25" s="141"/>
      <c r="H25" s="141"/>
      <c r="I25" s="141"/>
      <c r="J25" s="100"/>
      <c r="K25" s="100"/>
      <c r="L25" s="100"/>
      <c r="M25" s="100"/>
      <c r="O25" s="100"/>
      <c r="P25" s="100"/>
      <c r="Q25" s="100"/>
      <c r="R25" s="100"/>
      <c r="S25" s="100"/>
      <c r="T25" s="100"/>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row>
    <row r="26" spans="1:48" ht="15" hidden="1">
      <c r="A26" s="209"/>
      <c r="B26" s="141"/>
      <c r="C26" s="141"/>
      <c r="D26" s="141"/>
      <c r="E26" s="141"/>
      <c r="F26" s="141"/>
      <c r="G26" s="141"/>
      <c r="H26" s="141"/>
      <c r="I26" s="141"/>
      <c r="K26" s="100"/>
      <c r="L26" s="100"/>
      <c r="M26" s="100"/>
      <c r="O26" s="100"/>
      <c r="P26" s="100"/>
      <c r="Q26" s="100"/>
      <c r="R26" s="100"/>
      <c r="S26" s="100"/>
      <c r="T26" s="100"/>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row>
    <row r="27" spans="1:48" ht="15" hidden="1">
      <c r="A27" s="209"/>
      <c r="B27" s="141"/>
      <c r="C27" s="141"/>
      <c r="D27" s="141"/>
      <c r="E27" s="141"/>
      <c r="F27" s="141"/>
      <c r="G27" s="141"/>
      <c r="H27" s="141"/>
      <c r="I27" s="141"/>
      <c r="J27" s="100"/>
      <c r="K27" s="100"/>
      <c r="L27" s="100"/>
      <c r="M27" s="100"/>
      <c r="O27" s="100"/>
      <c r="P27" s="100"/>
      <c r="Q27" s="100"/>
      <c r="R27" s="100"/>
      <c r="S27" s="100"/>
      <c r="T27" s="100"/>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row>
    <row r="28" spans="1:48" ht="15" hidden="1">
      <c r="A28" s="209"/>
      <c r="B28" s="141"/>
      <c r="C28" s="141"/>
      <c r="D28" s="141"/>
      <c r="E28" s="141"/>
      <c r="F28" s="141"/>
      <c r="G28" s="141"/>
      <c r="H28" s="141"/>
      <c r="I28" s="141"/>
      <c r="J28" s="100"/>
      <c r="K28" s="100"/>
      <c r="L28" s="100"/>
      <c r="M28" s="100"/>
      <c r="O28" s="100"/>
      <c r="P28" s="100"/>
      <c r="Q28" s="100"/>
      <c r="R28" s="100"/>
      <c r="S28" s="100"/>
      <c r="T28" s="100"/>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row>
    <row r="29" spans="1:48" ht="15">
      <c r="A29" s="257"/>
      <c r="B29" s="257"/>
      <c r="C29" s="257"/>
      <c r="D29" s="257"/>
      <c r="E29" s="257"/>
      <c r="F29" s="257"/>
      <c r="G29" s="257"/>
      <c r="H29" s="257"/>
      <c r="I29" s="257"/>
      <c r="J29" s="257"/>
      <c r="K29" s="257"/>
      <c r="L29" s="257"/>
      <c r="M29" s="257"/>
      <c r="N29" s="257"/>
      <c r="O29" s="257"/>
      <c r="P29" s="257"/>
      <c r="Q29" s="257"/>
      <c r="R29" s="257"/>
      <c r="S29" s="257"/>
      <c r="T29" s="257"/>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row>
    <row r="30" spans="1:48" ht="15">
      <c r="A30" s="210"/>
      <c r="B30" s="142"/>
      <c r="C30" s="142"/>
      <c r="D30" s="142"/>
      <c r="E30" s="142"/>
      <c r="F30" s="142"/>
      <c r="G30" s="142"/>
      <c r="H30" s="142"/>
      <c r="I30" s="142"/>
      <c r="J30" s="101"/>
      <c r="K30" s="101"/>
      <c r="L30" s="101"/>
      <c r="M30" s="101"/>
      <c r="N30" s="101"/>
      <c r="O30" s="101"/>
      <c r="P30" s="101"/>
      <c r="Q30" s="101"/>
      <c r="R30" s="101"/>
      <c r="S30" s="101"/>
      <c r="T30" s="101"/>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row>
    <row r="31" spans="1:48" ht="15">
      <c r="A31" s="209" t="s">
        <v>722</v>
      </c>
      <c r="B31" s="141"/>
      <c r="C31" s="141"/>
      <c r="D31" s="141"/>
      <c r="E31" s="141"/>
      <c r="F31" s="141"/>
      <c r="G31" s="141"/>
      <c r="H31" s="141"/>
      <c r="I31" s="141"/>
      <c r="J31" s="100"/>
      <c r="K31" s="100"/>
      <c r="L31" s="100"/>
      <c r="M31" s="100"/>
      <c r="O31" s="100"/>
      <c r="P31" s="100"/>
      <c r="Q31" s="100"/>
      <c r="R31" s="100"/>
      <c r="S31" s="100"/>
      <c r="T31" s="100"/>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row>
    <row r="32" spans="1:48" ht="15">
      <c r="A32" s="209"/>
      <c r="B32" s="141"/>
      <c r="C32" s="141"/>
      <c r="D32" s="141"/>
      <c r="E32" s="141"/>
      <c r="F32" s="141"/>
      <c r="G32" s="141"/>
      <c r="H32" s="141"/>
      <c r="I32" s="141"/>
      <c r="J32" s="100"/>
      <c r="K32" s="100"/>
      <c r="L32" s="100" t="s">
        <v>723</v>
      </c>
      <c r="M32" s="100"/>
      <c r="N32" s="100"/>
      <c r="O32" s="100"/>
      <c r="P32" s="100"/>
      <c r="Q32" s="100"/>
      <c r="R32" s="100"/>
      <c r="S32" s="100"/>
      <c r="T32" s="100"/>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row>
    <row r="33" spans="1:48" ht="15">
      <c r="A33" s="209"/>
      <c r="B33" s="141"/>
      <c r="C33" s="141"/>
      <c r="D33" s="141"/>
      <c r="E33" s="141"/>
      <c r="F33" s="141"/>
      <c r="G33" s="141"/>
      <c r="H33" s="141"/>
      <c r="I33" s="141"/>
      <c r="J33" s="100"/>
      <c r="K33" s="100"/>
      <c r="L33" s="100" t="s">
        <v>724</v>
      </c>
      <c r="M33" s="100"/>
      <c r="N33" s="100"/>
      <c r="O33" s="100"/>
      <c r="P33" s="100"/>
      <c r="Q33" s="100"/>
      <c r="R33" s="100"/>
      <c r="S33" s="100"/>
      <c r="T33" s="100"/>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row>
    <row r="34" spans="1:48" ht="15">
      <c r="A34" s="209"/>
      <c r="B34" s="141"/>
      <c r="C34" s="141"/>
      <c r="D34" s="141"/>
      <c r="E34" s="141"/>
      <c r="F34" s="141"/>
      <c r="G34" s="141"/>
      <c r="H34" s="141"/>
      <c r="I34" s="141"/>
      <c r="J34" s="100"/>
      <c r="K34" s="100"/>
      <c r="L34" s="100" t="s">
        <v>725</v>
      </c>
      <c r="M34" s="100"/>
      <c r="O34" s="100"/>
      <c r="P34" s="100"/>
      <c r="Q34" s="100"/>
      <c r="R34" s="100"/>
      <c r="S34" s="100"/>
      <c r="T34" s="100"/>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row>
    <row r="35" spans="1:48" ht="15">
      <c r="A35" s="209"/>
      <c r="B35" s="141"/>
      <c r="C35" s="141"/>
      <c r="D35" s="141"/>
      <c r="E35" s="141"/>
      <c r="F35" s="141"/>
      <c r="G35" s="141"/>
      <c r="H35" s="141"/>
      <c r="I35" s="141"/>
      <c r="J35" s="100"/>
      <c r="K35" s="100"/>
      <c r="L35" s="141" t="s">
        <v>726</v>
      </c>
      <c r="M35" s="100"/>
      <c r="O35" s="100"/>
      <c r="P35" s="100"/>
      <c r="Q35" s="100"/>
      <c r="R35" s="100"/>
      <c r="S35" s="100"/>
      <c r="T35" s="100"/>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row>
    <row r="36" spans="1:48" ht="15">
      <c r="A36" s="209"/>
      <c r="B36" s="141"/>
      <c r="C36" s="141"/>
      <c r="D36" s="141"/>
      <c r="E36" s="141"/>
      <c r="F36" s="141"/>
      <c r="G36" s="141"/>
      <c r="H36" s="141"/>
      <c r="I36" s="141"/>
      <c r="J36" s="100"/>
      <c r="L36" s="100"/>
      <c r="M36" s="100"/>
      <c r="N36" s="100" t="s">
        <v>727</v>
      </c>
      <c r="O36" s="100"/>
      <c r="P36" s="100"/>
      <c r="Q36" s="100"/>
      <c r="R36" s="100"/>
      <c r="S36" s="100"/>
      <c r="T36" s="100"/>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row>
    <row r="37" spans="1:48" ht="15">
      <c r="A37" s="209"/>
      <c r="B37" s="141"/>
      <c r="C37" s="141"/>
      <c r="D37" s="141"/>
      <c r="E37" s="141"/>
      <c r="F37" s="141"/>
      <c r="G37" s="141"/>
      <c r="H37" s="141"/>
      <c r="I37" s="141"/>
      <c r="J37" s="100"/>
      <c r="L37" s="100"/>
      <c r="M37" s="100"/>
      <c r="N37" s="100" t="s">
        <v>760</v>
      </c>
      <c r="O37" s="100"/>
      <c r="P37" s="100"/>
      <c r="Q37" s="100"/>
      <c r="R37" s="100"/>
      <c r="S37" s="100"/>
      <c r="T37" s="100"/>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row>
    <row r="38" spans="1:48" ht="15">
      <c r="A38" s="209"/>
      <c r="B38" s="141"/>
      <c r="C38" s="141"/>
      <c r="D38" s="141"/>
      <c r="E38" s="141"/>
      <c r="F38" s="141"/>
      <c r="G38" s="141"/>
      <c r="H38" s="141"/>
      <c r="I38" s="141"/>
      <c r="J38" s="100"/>
      <c r="K38" s="100"/>
      <c r="L38" s="100"/>
      <c r="M38" s="100"/>
      <c r="N38" s="100"/>
      <c r="O38" s="100"/>
      <c r="P38" s="100"/>
      <c r="Q38" s="100"/>
      <c r="R38" s="100"/>
      <c r="S38" s="100"/>
      <c r="T38" s="100"/>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row>
    <row r="39" spans="1:48" ht="15" hidden="1">
      <c r="A39" s="209"/>
      <c r="B39" s="141"/>
      <c r="C39" s="141"/>
      <c r="D39" s="141"/>
      <c r="E39" s="141"/>
      <c r="F39" s="141"/>
      <c r="G39" s="141"/>
      <c r="H39" s="141"/>
      <c r="I39" s="141"/>
      <c r="J39" s="100"/>
      <c r="K39" s="100"/>
      <c r="L39" s="100"/>
      <c r="M39" s="100"/>
      <c r="N39" s="100"/>
      <c r="O39" s="100"/>
      <c r="P39" s="100"/>
      <c r="Q39" s="100"/>
      <c r="R39" s="100"/>
      <c r="S39" s="100"/>
      <c r="T39" s="100"/>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row>
    <row r="40" spans="1:48" ht="15" hidden="1">
      <c r="A40" s="209"/>
      <c r="B40" s="141"/>
      <c r="C40" s="141"/>
      <c r="D40" s="141"/>
      <c r="E40" s="141"/>
      <c r="F40" s="141"/>
      <c r="G40" s="141"/>
      <c r="H40" s="141"/>
      <c r="I40" s="141"/>
      <c r="J40" s="100"/>
      <c r="K40" s="100"/>
      <c r="L40" s="100"/>
      <c r="M40" s="100"/>
      <c r="N40" s="100"/>
      <c r="O40" s="100"/>
      <c r="P40" s="100"/>
      <c r="Q40" s="100"/>
      <c r="R40" s="100"/>
      <c r="S40" s="100"/>
      <c r="T40" s="100"/>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row>
    <row r="41" spans="1:48" ht="15" hidden="1">
      <c r="A41" s="209"/>
      <c r="B41" s="141"/>
      <c r="C41" s="141"/>
      <c r="D41" s="141"/>
      <c r="E41" s="141"/>
      <c r="F41" s="141"/>
      <c r="G41" s="141"/>
      <c r="H41" s="141"/>
      <c r="I41" s="141"/>
      <c r="J41" s="100"/>
      <c r="K41" s="100"/>
      <c r="L41" s="100"/>
      <c r="M41" s="100"/>
      <c r="N41" s="100"/>
      <c r="O41" s="100"/>
      <c r="P41" s="100"/>
      <c r="Q41" s="100"/>
      <c r="R41" s="100"/>
      <c r="S41" s="100"/>
      <c r="T41" s="100"/>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row>
    <row r="42" spans="1:48">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row>
    <row r="43" spans="1:48">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row>
    <row r="44" spans="1:48">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row>
    <row r="45" spans="1:48">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row>
    <row r="46" spans="1:48">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row>
    <row r="47" spans="1:48">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row>
    <row r="48" spans="1: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row>
    <row r="49" spans="1:48">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row>
    <row r="50" spans="1:48">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row>
    <row r="51" spans="1:48">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row>
    <row r="52" spans="1:48">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row>
    <row r="53" spans="1:48">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row>
    <row r="54" spans="1:48">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row>
    <row r="55" spans="1:48">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row>
    <row r="56" spans="1:48">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row>
    <row r="57" spans="1:48">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row>
    <row r="58" spans="1:4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row>
    <row r="59" spans="1:48">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row>
    <row r="60" spans="1:48">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row>
    <row r="61" spans="1:48">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row>
    <row r="62" spans="1:48">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row>
    <row r="63" spans="1:48">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row>
    <row r="64" spans="1:48">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row>
    <row r="65" spans="1:48">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row>
    <row r="66" spans="1:48">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row>
    <row r="67" spans="1:48">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row>
    <row r="68" spans="1:4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row>
    <row r="69" spans="1:48">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row>
    <row r="70" spans="1:48">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row>
    <row r="71" spans="1:48">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row>
    <row r="72" spans="1:48">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row>
    <row r="73" spans="1:48">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row>
    <row r="74" spans="1:48">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row>
    <row r="75" spans="1:48">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row>
    <row r="76" spans="1:48">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row>
    <row r="77" spans="1:48">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row>
    <row r="78" spans="1:4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row>
    <row r="79" spans="1:48">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row>
    <row r="80" spans="1:48">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row>
    <row r="81" spans="1:48">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row>
    <row r="82" spans="1:48">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row>
    <row r="83" spans="1:48">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row>
    <row r="84" spans="1:48">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row>
    <row r="85" spans="1:48">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row>
    <row r="86" spans="1:48">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row>
    <row r="87" spans="1:48">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row>
    <row r="88" spans="1:4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row>
    <row r="89" spans="1:48">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row>
    <row r="90" spans="1:48">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row>
    <row r="91" spans="1:48">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row>
    <row r="92" spans="1:48">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row>
    <row r="93" spans="1:48">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row>
    <row r="94" spans="1:48">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row>
    <row r="95" spans="1:48">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row>
    <row r="96" spans="1:48">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row>
    <row r="97" spans="1:48">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row>
    <row r="98" spans="1:4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row>
    <row r="99" spans="1:48">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row>
    <row r="100" spans="1:48">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row>
    <row r="101" spans="1:48">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row>
    <row r="102" spans="1:48">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row>
    <row r="103" spans="1:48">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row>
    <row r="104" spans="1:48">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row>
    <row r="105" spans="1:48">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row>
    <row r="106" spans="1:48">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row>
    <row r="107" spans="1:48">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row>
    <row r="108" spans="1:4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row>
    <row r="109" spans="1:48">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row>
    <row r="110" spans="1:48">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row>
    <row r="111" spans="1:48">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row>
    <row r="112" spans="1:48">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row>
    <row r="113" spans="1:48">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row>
    <row r="114" spans="1:48">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row>
    <row r="115" spans="1:48">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row>
    <row r="116" spans="1:48">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row>
    <row r="117" spans="1:48">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row>
    <row r="118" spans="1:4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row>
    <row r="119" spans="1:48">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row>
    <row r="120" spans="1:48">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row>
    <row r="121" spans="1:48">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row>
    <row r="122" spans="1:48">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row>
    <row r="123" spans="1:48">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row>
    <row r="124" spans="1:48">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row>
    <row r="125" spans="1:48">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row>
    <row r="126" spans="1:48">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row>
    <row r="127" spans="1:48">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row>
    <row r="128" spans="1:4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row>
    <row r="129" spans="1:48">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row>
    <row r="130" spans="1:48">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row>
    <row r="131" spans="1:48">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row>
    <row r="132" spans="1:48">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row>
    <row r="133" spans="1:48">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row>
    <row r="134" spans="1:48">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row>
    <row r="135" spans="1:48">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row>
    <row r="136" spans="1:48">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row>
    <row r="137" spans="1:48">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row>
    <row r="138" spans="1:4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row>
    <row r="139" spans="1:48">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row>
    <row r="140" spans="1:48">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row>
    <row r="141" spans="1:48">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row>
    <row r="142" spans="1:48">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row>
    <row r="143" spans="1:48">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row>
    <row r="144" spans="1:48">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row>
    <row r="145" spans="1:48">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row>
    <row r="146" spans="1:48">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row>
    <row r="147" spans="1:48">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row>
    <row r="148" spans="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row>
    <row r="149" spans="1:48">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row>
    <row r="150" spans="1:48">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row>
    <row r="151" spans="1:48">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row>
    <row r="152" spans="1:48">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row>
    <row r="153" spans="1:48">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row>
    <row r="154" spans="1:48">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row>
    <row r="155" spans="1:48">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row>
    <row r="156" spans="1:48">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row>
    <row r="157" spans="1:48">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row>
    <row r="158" spans="1:4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row>
    <row r="159" spans="1:48">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row>
    <row r="160" spans="1:48">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row>
    <row r="161" spans="1:48">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row>
    <row r="162" spans="1:48">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row>
    <row r="163" spans="1:48">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row>
    <row r="164" spans="1:48">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row>
    <row r="165" spans="1:48">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row>
    <row r="166" spans="1:48">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row>
    <row r="167" spans="1:48">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row>
    <row r="168" spans="1:4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row>
    <row r="169" spans="1:48">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row>
    <row r="170" spans="1:48">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row>
    <row r="171" spans="1:48">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row>
    <row r="172" spans="1:48">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row>
    <row r="173" spans="1:48">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row>
    <row r="174" spans="1:48">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row>
    <row r="175" spans="1:48">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row>
    <row r="176" spans="1:48">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row>
    <row r="177" spans="1:48">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row>
    <row r="178" spans="1:4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row>
    <row r="179" spans="1:48">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row>
    <row r="180" spans="1:48">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row>
    <row r="181" spans="1:48">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row>
    <row r="182" spans="1:48">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row>
    <row r="183" spans="1:48">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row>
    <row r="184" spans="1:48">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row>
    <row r="185" spans="1:48">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row>
    <row r="186" spans="1:48">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row>
    <row r="187" spans="1:48">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row>
    <row r="188" spans="1:4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row>
    <row r="189" spans="1:48">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row>
    <row r="190" spans="1:48">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row>
    <row r="191" spans="1:48">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row>
    <row r="192" spans="1:48">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row>
    <row r="193" spans="1:48">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row>
    <row r="194" spans="1:48">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row>
    <row r="195" spans="1:48">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row>
    <row r="196" spans="1:48">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row>
    <row r="197" spans="1:48">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row>
    <row r="198" spans="1:4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row>
    <row r="199" spans="1:48">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row>
    <row r="200" spans="1:48">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row>
    <row r="201" spans="1:48">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row>
    <row r="202" spans="1:48">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row>
    <row r="203" spans="1:48">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row>
    <row r="204" spans="1:48">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row>
    <row r="205" spans="1:48">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row>
    <row r="206" spans="1:48">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row>
    <row r="207" spans="1:48">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row>
    <row r="208" spans="1:4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row>
    <row r="209" spans="1:48">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row>
    <row r="210" spans="1:48">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row>
    <row r="211" spans="1:48">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row>
    <row r="212" spans="1:48">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row>
    <row r="213" spans="1:48">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row>
    <row r="214" spans="1:48">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row>
    <row r="215" spans="1:48">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row>
    <row r="216" spans="1:48">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row>
    <row r="217" spans="1:48">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row>
    <row r="218" spans="1:4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row>
    <row r="219" spans="1:48">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row>
    <row r="220" spans="1:48">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row>
    <row r="221" spans="1:48">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row>
    <row r="222" spans="1:48">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row>
    <row r="223" spans="1:48">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row>
    <row r="224" spans="1:48">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row>
    <row r="225" spans="1:48">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row>
    <row r="226" spans="1:48">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row>
    <row r="227" spans="1:48">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row>
    <row r="228" spans="1:4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row>
    <row r="229" spans="1:48">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row>
    <row r="230" spans="1:48">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row>
    <row r="231" spans="1:48">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row>
    <row r="232" spans="1:48">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row>
    <row r="233" spans="1:48">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row>
    <row r="234" spans="1:48">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row>
    <row r="235" spans="1:48">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row>
    <row r="236" spans="1:48">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row>
    <row r="237" spans="1:48">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row>
    <row r="238" spans="1:4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row>
    <row r="239" spans="1:48">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row>
    <row r="240" spans="1:48">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row>
    <row r="241" spans="1:48">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row>
    <row r="242" spans="1:48">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row>
    <row r="243" spans="1:48">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row>
    <row r="244" spans="1:48">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row>
    <row r="245" spans="1:48">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row>
    <row r="246" spans="1:48">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row>
    <row r="247" spans="1:48">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row>
    <row r="248" spans="1: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row>
    <row r="249" spans="1:48">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row>
    <row r="250" spans="1:48">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row>
    <row r="251" spans="1:48">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row>
    <row r="252" spans="1:48">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row>
    <row r="253" spans="1:48">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row>
    <row r="254" spans="1:48">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row>
    <row r="255" spans="1:48">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row>
    <row r="256" spans="1:48">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row>
    <row r="257" spans="1:48">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row>
    <row r="258" spans="1:4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row>
    <row r="259" spans="1:48">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row>
    <row r="260" spans="1:48">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row>
    <row r="261" spans="1:48">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row>
    <row r="262" spans="1:48">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row>
    <row r="263" spans="1:48">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row>
    <row r="264" spans="1:48">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row>
    <row r="265" spans="1:48">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row>
    <row r="266" spans="1:48">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row>
    <row r="267" spans="1:48">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row>
    <row r="268" spans="1:4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row>
    <row r="269" spans="1:48">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row>
    <row r="270" spans="1:48">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row>
    <row r="271" spans="1:48">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row>
    <row r="272" spans="1:48">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row>
    <row r="273" spans="1:48">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row>
    <row r="274" spans="1:48">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row>
    <row r="275" spans="1:48">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row>
    <row r="276" spans="1:48">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row>
    <row r="277" spans="1:48">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row>
    <row r="278" spans="1:4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row>
    <row r="279" spans="1:48">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row>
    <row r="280" spans="1:48">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row>
    <row r="281" spans="1:48">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row>
    <row r="282" spans="1:48">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row>
    <row r="283" spans="1:48">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row>
    <row r="284" spans="1:48">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row>
    <row r="285" spans="1:48">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row>
    <row r="286" spans="1:48">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row>
    <row r="287" spans="1:48">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row>
    <row r="288" spans="1:4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row>
    <row r="289" spans="1:48">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row>
    <row r="290" spans="1:48">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row>
    <row r="291" spans="1:48">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row>
    <row r="292" spans="1:48">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row>
    <row r="293" spans="1:48">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row>
    <row r="294" spans="1:48">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row>
    <row r="295" spans="1:48">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row>
    <row r="296" spans="1:48">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row>
    <row r="297" spans="1:48">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row>
    <row r="298" spans="1:4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row>
    <row r="299" spans="1:48">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row>
    <row r="300" spans="1:48">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row>
    <row r="301" spans="1:48">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row>
    <row r="302" spans="1:48">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row>
    <row r="303" spans="1:48">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row>
    <row r="304" spans="1:48">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row>
    <row r="305" spans="1:48">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row>
    <row r="306" spans="1:48">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row>
    <row r="307" spans="1:48">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row>
    <row r="308" spans="1:4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row>
    <row r="309" spans="1:48">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row>
    <row r="310" spans="1:48">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row>
    <row r="311" spans="1:48">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row>
    <row r="312" spans="1:48">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row>
    <row r="313" spans="1:48">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row>
    <row r="314" spans="1:48">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row>
    <row r="315" spans="1:48">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row>
    <row r="316" spans="1:48">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row>
    <row r="317" spans="1:48">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row>
    <row r="318" spans="1:4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row>
    <row r="319" spans="1:48">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row>
    <row r="320" spans="1:48">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row>
    <row r="321" spans="1:48">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row>
    <row r="322" spans="1:48">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row>
    <row r="323" spans="1:48">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row>
    <row r="324" spans="1:48">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row>
    <row r="325" spans="1:48">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row>
    <row r="326" spans="1:48">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row>
    <row r="327" spans="1:48">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row>
    <row r="328" spans="1:4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row>
    <row r="329" spans="1:48">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row>
    <row r="330" spans="1:48">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row>
    <row r="331" spans="1:48">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row>
    <row r="332" spans="1:48">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row>
    <row r="333" spans="1:48">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row>
    <row r="334" spans="1:48">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row>
    <row r="335" spans="1:48">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row>
    <row r="336" spans="1:48">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row>
    <row r="337" spans="1:48">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row>
    <row r="338" spans="1:4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row>
    <row r="339" spans="1:48">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row>
    <row r="340" spans="1:48">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row>
    <row r="341" spans="1:48">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row>
    <row r="342" spans="1:48">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row>
    <row r="343" spans="1:48">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row>
    <row r="344" spans="1:48">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row>
    <row r="345" spans="1:48">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row>
    <row r="346" spans="1:48">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row>
    <row r="347" spans="1:48">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row>
    <row r="348" spans="1: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row>
    <row r="349" spans="1:48">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row>
    <row r="350" spans="1:48">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row>
    <row r="351" spans="1:48">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row>
    <row r="352" spans="1:48">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row>
    <row r="353" spans="1:48">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row>
    <row r="354" spans="1:48">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row>
    <row r="355" spans="1:48">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row>
    <row r="356" spans="1:48">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row>
    <row r="357" spans="1:48">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row>
    <row r="358" spans="1:4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row>
    <row r="359" spans="1:48">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row>
    <row r="360" spans="1:48">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row>
    <row r="361" spans="1:48">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row>
  </sheetData>
  <mergeCells count="3">
    <mergeCell ref="K6:N6"/>
    <mergeCell ref="O6:P6"/>
    <mergeCell ref="Q6:S6"/>
  </mergeCells>
  <printOptions horizontalCentered="1"/>
  <pageMargins left="0.75" right="0.75" top="1" bottom="1" header="0.5" footer="0.5"/>
  <pageSetup scale="69" orientation="landscape" horizontalDpi="4294967292" verticalDpi="4294967292" r:id="rId1"/>
  <headerFooter alignWithMargins="0">
    <oddFooter>&amp;LRichard Bickings
&amp;D&amp;CPage &amp;P&amp;R&amp;F
&amp;A</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I71"/>
  <sheetViews>
    <sheetView zoomScale="75" zoomScaleNormal="25" zoomScaleSheetLayoutView="100" workbookViewId="0">
      <selection activeCell="F28" sqref="F28"/>
    </sheetView>
  </sheetViews>
  <sheetFormatPr defaultRowHeight="12.75"/>
  <cols>
    <col min="1" max="1" width="35.28515625" style="4" customWidth="1"/>
    <col min="2" max="2" width="10.42578125" style="4" customWidth="1"/>
    <col min="3" max="3" width="9.5703125" style="4" customWidth="1"/>
    <col min="4" max="4" width="9.85546875" style="4" customWidth="1"/>
    <col min="5" max="5" width="11.85546875" style="4" customWidth="1"/>
    <col min="6" max="6" width="12.7109375" style="4" customWidth="1"/>
    <col min="7" max="7" width="12.5703125" style="4" customWidth="1"/>
    <col min="8" max="8" width="9.140625" style="4"/>
    <col min="9" max="9" width="9.85546875" style="4" customWidth="1"/>
    <col min="10" max="10" width="10.140625" style="4" customWidth="1"/>
    <col min="11" max="16384" width="9.140625" style="4"/>
  </cols>
  <sheetData>
    <row r="1" spans="1:7" ht="15.75">
      <c r="A1" s="1" t="str">
        <f>Scope!A1</f>
        <v>Rochester Public Utilities LM6000 PC Power Project</v>
      </c>
      <c r="B1" s="15"/>
      <c r="C1" s="15"/>
      <c r="D1" s="15"/>
      <c r="E1" s="15"/>
      <c r="F1" s="15"/>
      <c r="G1" s="15"/>
    </row>
    <row r="2" spans="1:7" ht="15.75">
      <c r="A2" s="44" t="s">
        <v>1188</v>
      </c>
      <c r="B2" s="15"/>
      <c r="C2" s="15"/>
      <c r="D2" s="15"/>
      <c r="E2" s="15"/>
      <c r="F2" s="15"/>
      <c r="G2" s="15"/>
    </row>
    <row r="3" spans="1:7" ht="15.75">
      <c r="A3" s="44" t="s">
        <v>1173</v>
      </c>
      <c r="B3" s="15"/>
      <c r="C3" s="15"/>
      <c r="D3" s="15"/>
      <c r="E3" s="15"/>
      <c r="F3" s="15"/>
      <c r="G3" s="15"/>
    </row>
    <row r="4" spans="1:7" ht="13.5" thickBot="1"/>
    <row r="5" spans="1:7">
      <c r="B5" s="8"/>
      <c r="C5" s="8" t="s">
        <v>761</v>
      </c>
      <c r="D5" s="8" t="s">
        <v>762</v>
      </c>
      <c r="E5" s="8" t="s">
        <v>613</v>
      </c>
      <c r="F5" s="8" t="s">
        <v>764</v>
      </c>
    </row>
    <row r="6" spans="1:7">
      <c r="B6" s="11" t="s">
        <v>1174</v>
      </c>
      <c r="C6" s="11" t="s">
        <v>766</v>
      </c>
      <c r="D6" s="11" t="s">
        <v>767</v>
      </c>
      <c r="E6" s="11" t="s">
        <v>769</v>
      </c>
      <c r="F6" s="11" t="s">
        <v>770</v>
      </c>
    </row>
    <row r="7" spans="1:7" ht="13.5" thickBot="1">
      <c r="B7" s="6" t="s">
        <v>765</v>
      </c>
      <c r="C7" s="6" t="s">
        <v>771</v>
      </c>
      <c r="D7" s="7" t="s">
        <v>772</v>
      </c>
      <c r="E7" s="7" t="s">
        <v>773</v>
      </c>
      <c r="F7" s="7" t="s">
        <v>669</v>
      </c>
    </row>
    <row r="8" spans="1:7">
      <c r="B8" s="215"/>
      <c r="C8" s="215"/>
      <c r="D8" s="215"/>
      <c r="E8" s="27"/>
      <c r="F8" s="10"/>
    </row>
    <row r="9" spans="1:7">
      <c r="A9" s="4" t="s">
        <v>15</v>
      </c>
      <c r="B9" s="474">
        <v>1</v>
      </c>
      <c r="C9" s="151" t="s">
        <v>774</v>
      </c>
      <c r="D9" s="216">
        <v>9</v>
      </c>
      <c r="E9" s="415">
        <f t="shared" ref="E9:E15" si="0">B29/12</f>
        <v>9809.1465999999982</v>
      </c>
      <c r="F9" s="416">
        <f t="shared" ref="F9:F15" si="1">E9*D9*B9</f>
        <v>88282.319399999978</v>
      </c>
    </row>
    <row r="10" spans="1:7" hidden="1">
      <c r="A10" s="4" t="s">
        <v>1175</v>
      </c>
      <c r="B10" s="474">
        <v>0</v>
      </c>
      <c r="C10" s="151" t="s">
        <v>775</v>
      </c>
      <c r="D10" s="216">
        <v>6</v>
      </c>
      <c r="E10" s="415">
        <f t="shared" si="0"/>
        <v>9809.1465999999982</v>
      </c>
      <c r="F10" s="416">
        <f t="shared" si="1"/>
        <v>0</v>
      </c>
    </row>
    <row r="11" spans="1:7" hidden="1">
      <c r="A11" s="4" t="s">
        <v>1176</v>
      </c>
      <c r="B11" s="474">
        <v>0</v>
      </c>
      <c r="C11" s="151" t="s">
        <v>776</v>
      </c>
      <c r="D11" s="216">
        <v>5</v>
      </c>
      <c r="E11" s="415">
        <f t="shared" si="0"/>
        <v>6531.7185999999992</v>
      </c>
      <c r="F11" s="416">
        <f t="shared" si="1"/>
        <v>0</v>
      </c>
    </row>
    <row r="12" spans="1:7" hidden="1">
      <c r="A12" s="4" t="s">
        <v>1177</v>
      </c>
      <c r="B12" s="474">
        <v>0</v>
      </c>
      <c r="C12" s="151" t="s">
        <v>1178</v>
      </c>
      <c r="D12" s="216">
        <v>7</v>
      </c>
      <c r="E12" s="415">
        <f t="shared" si="0"/>
        <v>3427.526080000001</v>
      </c>
      <c r="F12" s="416">
        <f t="shared" si="1"/>
        <v>0</v>
      </c>
    </row>
    <row r="13" spans="1:7" hidden="1">
      <c r="A13" s="4" t="s">
        <v>1179</v>
      </c>
      <c r="B13" s="474">
        <v>0</v>
      </c>
      <c r="C13" s="151" t="s">
        <v>776</v>
      </c>
      <c r="D13" s="216">
        <v>6</v>
      </c>
      <c r="E13" s="415">
        <f t="shared" si="0"/>
        <v>6953.1021999999984</v>
      </c>
      <c r="F13" s="416">
        <f t="shared" si="1"/>
        <v>0</v>
      </c>
    </row>
    <row r="14" spans="1:7">
      <c r="A14" s="4" t="s">
        <v>1180</v>
      </c>
      <c r="B14" s="474">
        <v>2</v>
      </c>
      <c r="C14" s="151" t="s">
        <v>1178</v>
      </c>
      <c r="D14" s="216">
        <v>5</v>
      </c>
      <c r="E14" s="415">
        <f t="shared" si="0"/>
        <v>5712.3616000000002</v>
      </c>
      <c r="F14" s="416">
        <f t="shared" si="1"/>
        <v>57123.616000000002</v>
      </c>
    </row>
    <row r="15" spans="1:7" hidden="1">
      <c r="A15" s="4" t="s">
        <v>324</v>
      </c>
      <c r="B15" s="474">
        <v>0</v>
      </c>
      <c r="C15" s="151" t="s">
        <v>1178</v>
      </c>
      <c r="D15" s="216">
        <v>5</v>
      </c>
      <c r="E15" s="415">
        <f t="shared" si="0"/>
        <v>4340.5238800000006</v>
      </c>
      <c r="F15" s="416">
        <f t="shared" si="1"/>
        <v>0</v>
      </c>
    </row>
    <row r="16" spans="1:7" ht="13.5" thickBot="1">
      <c r="B16" s="7"/>
      <c r="C16" s="14"/>
      <c r="D16" s="7"/>
      <c r="E16" s="417"/>
      <c r="F16" s="418"/>
    </row>
    <row r="17" spans="1:35">
      <c r="B17" s="12"/>
      <c r="C17" s="12"/>
      <c r="D17" s="12"/>
      <c r="E17" s="419"/>
      <c r="F17" s="419"/>
    </row>
    <row r="18" spans="1:35" ht="13.5" thickBot="1">
      <c r="A18" s="23"/>
      <c r="B18" s="12"/>
      <c r="C18" s="12"/>
      <c r="D18" s="12"/>
      <c r="E18" s="420"/>
      <c r="F18" s="419"/>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row>
    <row r="19" spans="1:35" ht="13.5" thickBot="1">
      <c r="A19" s="4" t="s">
        <v>777</v>
      </c>
      <c r="B19" s="26">
        <f>SUM(B8:B16)</f>
        <v>3</v>
      </c>
      <c r="C19" s="30"/>
      <c r="D19" s="211"/>
      <c r="E19" s="421"/>
      <c r="F19" s="422">
        <f>SUM(F9:F16)</f>
        <v>145405.93539999999</v>
      </c>
    </row>
    <row r="20" spans="1:35">
      <c r="B20" s="15"/>
      <c r="E20" s="15"/>
    </row>
    <row r="21" spans="1:35">
      <c r="A21" s="4" t="s">
        <v>1181</v>
      </c>
      <c r="B21" s="15"/>
      <c r="E21" s="15"/>
    </row>
    <row r="22" spans="1:35">
      <c r="B22" s="15"/>
      <c r="E22" s="15"/>
    </row>
    <row r="23" spans="1:35">
      <c r="A23" s="4" t="s">
        <v>1182</v>
      </c>
      <c r="B23" s="15"/>
      <c r="E23" s="15"/>
    </row>
    <row r="24" spans="1:35">
      <c r="B24" s="15"/>
      <c r="E24" s="15"/>
    </row>
    <row r="25" spans="1:35">
      <c r="A25" s="4" t="s">
        <v>1183</v>
      </c>
      <c r="B25" s="15" t="s">
        <v>1184</v>
      </c>
      <c r="C25" s="4" t="s">
        <v>681</v>
      </c>
      <c r="E25" s="15"/>
    </row>
    <row r="26" spans="1:35">
      <c r="B26" s="15" t="s">
        <v>12</v>
      </c>
      <c r="C26" s="4" t="s">
        <v>1105</v>
      </c>
      <c r="E26" s="15"/>
    </row>
    <row r="27" spans="1:35">
      <c r="A27" s="4" t="s">
        <v>1026</v>
      </c>
      <c r="B27" s="15" t="s">
        <v>1185</v>
      </c>
      <c r="C27" s="18">
        <v>2080</v>
      </c>
      <c r="E27" s="15"/>
    </row>
    <row r="28" spans="1:35">
      <c r="B28" s="15"/>
      <c r="E28" s="15"/>
    </row>
    <row r="29" spans="1:35">
      <c r="A29" s="4" t="str">
        <f t="shared" ref="A29:A35" si="2">A9</f>
        <v>PLANT MANAGER</v>
      </c>
      <c r="B29" s="423">
        <f>I46*C$27</f>
        <v>117709.75919999997</v>
      </c>
      <c r="E29" s="15"/>
    </row>
    <row r="30" spans="1:35" hidden="1">
      <c r="A30" s="4" t="str">
        <f t="shared" si="2"/>
        <v>MAINTENANCE MANAGER</v>
      </c>
      <c r="B30" s="423">
        <f>I47*C$27</f>
        <v>117709.75919999997</v>
      </c>
      <c r="E30" s="15"/>
    </row>
    <row r="31" spans="1:35" hidden="1">
      <c r="A31" s="4" t="str">
        <f t="shared" si="2"/>
        <v xml:space="preserve">PURCHASING / WAREHOUSE </v>
      </c>
      <c r="B31" s="423">
        <f>I48*C$27</f>
        <v>78380.623199999987</v>
      </c>
    </row>
    <row r="32" spans="1:35" hidden="1">
      <c r="A32" s="4" t="str">
        <f t="shared" si="2"/>
        <v>CLERK</v>
      </c>
      <c r="B32" s="423">
        <f>I49*C$27</f>
        <v>41130.31296000001</v>
      </c>
    </row>
    <row r="33" spans="1:12" hidden="1">
      <c r="A33" s="4" t="str">
        <f t="shared" si="2"/>
        <v>PLANT SUPERVISOR</v>
      </c>
      <c r="B33" s="423">
        <f>I51*C$27</f>
        <v>83437.226399999985</v>
      </c>
    </row>
    <row r="34" spans="1:12">
      <c r="A34" s="4" t="str">
        <f t="shared" si="2"/>
        <v>TECHNICIAN III</v>
      </c>
      <c r="B34" s="423">
        <f>I52*C$27</f>
        <v>68548.339200000002</v>
      </c>
    </row>
    <row r="35" spans="1:12" hidden="1">
      <c r="A35" s="4" t="str">
        <f t="shared" si="2"/>
        <v>TECHNICIAN II</v>
      </c>
      <c r="B35" s="423">
        <f>I53*C$27</f>
        <v>52086.286560000008</v>
      </c>
    </row>
    <row r="36" spans="1:12" ht="15.75">
      <c r="A36" s="381"/>
      <c r="B36" s="185"/>
      <c r="C36" s="185"/>
      <c r="D36" s="185"/>
      <c r="E36" s="3"/>
      <c r="F36" s="185"/>
      <c r="G36" s="185"/>
      <c r="H36" s="3"/>
      <c r="I36"/>
      <c r="J36"/>
      <c r="K36"/>
      <c r="L36"/>
    </row>
    <row r="37" spans="1:12" ht="15.75">
      <c r="A37" s="381" t="s">
        <v>1141</v>
      </c>
      <c r="B37" s="185"/>
      <c r="C37" s="185"/>
      <c r="D37" s="185"/>
      <c r="E37" s="3"/>
      <c r="F37" s="185"/>
      <c r="G37" s="185"/>
      <c r="H37" s="3"/>
      <c r="I37"/>
      <c r="J37"/>
      <c r="K37"/>
      <c r="L37"/>
    </row>
    <row r="38" spans="1:12" ht="15.75">
      <c r="A38" s="381" t="s">
        <v>1142</v>
      </c>
      <c r="B38" s="185"/>
      <c r="C38" s="185"/>
      <c r="D38" s="185"/>
      <c r="E38" s="3"/>
      <c r="F38" s="185"/>
      <c r="G38" s="185"/>
      <c r="H38" s="185"/>
      <c r="I38"/>
      <c r="J38"/>
      <c r="K38"/>
      <c r="L38"/>
    </row>
    <row r="39" spans="1:12">
      <c r="A39" s="382"/>
      <c r="B39" s="382"/>
      <c r="C39" s="382"/>
      <c r="D39" s="382"/>
      <c r="E39" s="383"/>
      <c r="F39" s="382"/>
      <c r="G39" s="186"/>
      <c r="H39" s="186"/>
      <c r="I39"/>
      <c r="J39"/>
      <c r="K39"/>
      <c r="L39"/>
    </row>
    <row r="40" spans="1:12">
      <c r="A40" s="384"/>
      <c r="B40" s="385"/>
      <c r="C40" s="386"/>
      <c r="D40" s="386"/>
      <c r="E40" s="386"/>
      <c r="F40" s="386"/>
      <c r="G40" s="387"/>
      <c r="H40" s="354"/>
      <c r="I40" s="387"/>
      <c r="J40" s="354"/>
      <c r="K40"/>
      <c r="L40"/>
    </row>
    <row r="41" spans="1:12">
      <c r="A41" s="389"/>
      <c r="B41" s="390" t="s">
        <v>1144</v>
      </c>
      <c r="C41" s="391" t="s">
        <v>1145</v>
      </c>
      <c r="D41" s="391" t="s">
        <v>1146</v>
      </c>
      <c r="E41" s="391"/>
      <c r="F41" s="390" t="s">
        <v>1147</v>
      </c>
      <c r="G41" s="392" t="s">
        <v>1148</v>
      </c>
      <c r="H41" s="223"/>
      <c r="I41" s="395"/>
      <c r="J41" s="435" t="s">
        <v>1144</v>
      </c>
      <c r="K41"/>
      <c r="L41"/>
    </row>
    <row r="42" spans="1:12">
      <c r="A42" s="389" t="s">
        <v>1150</v>
      </c>
      <c r="B42" s="390" t="s">
        <v>1151</v>
      </c>
      <c r="C42" s="394" t="s">
        <v>1403</v>
      </c>
      <c r="D42" s="394" t="s">
        <v>1152</v>
      </c>
      <c r="E42" s="394" t="s">
        <v>1153</v>
      </c>
      <c r="F42" s="390" t="s">
        <v>1154</v>
      </c>
      <c r="G42" s="395" t="s">
        <v>1155</v>
      </c>
      <c r="H42" s="396" t="s">
        <v>1156</v>
      </c>
      <c r="I42" s="395" t="s">
        <v>1102</v>
      </c>
      <c r="J42" s="435" t="s">
        <v>681</v>
      </c>
      <c r="K42"/>
      <c r="L42"/>
    </row>
    <row r="43" spans="1:12">
      <c r="A43" s="389" t="s">
        <v>1159</v>
      </c>
      <c r="B43" s="390" t="s">
        <v>1160</v>
      </c>
      <c r="C43" s="390" t="s">
        <v>1161</v>
      </c>
      <c r="D43" s="390" t="s">
        <v>1154</v>
      </c>
      <c r="E43" s="390" t="s">
        <v>1162</v>
      </c>
      <c r="F43" s="390" t="s">
        <v>1163</v>
      </c>
      <c r="G43" s="392" t="s">
        <v>1154</v>
      </c>
      <c r="H43" s="223"/>
      <c r="I43" s="395" t="s">
        <v>763</v>
      </c>
      <c r="J43" s="435" t="s">
        <v>768</v>
      </c>
      <c r="K43"/>
      <c r="L43"/>
    </row>
    <row r="44" spans="1:12">
      <c r="A44" s="389"/>
      <c r="B44" s="390"/>
      <c r="C44" s="424">
        <v>0.1434</v>
      </c>
      <c r="D44" s="424">
        <v>7.7799999999999994E-2</v>
      </c>
      <c r="E44" s="425">
        <v>0.12</v>
      </c>
      <c r="F44" s="426">
        <v>440.66</v>
      </c>
      <c r="G44" s="427">
        <v>0.01</v>
      </c>
      <c r="H44" s="428">
        <v>0.05</v>
      </c>
      <c r="I44" s="401"/>
      <c r="J44" s="436"/>
      <c r="K44"/>
      <c r="L44"/>
    </row>
    <row r="45" spans="1:12" ht="15.75">
      <c r="A45" s="402" t="s">
        <v>1513</v>
      </c>
      <c r="B45" s="403"/>
      <c r="C45" s="403"/>
      <c r="D45" s="404"/>
      <c r="E45" s="404"/>
      <c r="F45" s="403"/>
      <c r="G45" s="404"/>
      <c r="H45" s="204"/>
      <c r="I45" s="404"/>
      <c r="J45" s="204"/>
      <c r="K45"/>
      <c r="L45"/>
    </row>
    <row r="46" spans="1:12">
      <c r="A46" s="347" t="str">
        <f>A9</f>
        <v>PLANT MANAGER</v>
      </c>
      <c r="B46" s="429">
        <f>80000/2080</f>
        <v>38.46153846153846</v>
      </c>
      <c r="C46" s="414">
        <f t="shared" ref="C46:E49" si="3">$B46*C$44</f>
        <v>5.5153846153846153</v>
      </c>
      <c r="D46" s="414">
        <f t="shared" si="3"/>
        <v>2.9923076923076919</v>
      </c>
      <c r="E46" s="414">
        <f t="shared" si="3"/>
        <v>4.615384615384615</v>
      </c>
      <c r="F46" s="414">
        <f>$F$44*12/2080</f>
        <v>2.5422692307692309</v>
      </c>
      <c r="G46" s="414">
        <f>SUM(B46:F46)*G$44</f>
        <v>0.54126884615384607</v>
      </c>
      <c r="H46" s="414">
        <f>$B46*H$44</f>
        <v>1.9230769230769231</v>
      </c>
      <c r="I46" s="414">
        <f>SUM(B46:H46)</f>
        <v>56.591230384615372</v>
      </c>
      <c r="J46" s="430">
        <f>B46*2080</f>
        <v>80000</v>
      </c>
      <c r="K46"/>
      <c r="L46"/>
    </row>
    <row r="47" spans="1:12" hidden="1">
      <c r="A47" s="347" t="str">
        <f>A10</f>
        <v>MAINTENANCE MANAGER</v>
      </c>
      <c r="B47" s="431">
        <f>80000/2080</f>
        <v>38.46153846153846</v>
      </c>
      <c r="C47" s="414">
        <f t="shared" si="3"/>
        <v>5.5153846153846153</v>
      </c>
      <c r="D47" s="414">
        <f t="shared" si="3"/>
        <v>2.9923076923076919</v>
      </c>
      <c r="E47" s="414">
        <f t="shared" si="3"/>
        <v>4.615384615384615</v>
      </c>
      <c r="F47" s="414">
        <f>$F$44*12/2080</f>
        <v>2.5422692307692309</v>
      </c>
      <c r="G47" s="414">
        <f>SUM(B47:F47)*G$44</f>
        <v>0.54126884615384607</v>
      </c>
      <c r="H47" s="414">
        <f>$B47*H$44</f>
        <v>1.9230769230769231</v>
      </c>
      <c r="I47" s="414">
        <f>SUM(B47:H47)</f>
        <v>56.591230384615372</v>
      </c>
      <c r="J47" s="430">
        <f>B47*2080</f>
        <v>80000</v>
      </c>
      <c r="K47"/>
      <c r="L47"/>
    </row>
    <row r="48" spans="1:12" hidden="1">
      <c r="A48" s="347" t="str">
        <f>A11</f>
        <v xml:space="preserve">PURCHASING / WAREHOUSE </v>
      </c>
      <c r="B48" s="429">
        <v>25</v>
      </c>
      <c r="C48" s="414">
        <f t="shared" si="3"/>
        <v>3.585</v>
      </c>
      <c r="D48" s="414">
        <f t="shared" si="3"/>
        <v>1.9449999999999998</v>
      </c>
      <c r="E48" s="414">
        <f t="shared" si="3"/>
        <v>3</v>
      </c>
      <c r="F48" s="414">
        <f>$F$44*12/2080</f>
        <v>2.5422692307692309</v>
      </c>
      <c r="G48" s="414">
        <f>SUM(B48:F48)*G$44</f>
        <v>0.36072269230769233</v>
      </c>
      <c r="H48" s="414">
        <f>$B48*H$44</f>
        <v>1.25</v>
      </c>
      <c r="I48" s="414">
        <f>SUM(B48:H48)</f>
        <v>37.682991923076919</v>
      </c>
      <c r="J48" s="430">
        <f>B48*2080</f>
        <v>52000</v>
      </c>
      <c r="K48"/>
      <c r="L48"/>
    </row>
    <row r="49" spans="1:12" hidden="1">
      <c r="A49" s="347" t="str">
        <f>A12</f>
        <v>CLERK</v>
      </c>
      <c r="B49" s="429">
        <v>12.25</v>
      </c>
      <c r="C49" s="414">
        <f t="shared" si="3"/>
        <v>1.75665</v>
      </c>
      <c r="D49" s="414">
        <f t="shared" si="3"/>
        <v>0.95304999999999995</v>
      </c>
      <c r="E49" s="414">
        <f t="shared" si="3"/>
        <v>1.47</v>
      </c>
      <c r="F49" s="414">
        <f>$F$44*12/2080</f>
        <v>2.5422692307692309</v>
      </c>
      <c r="G49" s="414">
        <f>SUM(B49:F49)*G$44</f>
        <v>0.18971969230769234</v>
      </c>
      <c r="H49" s="414">
        <f>$B49*H$44</f>
        <v>0.61250000000000004</v>
      </c>
      <c r="I49" s="414">
        <f>SUM(B49:H49)</f>
        <v>19.774188923076927</v>
      </c>
      <c r="J49" s="430">
        <f>B49*2080</f>
        <v>25480</v>
      </c>
      <c r="K49"/>
      <c r="L49"/>
    </row>
    <row r="50" spans="1:12" ht="15.75">
      <c r="A50" s="402" t="s">
        <v>1186</v>
      </c>
      <c r="B50" s="432"/>
      <c r="C50" s="178"/>
      <c r="D50" s="178"/>
      <c r="E50" s="178"/>
      <c r="F50" s="178"/>
      <c r="G50" s="178"/>
      <c r="H50" s="178"/>
      <c r="I50" s="178"/>
      <c r="J50" s="178"/>
      <c r="K50"/>
      <c r="L50"/>
    </row>
    <row r="51" spans="1:12" hidden="1">
      <c r="A51" s="347" t="str">
        <f>A13</f>
        <v>PLANT SUPERVISOR</v>
      </c>
      <c r="B51" s="429">
        <f>55600/2080</f>
        <v>26.73076923076923</v>
      </c>
      <c r="C51" s="414">
        <f t="shared" ref="C51:E53" si="4">$B51*C$44</f>
        <v>3.8331923076923076</v>
      </c>
      <c r="D51" s="414">
        <f t="shared" si="4"/>
        <v>2.0796538461538461</v>
      </c>
      <c r="E51" s="414">
        <f t="shared" si="4"/>
        <v>3.2076923076923074</v>
      </c>
      <c r="F51" s="414">
        <f>$F$44*12/2080</f>
        <v>2.5422692307692309</v>
      </c>
      <c r="G51" s="414">
        <f>SUM(B51:F51)*G$44</f>
        <v>0.38393576923076922</v>
      </c>
      <c r="H51" s="414">
        <f>$B51*H$44</f>
        <v>1.3365384615384617</v>
      </c>
      <c r="I51" s="414">
        <f>SUM(B51:H51)</f>
        <v>40.114051153846148</v>
      </c>
      <c r="J51" s="430">
        <f>B51*2080</f>
        <v>55600</v>
      </c>
      <c r="K51"/>
      <c r="L51"/>
    </row>
    <row r="52" spans="1:12">
      <c r="A52" s="347" t="str">
        <f>A14</f>
        <v>TECHNICIAN III</v>
      </c>
      <c r="B52" s="429">
        <f>45000/2080</f>
        <v>21.634615384615383</v>
      </c>
      <c r="C52" s="414">
        <f t="shared" si="4"/>
        <v>3.1024038461538459</v>
      </c>
      <c r="D52" s="414">
        <f t="shared" si="4"/>
        <v>1.6831730769230766</v>
      </c>
      <c r="E52" s="414">
        <f t="shared" si="4"/>
        <v>2.5961538461538458</v>
      </c>
      <c r="F52" s="414">
        <f>$F$44*12/2080</f>
        <v>2.5422692307692309</v>
      </c>
      <c r="G52" s="414">
        <f>SUM(B52:F52)*G$44</f>
        <v>0.31558615384615385</v>
      </c>
      <c r="H52" s="414">
        <f>$B52*H$44</f>
        <v>1.0817307692307692</v>
      </c>
      <c r="I52" s="414">
        <f>SUM(B52:H52)</f>
        <v>32.955932307692308</v>
      </c>
      <c r="J52" s="430">
        <f>B52*2080</f>
        <v>45000</v>
      </c>
      <c r="K52"/>
      <c r="L52"/>
    </row>
    <row r="53" spans="1:12" hidden="1">
      <c r="A53" s="347" t="str">
        <f>A15</f>
        <v>TECHNICIAN II</v>
      </c>
      <c r="B53" s="429">
        <v>16</v>
      </c>
      <c r="C53" s="414">
        <f t="shared" si="4"/>
        <v>2.2944</v>
      </c>
      <c r="D53" s="414">
        <f t="shared" si="4"/>
        <v>1.2447999999999999</v>
      </c>
      <c r="E53" s="414">
        <f t="shared" si="4"/>
        <v>1.92</v>
      </c>
      <c r="F53" s="414">
        <f>$F$44*12/2080</f>
        <v>2.5422692307692309</v>
      </c>
      <c r="G53" s="414">
        <f>SUM(B53:F53)*G$44</f>
        <v>0.24001469230769235</v>
      </c>
      <c r="H53" s="414">
        <f>$B53*H$44</f>
        <v>0.8</v>
      </c>
      <c r="I53" s="414">
        <f>SUM(B53:H53)</f>
        <v>25.041483923076928</v>
      </c>
      <c r="J53" s="430">
        <f>B53*2080</f>
        <v>33280</v>
      </c>
      <c r="K53"/>
      <c r="L53"/>
    </row>
    <row r="54" spans="1:12">
      <c r="A54"/>
      <c r="B54"/>
      <c r="C54"/>
      <c r="D54"/>
      <c r="E54"/>
      <c r="F54"/>
      <c r="G54"/>
      <c r="H54"/>
      <c r="I54"/>
      <c r="J54"/>
      <c r="K54"/>
      <c r="L54"/>
    </row>
    <row r="55" spans="1:12" ht="15.75">
      <c r="A55" s="381" t="s">
        <v>1170</v>
      </c>
      <c r="B55" s="185"/>
      <c r="C55" s="185"/>
      <c r="D55" s="185"/>
      <c r="E55" s="3"/>
      <c r="F55" s="185"/>
      <c r="G55"/>
      <c r="H55" s="185"/>
      <c r="I55" s="3"/>
      <c r="J55"/>
      <c r="K55"/>
      <c r="L55"/>
    </row>
    <row r="56" spans="1:12" ht="15.75">
      <c r="A56" s="381" t="s">
        <v>1142</v>
      </c>
      <c r="B56" s="185"/>
      <c r="C56" s="185"/>
      <c r="D56" s="185"/>
      <c r="E56" s="3"/>
      <c r="F56" s="185"/>
      <c r="G56"/>
      <c r="H56" s="185"/>
      <c r="I56" s="185"/>
      <c r="J56"/>
      <c r="K56"/>
      <c r="L56"/>
    </row>
    <row r="57" spans="1:12">
      <c r="A57" s="382"/>
      <c r="B57" s="382"/>
      <c r="C57" s="382"/>
      <c r="D57" s="382"/>
      <c r="E57" s="383"/>
      <c r="F57" s="382"/>
      <c r="G57"/>
      <c r="H57" s="186"/>
      <c r="I57" s="186"/>
      <c r="J57"/>
      <c r="K57"/>
      <c r="L57"/>
    </row>
    <row r="58" spans="1:12">
      <c r="A58" s="384"/>
      <c r="B58" s="385"/>
      <c r="C58" s="386"/>
      <c r="D58" s="386"/>
      <c r="E58" s="386"/>
      <c r="F58" s="386"/>
      <c r="G58" s="387"/>
      <c r="H58" s="354"/>
      <c r="I58" s="388"/>
      <c r="J58"/>
      <c r="K58"/>
      <c r="L58"/>
    </row>
    <row r="59" spans="1:12">
      <c r="A59" s="389"/>
      <c r="B59" s="390" t="s">
        <v>1144</v>
      </c>
      <c r="C59" s="391" t="s">
        <v>1145</v>
      </c>
      <c r="D59" s="391" t="s">
        <v>1146</v>
      </c>
      <c r="E59" s="391"/>
      <c r="F59" s="390" t="s">
        <v>1147</v>
      </c>
      <c r="G59" s="392" t="s">
        <v>1148</v>
      </c>
      <c r="H59" s="223"/>
      <c r="I59" s="393"/>
      <c r="J59"/>
      <c r="K59"/>
      <c r="L59"/>
    </row>
    <row r="60" spans="1:12">
      <c r="A60" s="389" t="s">
        <v>1150</v>
      </c>
      <c r="B60" s="390" t="s">
        <v>1151</v>
      </c>
      <c r="C60" s="394" t="s">
        <v>1403</v>
      </c>
      <c r="D60" s="394" t="s">
        <v>1152</v>
      </c>
      <c r="E60" s="394" t="s">
        <v>1153</v>
      </c>
      <c r="F60" s="390" t="s">
        <v>1154</v>
      </c>
      <c r="G60" s="395" t="s">
        <v>1155</v>
      </c>
      <c r="H60" s="396" t="s">
        <v>1156</v>
      </c>
      <c r="I60" s="393" t="s">
        <v>1102</v>
      </c>
      <c r="J60"/>
      <c r="K60"/>
      <c r="L60"/>
    </row>
    <row r="61" spans="1:12">
      <c r="A61" s="389" t="s">
        <v>1159</v>
      </c>
      <c r="B61" s="390" t="s">
        <v>1160</v>
      </c>
      <c r="C61" s="390" t="s">
        <v>1161</v>
      </c>
      <c r="D61" s="390" t="s">
        <v>1154</v>
      </c>
      <c r="E61" s="390" t="s">
        <v>1162</v>
      </c>
      <c r="F61" s="390" t="s">
        <v>1163</v>
      </c>
      <c r="G61" s="392" t="s">
        <v>1154</v>
      </c>
      <c r="H61" s="223"/>
      <c r="I61" s="393" t="s">
        <v>763</v>
      </c>
      <c r="J61"/>
      <c r="K61"/>
      <c r="L61"/>
    </row>
    <row r="62" spans="1:12">
      <c r="A62" s="389"/>
      <c r="B62" s="390"/>
      <c r="C62" s="397">
        <f>C$44</f>
        <v>0.1434</v>
      </c>
      <c r="D62" s="397">
        <f>D$44</f>
        <v>7.7799999999999994E-2</v>
      </c>
      <c r="E62" s="433">
        <f>E$44</f>
        <v>0.12</v>
      </c>
      <c r="F62" s="434">
        <v>0</v>
      </c>
      <c r="G62" s="397">
        <f>G$44</f>
        <v>0.01</v>
      </c>
      <c r="H62" s="428">
        <v>0</v>
      </c>
      <c r="I62" s="401"/>
      <c r="J62"/>
      <c r="K62"/>
      <c r="L62"/>
    </row>
    <row r="63" spans="1:12" ht="15.75">
      <c r="A63" s="402" t="s">
        <v>1513</v>
      </c>
      <c r="B63" s="403"/>
      <c r="C63" s="403"/>
      <c r="D63" s="404"/>
      <c r="E63" s="404"/>
      <c r="F63" s="403"/>
      <c r="G63" s="404"/>
      <c r="H63" s="204"/>
      <c r="I63" s="404"/>
      <c r="J63"/>
      <c r="K63"/>
      <c r="L63"/>
    </row>
    <row r="64" spans="1:12">
      <c r="A64" s="347" t="str">
        <f>A46</f>
        <v>PLANT MANAGER</v>
      </c>
      <c r="B64" s="413">
        <f>B46*1.5</f>
        <v>57.692307692307693</v>
      </c>
      <c r="C64" s="414">
        <f t="shared" ref="C64:E67" si="5">$B64*C$62</f>
        <v>8.273076923076923</v>
      </c>
      <c r="D64" s="414">
        <f t="shared" si="5"/>
        <v>4.4884615384615385</v>
      </c>
      <c r="E64" s="414">
        <f t="shared" si="5"/>
        <v>6.9230769230769234</v>
      </c>
      <c r="F64" s="414">
        <f>$F$62*12/2080</f>
        <v>0</v>
      </c>
      <c r="G64" s="414">
        <f>SUM(B64:F64)*G$62</f>
        <v>0.77376923076923076</v>
      </c>
      <c r="H64" s="414">
        <f>$B64*H$62</f>
        <v>0</v>
      </c>
      <c r="I64" s="414">
        <f>SUM(B64:H64)</f>
        <v>78.15069230769231</v>
      </c>
      <c r="J64"/>
      <c r="K64"/>
      <c r="L64"/>
    </row>
    <row r="65" spans="1:12" hidden="1">
      <c r="A65" s="347" t="str">
        <f>A47</f>
        <v>MAINTENANCE MANAGER</v>
      </c>
      <c r="B65" s="413">
        <f>B47*1.5</f>
        <v>57.692307692307693</v>
      </c>
      <c r="C65" s="414">
        <f t="shared" si="5"/>
        <v>8.273076923076923</v>
      </c>
      <c r="D65" s="414">
        <f t="shared" si="5"/>
        <v>4.4884615384615385</v>
      </c>
      <c r="E65" s="414">
        <f t="shared" si="5"/>
        <v>6.9230769230769234</v>
      </c>
      <c r="F65" s="414">
        <f>$F$62*12/2080</f>
        <v>0</v>
      </c>
      <c r="G65" s="414">
        <f>SUM(B65:F65)*G$62</f>
        <v>0.77376923076923076</v>
      </c>
      <c r="H65" s="414">
        <f>$B65*H$62</f>
        <v>0</v>
      </c>
      <c r="I65" s="414">
        <f>SUM(B65:H65)</f>
        <v>78.15069230769231</v>
      </c>
      <c r="J65"/>
      <c r="K65"/>
      <c r="L65"/>
    </row>
    <row r="66" spans="1:12" hidden="1">
      <c r="A66" s="347" t="str">
        <f>A48</f>
        <v xml:space="preserve">PURCHASING / WAREHOUSE </v>
      </c>
      <c r="B66" s="413">
        <f>B48*1.5</f>
        <v>37.5</v>
      </c>
      <c r="C66" s="414">
        <f t="shared" si="5"/>
        <v>5.3775000000000004</v>
      </c>
      <c r="D66" s="414">
        <f t="shared" si="5"/>
        <v>2.9175</v>
      </c>
      <c r="E66" s="414">
        <f t="shared" si="5"/>
        <v>4.5</v>
      </c>
      <c r="F66" s="414">
        <f>$F$62*12/2080</f>
        <v>0</v>
      </c>
      <c r="G66" s="414">
        <f>SUM(B66:F66)*G$62</f>
        <v>0.50295000000000001</v>
      </c>
      <c r="H66" s="414">
        <f>$B66*H$62</f>
        <v>0</v>
      </c>
      <c r="I66" s="414">
        <f>SUM(B66:H66)</f>
        <v>50.797949999999993</v>
      </c>
      <c r="J66"/>
      <c r="K66"/>
      <c r="L66"/>
    </row>
    <row r="67" spans="1:12" hidden="1">
      <c r="A67" s="347" t="str">
        <f>A49</f>
        <v>CLERK</v>
      </c>
      <c r="B67" s="413">
        <f>B49*1.5</f>
        <v>18.375</v>
      </c>
      <c r="C67" s="414">
        <f t="shared" si="5"/>
        <v>2.6349749999999998</v>
      </c>
      <c r="D67" s="414">
        <f t="shared" si="5"/>
        <v>1.4295749999999998</v>
      </c>
      <c r="E67" s="414">
        <f t="shared" si="5"/>
        <v>2.2050000000000001</v>
      </c>
      <c r="F67" s="414">
        <f>$F$62*12/2080</f>
        <v>0</v>
      </c>
      <c r="G67" s="414">
        <f>SUM(B67:F67)*G$62</f>
        <v>0.24644550000000004</v>
      </c>
      <c r="H67" s="414">
        <f>$B67*H$62</f>
        <v>0</v>
      </c>
      <c r="I67" s="414">
        <f>SUM(B67:H67)</f>
        <v>24.890995500000002</v>
      </c>
      <c r="J67"/>
      <c r="K67"/>
      <c r="L67"/>
    </row>
    <row r="68" spans="1:12" ht="15.75">
      <c r="A68" s="402" t="s">
        <v>1186</v>
      </c>
      <c r="B68" s="413"/>
      <c r="C68" s="414"/>
      <c r="D68" s="414"/>
      <c r="E68" s="414"/>
      <c r="F68" s="414"/>
      <c r="G68" s="414"/>
      <c r="H68" s="414"/>
      <c r="I68" s="414"/>
      <c r="J68"/>
      <c r="K68"/>
      <c r="L68"/>
    </row>
    <row r="69" spans="1:12" hidden="1">
      <c r="A69" s="347" t="str">
        <f>A51</f>
        <v>PLANT SUPERVISOR</v>
      </c>
      <c r="B69" s="413">
        <f>B51*1.5</f>
        <v>40.096153846153847</v>
      </c>
      <c r="C69" s="414">
        <f t="shared" ref="C69:E71" si="6">$B69*C$62</f>
        <v>5.7497884615384613</v>
      </c>
      <c r="D69" s="414">
        <f t="shared" si="6"/>
        <v>3.1194807692307691</v>
      </c>
      <c r="E69" s="414">
        <f t="shared" si="6"/>
        <v>4.8115384615384613</v>
      </c>
      <c r="F69" s="414">
        <f>$F$62*12/2080</f>
        <v>0</v>
      </c>
      <c r="G69" s="414">
        <f>SUM(B69:F69)*G$62</f>
        <v>0.53776961538461543</v>
      </c>
      <c r="H69" s="414">
        <f>$B69*H$62</f>
        <v>0</v>
      </c>
      <c r="I69" s="414">
        <f>SUM(B69:H69)</f>
        <v>54.314731153846161</v>
      </c>
      <c r="J69"/>
      <c r="K69"/>
      <c r="L69"/>
    </row>
    <row r="70" spans="1:12">
      <c r="A70" s="347" t="str">
        <f>A52</f>
        <v>TECHNICIAN III</v>
      </c>
      <c r="B70" s="413">
        <f>B52*1.5</f>
        <v>32.451923076923073</v>
      </c>
      <c r="C70" s="414">
        <f t="shared" si="6"/>
        <v>4.6536057692307686</v>
      </c>
      <c r="D70" s="414">
        <f t="shared" si="6"/>
        <v>2.5247596153846148</v>
      </c>
      <c r="E70" s="414">
        <f t="shared" si="6"/>
        <v>3.8942307692307687</v>
      </c>
      <c r="F70" s="414">
        <f>$F$62*12/2080</f>
        <v>0</v>
      </c>
      <c r="G70" s="414">
        <f>SUM(B70:F70)*G$62</f>
        <v>0.43524519230769232</v>
      </c>
      <c r="H70" s="414">
        <f>$B70*H$62</f>
        <v>0</v>
      </c>
      <c r="I70" s="414">
        <f>SUM(B70:H70)</f>
        <v>43.959764423076919</v>
      </c>
      <c r="J70"/>
      <c r="K70"/>
      <c r="L70"/>
    </row>
    <row r="71" spans="1:12" hidden="1">
      <c r="A71" s="347" t="str">
        <f>A53</f>
        <v>TECHNICIAN II</v>
      </c>
      <c r="B71" s="413">
        <f>B53*1.5</f>
        <v>24</v>
      </c>
      <c r="C71" s="414">
        <f t="shared" si="6"/>
        <v>3.4416000000000002</v>
      </c>
      <c r="D71" s="414">
        <f t="shared" si="6"/>
        <v>1.8672</v>
      </c>
      <c r="E71" s="414">
        <f t="shared" si="6"/>
        <v>2.88</v>
      </c>
      <c r="F71" s="414">
        <f>$F$62*12/2080</f>
        <v>0</v>
      </c>
      <c r="G71" s="414">
        <f>SUM(B71:F71)*G$62</f>
        <v>0.32188800000000001</v>
      </c>
      <c r="H71" s="414">
        <f>$B71*H$62</f>
        <v>0</v>
      </c>
      <c r="I71" s="414">
        <f>SUM(B71:H71)</f>
        <v>32.510688000000002</v>
      </c>
      <c r="J71"/>
      <c r="K71"/>
      <c r="L71"/>
    </row>
  </sheetData>
  <printOptions horizontalCentered="1"/>
  <pageMargins left="0.75" right="0.75" top="1" bottom="1" header="0.5" footer="0.5"/>
  <pageSetup scale="69" firstPageNumber="9" orientation="portrait" horizontalDpi="4294967292" verticalDpi="4294967292" r:id="rId1"/>
  <headerFooter alignWithMargins="0">
    <oddFooter>&amp;LRichard Bickings
&amp;D&amp;CPage &amp;P&amp;R&amp;F
&amp;A</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23</vt:i4>
      </vt:variant>
    </vt:vector>
  </HeadingPairs>
  <TitlesOfParts>
    <vt:vector size="47" baseType="lpstr">
      <vt:lpstr>Table of Contents</vt:lpstr>
      <vt:lpstr>Scope</vt:lpstr>
      <vt:lpstr>Revisions</vt:lpstr>
      <vt:lpstr>Assumptions</vt:lpstr>
      <vt:lpstr>Map</vt:lpstr>
      <vt:lpstr>Summary</vt:lpstr>
      <vt:lpstr>Mob_Estimate</vt:lpstr>
      <vt:lpstr>Mob_Schedule</vt:lpstr>
      <vt:lpstr>MobStaff</vt:lpstr>
      <vt:lpstr>Training</vt:lpstr>
      <vt:lpstr>Training2</vt:lpstr>
      <vt:lpstr>Pay &amp; Benefits Calcs</vt:lpstr>
      <vt:lpstr> LM6000 MMR</vt:lpstr>
      <vt:lpstr>Assumed ScopeSplit</vt:lpstr>
      <vt:lpstr>Owner's Engineer</vt:lpstr>
      <vt:lpstr>Mob_Backup</vt:lpstr>
      <vt:lpstr>O&amp;M_Estimate</vt:lpstr>
      <vt:lpstr>Ops_Staff</vt:lpstr>
      <vt:lpstr>Contract_Staff</vt:lpstr>
      <vt:lpstr>SALARY-BENEFITS LOOKUP TABLE</vt:lpstr>
      <vt:lpstr>Local_Benefits</vt:lpstr>
      <vt:lpstr>O&amp;M_Backup</vt:lpstr>
      <vt:lpstr>Cap Spares</vt:lpstr>
      <vt:lpstr>GE7EA</vt:lpstr>
      <vt:lpstr>'O&amp;M_Backup'!CompleteFilterPrint</vt:lpstr>
      <vt:lpstr>'Assumed ScopeSplit'!Print_Area</vt:lpstr>
      <vt:lpstr>Assumptions!Print_Area</vt:lpstr>
      <vt:lpstr>GE7EA!Print_Area</vt:lpstr>
      <vt:lpstr>Mob_Backup!Print_Area</vt:lpstr>
      <vt:lpstr>Mob_Estimate!Print_Area</vt:lpstr>
      <vt:lpstr>Mob_Schedule!Print_Area</vt:lpstr>
      <vt:lpstr>MobStaff!Print_Area</vt:lpstr>
      <vt:lpstr>'O&amp;M_Backup'!Print_Area</vt:lpstr>
      <vt:lpstr>'O&amp;M_Estimate'!Print_Area</vt:lpstr>
      <vt:lpstr>Ops_Staff!Print_Area</vt:lpstr>
      <vt:lpstr>'Owner''s Engineer'!Print_Area</vt:lpstr>
      <vt:lpstr>Scope!Print_Area</vt:lpstr>
      <vt:lpstr>Summary!Print_Area</vt:lpstr>
      <vt:lpstr>'Table of Contents'!Print_Area</vt:lpstr>
      <vt:lpstr>Training!Print_Area</vt:lpstr>
      <vt:lpstr>Training2!Print_Area</vt:lpstr>
      <vt:lpstr>Mob_Backup!Print_Titles</vt:lpstr>
      <vt:lpstr>MobStaff!Print_Titles</vt:lpstr>
      <vt:lpstr>'O&amp;M_Backup'!Print_Titles</vt:lpstr>
      <vt:lpstr>SALARY</vt:lpstr>
      <vt:lpstr>Map!TABLE</vt:lpstr>
      <vt:lpstr>Map!TABLE_2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Richard Bickings</dc:creator>
  <cp:lastModifiedBy>Jan Havlíček</cp:lastModifiedBy>
  <cp:lastPrinted>2000-02-16T21:01:53Z</cp:lastPrinted>
  <dcterms:created xsi:type="dcterms:W3CDTF">1997-11-25T22:11:07Z</dcterms:created>
  <dcterms:modified xsi:type="dcterms:W3CDTF">2023-09-13T22:09:17Z</dcterms:modified>
</cp:coreProperties>
</file>