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F3120B-2832-4713-84C9-4EB6EF1D0D4F}" xr6:coauthVersionLast="47" xr6:coauthVersionMax="47" xr10:uidLastSave="{00000000-0000-0000-0000-000000000000}"/>
  <bookViews>
    <workbookView xWindow="-120" yWindow="-120" windowWidth="38640" windowHeight="15720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R16" i="9"/>
  <c r="S16" i="9"/>
  <c r="T16" i="9"/>
  <c r="U16" i="9"/>
  <c r="V16" i="9"/>
  <c r="W16" i="9"/>
  <c r="Z16" i="9"/>
  <c r="AB16" i="9"/>
  <c r="AC16" i="9"/>
  <c r="R17" i="9"/>
  <c r="S17" i="9"/>
  <c r="T17" i="9"/>
  <c r="U17" i="9"/>
  <c r="V17" i="9"/>
  <c r="W17" i="9"/>
  <c r="Z17" i="9"/>
  <c r="AB17" i="9"/>
  <c r="AC17" i="9"/>
  <c r="R18" i="9"/>
  <c r="S18" i="9"/>
  <c r="T18" i="9"/>
  <c r="U18" i="9"/>
  <c r="V18" i="9"/>
  <c r="W18" i="9"/>
  <c r="Z18" i="9"/>
  <c r="AB18" i="9"/>
  <c r="AC18" i="9"/>
  <c r="R19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C21" i="9"/>
  <c r="R22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R32" i="9"/>
  <c r="W32" i="9"/>
  <c r="Z32" i="9"/>
  <c r="O33" i="9"/>
  <c r="P33" i="9"/>
  <c r="R33" i="9"/>
  <c r="V33" i="9"/>
  <c r="Z33" i="9"/>
  <c r="P34" i="9"/>
  <c r="R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Q10" i="7"/>
  <c r="U10" i="7"/>
  <c r="Y10" i="7"/>
  <c r="AA10" i="7"/>
  <c r="AB10" i="7"/>
  <c r="M11" i="7"/>
  <c r="Y11" i="7"/>
  <c r="AA11" i="7"/>
  <c r="AB11" i="7"/>
  <c r="Q12" i="7"/>
  <c r="R12" i="7"/>
  <c r="S12" i="7"/>
  <c r="T12" i="7"/>
  <c r="U12" i="7"/>
  <c r="V12" i="7"/>
  <c r="W12" i="7"/>
  <c r="Y12" i="7"/>
  <c r="AA12" i="7"/>
  <c r="AB12" i="7"/>
  <c r="Q13" i="7"/>
  <c r="R13" i="7"/>
  <c r="S13" i="7"/>
  <c r="T13" i="7"/>
  <c r="U13" i="7"/>
  <c r="V13" i="7"/>
  <c r="W13" i="7"/>
  <c r="Y13" i="7"/>
  <c r="AA13" i="7"/>
  <c r="AB13" i="7"/>
  <c r="Q14" i="7"/>
  <c r="R14" i="7"/>
  <c r="S14" i="7"/>
  <c r="T14" i="7"/>
  <c r="U14" i="7"/>
  <c r="V14" i="7"/>
  <c r="W14" i="7"/>
  <c r="Y14" i="7"/>
  <c r="AA14" i="7"/>
  <c r="AB14" i="7"/>
  <c r="Q15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Q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Q18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Q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Q29" i="5"/>
  <c r="R29" i="5"/>
  <c r="T29" i="5"/>
  <c r="Y29" i="5"/>
  <c r="AA29" i="5"/>
  <c r="AB29" i="5"/>
  <c r="Y30" i="5"/>
  <c r="Z30" i="5"/>
  <c r="AA30" i="5"/>
  <c r="AB30" i="5"/>
  <c r="Y31" i="5"/>
  <c r="AA31" i="5"/>
  <c r="AB31" i="5"/>
  <c r="Q32" i="5"/>
  <c r="R32" i="5"/>
  <c r="S32" i="5"/>
  <c r="U32" i="5"/>
  <c r="Y32" i="5"/>
  <c r="I33" i="5"/>
  <c r="J33" i="5"/>
  <c r="L33" i="5"/>
  <c r="Q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<sst xmlns="http://schemas.openxmlformats.org/spreadsheetml/2006/main" count="598" uniqueCount="129">
  <si>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</si>
  <si>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</si>
  <si>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</si>
  <si>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</si>
  <si>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</si>
  <si>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</si>
  <si>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</si>
  <si>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</si>
  <si>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</si>
  <si>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</si>
  <si>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</si>
  <si>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</si>
  <si>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</si>
  <si>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</si>
  <si>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</si>
  <si>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</si>
  <si>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</si>
  <si>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</si>
  <si>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</si>
  <si>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</si>
  <si>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</si>
  <si>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</si>
  <si>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</si>
  <si>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</si>
  <si>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</si>
  <si>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</si>
  <si>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</si>
  <si>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</si>
  <si>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</si>
  <si>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</si>
  <si>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</si>
  <si>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</si>
  <si>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</si>
  <si>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</si>
  <si>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</si>
  <si>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</si>
  <si>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</si>
  <si>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</si>
  <si>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</si>
  <si>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</si>
  <si>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</si>
  <si>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</si>
  <si>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</si>
  <si>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</si>
  <si>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</si>
  <si>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</si>
  <si>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</si>
  <si>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</si>
  <si>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</si>
  <si>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</si>
  <si>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</si>
  <si>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</si>
  <si>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</si>
  <si>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</si>
  <si>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</si>
  <si>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</si>
  <si>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</si>
  <si>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</si>
  <si>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</si>
  <si>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</si>
  <si>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</si>
  <si>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</si>
  <si>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</si>
  <si>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</si>
  <si>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</si>
  <si>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</si>
  <si>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</si>
  <si>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</si>
  <si>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</si>
  <si>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</si>
  <si>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</si>
  <si>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</si>
  <si>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</si>
  <si>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</si>
  <si>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</si>
  <si>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</si>
  <si>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</si>
  <si>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</si>
  <si>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</si>
  <si>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</si>
  <si>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</si>
  <si>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</si>
  <si>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</si>
  <si>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</si>
  <si>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</si>
  <si>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</si>
  <si>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</si>
  <si>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</si>
  <si>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</si>
  <si>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</si>
  <si>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</si>
  <si>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</si>
  <si>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</si>
  <si>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</si>
  <si>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</si>
  <si>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</si>
  <si>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</si>
  <si>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</si>
  <si>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</si>
  <si>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</si>
  <si>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</si>
  <si>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</si>
  <si>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</si>
  <si>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</si>
  <si>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</si>
  <si>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</si>
  <si>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</si>
  <si>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</si>
  <si>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</si>
  <si>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</si>
  <si>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</si>
  <si>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</si>
  <si>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</si>
  <si>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</si>
  <si>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</si>
  <si>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</si>
  <si>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</si>
  <si>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</si>
  <si>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</si>
  <si>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</si>
  <si>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</si>
  <si>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</si>
  <si>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</si>
  <si>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</si>
  <si>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</si>
  <si>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</si>
  <si>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</si>
  <si>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</si>
  <si>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1/2 of Redesign costs to change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</si>
</sst>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21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2489218.14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938158.83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254978368.79881406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563038.39999999991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677027.67</v>
          </cell>
        </row>
        <row r="245">
          <cell r="BT245">
            <v>752208.46</v>
          </cell>
        </row>
        <row r="261">
          <cell r="BT261">
            <v>175999362.4581469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1391268.86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162180173.19639522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- 021500.xls]Wilton</v>
      </c>
    </row>
    <row r="3" spans="1:23" s="2" customFormat="1" ht="15.75" x14ac:dyDescent="0.25">
      <c r="A3" s="1" t="s">
        <v>2</v>
      </c>
      <c r="F3" s="3"/>
      <c r="V3" s="24">
        <f ca="1">NOW()</f>
        <v>36571.376148958334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N1" workbookViewId="0">
      <selection activeCell="V18" sqref="V18"/>
    </sheetView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1" width="12.28515625" bestFit="1" customWidth="1"/>
    <col min="22" max="22" width="14.7109375" customWidth="1"/>
    <col min="23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28789631.856785104</v>
      </c>
      <c r="R11" s="44">
        <f>Wilton!R47</f>
        <v>18405105.707755186</v>
      </c>
      <c r="S11" s="44">
        <f>Wilton!S47</f>
        <v>16253487.837554138</v>
      </c>
      <c r="T11" s="44">
        <f>Wilton!T47</f>
        <v>9190160.8261825573</v>
      </c>
      <c r="U11" s="44">
        <f>Wilton!U47</f>
        <v>16367289.79559521</v>
      </c>
      <c r="V11" s="44">
        <f>Wilton!Y47</f>
        <v>254401942.62214735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12266522.696782647</v>
      </c>
      <c r="R13" s="44">
        <f>Gleason!S47</f>
        <v>10343522.71968814</v>
      </c>
      <c r="S13" s="44">
        <f>Gleason!T47</f>
        <v>10448808.920363525</v>
      </c>
      <c r="T13" s="44">
        <f>Gleason!U47</f>
        <v>8288524.6771400375</v>
      </c>
      <c r="U13" s="44">
        <f>Gleason!V47</f>
        <v>22653160.081051625</v>
      </c>
      <c r="V13" s="44">
        <f>Gleason!Z47</f>
        <v>175978870.09648022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12429379.669800878</v>
      </c>
      <c r="R15" s="44">
        <f>Wheatland!R46</f>
        <v>10676550.148029605</v>
      </c>
      <c r="S15" s="44">
        <f>Wheatland!S46</f>
        <v>8601757.2817064319</v>
      </c>
      <c r="T15" s="44">
        <f>Wheatland!T46</f>
        <v>8115020.6412973404</v>
      </c>
      <c r="U15" s="44">
        <f>Wheatland!U46</f>
        <v>16313347.258418158</v>
      </c>
      <c r="V15" s="44">
        <f>Wheatland!Y46</f>
        <v>161969622.07187781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53485534.22336863</v>
      </c>
      <c r="R17" s="44">
        <f t="shared" si="0"/>
        <v>39425178.575472929</v>
      </c>
      <c r="S17" s="44">
        <f t="shared" si="0"/>
        <v>35304054.039624095</v>
      </c>
      <c r="T17" s="44">
        <f t="shared" si="0"/>
        <v>25593706.144619934</v>
      </c>
      <c r="U17" s="44">
        <f t="shared" si="0"/>
        <v>55333797.135064989</v>
      </c>
      <c r="V17" s="44">
        <f t="shared" si="0"/>
        <v>592350434.79050541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438017119.16852343</v>
      </c>
      <c r="R18" s="4">
        <f t="shared" si="1"/>
        <v>477442297.74399638</v>
      </c>
      <c r="S18" s="4">
        <f t="shared" si="1"/>
        <v>512746351.78362048</v>
      </c>
      <c r="T18" s="4">
        <f t="shared" si="1"/>
        <v>538340057.92824042</v>
      </c>
      <c r="U18" s="9">
        <f t="shared" si="1"/>
        <v>593673855.06330538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O:\Fin_Ops\Engysvc\PowerPlants\2000 Plants\Draw Schedule\[Draw Sched - 021500.xls]Wilton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36571.376148958334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bestFit="1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2" width="12.28515625" style="18" bestFit="1" customWidth="1"/>
    <col min="13" max="13" width="12.28515625" style="18" customWidth="1"/>
    <col min="14" max="14" width="12.85546875" style="18" bestFit="1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bestFit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126</v>
      </c>
      <c r="Y2" s="25" t="str">
        <f ca="1">CELL("filename")</f>
        <v>O:\Fin_Ops\Engysvc\PowerPlants\2000 Plants\Draw Schedule\[Draw Sched - 021500.xls]Wilton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36571.376148958334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1775722.31</v>
      </c>
      <c r="S12" s="18">
        <v>1302196.3600000001</v>
      </c>
      <c r="U12" s="17">
        <f>473525.95+8560+440</f>
        <v>482525.95</v>
      </c>
      <c r="V12" s="17"/>
      <c r="W12" s="17"/>
      <c r="X12" s="17"/>
      <c r="Y12" s="11">
        <f t="shared" si="0"/>
        <v>9479519.2999999989</v>
      </c>
      <c r="Z12" s="19" t="str">
        <f>Z11</f>
        <v>Mike Miller</v>
      </c>
      <c r="AA12" s="18">
        <f>[1]Wilton!$BR$143</f>
        <v>9479519</v>
      </c>
      <c r="AB12" s="18">
        <f t="shared" si="1"/>
        <v>0.29999999888241291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2824799</v>
      </c>
      <c r="Z14" s="19" t="str">
        <f t="shared" si="3"/>
        <v>Mike Miller</v>
      </c>
      <c r="AA14" s="18">
        <f>[1]Wilton!$BR$128</f>
        <v>2824800</v>
      </c>
      <c r="AB14" s="18">
        <f t="shared" si="1"/>
        <v>-1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Q16" s="18">
        <v>2134700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14346909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0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v>1451621</v>
      </c>
      <c r="Q17" s="18">
        <v>1032590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7349178</v>
      </c>
      <c r="Z17" s="19" t="str">
        <f t="shared" si="3"/>
        <v>Mike Miller</v>
      </c>
      <c r="AA17" s="18">
        <f>[1]Wilton!$BR$81</f>
        <v>7349178</v>
      </c>
      <c r="AB17" s="18">
        <f t="shared" si="1"/>
        <v>0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v>4657660</v>
      </c>
      <c r="Q18" s="18">
        <f>9531733-Q16-Q17-Q19</f>
        <v>4537347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</f>
        <v>5327329</v>
      </c>
      <c r="W18" s="18">
        <v>0</v>
      </c>
      <c r="Y18" s="11">
        <f t="shared" si="0"/>
        <v>34323186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0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Q19" s="18">
        <v>1827096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5336759</v>
      </c>
      <c r="Z19" s="19" t="str">
        <f t="shared" si="3"/>
        <v>Mike Miller</v>
      </c>
      <c r="AA19" s="18">
        <f>[1]Wilton!$BR$120</f>
        <v>5336759</v>
      </c>
      <c r="AB19" s="18">
        <f t="shared" si="1"/>
        <v>0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[1]Wilton!$BR$158</f>
        <v>500000</v>
      </c>
      <c r="AB20" s="18">
        <f t="shared" si="1"/>
        <v>0</v>
      </c>
    </row>
    <row r="21" spans="1:28" x14ac:dyDescent="0.2">
      <c r="A21" s="17" t="s">
        <v>127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 t="shared" si="0"/>
        <v>0</v>
      </c>
      <c r="Z21" s="19"/>
      <c r="AA21" s="18">
        <v>-744251</v>
      </c>
      <c r="AB21" s="18">
        <f t="shared" si="1"/>
        <v>744251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P22" s="18">
        <v>-7855877</v>
      </c>
      <c r="U22" s="18">
        <v>-7811115</v>
      </c>
      <c r="Y22" s="11">
        <f t="shared" si="0"/>
        <v>0</v>
      </c>
      <c r="Z22" s="19" t="str">
        <f>Z20</f>
        <v>Mike Miller</v>
      </c>
      <c r="AB22" s="18">
        <f t="shared" si="1"/>
        <v>0</v>
      </c>
    </row>
    <row r="23" spans="1:28" x14ac:dyDescent="0.2">
      <c r="A23" s="17" t="s">
        <v>42</v>
      </c>
      <c r="C23" s="4">
        <v>0</v>
      </c>
      <c r="F23" s="8"/>
      <c r="P23" s="18">
        <v>0</v>
      </c>
      <c r="Q23" s="18">
        <f>125000+125000</f>
        <v>250000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3400</v>
      </c>
      <c r="Y25" s="11">
        <f t="shared" si="0"/>
        <v>2489218</v>
      </c>
      <c r="Z25" s="19" t="s">
        <v>52</v>
      </c>
      <c r="AA25" s="18">
        <f>[1]Wilton!$BR$167</f>
        <v>2489218.14</v>
      </c>
      <c r="AB25" s="18">
        <f t="shared" si="1"/>
        <v>-0.14000000013038516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51338</v>
      </c>
      <c r="R26" s="18">
        <v>73458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665606</v>
      </c>
      <c r="R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f>1250000+500000</f>
        <v>1750000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177395.92666666664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f>2610+38253+6+3164</f>
        <v>44033</v>
      </c>
      <c r="R33" s="18">
        <v>31732</v>
      </c>
      <c r="T33" s="17"/>
      <c r="U33" s="18">
        <f>36960-8586</f>
        <v>28374</v>
      </c>
      <c r="Y33" s="11">
        <f t="shared" si="0"/>
        <v>594166.48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27743458.346666668</v>
      </c>
      <c r="R35" s="21">
        <f t="shared" si="5"/>
        <v>17259774.976666667</v>
      </c>
      <c r="S35" s="21">
        <f t="shared" si="5"/>
        <v>15020591.693333333</v>
      </c>
      <c r="T35" s="21">
        <f t="shared" si="5"/>
        <v>7907752.833333333</v>
      </c>
      <c r="U35" s="21">
        <f t="shared" si="5"/>
        <v>14996703.283333331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242154867.51333329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186970044.72666663</v>
      </c>
      <c r="R36" s="21">
        <f t="shared" si="6"/>
        <v>204229819.70333329</v>
      </c>
      <c r="S36" s="21">
        <f t="shared" si="6"/>
        <v>219250411.39666662</v>
      </c>
      <c r="T36" s="21">
        <f t="shared" si="6"/>
        <v>227158164.22999996</v>
      </c>
      <c r="U36" s="21">
        <f t="shared" si="6"/>
        <v>242154867.51333329</v>
      </c>
      <c r="V36" s="21">
        <f>+U36+V35</f>
        <v>242154867.51333329</v>
      </c>
      <c r="W36" s="21">
        <f>+V36+W35</f>
        <v>242154867.51333329</v>
      </c>
      <c r="X36" s="21">
        <f>+W36+X35</f>
        <v>242154867.51333329</v>
      </c>
      <c r="Y36" s="13"/>
    </row>
    <row r="37" spans="1:27" x14ac:dyDescent="0.2">
      <c r="A37" s="17" t="s">
        <v>64</v>
      </c>
      <c r="F37" s="8"/>
      <c r="Y37" s="16">
        <f>+Y35/C52/1000</f>
        <v>398.28103209429815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f>(Q36+P45)*$C50/12</f>
        <v>1046173.5101184348</v>
      </c>
      <c r="R40" s="30">
        <f>(R36+Q45)*$C50/12</f>
        <v>1145330.7310885207</v>
      </c>
      <c r="S40" s="30">
        <f>(S36+R45)*$C50/12</f>
        <v>1232896.1442208057</v>
      </c>
      <c r="T40" s="30">
        <f>(T36+S45)*$C50/12</f>
        <v>1282407.992849224</v>
      </c>
      <c r="U40" s="30">
        <f>(U36+T45)*$C50/12</f>
        <v>1370586.5122618796</v>
      </c>
      <c r="V40" s="30"/>
      <c r="W40" s="30"/>
      <c r="X40" s="30"/>
      <c r="Y40" s="11">
        <f>SUM(C40:X40)</f>
        <v>12251963.60881405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1046173.5101184348</v>
      </c>
      <c r="R44" s="21">
        <f t="shared" si="7"/>
        <v>1145330.7310885207</v>
      </c>
      <c r="S44" s="21">
        <f t="shared" si="7"/>
        <v>1232896.1442208057</v>
      </c>
      <c r="T44" s="21">
        <f t="shared" si="7"/>
        <v>1282407.992849224</v>
      </c>
      <c r="U44" s="21">
        <f t="shared" si="7"/>
        <v>1370586.5122618796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12247075.10881405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7215853.7283936189</v>
      </c>
      <c r="R45" s="21">
        <f t="shared" si="9"/>
        <v>8361184.4594821399</v>
      </c>
      <c r="S45" s="21">
        <f t="shared" si="9"/>
        <v>9594080.6037029456</v>
      </c>
      <c r="T45" s="21">
        <f t="shared" si="9"/>
        <v>10876488.596552169</v>
      </c>
      <c r="U45" s="21">
        <f t="shared" si="9"/>
        <v>12247075.10881405</v>
      </c>
      <c r="V45" s="21">
        <f>+V44+U45</f>
        <v>12247075.10881405</v>
      </c>
      <c r="W45" s="21">
        <f>+W44+V45</f>
        <v>12247075.10881405</v>
      </c>
      <c r="X45" s="21">
        <f>+X44+W45</f>
        <v>12247075.10881405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28789631.856785104</v>
      </c>
      <c r="R47" s="4">
        <f t="shared" si="10"/>
        <v>18405105.707755186</v>
      </c>
      <c r="S47" s="4">
        <f t="shared" si="10"/>
        <v>16253487.837554138</v>
      </c>
      <c r="T47" s="4">
        <f t="shared" si="10"/>
        <v>9190160.8261825573</v>
      </c>
      <c r="U47" s="4">
        <f t="shared" si="10"/>
        <v>16367289.79559521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254401942.62214735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194185898.4550603</v>
      </c>
      <c r="R48" s="4">
        <f t="shared" si="11"/>
        <v>212591004.16281548</v>
      </c>
      <c r="S48" s="4">
        <f t="shared" si="11"/>
        <v>228844492.00036961</v>
      </c>
      <c r="T48" s="4">
        <f t="shared" si="11"/>
        <v>238034652.82655215</v>
      </c>
      <c r="U48" s="4">
        <f t="shared" si="11"/>
        <v>254401942.62214735</v>
      </c>
      <c r="V48" s="4">
        <f>U48+V47</f>
        <v>254401942.62214735</v>
      </c>
      <c r="W48" s="4">
        <f>V48+W47</f>
        <v>254401942.62214735</v>
      </c>
      <c r="X48" s="4">
        <f>W48+X47</f>
        <v>254401942.62214735</v>
      </c>
      <c r="Y48" s="11"/>
    </row>
    <row r="49" spans="1:30" s="4" customFormat="1" x14ac:dyDescent="0.2">
      <c r="A49" s="17" t="s">
        <v>64</v>
      </c>
      <c r="Y49" s="16">
        <f>+Y47/C52/1000</f>
        <v>418.42424773379497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27743458.346666668</v>
      </c>
      <c r="R55" s="4">
        <f t="shared" si="12"/>
        <v>17259774.976666667</v>
      </c>
      <c r="S55" s="4">
        <f t="shared" si="12"/>
        <v>15020591.693333331</v>
      </c>
      <c r="T55" s="4">
        <f t="shared" si="12"/>
        <v>7907752.833333333</v>
      </c>
      <c r="U55" s="4">
        <f t="shared" si="12"/>
        <v>14996703.283333331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242149979.01333329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938158.89999999991</v>
      </c>
      <c r="AB61" s="18">
        <f>[1]Wilton!$BR$197</f>
        <v>938158.83</v>
      </c>
      <c r="AC61" s="18">
        <f>AB61-AA61</f>
        <v>-6.9999999948777258E-2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199999.92666666664</v>
      </c>
      <c r="AB62" s="18">
        <f>[1]Wilton!$BR$188</f>
        <v>200000</v>
      </c>
      <c r="AC62" s="18">
        <f>AB62-AA62</f>
        <v>7.3333333362825215E-2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276900.78999999998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28789631.856785104</v>
      </c>
      <c r="R77" s="33">
        <f t="shared" si="17"/>
        <v>18405105.707755186</v>
      </c>
      <c r="S77" s="33">
        <f t="shared" si="17"/>
        <v>16253487.837554138</v>
      </c>
      <c r="T77" s="33">
        <f t="shared" si="17"/>
        <v>9190160.8261825573</v>
      </c>
      <c r="U77" s="33">
        <f>+U47+U67+U74</f>
        <v>16367289.79559521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254978368.03214732</v>
      </c>
    </row>
    <row r="78" spans="1:26" x14ac:dyDescent="0.2">
      <c r="U78"/>
      <c r="V78"/>
      <c r="W78"/>
      <c r="X78"/>
      <c r="Y78" s="48">
        <f>Y77-[1]Wilton!$BR$236</f>
        <v>-0.76666674017906189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bestFit="1" customWidth="1"/>
    <col min="13" max="13" width="12.28515625" style="52" customWidth="1"/>
    <col min="14" max="14" width="12.28515625" style="18" bestFit="1" customWidth="1"/>
    <col min="15" max="15" width="14" style="18" customWidth="1"/>
    <col min="16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3" width="12.140625" style="18" customWidth="1"/>
    <col min="24" max="25" width="12.140625" style="18" hidden="1" customWidth="1"/>
    <col min="26" max="26" width="13.5703125" style="4" customWidth="1"/>
    <col min="27" max="27" width="20" style="18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O:\Fin_Ops\Engysvc\PowerPlants\2000 Plants\Draw Schedule\[Draw Sched - 021500.xls]Wilton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36571.376148958334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645575.4</v>
      </c>
      <c r="S12" s="18">
        <f>531586.8-58500</f>
        <v>473086.80000000005</v>
      </c>
      <c r="T12" s="18">
        <v>0</v>
      </c>
      <c r="V12" s="18">
        <v>0</v>
      </c>
      <c r="Z12" s="11">
        <f t="shared" si="0"/>
        <v>6024610.7999999998</v>
      </c>
      <c r="AA12" s="15" t="s">
        <v>50</v>
      </c>
      <c r="AB12" s="18">
        <f>[1]Gleason!$BT$35</f>
        <v>6024611</v>
      </c>
      <c r="AC12" s="18">
        <f t="shared" ref="AC12:AC25" si="1">Z12-AB12</f>
        <v>-0.20000000018626451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v>1769159</v>
      </c>
      <c r="R16" s="18">
        <f>(0.4765-0.2939)*AB16</f>
        <v>3131172.0285999998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</f>
        <v>3155663.2636000002</v>
      </c>
      <c r="W16" s="18">
        <f>17147711-15082111</f>
        <v>2065600</v>
      </c>
      <c r="Z16" s="11">
        <f t="shared" si="0"/>
        <v>17147710.569400001</v>
      </c>
      <c r="AA16" s="15"/>
      <c r="AB16" s="18">
        <f>[1]Gleason!$BT$61</f>
        <v>17147711</v>
      </c>
      <c r="AC16" s="18">
        <f t="shared" si="1"/>
        <v>-0.43059999868273735</v>
      </c>
    </row>
    <row r="17" spans="1:29" x14ac:dyDescent="0.2">
      <c r="A17" s="17" t="s">
        <v>120</v>
      </c>
      <c r="O17" s="18">
        <v>84021</v>
      </c>
      <c r="Q17" s="18">
        <v>225269</v>
      </c>
      <c r="R17" s="18">
        <f>(0.4765-0.2939)*AB17</f>
        <v>778046.00059999991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</f>
        <v>998469.93559999997</v>
      </c>
      <c r="W17" s="18">
        <f>4260931-3727117</f>
        <v>533814</v>
      </c>
      <c r="Z17" s="11">
        <f t="shared" si="0"/>
        <v>4260930.5573999994</v>
      </c>
      <c r="AA17" s="15"/>
      <c r="AB17" s="18">
        <f>[1]Gleason!$BT$89</f>
        <v>4260931</v>
      </c>
      <c r="AC17" s="18">
        <f t="shared" si="1"/>
        <v>-0.44260000064969063</v>
      </c>
    </row>
    <row r="18" spans="1:29" x14ac:dyDescent="0.2">
      <c r="A18" s="17" t="s">
        <v>121</v>
      </c>
      <c r="O18" s="18">
        <v>204588</v>
      </c>
      <c r="Q18" s="18">
        <v>2792896</v>
      </c>
      <c r="R18" s="18">
        <f>(0.4765-0.2939)*AB18</f>
        <v>2820028.3847999997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</f>
        <v>1642549.3647999996</v>
      </c>
      <c r="W18" s="18">
        <f>15443748-13408993</f>
        <v>2034755</v>
      </c>
      <c r="Z18" s="11">
        <f t="shared" si="0"/>
        <v>15443748.479199998</v>
      </c>
      <c r="AA18" s="15"/>
      <c r="AB18" s="18">
        <f>[1]Gleason!$BT$122</f>
        <v>15443748</v>
      </c>
      <c r="AC18" s="18">
        <f t="shared" si="1"/>
        <v>0.47919999808073044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v>848349</v>
      </c>
      <c r="R19" s="18">
        <f>(0.4765-0.2939)*AB19</f>
        <v>2216176.9409999996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</f>
        <v>2637335.6660000002</v>
      </c>
      <c r="W19" s="18">
        <f>12136785-10376951</f>
        <v>1759834</v>
      </c>
      <c r="Z19" s="11">
        <f t="shared" si="0"/>
        <v>12136785.188999999</v>
      </c>
      <c r="AA19" s="15" t="s">
        <v>50</v>
      </c>
      <c r="AB19" s="18">
        <f>[1]Gleason!$BT$127</f>
        <v>12136785</v>
      </c>
      <c r="AC19" s="18">
        <f t="shared" si="1"/>
        <v>0.18899999931454659</v>
      </c>
    </row>
    <row r="20" spans="1:29" x14ac:dyDescent="0.2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f>-291068-49399</f>
        <v>-340467</v>
      </c>
      <c r="V21" s="18">
        <f>640621-49399</f>
        <v>591222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v>0</v>
      </c>
      <c r="AC21" s="18">
        <f t="shared" si="1"/>
        <v>-3387761</v>
      </c>
    </row>
    <row r="22" spans="1:29" x14ac:dyDescent="0.2">
      <c r="A22" s="17" t="s">
        <v>42</v>
      </c>
      <c r="R22" s="18">
        <f>150000+75000</f>
        <v>225000</v>
      </c>
      <c r="S22" s="18">
        <f>150000+75000</f>
        <v>225000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">
      <c r="A24" s="17" t="s">
        <v>128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0</v>
      </c>
      <c r="S26" s="18">
        <v>0</v>
      </c>
      <c r="T26" s="18">
        <v>0</v>
      </c>
      <c r="Z26" s="11">
        <f t="shared" si="0"/>
        <v>563038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125000</v>
      </c>
      <c r="S27" s="18">
        <v>125000</v>
      </c>
      <c r="T27" s="18">
        <v>350000</v>
      </c>
      <c r="U27" s="18">
        <v>375000</v>
      </c>
      <c r="V27" s="18">
        <v>104514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">
      <c r="A28" s="17" t="s">
        <v>111</v>
      </c>
      <c r="F28" s="29"/>
      <c r="N28" s="18">
        <v>18018</v>
      </c>
      <c r="P28" s="18">
        <v>7500</v>
      </c>
      <c r="R28" s="18">
        <v>25518</v>
      </c>
      <c r="T28" s="18">
        <v>1500000</v>
      </c>
      <c r="V28" s="18">
        <f>2148964+190117</f>
        <v>2339081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f>11111.1111111111+12759</f>
        <v>23870.111111111102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186820.38333333333</v>
      </c>
      <c r="AA32" s="15"/>
    </row>
    <row r="33" spans="1:27" x14ac:dyDescent="0.2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f>10010+153336-104349+27542</f>
        <v>86539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671124</v>
      </c>
      <c r="AA33" s="15"/>
    </row>
    <row r="34" spans="1:27" x14ac:dyDescent="0.2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f>18820-11693</f>
        <v>7127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11583685.199444445</v>
      </c>
      <c r="S35" s="21">
        <f t="shared" si="5"/>
        <v>9604959.6544444486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21697294.563333333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164874311.97833332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118969381.18277776</v>
      </c>
      <c r="S36" s="21">
        <f t="shared" si="7"/>
        <v>128574340.83722222</v>
      </c>
      <c r="T36" s="21">
        <f t="shared" si="7"/>
        <v>138228293.89666665</v>
      </c>
      <c r="U36" s="21">
        <f t="shared" si="7"/>
        <v>145677308.41499999</v>
      </c>
      <c r="V36" s="21">
        <f t="shared" si="7"/>
        <v>167374602.97833332</v>
      </c>
      <c r="W36" s="21">
        <f>+V36+W35</f>
        <v>164874311.97833332</v>
      </c>
      <c r="X36" s="21">
        <f>+W36+X35</f>
        <v>164874311.97833332</v>
      </c>
      <c r="Y36" s="21">
        <f>+X36+Y35</f>
        <v>164874311.97833332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323.28296466339867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f>(R36+Q45)*$C52/12</f>
        <v>682837.49733820127</v>
      </c>
      <c r="S40" s="30">
        <f>(S36+R45)*$C52/12</f>
        <v>738563.06524369062</v>
      </c>
      <c r="T40" s="30">
        <f>(T36+S45)*$C52/12</f>
        <v>794855.86091908475</v>
      </c>
      <c r="U40" s="30">
        <f>(U36+T45)*$C52/12</f>
        <v>839510.15880670201</v>
      </c>
      <c r="V40" s="30">
        <f>(V36+U45)*$C52/12-5719</f>
        <v>955865.51771829382</v>
      </c>
      <c r="W40" s="30"/>
      <c r="X40" s="30"/>
      <c r="Y40" s="30"/>
      <c r="Z40" s="11">
        <f t="shared" si="8"/>
        <v>11110635.118146908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682837.49733820127</v>
      </c>
      <c r="S44" s="21">
        <f t="shared" si="10"/>
        <v>738563.06524369062</v>
      </c>
      <c r="T44" s="21">
        <f t="shared" si="10"/>
        <v>794855.86091908475</v>
      </c>
      <c r="U44" s="21">
        <f t="shared" si="10"/>
        <v>839510.15880670201</v>
      </c>
      <c r="V44" s="21">
        <f t="shared" si="10"/>
        <v>955865.51771829382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11104558.118146908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7775763.5154591352</v>
      </c>
      <c r="S45" s="54">
        <f t="shared" si="12"/>
        <v>8514326.5807028264</v>
      </c>
      <c r="T45" s="54">
        <f t="shared" si="12"/>
        <v>9309182.4416219108</v>
      </c>
      <c r="U45" s="54">
        <f t="shared" si="12"/>
        <v>10148692.600428613</v>
      </c>
      <c r="V45" s="54">
        <f t="shared" si="12"/>
        <v>11104558.118146908</v>
      </c>
      <c r="W45" s="54">
        <f>V45+W44</f>
        <v>11104558.118146908</v>
      </c>
      <c r="X45" s="54">
        <f>W45+X44</f>
        <v>11104558.118146908</v>
      </c>
      <c r="Y45" s="54">
        <f>X45+Y44</f>
        <v>11104558.118146908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12266522.696782647</v>
      </c>
      <c r="S47" s="4">
        <f t="shared" si="14"/>
        <v>10343522.71968814</v>
      </c>
      <c r="T47" s="4">
        <f t="shared" si="14"/>
        <v>10448808.920363525</v>
      </c>
      <c r="U47" s="4">
        <f t="shared" si="14"/>
        <v>8288524.6771400375</v>
      </c>
      <c r="V47" s="4">
        <f t="shared" si="14"/>
        <v>22653160.081051625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175978870.09648022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126745144.69823693</v>
      </c>
      <c r="S48" s="57">
        <f t="shared" si="16"/>
        <v>137088667.41792506</v>
      </c>
      <c r="T48" s="57">
        <f t="shared" si="16"/>
        <v>147537476.33828858</v>
      </c>
      <c r="U48" s="57">
        <f t="shared" si="16"/>
        <v>155826001.0154286</v>
      </c>
      <c r="V48" s="57">
        <f t="shared" si="16"/>
        <v>178479161.09648022</v>
      </c>
      <c r="W48" s="57">
        <f>W47+V48</f>
        <v>175978870.09648022</v>
      </c>
      <c r="X48" s="57">
        <f>X47+W48</f>
        <v>175978870.09648022</v>
      </c>
      <c r="Y48" s="57">
        <f>Y47+X48</f>
        <v>175978870.09648022</v>
      </c>
      <c r="Z48" s="11"/>
    </row>
    <row r="49" spans="1:31" s="4" customFormat="1" x14ac:dyDescent="0.2">
      <c r="M49" s="57"/>
      <c r="Z49" s="11"/>
    </row>
    <row r="50" spans="1:31" s="4" customFormat="1" x14ac:dyDescent="0.2">
      <c r="M50" s="57"/>
    </row>
    <row r="51" spans="1:31" s="4" customFormat="1" x14ac:dyDescent="0.2">
      <c r="M51" s="57"/>
      <c r="Z51" s="16">
        <f>+Z47/C54/1000</f>
        <v>345.05660803231416</v>
      </c>
    </row>
    <row r="52" spans="1:31" s="4" customFormat="1" x14ac:dyDescent="0.2">
      <c r="A52" s="8" t="s">
        <v>96</v>
      </c>
      <c r="C52" s="12">
        <v>6.5000000000000002E-2</v>
      </c>
      <c r="M52" s="57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7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11583685.199444445</v>
      </c>
      <c r="S57" s="4">
        <f t="shared" si="18"/>
        <v>9604959.6544444486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21697294.563333333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76020525.928333342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Z62" s="11">
        <f>SUM(C62:Y62)</f>
        <v>0</v>
      </c>
      <c r="AA62" s="39" t="s">
        <v>90</v>
      </c>
      <c r="AC62" s="18">
        <f>Z62+Z26</f>
        <v>563038</v>
      </c>
      <c r="AD62" s="18">
        <f>[1]Gleason!$BT$195</f>
        <v>563038.39999999991</v>
      </c>
      <c r="AE62" s="18">
        <f>AC62-AD62</f>
        <v>-0.39999999990686774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Z65" s="11">
        <f>SUM(C65:Y65)</f>
        <v>5904</v>
      </c>
      <c r="AA65" s="39" t="s">
        <v>93</v>
      </c>
      <c r="AC65" s="18">
        <f>Z65+Z33</f>
        <v>677028</v>
      </c>
      <c r="AD65" s="18">
        <f>[1]Gleason!$BT$239</f>
        <v>677027.67</v>
      </c>
      <c r="AE65" s="18">
        <f>AC65-AD65</f>
        <v>0.32999999995809048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Z66" s="11">
        <f>SUM(C66:Y66)</f>
        <v>13179.81</v>
      </c>
      <c r="AA66" s="39" t="s">
        <v>30</v>
      </c>
      <c r="AC66" s="18">
        <f>Z66+Z32</f>
        <v>200000.19333333333</v>
      </c>
      <c r="AD66" s="18">
        <f>[1]Gleason!$BT$230</f>
        <v>200000</v>
      </c>
      <c r="AE66" s="18">
        <f>AC66-AD66</f>
        <v>0.19333333332906477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12266522.696782647</v>
      </c>
      <c r="S73" s="9">
        <f t="shared" si="22"/>
        <v>10343522.71968814</v>
      </c>
      <c r="T73" s="9">
        <f t="shared" si="22"/>
        <v>10448808.920363525</v>
      </c>
      <c r="U73" s="9">
        <f t="shared" si="22"/>
        <v>8288524.6771400375</v>
      </c>
      <c r="V73" s="9">
        <f t="shared" si="22"/>
        <v>22653160.081051625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175999361.90648022</v>
      </c>
    </row>
    <row r="74" spans="1:31" x14ac:dyDescent="0.2">
      <c r="Z74" s="4">
        <f>Z73-[1]Gleason!$BT$261</f>
        <v>-0.55166667699813843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C8" activePane="bottomRight" state="frozen"/>
      <selection activeCell="E1" sqref="E1"/>
      <selection pane="topRight" activeCell="E1" sqref="E1"/>
      <selection pane="bottomLeft" activeCell="E1" sqref="E1"/>
      <selection pane="bottomRight" activeCell="C8" sqref="C8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4" width="13.140625" style="18" customWidth="1"/>
    <col min="25" max="25" width="13.85546875" style="4" customWidth="1"/>
    <col min="26" max="26" width="20" style="18" bestFit="1" customWidth="1"/>
    <col min="27" max="27" width="12.28515625" style="18" customWidth="1"/>
    <col min="28" max="28" width="10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December 24, 1999</v>
      </c>
      <c r="Y2" s="25" t="str">
        <f ca="1">CELL("filename")</f>
        <v>O:\Fin_Ops\Engysvc\PowerPlants\2000 Plants\Draw Schedule\[Draw Sched - 021500.xls]Wilton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36571.376148958334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f>100000+1072769</f>
        <v>1172769</v>
      </c>
      <c r="T10" s="18">
        <v>231601</v>
      </c>
      <c r="U10" s="18">
        <f>85821500-81565943+66200+1033169-4972-323393</f>
        <v>5026561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f>(0.4673-0.2689)*AA12</f>
        <v>2727672.8384000002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</f>
        <v>1062747.5323000005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13748351.416100001</v>
      </c>
      <c r="Z12" s="15" t="s">
        <v>50</v>
      </c>
      <c r="AA12" s="18">
        <f>[1]Wheatland!$BR$56</f>
        <v>13748351</v>
      </c>
      <c r="AB12" s="18">
        <f t="shared" si="1"/>
        <v>0.41610000096261501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f>(0.4673-0.2689)*AA13</f>
        <v>942335.32160000014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</f>
        <v>367149.80020000017</v>
      </c>
      <c r="V13" s="18">
        <f>(1-0.9476)*AA13</f>
        <v>248882.91760000002</v>
      </c>
      <c r="W13" s="18">
        <f>442079+359779</f>
        <v>801858</v>
      </c>
      <c r="Y13" s="11">
        <f t="shared" si="0"/>
        <v>4749673.6613999996</v>
      </c>
      <c r="Z13" s="15"/>
      <c r="AA13" s="18">
        <f>[1]Wheatland!$BR$82</f>
        <v>4749674</v>
      </c>
      <c r="AB13" s="18">
        <f t="shared" si="1"/>
        <v>-0.33860000036656857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v>2112822</v>
      </c>
      <c r="Q14" s="18">
        <f>(0.4673-0.2689)*AA14</f>
        <v>3165417.2416000003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</f>
        <v>1233300.1652000006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15954723.716399999</v>
      </c>
      <c r="Z14" s="15"/>
      <c r="AA14" s="18">
        <f>[1]Wheatland!$BR$116</f>
        <v>15954724</v>
      </c>
      <c r="AB14" s="18">
        <f t="shared" si="1"/>
        <v>-0.28360000066459179</v>
      </c>
    </row>
    <row r="15" spans="1:28" x14ac:dyDescent="0.2">
      <c r="A15" s="17" t="s">
        <v>122</v>
      </c>
      <c r="N15" s="18">
        <v>0</v>
      </c>
      <c r="P15" s="18">
        <v>355795</v>
      </c>
      <c r="Q15" s="18">
        <f>(0.4673-0.2689)*AA15</f>
        <v>2012952.3136000002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</f>
        <v>784280.31170000031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10145928.6919</v>
      </c>
      <c r="Z15" s="15"/>
      <c r="AA15" s="18">
        <f>[1]Wheatland!$BR$119</f>
        <v>10145929</v>
      </c>
      <c r="AB15" s="18">
        <f t="shared" si="1"/>
        <v>-0.30810000002384186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f>1183571-943865</f>
        <v>239706</v>
      </c>
      <c r="Q17" s="18">
        <v>217412</v>
      </c>
      <c r="W17" s="18">
        <v>-4108675</v>
      </c>
      <c r="X17" s="18">
        <v>-3953393</v>
      </c>
      <c r="Y17" s="11">
        <f t="shared" si="0"/>
        <v>-3953393</v>
      </c>
      <c r="Z17" s="15"/>
      <c r="AB17" s="18">
        <f t="shared" si="1"/>
        <v>-3953393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2386700/12+6+3-7+2</f>
        <v>198895.66666666666</v>
      </c>
      <c r="Y19" s="11">
        <f t="shared" si="0"/>
        <v>2386699.67</v>
      </c>
      <c r="Z19" s="15"/>
      <c r="AA19" s="18">
        <f>[1]Wheatland!$BR$132</f>
        <v>2386700</v>
      </c>
      <c r="AB19" s="18">
        <f t="shared" si="1"/>
        <v>-0.33000000007450581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">
      <c r="A21" s="17" t="s">
        <v>42</v>
      </c>
      <c r="C21" s="4">
        <v>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U22" s="18">
        <f>1500000-38084-16048</f>
        <v>1445868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15000</v>
      </c>
      <c r="Y24" s="11">
        <f t="shared" si="0"/>
        <v>1391269.26</v>
      </c>
      <c r="Z24" s="15" t="s">
        <v>57</v>
      </c>
      <c r="AA24" s="18">
        <f>[1]Wheatland!$BR$166</f>
        <v>1391268.86</v>
      </c>
      <c r="AB24" s="18">
        <f t="shared" si="1"/>
        <v>0.39999999990686774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41756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185199.00444444444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28571.428571428572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604559.11857142858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f>10000+52208</f>
        <v>62208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3909419.3</v>
      </c>
      <c r="P34" s="21">
        <f t="shared" si="4"/>
        <v>8186544.333333333</v>
      </c>
      <c r="Q34" s="21">
        <f t="shared" si="4"/>
        <v>11798580.254882542</v>
      </c>
      <c r="R34" s="21">
        <f t="shared" si="4"/>
        <v>9988230.9851111118</v>
      </c>
      <c r="S34" s="21">
        <f t="shared" si="4"/>
        <v>7867096.2851111116</v>
      </c>
      <c r="T34" s="21">
        <f t="shared" si="4"/>
        <v>7336640.0971111096</v>
      </c>
      <c r="U34" s="21">
        <f t="shared" si="4"/>
        <v>15447078.809400002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151039485.71828255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90415314.953333333</v>
      </c>
      <c r="P35" s="21">
        <f t="shared" si="5"/>
        <v>98601859.286666662</v>
      </c>
      <c r="Q35" s="21">
        <f t="shared" si="5"/>
        <v>110400439.54154921</v>
      </c>
      <c r="R35" s="21">
        <f t="shared" si="5"/>
        <v>120388670.52666032</v>
      </c>
      <c r="S35" s="21">
        <f t="shared" si="5"/>
        <v>128255766.81177144</v>
      </c>
      <c r="T35" s="21">
        <f t="shared" si="5"/>
        <v>135592406.90888256</v>
      </c>
      <c r="U35" s="21">
        <f t="shared" si="5"/>
        <v>151039485.71828255</v>
      </c>
      <c r="V35" s="21">
        <f>+U35+V34</f>
        <v>154017571.44548255</v>
      </c>
      <c r="W35" s="21">
        <f>+V35+W34</f>
        <v>156145624.44548255</v>
      </c>
      <c r="X35" s="21">
        <f>+W35+X34</f>
        <v>152216356.44548255</v>
      </c>
      <c r="Y35" s="11"/>
    </row>
    <row r="36" spans="1:27" x14ac:dyDescent="0.2">
      <c r="A36" s="17" t="s">
        <v>64</v>
      </c>
      <c r="F36" s="8"/>
      <c r="Y36" s="16">
        <f>+Y34/C51/1000</f>
        <v>321.36060791123947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f t="shared" si="7"/>
        <v>630799.41491833446</v>
      </c>
      <c r="R39" s="30">
        <f t="shared" si="7"/>
        <v>688319.16291849397</v>
      </c>
      <c r="S39" s="30">
        <f t="shared" si="7"/>
        <v>734660.99659532111</v>
      </c>
      <c r="T39" s="30">
        <f t="shared" si="7"/>
        <v>778380.54418623087</v>
      </c>
      <c r="U39" s="30">
        <f t="shared" si="7"/>
        <v>866268.44901815627</v>
      </c>
      <c r="V39" s="30">
        <v>0</v>
      </c>
      <c r="W39" s="30">
        <v>0</v>
      </c>
      <c r="X39" s="30">
        <v>0</v>
      </c>
      <c r="Y39" s="11">
        <f t="shared" si="6"/>
        <v>9759343.1263952311</v>
      </c>
      <c r="Z39" s="19" t="str">
        <f>Z52</f>
        <v>Rodney Malcolm</v>
      </c>
      <c r="AA39" s="18">
        <f>Y39</f>
        <v>9759343.1263952311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6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563836.3251100413</v>
      </c>
      <c r="Q43" s="21">
        <f t="shared" si="8"/>
        <v>630799.41491833446</v>
      </c>
      <c r="R43" s="21">
        <f t="shared" si="8"/>
        <v>688319.16291849397</v>
      </c>
      <c r="S43" s="21">
        <f t="shared" si="8"/>
        <v>734660.99659532111</v>
      </c>
      <c r="T43" s="21">
        <f t="shared" si="8"/>
        <v>778380.54418623087</v>
      </c>
      <c r="U43" s="21">
        <f t="shared" si="8"/>
        <v>866268.44901815627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9753265.6263952311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6054837.0587586947</v>
      </c>
      <c r="Q44" s="21">
        <f t="shared" si="9"/>
        <v>6685636.4736770289</v>
      </c>
      <c r="R44" s="21">
        <f t="shared" si="9"/>
        <v>7373955.636595523</v>
      </c>
      <c r="S44" s="21">
        <f t="shared" si="9"/>
        <v>8108616.6331908442</v>
      </c>
      <c r="T44" s="21">
        <f t="shared" si="9"/>
        <v>8886997.177377075</v>
      </c>
      <c r="U44" s="21">
        <f t="shared" si="9"/>
        <v>9753265.6263952311</v>
      </c>
      <c r="V44" s="21">
        <f>+V43+U44</f>
        <v>9753265.6263952311</v>
      </c>
      <c r="W44" s="21">
        <f>+W43+V44</f>
        <v>9753265.6263952311</v>
      </c>
      <c r="X44" s="21">
        <f>+X43+W44</f>
        <v>9753265.6263952311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4425759.3</v>
      </c>
      <c r="P46" s="4">
        <f t="shared" si="10"/>
        <v>8750380.6584433746</v>
      </c>
      <c r="Q46" s="4">
        <f t="shared" si="10"/>
        <v>12429379.669800878</v>
      </c>
      <c r="R46" s="4">
        <f t="shared" si="10"/>
        <v>10676550.148029605</v>
      </c>
      <c r="S46" s="4">
        <f t="shared" si="10"/>
        <v>8601757.2817064319</v>
      </c>
      <c r="T46" s="4">
        <f t="shared" si="10"/>
        <v>8115020.6412973404</v>
      </c>
      <c r="U46" s="4">
        <f t="shared" si="10"/>
        <v>16313347.258418158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161969622.07187781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95906315.686981991</v>
      </c>
      <c r="P47" s="4">
        <f t="shared" si="11"/>
        <v>104656696.34542537</v>
      </c>
      <c r="Q47" s="4">
        <f t="shared" si="11"/>
        <v>117086076.01522624</v>
      </c>
      <c r="R47" s="4">
        <f t="shared" si="11"/>
        <v>127762626.16325586</v>
      </c>
      <c r="S47" s="4">
        <f t="shared" si="11"/>
        <v>136364383.44496229</v>
      </c>
      <c r="T47" s="4">
        <f t="shared" si="11"/>
        <v>144479404.08625963</v>
      </c>
      <c r="U47" s="4">
        <f t="shared" si="11"/>
        <v>160792751.34467781</v>
      </c>
      <c r="V47" s="4">
        <f>U47+V46</f>
        <v>163770837.07187781</v>
      </c>
      <c r="W47" s="4">
        <f>V47+W46</f>
        <v>165898890.07187781</v>
      </c>
      <c r="X47" s="4">
        <f>W47+X46</f>
        <v>161969622.07187781</v>
      </c>
      <c r="Y47" s="11"/>
    </row>
    <row r="48" spans="1:27" s="4" customFormat="1" x14ac:dyDescent="0.2">
      <c r="Y48" s="16">
        <f>+Y46/C51/1000</f>
        <v>344.61621717420809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3909419.3</v>
      </c>
      <c r="P54" s="4">
        <f t="shared" si="12"/>
        <v>8186544.333333333</v>
      </c>
      <c r="Q54" s="4">
        <f t="shared" si="12"/>
        <v>11798580.254882542</v>
      </c>
      <c r="R54" s="4">
        <f t="shared" si="12"/>
        <v>9988230.9851111118</v>
      </c>
      <c r="S54" s="4">
        <f t="shared" si="12"/>
        <v>7867096.2851111107</v>
      </c>
      <c r="T54" s="4">
        <f t="shared" si="12"/>
        <v>7336640.0971111096</v>
      </c>
      <c r="U54" s="4">
        <f t="shared" si="12"/>
        <v>15447078.809400002</v>
      </c>
      <c r="V54" s="4">
        <f t="shared" si="12"/>
        <v>2978085.7272000001</v>
      </c>
      <c r="W54" s="4">
        <f t="shared" si="12"/>
        <v>2128053</v>
      </c>
      <c r="X54" s="4">
        <f t="shared" si="12"/>
        <v>-3929268</v>
      </c>
      <c r="Y54" s="23">
        <f>SUM(C54:X54)</f>
        <v>152210278.94548255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754274.31857142854</v>
      </c>
      <c r="AB60" s="18">
        <f>[1]Wheatland!$BR$196</f>
        <v>754273.98</v>
      </c>
      <c r="AC60" s="18">
        <f>AB60-AA60</f>
        <v>-0.33857142855413258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1391269.26</v>
      </c>
      <c r="AB61" s="18">
        <f>[1]Wheatland!$BR$166</f>
        <v>1391268.86</v>
      </c>
      <c r="AC61" s="18">
        <f>AB61-AA61</f>
        <v>-0.39999999990686774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200000.38444444444</v>
      </c>
      <c r="AB62" s="18">
        <f>[1]Wheatland!$BR$185</f>
        <v>200000</v>
      </c>
      <c r="AC62" s="18">
        <f>AB62-AA62</f>
        <v>-0.38444444444030523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1566383.4088402581</v>
      </c>
      <c r="N78" s="33">
        <f t="shared" si="16"/>
        <v>5481999.3409659201</v>
      </c>
      <c r="O78" s="33">
        <f t="shared" si="16"/>
        <v>4425759.3</v>
      </c>
      <c r="P78" s="33">
        <f t="shared" si="16"/>
        <v>8750380.6584433746</v>
      </c>
      <c r="Q78" s="33">
        <f t="shared" si="16"/>
        <v>12429379.669800878</v>
      </c>
      <c r="R78" s="33">
        <f t="shared" si="16"/>
        <v>10676550.148029605</v>
      </c>
      <c r="S78" s="33">
        <f t="shared" si="16"/>
        <v>8601757.2817064319</v>
      </c>
      <c r="T78" s="33">
        <f t="shared" si="16"/>
        <v>8115020.6412973404</v>
      </c>
      <c r="U78" s="33">
        <f t="shared" si="16"/>
        <v>16313347.258418158</v>
      </c>
      <c r="V78" s="33">
        <f t="shared" si="16"/>
        <v>2978085.7272000001</v>
      </c>
      <c r="W78" s="33">
        <f t="shared" si="16"/>
        <v>2128053</v>
      </c>
      <c r="X78" s="33">
        <f t="shared" si="16"/>
        <v>-3929268</v>
      </c>
      <c r="Y78" s="33">
        <f t="shared" si="16"/>
        <v>162180174.65187782</v>
      </c>
      <c r="Z78" s="17"/>
    </row>
    <row r="79" spans="1:26" x14ac:dyDescent="0.2">
      <c r="U79"/>
      <c r="V79"/>
      <c r="W79"/>
      <c r="X79"/>
      <c r="Y79" s="47">
        <f>Y78-[1]Wheatland!$BR$236</f>
        <v>1.4554826021194458</v>
      </c>
    </row>
  </sheetData>
  <mergeCells count="1">
    <mergeCell ref="D5:O5"/>
  </mergeCells>
  <printOptions horizontalCentered="1"/>
  <pageMargins left="0.25" right="0.25" top="0.5" bottom="0.5" header="0.25" footer="0.5"/>
  <pageSetup scale="37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2000-02-15T15:02:00Z</cp:lastPrinted>
  <dcterms:created xsi:type="dcterms:W3CDTF">1999-02-09T14:03:00Z</dcterms:created>
  <dcterms:modified xsi:type="dcterms:W3CDTF">2023-09-13T22:10:09Z</dcterms:modified>
</cp:coreProperties>
</file>