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1736F4-0A66-44A9-BD41-E0B99F9B3E52}" xr6:coauthVersionLast="47" xr6:coauthVersionMax="47" xr10:uidLastSave="{00000000-0000-0000-0000-000000000000}"/>
  <bookViews>
    <workbookView xWindow="-120" yWindow="-120" windowWidth="38640" windowHeight="15720" tabRatio="585" activeTab="2"/>
  </bookViews>
  <sheets>
    <sheet name="Notes" sheetId="23" r:id="rId1"/>
    <sheet name="Tracking Sheet" sheetId="16" r:id="rId2"/>
    <sheet name="Assumptions" sheetId="2" r:id="rId3"/>
    <sheet name="Price Assumption" sheetId="3" r:id="rId4"/>
    <sheet name="IS" sheetId="4" r:id="rId5"/>
    <sheet name="CF" sheetId="5" r:id="rId6"/>
    <sheet name="BS" sheetId="19" state="hidden" r:id="rId7"/>
    <sheet name="Returns" sheetId="25" r:id="rId8"/>
    <sheet name="Debt" sheetId="6" r:id="rId9"/>
    <sheet name="Depreciation" sheetId="7" r:id="rId10"/>
    <sheet name="Taxes" sheetId="8" r:id="rId11"/>
    <sheet name="IDC" sheetId="18" r:id="rId12"/>
    <sheet name="Operational Characteristics" sheetId="24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AnnualHours">Assumptions!#REF!</definedName>
    <definedName name="Begin_Op">[4]Sum!$N$7</definedName>
    <definedName name="chillers">[5]PROJECTCONFIGURATION!$M$65</definedName>
    <definedName name="Deg_Rate">Assumptions!$E$12</definedName>
    <definedName name="idc">#REF!</definedName>
    <definedName name="ISO_MW">Assumptions!$H$10</definedName>
    <definedName name="Main_Table">'[2]Maintenance Reserves'!$D$22:$I$45</definedName>
    <definedName name="Maint_Accrual">Assumptions!#REF!</definedName>
    <definedName name="PERIOD1">'[3]Project Assumptions'!#REF!</definedName>
    <definedName name="PERIOD2">'[3]Project Assumptions'!#REF!</definedName>
    <definedName name="principal">'[3]Debt Amortization'!#REF!</definedName>
    <definedName name="_xlnm.Print_Area" localSheetId="2">Assumptions!$A$3:$P$76</definedName>
    <definedName name="_xlnm.Print_Area" localSheetId="6">BS!$A$2:$AH$9</definedName>
    <definedName name="_xlnm.Print_Area" localSheetId="5">CF!$A$2:$AG$27</definedName>
    <definedName name="_xlnm.Print_Area" localSheetId="8">Debt!$A$14:$AF$68</definedName>
    <definedName name="_xlnm.Print_Area" localSheetId="9">Depreciation!$A$2:$AH$50</definedName>
    <definedName name="_xlnm.Print_Area" localSheetId="11">IDC!$A$2:$I$35</definedName>
    <definedName name="_xlnm.Print_Area" localSheetId="4">IS!$A$2:$AG$46</definedName>
    <definedName name="_xlnm.Print_Area" localSheetId="10">Taxes!$A$2:$AF$44</definedName>
    <definedName name="_xlnm.Print_Titles" localSheetId="6">BS!$A:$A</definedName>
    <definedName name="_xlnm.Print_Titles" localSheetId="5">CF!$A:$A</definedName>
    <definedName name="_xlnm.Print_Titles" localSheetId="8">Debt!$A:$A</definedName>
    <definedName name="_xlnm.Print_Titles" localSheetId="9">Depreciation!$A:$A</definedName>
    <definedName name="_xlnm.Print_Titles" localSheetId="4">IS!$A:$A</definedName>
    <definedName name="_xlnm.Print_Titles" localSheetId="3">'Price Assumption'!$A:$B</definedName>
    <definedName name="_xlnm.Print_Titles" localSheetId="10">Taxes!$A:$A</definedName>
    <definedName name="StartMWh">'[3]Project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N10" i="2" l="1"/>
  <c r="B11" i="2"/>
  <c r="C11" i="2"/>
  <c r="D11" i="2"/>
  <c r="B12" i="2"/>
  <c r="C12" i="2"/>
  <c r="D12" i="2"/>
  <c r="N12" i="2"/>
  <c r="H13" i="2"/>
  <c r="AA13" i="2"/>
  <c r="B14" i="2"/>
  <c r="C14" i="2"/>
  <c r="D14" i="2"/>
  <c r="H14" i="2"/>
  <c r="U14" i="2"/>
  <c r="V14" i="2"/>
  <c r="W14" i="2"/>
  <c r="X14" i="2"/>
  <c r="Y14" i="2"/>
  <c r="Z14" i="2"/>
  <c r="AA14" i="2"/>
  <c r="AB14" i="2"/>
  <c r="H17" i="2"/>
  <c r="B20" i="2"/>
  <c r="C20" i="2"/>
  <c r="D20" i="2"/>
  <c r="B21" i="2"/>
  <c r="C21" i="2"/>
  <c r="D21" i="2"/>
  <c r="B22" i="2"/>
  <c r="D22" i="2"/>
  <c r="B23" i="2"/>
  <c r="D23" i="2"/>
  <c r="B24" i="2"/>
  <c r="D24" i="2"/>
  <c r="B25" i="2"/>
  <c r="D25" i="2"/>
  <c r="B26" i="2"/>
  <c r="D26" i="2"/>
  <c r="N26" i="2"/>
  <c r="P26" i="2"/>
  <c r="B27" i="2"/>
  <c r="D27" i="2"/>
  <c r="B28" i="2"/>
  <c r="D28" i="2"/>
  <c r="O28" i="2"/>
  <c r="B29" i="2"/>
  <c r="D29" i="2"/>
  <c r="O29" i="2"/>
  <c r="B30" i="2"/>
  <c r="D30" i="2"/>
  <c r="O30" i="2"/>
  <c r="B31" i="2"/>
  <c r="D31" i="2"/>
  <c r="G31" i="2"/>
  <c r="O31" i="2"/>
  <c r="B32" i="2"/>
  <c r="D32" i="2"/>
  <c r="O32" i="2"/>
  <c r="B33" i="2"/>
  <c r="D33" i="2"/>
  <c r="G33" i="2"/>
  <c r="O33" i="2"/>
  <c r="B34" i="2"/>
  <c r="C34" i="2"/>
  <c r="D34" i="2"/>
  <c r="G34" i="2"/>
  <c r="H34" i="2"/>
  <c r="O34" i="2"/>
  <c r="N35" i="2"/>
  <c r="O35" i="2"/>
  <c r="B37" i="2"/>
  <c r="D37" i="2"/>
  <c r="B38" i="2"/>
  <c r="D38" i="2"/>
  <c r="G38" i="2"/>
  <c r="H38" i="2"/>
  <c r="N38" i="2"/>
  <c r="O38" i="2"/>
  <c r="B39" i="2"/>
  <c r="D39" i="2"/>
  <c r="O39" i="2"/>
  <c r="B40" i="2"/>
  <c r="D40" i="2"/>
  <c r="N40" i="2"/>
  <c r="O40" i="2"/>
  <c r="B41" i="2"/>
  <c r="D41" i="2"/>
  <c r="N41" i="2"/>
  <c r="O41" i="2"/>
  <c r="B42" i="2"/>
  <c r="D42" i="2"/>
  <c r="N42" i="2"/>
  <c r="O42" i="2"/>
  <c r="B43" i="2"/>
  <c r="D43" i="2"/>
  <c r="B44" i="2"/>
  <c r="D44" i="2"/>
  <c r="B45" i="2"/>
  <c r="D45" i="2"/>
  <c r="B46" i="2"/>
  <c r="C46" i="2"/>
  <c r="D46" i="2"/>
  <c r="H46" i="2"/>
  <c r="B47" i="2"/>
  <c r="D47" i="2"/>
  <c r="G47" i="2"/>
  <c r="H47" i="2"/>
  <c r="B48" i="2"/>
  <c r="C48" i="2"/>
  <c r="D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H56" i="2"/>
  <c r="B58" i="2"/>
  <c r="C58" i="2"/>
  <c r="D58" i="2"/>
  <c r="H59" i="2"/>
  <c r="H61" i="2"/>
  <c r="C62" i="2"/>
  <c r="C63" i="2"/>
  <c r="C66" i="2"/>
  <c r="D66" i="2"/>
  <c r="C69" i="2"/>
  <c r="C70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B5" i="6"/>
  <c r="B6" i="6"/>
  <c r="B7" i="6"/>
  <c r="B8" i="6"/>
  <c r="B9" i="6"/>
  <c r="B10" i="6"/>
  <c r="A14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32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R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D67" i="6"/>
  <c r="D68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6" i="18"/>
  <c r="C7" i="18"/>
  <c r="C8" i="18"/>
  <c r="D8" i="18"/>
  <c r="D15" i="18"/>
  <c r="E15" i="18"/>
  <c r="F15" i="18"/>
  <c r="G15" i="18"/>
  <c r="I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E24" i="18"/>
  <c r="F24" i="18"/>
  <c r="G24" i="18"/>
  <c r="H24" i="18"/>
  <c r="I24" i="18"/>
  <c r="A25" i="18"/>
  <c r="E25" i="18"/>
  <c r="F25" i="18"/>
  <c r="G25" i="18"/>
  <c r="H25" i="18"/>
  <c r="I25" i="18"/>
  <c r="A26" i="18"/>
  <c r="E26" i="18"/>
  <c r="F26" i="18"/>
  <c r="G26" i="18"/>
  <c r="H26" i="18"/>
  <c r="I26" i="18"/>
  <c r="A27" i="18"/>
  <c r="E27" i="18"/>
  <c r="F27" i="18"/>
  <c r="G27" i="18"/>
  <c r="H27" i="18"/>
  <c r="I27" i="18"/>
  <c r="A28" i="18"/>
  <c r="E28" i="18"/>
  <c r="F28" i="18"/>
  <c r="G28" i="18"/>
  <c r="H28" i="18"/>
  <c r="I28" i="18"/>
  <c r="A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A34" i="18"/>
  <c r="E34" i="18"/>
  <c r="F34" i="18"/>
  <c r="G34" i="18"/>
  <c r="H34" i="18"/>
  <c r="I34" i="18"/>
  <c r="C35" i="18"/>
  <c r="D35" i="18"/>
  <c r="E35" i="18"/>
  <c r="F35" i="18"/>
  <c r="H35" i="18"/>
  <c r="E60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2" i="24"/>
  <c r="C9" i="24"/>
  <c r="D9" i="24"/>
  <c r="E9" i="24"/>
  <c r="F9" i="24"/>
  <c r="C10" i="24"/>
  <c r="D10" i="24"/>
  <c r="E10" i="24"/>
  <c r="F10" i="24"/>
  <c r="C11" i="24"/>
  <c r="D11" i="24"/>
  <c r="E11" i="24"/>
  <c r="F11" i="24"/>
  <c r="C13" i="24"/>
  <c r="D13" i="24"/>
  <c r="E13" i="24"/>
  <c r="F13" i="24"/>
  <c r="C15" i="24"/>
  <c r="D15" i="24"/>
  <c r="E15" i="24"/>
  <c r="F15" i="24"/>
  <c r="C16" i="24"/>
  <c r="D16" i="24"/>
  <c r="E16" i="24"/>
  <c r="F16" i="24"/>
  <c r="C19" i="24"/>
  <c r="C24" i="24"/>
  <c r="C26" i="24"/>
  <c r="C27" i="2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B19" i="25"/>
  <c r="B23" i="25"/>
  <c r="C23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B26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G30" i="25"/>
  <c r="B32" i="25"/>
  <c r="C32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B33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2" i="16"/>
  <c r="B10" i="16"/>
  <c r="C10" i="16"/>
  <c r="B13" i="16"/>
  <c r="C13" i="16"/>
  <c r="D13" i="16"/>
  <c r="E13" i="16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47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52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<sst xmlns="http://schemas.openxmlformats.org/spreadsheetml/2006/main" count="572" uniqueCount="455">
  <si>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</si>
  <si>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</si>
  <si>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</si>
  <si>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</si>
  <si>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</si>
  <si>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</si>
  <si>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</si>
  <si>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</si>
  <si>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</si>
  <si>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</si>
  <si>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</si>
  <si>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</si>
  <si>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</si>
  <si>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</si>
  <si>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</si>
  <si>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</si>
  <si>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</si>
  <si>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</si>
  <si>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</si>
  <si>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</si>
  <si>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</si>
  <si>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</si>
  <si>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</si>
  <si>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</si>
  <si>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</si>
  <si>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</si>
  <si>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</si>
  <si>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</si>
  <si>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</si>
  <si>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</si>
  <si>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</si>
  <si>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</si>
  <si>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</si>
  <si>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</si>
  <si>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</si>
  <si>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</si>
  <si>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</si>
  <si>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Utilities, Start Power</t>
  </si>
  <si>
    <t>Admin Fees</t>
  </si>
  <si>
    <t>O&amp;M Fees</t>
  </si>
  <si>
    <t>Custom</t>
  </si>
  <si>
    <t>('000 $)</t>
  </si>
  <si>
    <t>Revenue</t>
  </si>
  <si>
    <t>Total Revenue</t>
  </si>
  <si>
    <t>Expense</t>
  </si>
  <si>
    <t xml:space="preserve">Fuel </t>
  </si>
  <si>
    <t>Utility Start Power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</si>
  <si>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</si>
  <si>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</si>
  <si>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</si>
  <si>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</si>
  <si>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</si>
  <si>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</si>
  <si>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</si>
  <si>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</si>
  <si>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</si>
  <si>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</si>
  <si>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Pre Tax Cash Flow</t>
  </si>
  <si>
    <t>After Tax Cash Flow</t>
  </si>
  <si>
    <t>Spread</t>
  </si>
  <si>
    <t>All In Coupon Rate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</si>
  <si>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</si>
  <si>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</si>
  <si>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</si>
  <si>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</si>
  <si>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</si>
  <si>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</si>
  <si>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</si>
  <si>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</si>
  <si>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</si>
  <si>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</si>
  <si>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</si>
  <si>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</si>
  <si>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</si>
  <si>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</si>
  <si>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</si>
  <si>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>State Income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</si>
  <si>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</si>
  <si>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</si>
  <si>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</si>
  <si>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</si>
  <si>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</si>
  <si>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</si>
  <si>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</si>
  <si>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</si>
  <si>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</si>
  <si>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</si>
  <si>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</si>
  <si>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</si>
  <si>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</si>
  <si>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</si>
  <si>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</si>
  <si>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</si>
  <si>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ANNUAL CASH FLOW AND IRR</t>
  </si>
  <si>
    <t>Equity Closed</t>
  </si>
  <si>
    <t>Debt Issuance</t>
  </si>
  <si>
    <t>Key Stats</t>
  </si>
  <si>
    <t xml:space="preserve">Average DSCR </t>
  </si>
  <si>
    <t>Minimum DSCR</t>
  </si>
  <si>
    <t>Escalated Costs:</t>
  </si>
  <si>
    <t>Non-Escalated Costs:</t>
  </si>
  <si>
    <t>Evaporative Cooler (MW)</t>
  </si>
  <si>
    <t>Base ($/kW-month)</t>
  </si>
  <si>
    <t>Low ($/kW-month)</t>
  </si>
  <si>
    <t>PROJECT DESCRIPTION:</t>
  </si>
  <si>
    <t>Heat Rate (HHV)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</si>
  <si>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</si>
  <si>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</si>
  <si>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</si>
  <si>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</si>
  <si>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</si>
  <si>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</si>
  <si>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PROJECT CASH FLOW</t>
  </si>
  <si>
    <t>EBITDA (000 $)</t>
  </si>
  <si>
    <t>Net Income (000 $)</t>
  </si>
  <si>
    <t>Pre-Tax Cashflow (000 $)</t>
  </si>
  <si>
    <t>After-Tax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</si>
  <si>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</si>
  <si>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</si>
  <si>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</si>
  <si>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</si>
  <si>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</si>
  <si>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</si>
  <si>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</si>
  <si>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</si>
  <si>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</si>
  <si>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</si>
  <si>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</si>
  <si>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</si>
  <si>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</si>
  <si>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</si>
  <si>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Chillers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</si>
  <si>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</si>
  <si>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</si>
  <si>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</si>
  <si>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</si>
  <si>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</si>
  <si>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</si>
  <si>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</si>
  <si>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</si>
  <si>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</si>
  <si>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>Net Generation (MW)</t>
  </si>
  <si>
    <t>FIXED PRICE PERIOD</t>
  </si>
  <si>
    <t>AVGE</t>
  </si>
  <si>
    <t xml:space="preserve">Current </t>
  </si>
  <si>
    <t>TRACKING SHEET</t>
  </si>
  <si>
    <t>Changes</t>
  </si>
  <si>
    <t>Residual Value</t>
  </si>
  <si>
    <t>IRR WITH NO</t>
  </si>
  <si>
    <t>RESIDUAL VALUE</t>
  </si>
  <si>
    <t xml:space="preserve">IRR WITH 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</si>
  <si>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</si>
  <si>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</si>
  <si>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</si>
  <si>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</si>
  <si>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</si>
  <si>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</si>
  <si>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</si>
  <si>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</si>
  <si>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ENRON'S EQUITY CASHFLOW</t>
  </si>
  <si>
    <t xml:space="preserve"> Enron's State Taxes Benefit (Expense)</t>
  </si>
  <si>
    <t xml:space="preserve"> Enron's Federal Taxes Benefit (Expense)</t>
  </si>
  <si>
    <t>Equity Contributions from Enron</t>
  </si>
  <si>
    <t>Enron's Cashflow with No Residual</t>
  </si>
  <si>
    <t>Equity CF</t>
  </si>
  <si>
    <t>Other CF</t>
  </si>
  <si>
    <t>Total CF</t>
  </si>
  <si>
    <t xml:space="preserve">  State Tax Benefit / (Expense)</t>
  </si>
  <si>
    <t xml:space="preserve">  Federal Tax Benefit / (Expense)</t>
  </si>
  <si>
    <t>Other Cashflow</t>
  </si>
  <si>
    <t xml:space="preserve">Term </t>
  </si>
  <si>
    <t xml:space="preserve">Average Life </t>
  </si>
  <si>
    <t>Treasury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</si>
  <si>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</si>
  <si>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</si>
  <si>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</si>
  <si>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</si>
  <si>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</si>
  <si>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</si>
  <si>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</si>
  <si>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</si>
  <si>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</si>
  <si>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</si>
  <si>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</si>
  <si>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</si>
  <si>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</si>
  <si>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</si>
  <si>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</si>
  <si>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</si>
  <si>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</si>
  <si>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</si>
  <si>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</si>
  <si>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</si>
  <si>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</si>
  <si>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</si>
  <si>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</si>
  <si>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</si>
  <si>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</si>
  <si>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</si>
  <si>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</si>
  <si>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</si>
  <si>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</si>
  <si>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</si>
  <si>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</si>
  <si>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</si>
  <si>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</si>
  <si>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Insurance During Construction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</si>
  <si>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</si>
  <si>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</si>
  <si>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</si>
  <si>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</si>
  <si>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</si>
  <si>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</si>
  <si>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</si>
  <si>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PROJECT NAME:</t>
  </si>
  <si>
    <t>No. of Run Hours per year</t>
  </si>
  <si>
    <t>$/kW-year</t>
  </si>
  <si>
    <t xml:space="preserve">  Owner's Engineer</t>
  </si>
  <si>
    <t>$/mW-hour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</si>
  <si>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</si>
  <si>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</si>
  <si>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</si>
  <si>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</si>
  <si>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</si>
  <si>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</si>
  <si>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</si>
  <si>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</si>
  <si>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</si>
  <si>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</si>
  <si>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</si>
  <si>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</si>
  <si>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</si>
  <si>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</si>
  <si>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</si>
  <si>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</si>
  <si>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</si>
  <si>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</si>
  <si>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</si>
  <si>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</si>
  <si>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</si>
  <si>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</si>
  <si>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</si>
  <si>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EPC </t>
    </r>
    <r>
      <rPr>
        <sz val="12"/>
        <color indexed="10"/>
        <rFont val="Times New Roman"/>
        <family val="1"/>
      </rPr>
      <t>(From Engineers/Nepco):</t>
    </r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</si>
  <si>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</si>
  <si>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r>
      <t xml:space="preserve">TAX ASSUMPTIONS </t>
    </r>
    <r>
      <rPr>
        <b/>
        <u/>
        <sz val="12"/>
        <color indexed="10"/>
        <rFont val="Times New Roman"/>
        <family val="1"/>
      </rPr>
      <t>(PROJECT MAY INCLUDE SPECIFIC TAXES):</t>
    </r>
  </si>
  <si>
    <t>000$ -year</t>
  </si>
  <si>
    <t>Variable Operating Cost</t>
  </si>
  <si>
    <t>Fixed Operating Expenses</t>
  </si>
  <si>
    <r>
      <t xml:space="preserve">Soft Cost: </t>
    </r>
    <r>
      <rPr>
        <sz val="12"/>
        <color indexed="10"/>
        <rFont val="Times New Roman"/>
        <family val="1"/>
      </rPr>
      <t>(From Engineers/Asset Management)</t>
    </r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</si>
  <si>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</si>
  <si>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30 Yrs After-Tax Cashflow &amp; w/o Residual Value</t>
  </si>
  <si>
    <t>30 Yrs After-Tax Cashflow &amp; w Residual Value</t>
  </si>
  <si>
    <t>Debt Service Reserve Fee (average 000$)</t>
  </si>
  <si>
    <t>Franchise Tax</t>
  </si>
  <si>
    <t>SOURCES</t>
  </si>
  <si>
    <t>Source</t>
  </si>
  <si>
    <t>Patrick Maloy</t>
  </si>
  <si>
    <t>Use Genco assumption as per Jody Pierce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</si>
  <si>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</si>
  <si>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</si>
  <si>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</si>
  <si>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</si>
  <si>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</si>
  <si>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</si>
  <si>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</si>
  <si>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</si>
  <si>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Turbine (w Carrying Cost)</t>
  </si>
  <si>
    <t xml:space="preserve">  IDC</t>
  </si>
  <si>
    <t>TOTAL PRICE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</si>
  <si>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</si>
  <si>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</si>
  <si>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</si>
  <si>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</si>
  <si>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</si>
  <si>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</si>
  <si>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</si>
  <si>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</si>
  <si>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</si>
  <si>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</si>
  <si>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ENFORCED ON</t>
  </si>
  <si>
    <t>SCHEDULE</t>
  </si>
  <si>
    <t>DELIVERED</t>
  </si>
  <si>
    <t>NUMBER</t>
  </si>
  <si>
    <t>LD'S</t>
  </si>
  <si>
    <t>DELIVERY</t>
  </si>
  <si>
    <t>TURBINES</t>
  </si>
  <si>
    <t>UNIT</t>
  </si>
  <si>
    <t>TURBINE DELIVERY SCHEDULE</t>
  </si>
  <si>
    <t>WestLB Structuring, Restructuring &amp; Legal Fees</t>
  </si>
  <si>
    <t>SUMMARY (000$):</t>
  </si>
  <si>
    <t>Basis Per Turbine</t>
  </si>
  <si>
    <t>Carry Cost Per Turbine</t>
  </si>
  <si>
    <t>Total Construction &amp; Other Hard Costs (000$):</t>
  </si>
  <si>
    <t>Daily (360-Day)</t>
  </si>
  <si>
    <t>15 year MACRS</t>
  </si>
  <si>
    <t>(Project Specific)</t>
  </si>
  <si>
    <t>PRICE ASSUMPTIONS</t>
  </si>
  <si>
    <t>Capacity Price $/kW-month</t>
  </si>
  <si>
    <t>Gas Price $/MMBtu</t>
  </si>
  <si>
    <t>Gas Price Assumption</t>
  </si>
  <si>
    <t>Fuel</t>
  </si>
  <si>
    <t>Fixed</t>
  </si>
  <si>
    <t>Fixed ($/MMBtu)</t>
  </si>
  <si>
    <t>Custom ($/MMBtu)</t>
  </si>
  <si>
    <t>Sales Tax Rate</t>
  </si>
  <si>
    <t>Sales &amp; Used Tax Rate on Fuel (%)</t>
  </si>
  <si>
    <t>Index</t>
  </si>
  <si>
    <t>Index - Average Mid ($/MMBtu)</t>
  </si>
  <si>
    <t>Capacity $</t>
  </si>
  <si>
    <t>Base</t>
  </si>
  <si>
    <t>Low</t>
  </si>
  <si>
    <t>Energy Price $/kW-hour</t>
  </si>
  <si>
    <t>Fuel $/mW-hour</t>
  </si>
  <si>
    <t>Variable O&amp;M ($/mW-hour)</t>
  </si>
  <si>
    <t>Variable Payment ($/mW-hour)</t>
  </si>
  <si>
    <t>Marginal cost of Generation $/MWh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</si>
  <si>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</si>
  <si>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</si>
  <si>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</si>
  <si>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</si>
  <si>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</si>
  <si>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</si>
  <si>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</si>
  <si>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</si>
  <si>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</si>
  <si>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</si>
  <si>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Cashflow Available to Equity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</si>
  <si>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</si>
  <si>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</si>
  <si>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</si>
  <si>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</si>
  <si>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</si>
  <si>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</si>
  <si>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Calculated by Bruce Golden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</si>
  <si>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</si>
  <si>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</si>
  <si>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</si>
  <si>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</si>
  <si>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</si>
  <si>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</si>
  <si>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</si>
  <si>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</si>
  <si>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OPERATIONAL CHARACTERISTICS</t>
  </si>
  <si>
    <t>CAPACITY AND HEAT RATE</t>
  </si>
  <si>
    <t xml:space="preserve">ISO  </t>
  </si>
  <si>
    <t xml:space="preserve">95*  </t>
  </si>
  <si>
    <t>with chilling</t>
  </si>
  <si>
    <t>no chilling</t>
  </si>
  <si>
    <t>Unit Auxiliary Power (MW)</t>
  </si>
  <si>
    <t>Main Power Transformer (MW)</t>
  </si>
  <si>
    <t>Gross Unit Capacity (MW)</t>
  </si>
  <si>
    <t>Gas Compression (MW)</t>
  </si>
  <si>
    <t>Chiller Load</t>
  </si>
  <si>
    <t>Net Plant Capacity</t>
  </si>
  <si>
    <t>Available PSIG</t>
  </si>
  <si>
    <t>suction press.</t>
  </si>
  <si>
    <t>psig</t>
  </si>
  <si>
    <t>discharge press.</t>
  </si>
  <si>
    <t>suction temp.</t>
  </si>
  <si>
    <t>F</t>
  </si>
  <si>
    <t>compressor efficiency</t>
  </si>
  <si>
    <t>design gas flow</t>
  </si>
  <si>
    <t>MMscfd</t>
  </si>
  <si>
    <t>gas compressibility</t>
  </si>
  <si>
    <t xml:space="preserve"> </t>
  </si>
  <si>
    <t>compression ratio</t>
  </si>
  <si>
    <t>compression power</t>
  </si>
  <si>
    <t>kW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</si>
  <si>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</si>
  <si>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</si>
  <si>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</si>
  <si>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</si>
  <si>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</si>
  <si>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</si>
  <si>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</si>
  <si>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</si>
  <si>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Tax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</si>
  <si>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</si>
  <si>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</si>
  <si>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</si>
  <si>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</si>
  <si>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</si>
  <si>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</si>
  <si>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</si>
  <si>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</si>
  <si>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</si>
  <si>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</si>
  <si>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Turbine Technical Info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</si>
  <si>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</si>
  <si>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</si>
  <si>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</si>
  <si>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</si>
  <si>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</si>
  <si>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</si>
  <si>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</si>
  <si>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</si>
  <si>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</si>
  <si>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</si>
  <si>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</si>
  <si>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</si>
  <si>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</si>
  <si>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Model/Process</t>
  </si>
  <si>
    <t>Contacts</t>
  </si>
  <si>
    <t>Subjects</t>
  </si>
  <si>
    <t>Extension</t>
  </si>
  <si>
    <t>Breakeven Capacity Prices</t>
  </si>
  <si>
    <t>Breakeven Capacity Price (first year $/kW-month)</t>
  </si>
  <si>
    <t>Location (State)</t>
  </si>
  <si>
    <t>MO</t>
  </si>
  <si>
    <t>Fixed Price PPA</t>
  </si>
  <si>
    <t>Fixed Price</t>
  </si>
  <si>
    <t>No. of years</t>
  </si>
  <si>
    <t xml:space="preserve">Merchant Price Period </t>
  </si>
  <si>
    <t>Capacity Charge ($/kW-mo)</t>
  </si>
  <si>
    <t>Blended Capacity Price</t>
  </si>
  <si>
    <t xml:space="preserve">Federal Tax, State Tax, Franchise Tax, Sales &amp; Used Tax, NOL </t>
  </si>
  <si>
    <t>(1st year Annualized)</t>
  </si>
  <si>
    <t>When quoting heat rate and capacity to Asset Management, please use average numbers</t>
  </si>
  <si>
    <t>Net Output (MW)</t>
  </si>
  <si>
    <t>Enron's Cashflow with Residual Value</t>
  </si>
  <si>
    <t>Please double check the model/pages before sending out to clients as certain information/comment cells/notes etc. may be too detailed to be disclosed</t>
  </si>
  <si>
    <t>All yellow shaded cells are required input cells</t>
  </si>
  <si>
    <t>Please note that the following are very project specific: state taxe, property tax, gross receipt tax, income stream etc.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</si>
  <si>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</si>
  <si>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</si>
  <si>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</si>
  <si>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</si>
  <si>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</si>
  <si>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</si>
  <si>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The model shows only an example of the economics for a LM6000 project. Please update Capital Cost and O&amp;M estimates given by Engineers for</t>
  </si>
  <si>
    <t>your specific project, and make necessary changes to modify the model for the transaction structure you are trying to model</t>
  </si>
  <si>
    <t>Turbine carrying cost are based on assumptions on the WestLB Structure, the numbers may change after 03/15/00</t>
  </si>
  <si>
    <t>Heat rate and capacity vary depending on gas compression, altitude, etc.. Please double check with Engineers for specific project heat rate and capacity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</si>
  <si>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</si>
  <si>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</si>
  <si>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</si>
  <si>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</si>
  <si>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</si>
  <si>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</si>
  <si>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</si>
  <si>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</si>
  <si>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</si>
  <si>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(Construction)</t>
  </si>
  <si>
    <t>(Debt Anniversay)</t>
  </si>
  <si>
    <t>Pro-rata EBITDA</t>
  </si>
  <si>
    <t>Heat Rate - Plant Net of GSU and Auxiliary (LHV)</t>
  </si>
  <si>
    <t>95 degrees</t>
  </si>
  <si>
    <t>im Simpson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</si>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</sst>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08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b/>
      <i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b/>
      <sz val="12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u/>
      <sz val="14"/>
      <name val="Times New Roman"/>
      <family val="1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">
    <xf numFmtId="0" fontId="0" fillId="0" borderId="0"/>
    <xf numFmtId="0" fontId="43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6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53" fillId="4" borderId="0" applyNumberFormat="0" applyBorder="0" applyAlignment="0" applyProtection="0"/>
    <xf numFmtId="0" fontId="54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5" fillId="0" borderId="2" applyNumberFormat="0" applyFill="0" applyAlignment="0" applyProtection="0"/>
    <xf numFmtId="10" fontId="53" fillId="5" borderId="3" applyNumberFormat="0" applyBorder="0" applyAlignment="0" applyProtection="0"/>
    <xf numFmtId="37" fontId="57" fillId="0" borderId="0"/>
    <xf numFmtId="170" fontId="58" fillId="0" borderId="0"/>
    <xf numFmtId="0" fontId="1" fillId="0" borderId="0"/>
    <xf numFmtId="37" fontId="6" fillId="0" borderId="0" applyBorder="0" applyAlignment="0" applyProtection="0">
      <alignment horizontal="center"/>
    </xf>
    <xf numFmtId="0" fontId="29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53" fillId="8" borderId="0" applyNumberFormat="0" applyBorder="0" applyAlignment="0" applyProtection="0"/>
    <xf numFmtId="37" fontId="53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93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47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12" fillId="0" borderId="0" xfId="0" applyFont="1" applyBorder="1" applyAlignment="1" applyProtection="1">
      <alignment horizontal="left"/>
    </xf>
    <xf numFmtId="166" fontId="3" fillId="0" borderId="0" xfId="3" applyNumberFormat="1" applyFont="1" applyBorder="1"/>
    <xf numFmtId="0" fontId="16" fillId="0" borderId="0" xfId="0" applyFont="1"/>
    <xf numFmtId="0" fontId="18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9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6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6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4" fillId="0" borderId="0" xfId="0" applyFont="1"/>
    <xf numFmtId="0" fontId="25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7" fillId="0" borderId="0" xfId="0" applyFont="1"/>
    <xf numFmtId="0" fontId="17" fillId="0" borderId="0" xfId="0" applyFont="1" applyBorder="1"/>
    <xf numFmtId="0" fontId="17" fillId="0" borderId="11" xfId="0" applyFont="1" applyBorder="1"/>
    <xf numFmtId="179" fontId="17" fillId="0" borderId="12" xfId="0" applyNumberFormat="1" applyFont="1" applyBorder="1"/>
    <xf numFmtId="6" fontId="17" fillId="0" borderId="0" xfId="0" applyNumberFormat="1" applyFont="1"/>
    <xf numFmtId="0" fontId="14" fillId="0" borderId="0" xfId="0" applyFont="1"/>
    <xf numFmtId="0" fontId="17" fillId="0" borderId="13" xfId="0" applyFont="1" applyBorder="1"/>
    <xf numFmtId="0" fontId="9" fillId="0" borderId="0" xfId="0" applyFont="1" applyFill="1"/>
    <xf numFmtId="0" fontId="9" fillId="0" borderId="11" xfId="0" applyFont="1" applyBorder="1" applyAlignment="1">
      <alignment horizontal="centerContinuous"/>
    </xf>
    <xf numFmtId="0" fontId="9" fillId="0" borderId="12" xfId="0" applyFont="1" applyBorder="1" applyAlignment="1">
      <alignment horizontal="centerContinuous"/>
    </xf>
    <xf numFmtId="0" fontId="3" fillId="0" borderId="1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5" xfId="0" applyFont="1" applyBorder="1"/>
    <xf numFmtId="0" fontId="3" fillId="0" borderId="4" xfId="0" applyFont="1" applyBorder="1"/>
    <xf numFmtId="179" fontId="17" fillId="0" borderId="16" xfId="0" applyNumberFormat="1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7" fillId="0" borderId="0" xfId="0" applyFont="1" applyFill="1"/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4" fillId="0" borderId="0" xfId="0" applyFont="1" applyFill="1"/>
    <xf numFmtId="171" fontId="3" fillId="0" borderId="0" xfId="0" applyNumberFormat="1" applyFont="1" applyFill="1" applyProtection="1"/>
    <xf numFmtId="10" fontId="16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6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31" fillId="0" borderId="0" xfId="0" applyFont="1"/>
    <xf numFmtId="0" fontId="3" fillId="0" borderId="17" xfId="0" applyFont="1" applyBorder="1"/>
    <xf numFmtId="38" fontId="3" fillId="0" borderId="0" xfId="0" applyNumberFormat="1" applyFont="1" applyBorder="1"/>
    <xf numFmtId="38" fontId="3" fillId="0" borderId="4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2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21" fillId="0" borderId="18" xfId="0" applyFont="1" applyFill="1" applyBorder="1"/>
    <xf numFmtId="0" fontId="21" fillId="0" borderId="18" xfId="0" applyFont="1" applyFill="1" applyBorder="1" applyAlignment="1" applyProtection="1">
      <alignment horizontal="left"/>
    </xf>
    <xf numFmtId="0" fontId="32" fillId="0" borderId="10" xfId="0" applyFont="1" applyBorder="1" applyAlignment="1" applyProtection="1">
      <alignment horizontal="left"/>
    </xf>
    <xf numFmtId="0" fontId="32" fillId="0" borderId="0" xfId="0" applyFont="1" applyBorder="1" applyAlignment="1">
      <alignment horizontal="center"/>
    </xf>
    <xf numFmtId="0" fontId="24" fillId="0" borderId="0" xfId="0" applyFont="1" applyBorder="1"/>
    <xf numFmtId="0" fontId="24" fillId="0" borderId="10" xfId="0" applyFont="1" applyBorder="1" applyAlignment="1" applyProtection="1">
      <alignment horizontal="left"/>
    </xf>
    <xf numFmtId="10" fontId="24" fillId="0" borderId="10" xfId="0" applyNumberFormat="1" applyFont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4" fillId="0" borderId="10" xfId="0" applyFont="1" applyBorder="1"/>
    <xf numFmtId="0" fontId="24" fillId="0" borderId="9" xfId="0" applyFont="1" applyBorder="1"/>
    <xf numFmtId="0" fontId="24" fillId="0" borderId="19" xfId="0" applyFont="1" applyBorder="1"/>
    <xf numFmtId="0" fontId="24" fillId="0" borderId="6" xfId="0" applyFont="1" applyBorder="1"/>
    <xf numFmtId="0" fontId="32" fillId="0" borderId="10" xfId="0" applyFont="1" applyBorder="1"/>
    <xf numFmtId="0" fontId="24" fillId="0" borderId="10" xfId="0" applyFont="1" applyBorder="1" applyAlignment="1">
      <alignment horizontal="left"/>
    </xf>
    <xf numFmtId="37" fontId="24" fillId="0" borderId="0" xfId="0" applyNumberFormat="1" applyFont="1" applyFill="1" applyBorder="1" applyAlignment="1">
      <alignment horizontal="center"/>
    </xf>
    <xf numFmtId="173" fontId="24" fillId="0" borderId="0" xfId="0" applyNumberFormat="1" applyFont="1" applyBorder="1" applyAlignment="1">
      <alignment horizontal="center"/>
    </xf>
    <xf numFmtId="0" fontId="32" fillId="0" borderId="0" xfId="0" applyFont="1" applyBorder="1"/>
    <xf numFmtId="212" fontId="24" fillId="0" borderId="0" xfId="3" applyNumberFormat="1" applyFont="1" applyBorder="1" applyAlignment="1">
      <alignment horizontal="center"/>
    </xf>
    <xf numFmtId="38" fontId="24" fillId="0" borderId="0" xfId="0" applyNumberFormat="1" applyFont="1" applyBorder="1"/>
    <xf numFmtId="38" fontId="24" fillId="0" borderId="0" xfId="0" applyNumberFormat="1" applyFont="1" applyBorder="1" applyAlignment="1">
      <alignment horizontal="center"/>
    </xf>
    <xf numFmtId="38" fontId="24" fillId="0" borderId="6" xfId="0" applyNumberFormat="1" applyFont="1" applyBorder="1" applyAlignment="1">
      <alignment horizontal="center"/>
    </xf>
    <xf numFmtId="0" fontId="24" fillId="0" borderId="7" xfId="0" applyFont="1" applyFill="1" applyBorder="1"/>
    <xf numFmtId="0" fontId="21" fillId="0" borderId="7" xfId="0" applyFont="1" applyFill="1" applyBorder="1" applyAlignment="1">
      <alignment horizontal="centerContinuous"/>
    </xf>
    <xf numFmtId="0" fontId="32" fillId="0" borderId="10" xfId="0" applyFont="1" applyFill="1" applyBorder="1"/>
    <xf numFmtId="0" fontId="24" fillId="0" borderId="10" xfId="0" applyFont="1" applyFill="1" applyBorder="1"/>
    <xf numFmtId="0" fontId="24" fillId="0" borderId="19" xfId="0" applyFont="1" applyFill="1" applyBorder="1"/>
    <xf numFmtId="0" fontId="9" fillId="0" borderId="10" xfId="0" applyFont="1" applyBorder="1"/>
    <xf numFmtId="0" fontId="24" fillId="0" borderId="7" xfId="0" applyFont="1" applyBorder="1"/>
    <xf numFmtId="0" fontId="24" fillId="0" borderId="8" xfId="0" applyFont="1" applyBorder="1"/>
    <xf numFmtId="0" fontId="24" fillId="0" borderId="20" xfId="0" applyFont="1" applyBorder="1" applyAlignment="1">
      <alignment horizontal="centerContinuous"/>
    </xf>
    <xf numFmtId="0" fontId="24" fillId="0" borderId="21" xfId="0" applyFont="1" applyBorder="1" applyAlignment="1">
      <alignment horizontal="centerContinuous"/>
    </xf>
    <xf numFmtId="4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38" fontId="3" fillId="0" borderId="4" xfId="3" applyNumberFormat="1" applyFont="1" applyBorder="1"/>
    <xf numFmtId="7" fontId="24" fillId="0" borderId="0" xfId="3" applyNumberFormat="1" applyFont="1" applyBorder="1"/>
    <xf numFmtId="44" fontId="24" fillId="0" borderId="0" xfId="4" applyFont="1" applyFill="1" applyBorder="1"/>
    <xf numFmtId="43" fontId="24" fillId="0" borderId="0" xfId="0" applyNumberFormat="1" applyFont="1" applyBorder="1"/>
    <xf numFmtId="0" fontId="21" fillId="0" borderId="0" xfId="3" applyNumberFormat="1" applyFont="1" applyBorder="1" applyAlignment="1">
      <alignment horizontal="right"/>
    </xf>
    <xf numFmtId="2" fontId="34" fillId="0" borderId="0" xfId="3" applyNumberFormat="1" applyFont="1" applyFill="1" applyBorder="1" applyAlignment="1">
      <alignment horizontal="right"/>
    </xf>
    <xf numFmtId="44" fontId="24" fillId="0" borderId="0" xfId="4" applyFont="1" applyBorder="1" applyAlignment="1">
      <alignment horizontal="right"/>
    </xf>
    <xf numFmtId="40" fontId="24" fillId="0" borderId="0" xfId="3" applyNumberFormat="1" applyFont="1" applyFill="1" applyBorder="1" applyAlignment="1">
      <alignment horizontal="right"/>
    </xf>
    <xf numFmtId="0" fontId="9" fillId="0" borderId="0" xfId="0" applyFont="1" applyBorder="1"/>
    <xf numFmtId="1" fontId="34" fillId="0" borderId="0" xfId="3" applyNumberFormat="1" applyFont="1" applyFill="1" applyBorder="1" applyAlignment="1">
      <alignment horizontal="right"/>
    </xf>
    <xf numFmtId="43" fontId="32" fillId="0" borderId="0" xfId="3" applyNumberFormat="1" applyFont="1" applyBorder="1" applyAlignment="1">
      <alignment horizontal="right"/>
    </xf>
    <xf numFmtId="7" fontId="24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3" fillId="0" borderId="0" xfId="3" applyNumberFormat="1" applyFont="1" applyBorder="1"/>
    <xf numFmtId="10" fontId="15" fillId="0" borderId="0" xfId="3" applyNumberFormat="1" applyFont="1" applyBorder="1"/>
    <xf numFmtId="166" fontId="15" fillId="0" borderId="0" xfId="3" applyNumberFormat="1" applyFont="1" applyBorder="1" applyProtection="1"/>
    <xf numFmtId="166" fontId="2" fillId="0" borderId="0" xfId="3" applyNumberFormat="1" applyFont="1" applyBorder="1"/>
    <xf numFmtId="166" fontId="13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21" fillId="0" borderId="0" xfId="0" applyFont="1" applyBorder="1"/>
    <xf numFmtId="0" fontId="21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4" fillId="0" borderId="0" xfId="0" applyFont="1" applyBorder="1"/>
    <xf numFmtId="0" fontId="26" fillId="0" borderId="0" xfId="0" applyFont="1" applyBorder="1"/>
    <xf numFmtId="0" fontId="18" fillId="0" borderId="6" xfId="0" applyFont="1" applyBorder="1"/>
    <xf numFmtId="0" fontId="18" fillId="0" borderId="0" xfId="0" applyFont="1" applyBorder="1"/>
    <xf numFmtId="38" fontId="24" fillId="0" borderId="0" xfId="3" applyNumberFormat="1" applyFont="1" applyFill="1" applyBorder="1" applyAlignment="1" applyProtection="1">
      <alignment horizontal="center"/>
    </xf>
    <xf numFmtId="38" fontId="24" fillId="0" borderId="6" xfId="3" applyNumberFormat="1" applyFont="1" applyFill="1" applyBorder="1" applyAlignment="1" applyProtection="1">
      <alignment horizontal="center"/>
    </xf>
    <xf numFmtId="10" fontId="24" fillId="0" borderId="0" xfId="0" applyNumberFormat="1" applyFont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9" fontId="21" fillId="0" borderId="0" xfId="0" applyNumberFormat="1" applyFont="1" applyBorder="1" applyAlignment="1" applyProtection="1">
      <alignment horizontal="center"/>
    </xf>
    <xf numFmtId="14" fontId="26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4" fillId="0" borderId="0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Continuous"/>
    </xf>
    <xf numFmtId="10" fontId="24" fillId="0" borderId="0" xfId="20" applyNumberFormat="1" applyFont="1" applyFill="1" applyBorder="1"/>
    <xf numFmtId="40" fontId="24" fillId="0" borderId="0" xfId="0" applyNumberFormat="1" applyFont="1" applyFill="1" applyBorder="1"/>
    <xf numFmtId="1" fontId="24" fillId="0" borderId="0" xfId="0" applyNumberFormat="1" applyFont="1" applyFill="1" applyBorder="1"/>
    <xf numFmtId="43" fontId="24" fillId="0" borderId="0" xfId="3" applyFont="1" applyFill="1" applyBorder="1"/>
    <xf numFmtId="38" fontId="24" fillId="0" borderId="0" xfId="0" applyNumberFormat="1" applyFont="1" applyFill="1" applyBorder="1"/>
    <xf numFmtId="43" fontId="24" fillId="0" borderId="0" xfId="0" applyNumberFormat="1" applyFont="1" applyFill="1" applyBorder="1"/>
    <xf numFmtId="38" fontId="24" fillId="0" borderId="0" xfId="0" applyNumberFormat="1" applyFont="1"/>
    <xf numFmtId="0" fontId="21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166" fontId="24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0" fillId="0" borderId="0" xfId="0" applyFont="1"/>
    <xf numFmtId="38" fontId="24" fillId="0" borderId="9" xfId="0" applyNumberFormat="1" applyFont="1" applyBorder="1" applyAlignment="1">
      <alignment horizontal="center"/>
    </xf>
    <xf numFmtId="164" fontId="24" fillId="0" borderId="0" xfId="0" applyNumberFormat="1" applyFont="1" applyBorder="1" applyAlignment="1">
      <alignment horizontal="center"/>
    </xf>
    <xf numFmtId="164" fontId="24" fillId="0" borderId="0" xfId="20" applyNumberFormat="1" applyFont="1" applyBorder="1" applyAlignment="1">
      <alignment horizontal="center"/>
    </xf>
    <xf numFmtId="38" fontId="3" fillId="0" borderId="0" xfId="3" applyNumberFormat="1" applyFont="1" applyBorder="1"/>
    <xf numFmtId="0" fontId="32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2" fillId="0" borderId="9" xfId="0" applyFont="1" applyBorder="1" applyAlignment="1">
      <alignment horizontal="center"/>
    </xf>
    <xf numFmtId="0" fontId="20" fillId="0" borderId="18" xfId="0" applyFont="1" applyFill="1" applyBorder="1" applyAlignment="1">
      <alignment horizontal="left"/>
    </xf>
    <xf numFmtId="0" fontId="24" fillId="0" borderId="7" xfId="0" applyFont="1" applyBorder="1" applyAlignment="1">
      <alignment horizontal="center"/>
    </xf>
    <xf numFmtId="0" fontId="3" fillId="0" borderId="19" xfId="0" applyFont="1" applyBorder="1"/>
    <xf numFmtId="173" fontId="3" fillId="0" borderId="22" xfId="0" applyNumberFormat="1" applyFont="1" applyFill="1" applyBorder="1" applyAlignment="1">
      <alignment horizontal="center"/>
    </xf>
    <xf numFmtId="173" fontId="3" fillId="0" borderId="0" xfId="0" applyNumberFormat="1" applyFont="1" applyFill="1"/>
    <xf numFmtId="0" fontId="3" fillId="0" borderId="0" xfId="0" applyFont="1" applyFill="1" applyBorder="1" applyAlignment="1">
      <alignment horizontal="left"/>
    </xf>
    <xf numFmtId="179" fontId="17" fillId="0" borderId="0" xfId="0" applyNumberFormat="1" applyFont="1" applyBorder="1" applyAlignment="1">
      <alignment horizontal="right"/>
    </xf>
    <xf numFmtId="0" fontId="17" fillId="0" borderId="23" xfId="0" applyFont="1" applyBorder="1"/>
    <xf numFmtId="0" fontId="24" fillId="0" borderId="0" xfId="0" applyFont="1" applyFill="1" applyBorder="1"/>
    <xf numFmtId="0" fontId="31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5" fillId="0" borderId="0" xfId="3" applyNumberFormat="1" applyFont="1"/>
    <xf numFmtId="10" fontId="2" fillId="0" borderId="3" xfId="20" applyNumberFormat="1" applyFont="1" applyBorder="1"/>
    <xf numFmtId="0" fontId="21" fillId="0" borderId="10" xfId="0" applyFont="1" applyFill="1" applyBorder="1"/>
    <xf numFmtId="164" fontId="21" fillId="0" borderId="6" xfId="20" applyNumberFormat="1" applyFont="1" applyBorder="1" applyAlignment="1">
      <alignment horizontal="center"/>
    </xf>
    <xf numFmtId="164" fontId="32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7" fillId="0" borderId="10" xfId="0" applyFont="1" applyBorder="1" applyAlignment="1" applyProtection="1">
      <alignment horizontal="left"/>
    </xf>
    <xf numFmtId="0" fontId="21" fillId="0" borderId="19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4" fillId="0" borderId="9" xfId="20" applyFont="1" applyBorder="1" applyAlignment="1">
      <alignment horizontal="center"/>
    </xf>
    <xf numFmtId="9" fontId="24" fillId="0" borderId="9" xfId="20" applyFont="1" applyFill="1" applyBorder="1" applyAlignment="1">
      <alignment horizontal="center"/>
    </xf>
    <xf numFmtId="9" fontId="24" fillId="0" borderId="17" xfId="20" applyFont="1" applyBorder="1" applyAlignment="1">
      <alignment horizontal="center"/>
    </xf>
    <xf numFmtId="38" fontId="24" fillId="0" borderId="17" xfId="0" applyNumberFormat="1" applyFont="1" applyBorder="1" applyAlignment="1">
      <alignment horizontal="center"/>
    </xf>
    <xf numFmtId="0" fontId="15" fillId="0" borderId="0" xfId="0" applyFont="1" applyFill="1"/>
    <xf numFmtId="0" fontId="24" fillId="0" borderId="24" xfId="0" applyFont="1" applyBorder="1"/>
    <xf numFmtId="0" fontId="24" fillId="0" borderId="4" xfId="0" applyFont="1" applyBorder="1" applyAlignment="1">
      <alignment horizontal="center"/>
    </xf>
    <xf numFmtId="0" fontId="24" fillId="0" borderId="25" xfId="0" applyFont="1" applyBorder="1" applyAlignment="1">
      <alignment horizontal="center"/>
    </xf>
    <xf numFmtId="10" fontId="9" fillId="0" borderId="0" xfId="0" applyNumberFormat="1" applyFont="1" applyFill="1" applyBorder="1"/>
    <xf numFmtId="179" fontId="9" fillId="0" borderId="0" xfId="3" applyNumberFormat="1" applyFont="1" applyFill="1" applyBorder="1"/>
    <xf numFmtId="0" fontId="9" fillId="0" borderId="19" xfId="0" applyFont="1" applyFill="1" applyBorder="1"/>
    <xf numFmtId="10" fontId="9" fillId="0" borderId="6" xfId="0" applyNumberFormat="1" applyFont="1" applyFill="1" applyBorder="1"/>
    <xf numFmtId="179" fontId="9" fillId="0" borderId="6" xfId="3" applyNumberFormat="1" applyFont="1" applyFill="1" applyBorder="1"/>
    <xf numFmtId="179" fontId="9" fillId="0" borderId="17" xfId="3" applyNumberFormat="1" applyFont="1" applyFill="1" applyBorder="1"/>
    <xf numFmtId="179" fontId="24" fillId="0" borderId="7" xfId="3" applyNumberFormat="1" applyFont="1" applyFill="1" applyBorder="1"/>
    <xf numFmtId="179" fontId="24" fillId="0" borderId="8" xfId="3" applyNumberFormat="1" applyFont="1" applyFill="1" applyBorder="1"/>
    <xf numFmtId="0" fontId="9" fillId="0" borderId="0" xfId="0" applyFont="1" applyFill="1" applyBorder="1"/>
    <xf numFmtId="0" fontId="40" fillId="0" borderId="18" xfId="0" applyFont="1" applyBorder="1"/>
    <xf numFmtId="10" fontId="24" fillId="0" borderId="7" xfId="20" applyNumberFormat="1" applyFont="1" applyBorder="1"/>
    <xf numFmtId="10" fontId="24" fillId="0" borderId="0" xfId="20" applyNumberFormat="1" applyFont="1" applyBorder="1"/>
    <xf numFmtId="10" fontId="24" fillId="0" borderId="6" xfId="20" applyNumberFormat="1" applyFont="1" applyBorder="1"/>
    <xf numFmtId="0" fontId="24" fillId="0" borderId="17" xfId="0" applyFont="1" applyBorder="1"/>
    <xf numFmtId="38" fontId="3" fillId="8" borderId="0" xfId="0" applyNumberFormat="1" applyFont="1" applyFill="1"/>
    <xf numFmtId="6" fontId="32" fillId="0" borderId="0" xfId="0" quotePrefix="1" applyNumberFormat="1" applyFont="1" applyBorder="1" applyAlignment="1">
      <alignment horizontal="center"/>
    </xf>
    <xf numFmtId="38" fontId="24" fillId="0" borderId="0" xfId="3" applyNumberFormat="1" applyFont="1" applyBorder="1" applyAlignment="1">
      <alignment horizontal="center"/>
    </xf>
    <xf numFmtId="38" fontId="21" fillId="0" borderId="0" xfId="3" applyNumberFormat="1" applyFont="1" applyBorder="1" applyAlignment="1" applyProtection="1">
      <alignment horizontal="center"/>
    </xf>
    <xf numFmtId="0" fontId="32" fillId="0" borderId="0" xfId="0" quotePrefix="1" applyFont="1" applyBorder="1" applyAlignment="1">
      <alignment horizontal="center"/>
    </xf>
    <xf numFmtId="38" fontId="24" fillId="0" borderId="0" xfId="3" applyNumberFormat="1" applyFont="1" applyFill="1" applyBorder="1" applyAlignment="1">
      <alignment horizontal="center"/>
    </xf>
    <xf numFmtId="38" fontId="21" fillId="0" borderId="6" xfId="3" applyNumberFormat="1" applyFont="1" applyFill="1" applyBorder="1" applyAlignment="1">
      <alignment horizontal="center"/>
    </xf>
    <xf numFmtId="38" fontId="37" fillId="0" borderId="0" xfId="0" applyNumberFormat="1" applyFont="1"/>
    <xf numFmtId="0" fontId="21" fillId="0" borderId="7" xfId="0" applyFont="1" applyBorder="1" applyAlignment="1">
      <alignment horizontal="centerContinuous"/>
    </xf>
    <xf numFmtId="38" fontId="35" fillId="0" borderId="9" xfId="0" applyNumberFormat="1" applyFont="1" applyBorder="1" applyAlignment="1">
      <alignment horizontal="center"/>
    </xf>
    <xf numFmtId="38" fontId="24" fillId="0" borderId="7" xfId="0" applyNumberFormat="1" applyFont="1" applyBorder="1"/>
    <xf numFmtId="38" fontId="24" fillId="0" borderId="6" xfId="0" applyNumberFormat="1" applyFont="1" applyBorder="1"/>
    <xf numFmtId="38" fontId="35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6" fillId="0" borderId="0" xfId="0" applyNumberFormat="1" applyFont="1" applyBorder="1" applyAlignment="1">
      <alignment horizontal="center"/>
    </xf>
    <xf numFmtId="0" fontId="39" fillId="0" borderId="0" xfId="0" applyFont="1"/>
    <xf numFmtId="37" fontId="3" fillId="0" borderId="0" xfId="18" applyFont="1" applyBorder="1" applyAlignment="1">
      <alignment horizontal="left"/>
    </xf>
    <xf numFmtId="0" fontId="32" fillId="0" borderId="6" xfId="0" applyFont="1" applyBorder="1"/>
    <xf numFmtId="187" fontId="38" fillId="0" borderId="0" xfId="0" applyNumberFormat="1" applyFont="1" applyAlignment="1">
      <alignment horizontal="center"/>
    </xf>
    <xf numFmtId="0" fontId="21" fillId="0" borderId="6" xfId="3" applyNumberFormat="1" applyFont="1" applyBorder="1" applyAlignment="1">
      <alignment horizontal="center"/>
    </xf>
    <xf numFmtId="322" fontId="38" fillId="0" borderId="0" xfId="0" applyNumberFormat="1" applyFont="1" applyAlignment="1">
      <alignment horizontal="center"/>
    </xf>
    <xf numFmtId="187" fontId="26" fillId="0" borderId="0" xfId="0" applyNumberFormat="1" applyFont="1" applyAlignment="1">
      <alignment horizontal="center"/>
    </xf>
    <xf numFmtId="187" fontId="26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6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38" fontId="2" fillId="0" borderId="0" xfId="3" applyNumberFormat="1" applyFont="1"/>
    <xf numFmtId="38" fontId="15" fillId="0" borderId="0" xfId="3" applyNumberFormat="1" applyFont="1"/>
    <xf numFmtId="38" fontId="26" fillId="0" borderId="0" xfId="20" applyNumberFormat="1" applyFont="1"/>
    <xf numFmtId="38" fontId="15" fillId="8" borderId="0" xfId="3" applyNumberFormat="1" applyFont="1" applyFill="1"/>
    <xf numFmtId="0" fontId="15" fillId="0" borderId="0" xfId="0" applyFont="1" applyBorder="1"/>
    <xf numFmtId="38" fontId="3" fillId="0" borderId="0" xfId="0" applyNumberFormat="1" applyFont="1" applyFill="1" applyAlignment="1">
      <alignment horizontal="right"/>
    </xf>
    <xf numFmtId="0" fontId="40" fillId="0" borderId="0" xfId="0" applyFont="1"/>
    <xf numFmtId="38" fontId="24" fillId="0" borderId="0" xfId="0" applyNumberFormat="1" applyFont="1" applyFill="1" applyBorder="1" applyAlignment="1">
      <alignment horizontal="right"/>
    </xf>
    <xf numFmtId="204" fontId="24" fillId="0" borderId="0" xfId="0" applyNumberFormat="1" applyFont="1" applyFill="1" applyBorder="1"/>
    <xf numFmtId="38" fontId="37" fillId="0" borderId="0" xfId="0" applyNumberFormat="1" applyFont="1" applyBorder="1"/>
    <xf numFmtId="38" fontId="37" fillId="0" borderId="0" xfId="0" applyNumberFormat="1" applyFont="1" applyFill="1" applyBorder="1"/>
    <xf numFmtId="40" fontId="37" fillId="0" borderId="0" xfId="0" applyNumberFormat="1" applyFont="1" applyFill="1" applyBorder="1"/>
    <xf numFmtId="40" fontId="37" fillId="0" borderId="6" xfId="0" applyNumberFormat="1" applyFont="1" applyFill="1" applyBorder="1"/>
    <xf numFmtId="43" fontId="3" fillId="0" borderId="0" xfId="0" applyNumberFormat="1" applyFont="1"/>
    <xf numFmtId="0" fontId="95" fillId="0" borderId="0" xfId="19" applyFont="1" applyBorder="1" applyAlignment="1">
      <alignment horizontal="center"/>
    </xf>
    <xf numFmtId="0" fontId="18" fillId="0" borderId="0" xfId="19" applyFont="1" applyBorder="1" applyAlignment="1">
      <alignment horizontal="center"/>
    </xf>
    <xf numFmtId="14" fontId="18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2" fillId="0" borderId="0" xfId="18" applyFont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7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8" fillId="8" borderId="0" xfId="3" applyNumberFormat="1" applyFont="1" applyFill="1" applyBorder="1"/>
    <xf numFmtId="166" fontId="18" fillId="0" borderId="0" xfId="3" applyNumberFormat="1" applyFont="1" applyBorder="1"/>
    <xf numFmtId="166" fontId="18" fillId="0" borderId="0" xfId="3" applyNumberFormat="1" applyFont="1"/>
    <xf numFmtId="10" fontId="2" fillId="8" borderId="0" xfId="20" applyNumberFormat="1" applyFont="1" applyFill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6" fillId="8" borderId="0" xfId="3" applyNumberFormat="1" applyFont="1" applyFill="1" applyBorder="1"/>
    <xf numFmtId="166" fontId="96" fillId="0" borderId="0" xfId="3" applyNumberFormat="1" applyFont="1" applyBorder="1"/>
    <xf numFmtId="0" fontId="98" fillId="0" borderId="0" xfId="0" applyFont="1"/>
    <xf numFmtId="0" fontId="98" fillId="0" borderId="0" xfId="0" applyFont="1" applyFill="1"/>
    <xf numFmtId="10" fontId="24" fillId="0" borderId="0" xfId="0" applyNumberFormat="1" applyFont="1" applyBorder="1" applyAlignment="1" applyProtection="1">
      <alignment horizontal="center"/>
    </xf>
    <xf numFmtId="0" fontId="24" fillId="0" borderId="19" xfId="0" applyFont="1" applyFill="1" applyBorder="1" applyAlignment="1" applyProtection="1">
      <alignment horizontal="left"/>
    </xf>
    <xf numFmtId="0" fontId="9" fillId="0" borderId="10" xfId="0" applyFont="1" applyFill="1" applyBorder="1" applyAlignment="1" applyProtection="1">
      <alignment horizontal="left"/>
    </xf>
    <xf numFmtId="38" fontId="24" fillId="8" borderId="0" xfId="3" applyNumberFormat="1" applyFont="1" applyFill="1" applyBorder="1" applyAlignment="1">
      <alignment horizontal="center"/>
    </xf>
    <xf numFmtId="38" fontId="32" fillId="8" borderId="0" xfId="3" applyNumberFormat="1" applyFont="1" applyFill="1" applyBorder="1" applyAlignment="1">
      <alignment horizontal="center"/>
    </xf>
    <xf numFmtId="38" fontId="24" fillId="8" borderId="0" xfId="0" applyNumberFormat="1" applyFont="1" applyFill="1" applyBorder="1"/>
    <xf numFmtId="40" fontId="24" fillId="8" borderId="0" xfId="0" applyNumberFormat="1" applyFont="1" applyFill="1" applyBorder="1"/>
    <xf numFmtId="15" fontId="24" fillId="8" borderId="0" xfId="0" applyNumberFormat="1" applyFont="1" applyFill="1" applyBorder="1"/>
    <xf numFmtId="166" fontId="24" fillId="8" borderId="0" xfId="3" applyNumberFormat="1" applyFont="1" applyFill="1" applyBorder="1"/>
    <xf numFmtId="313" fontId="24" fillId="8" borderId="0" xfId="0" applyNumberFormat="1" applyFont="1" applyFill="1" applyBorder="1" applyAlignment="1" applyProtection="1">
      <alignment horizontal="right"/>
    </xf>
    <xf numFmtId="37" fontId="24" fillId="8" borderId="0" xfId="0" applyNumberFormat="1" applyFont="1" applyFill="1" applyBorder="1" applyAlignment="1">
      <alignment horizontal="center"/>
    </xf>
    <xf numFmtId="173" fontId="24" fillId="8" borderId="0" xfId="0" applyNumberFormat="1" applyFont="1" applyFill="1" applyBorder="1" applyAlignment="1">
      <alignment horizontal="center"/>
    </xf>
    <xf numFmtId="173" fontId="32" fillId="8" borderId="0" xfId="0" applyNumberFormat="1" applyFont="1" applyFill="1" applyBorder="1" applyAlignment="1">
      <alignment horizontal="center"/>
    </xf>
    <xf numFmtId="10" fontId="24" fillId="8" borderId="0" xfId="0" applyNumberFormat="1" applyFont="1" applyFill="1" applyBorder="1" applyAlignment="1">
      <alignment horizontal="center"/>
    </xf>
    <xf numFmtId="9" fontId="24" fillId="8" borderId="0" xfId="0" applyNumberFormat="1" applyFont="1" applyFill="1" applyBorder="1" applyAlignment="1">
      <alignment horizontal="center"/>
    </xf>
    <xf numFmtId="38" fontId="24" fillId="8" borderId="6" xfId="0" applyNumberFormat="1" applyFont="1" applyFill="1" applyBorder="1"/>
    <xf numFmtId="10" fontId="24" fillId="8" borderId="0" xfId="20" applyNumberFormat="1" applyFont="1" applyFill="1" applyBorder="1"/>
    <xf numFmtId="43" fontId="24" fillId="8" borderId="9" xfId="3" applyNumberFormat="1" applyFont="1" applyFill="1" applyBorder="1"/>
    <xf numFmtId="0" fontId="32" fillId="0" borderId="7" xfId="0" applyFont="1" applyFill="1" applyBorder="1" applyAlignment="1">
      <alignment horizontal="centerContinuous"/>
    </xf>
    <xf numFmtId="10" fontId="24" fillId="0" borderId="0" xfId="0" applyNumberFormat="1" applyFont="1" applyFill="1" applyBorder="1"/>
    <xf numFmtId="43" fontId="24" fillId="0" borderId="0" xfId="3" applyFont="1" applyFill="1" applyBorder="1" applyAlignment="1">
      <alignment horizontal="center"/>
    </xf>
    <xf numFmtId="10" fontId="24" fillId="0" borderId="0" xfId="20" applyNumberFormat="1" applyFont="1" applyFill="1" applyBorder="1" applyAlignment="1">
      <alignment horizontal="center"/>
    </xf>
    <xf numFmtId="9" fontId="32" fillId="0" borderId="9" xfId="20" applyFont="1" applyFill="1" applyBorder="1" applyAlignment="1">
      <alignment horizontal="center"/>
    </xf>
    <xf numFmtId="43" fontId="24" fillId="0" borderId="6" xfId="3" applyFont="1" applyFill="1" applyBorder="1" applyAlignment="1">
      <alignment horizontal="center"/>
    </xf>
    <xf numFmtId="43" fontId="24" fillId="8" borderId="0" xfId="3" applyNumberFormat="1" applyFont="1" applyFill="1" applyBorder="1" applyAlignment="1">
      <alignment horizontal="right"/>
    </xf>
    <xf numFmtId="164" fontId="3" fillId="8" borderId="0" xfId="20" applyNumberFormat="1" applyFont="1" applyFill="1" applyBorder="1" applyAlignment="1">
      <alignment horizontal="center"/>
    </xf>
    <xf numFmtId="9" fontId="15" fillId="8" borderId="0" xfId="19" applyNumberFormat="1" applyFont="1" applyFill="1" applyBorder="1" applyAlignment="1">
      <alignment horizontal="center"/>
    </xf>
    <xf numFmtId="9" fontId="24" fillId="0" borderId="0" xfId="20" applyFont="1" applyFill="1" applyBorder="1" applyAlignment="1">
      <alignment horizontal="center"/>
    </xf>
    <xf numFmtId="9" fontId="24" fillId="0" borderId="6" xfId="0" applyNumberFormat="1" applyFont="1" applyFill="1" applyBorder="1" applyAlignment="1">
      <alignment horizontal="center"/>
    </xf>
    <xf numFmtId="43" fontId="24" fillId="8" borderId="0" xfId="3" applyNumberFormat="1" applyFont="1" applyFill="1" applyBorder="1"/>
    <xf numFmtId="40" fontId="37" fillId="8" borderId="0" xfId="0" applyNumberFormat="1" applyFont="1" applyFill="1" applyBorder="1"/>
    <xf numFmtId="38" fontId="32" fillId="0" borderId="0" xfId="0" applyNumberFormat="1" applyFont="1" applyBorder="1" applyAlignment="1">
      <alignment horizontal="center"/>
    </xf>
    <xf numFmtId="38" fontId="24" fillId="0" borderId="0" xfId="0" applyNumberFormat="1" applyFont="1" applyFill="1" applyBorder="1" applyAlignment="1">
      <alignment horizontal="center"/>
    </xf>
    <xf numFmtId="38" fontId="24" fillId="0" borderId="6" xfId="0" applyNumberFormat="1" applyFont="1" applyFill="1" applyBorder="1" applyAlignment="1">
      <alignment horizontal="center"/>
    </xf>
    <xf numFmtId="40" fontId="24" fillId="8" borderId="0" xfId="3" applyNumberFormat="1" applyFont="1" applyFill="1" applyBorder="1" applyAlignment="1">
      <alignment horizontal="right"/>
    </xf>
    <xf numFmtId="166" fontId="24" fillId="0" borderId="0" xfId="3" applyNumberFormat="1" applyFont="1" applyFill="1" applyBorder="1"/>
    <xf numFmtId="10" fontId="24" fillId="8" borderId="6" xfId="20" applyNumberFormat="1" applyFont="1" applyFill="1" applyBorder="1"/>
    <xf numFmtId="166" fontId="24" fillId="0" borderId="6" xfId="3" applyNumberFormat="1" applyFont="1" applyBorder="1"/>
    <xf numFmtId="166" fontId="24" fillId="0" borderId="6" xfId="3" applyNumberFormat="1" applyFont="1" applyFill="1" applyBorder="1"/>
    <xf numFmtId="10" fontId="3" fillId="0" borderId="0" xfId="20" applyNumberFormat="1" applyFont="1" applyFill="1" applyProtection="1"/>
    <xf numFmtId="38" fontId="24" fillId="0" borderId="7" xfId="0" applyNumberFormat="1" applyFont="1" applyFill="1" applyBorder="1"/>
    <xf numFmtId="0" fontId="3" fillId="0" borderId="7" xfId="0" applyFont="1" applyFill="1" applyBorder="1"/>
    <xf numFmtId="0" fontId="21" fillId="0" borderId="0" xfId="0" applyFont="1"/>
    <xf numFmtId="14" fontId="24" fillId="0" borderId="0" xfId="0" applyNumberFormat="1" applyFont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0" fontId="3" fillId="0" borderId="26" xfId="0" quotePrefix="1" applyFont="1" applyBorder="1" applyAlignment="1">
      <alignment horizontal="center"/>
    </xf>
    <xf numFmtId="1" fontId="3" fillId="0" borderId="27" xfId="0" applyNumberFormat="1" applyFont="1" applyBorder="1" applyAlignment="1">
      <alignment horizontal="center"/>
    </xf>
    <xf numFmtId="321" fontId="3" fillId="0" borderId="27" xfId="0" applyNumberFormat="1" applyFont="1" applyBorder="1" applyAlignment="1">
      <alignment horizontal="center"/>
    </xf>
    <xf numFmtId="321" fontId="3" fillId="0" borderId="28" xfId="0" applyNumberFormat="1" applyFont="1" applyBorder="1" applyAlignment="1">
      <alignment horizontal="center"/>
    </xf>
    <xf numFmtId="0" fontId="3" fillId="0" borderId="29" xfId="0" quotePrefix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321" fontId="3" fillId="0" borderId="3" xfId="0" applyNumberFormat="1" applyFont="1" applyBorder="1" applyAlignment="1">
      <alignment horizontal="center"/>
    </xf>
    <xf numFmtId="321" fontId="3" fillId="0" borderId="30" xfId="0" applyNumberFormat="1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1" fontId="3" fillId="0" borderId="32" xfId="0" applyNumberFormat="1" applyFont="1" applyBorder="1" applyAlignment="1">
      <alignment horizontal="center"/>
    </xf>
    <xf numFmtId="321" fontId="3" fillId="0" borderId="32" xfId="0" applyNumberFormat="1" applyFont="1" applyBorder="1" applyAlignment="1">
      <alignment horizontal="center"/>
    </xf>
    <xf numFmtId="321" fontId="3" fillId="0" borderId="33" xfId="0" applyNumberFormat="1" applyFont="1" applyBorder="1" applyAlignment="1">
      <alignment horizontal="center"/>
    </xf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7" xfId="3" applyNumberFormat="1" applyFont="1" applyBorder="1"/>
    <xf numFmtId="0" fontId="2" fillId="0" borderId="18" xfId="0" applyFont="1" applyBorder="1"/>
    <xf numFmtId="0" fontId="2" fillId="10" borderId="19" xfId="0" applyFont="1" applyFill="1" applyBorder="1"/>
    <xf numFmtId="0" fontId="3" fillId="10" borderId="6" xfId="0" applyFont="1" applyFill="1" applyBorder="1"/>
    <xf numFmtId="166" fontId="2" fillId="10" borderId="17" xfId="3" applyNumberFormat="1" applyFont="1" applyFill="1" applyBorder="1"/>
    <xf numFmtId="10" fontId="24" fillId="0" borderId="0" xfId="3" applyNumberFormat="1" applyFont="1" applyFill="1" applyBorder="1"/>
    <xf numFmtId="1" fontId="9" fillId="0" borderId="3" xfId="3" applyNumberFormat="1" applyFont="1" applyFill="1" applyBorder="1" applyAlignment="1">
      <alignment horizontal="right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6" xfId="0" applyFont="1" applyBorder="1"/>
    <xf numFmtId="2" fontId="24" fillId="0" borderId="23" xfId="0" applyNumberFormat="1" applyFont="1" applyFill="1" applyBorder="1"/>
    <xf numFmtId="2" fontId="24" fillId="0" borderId="34" xfId="0" applyNumberFormat="1" applyFont="1" applyFill="1" applyBorder="1"/>
    <xf numFmtId="2" fontId="24" fillId="0" borderId="35" xfId="0" applyNumberFormat="1" applyFont="1" applyFill="1" applyBorder="1"/>
    <xf numFmtId="0" fontId="102" fillId="0" borderId="0" xfId="0" applyFont="1" applyBorder="1"/>
    <xf numFmtId="43" fontId="24" fillId="0" borderId="0" xfId="3" applyNumberFormat="1" applyFont="1" applyFill="1" applyBorder="1" applyAlignment="1">
      <alignment horizontal="right"/>
    </xf>
    <xf numFmtId="0" fontId="32" fillId="0" borderId="0" xfId="0" applyFont="1"/>
    <xf numFmtId="40" fontId="32" fillId="0" borderId="0" xfId="3" applyNumberFormat="1" applyFont="1" applyFill="1" applyBorder="1" applyAlignment="1">
      <alignment horizontal="right"/>
    </xf>
    <xf numFmtId="166" fontId="32" fillId="8" borderId="0" xfId="3" applyNumberFormat="1" applyFont="1" applyFill="1" applyBorder="1"/>
    <xf numFmtId="40" fontId="35" fillId="0" borderId="0" xfId="0" applyNumberFormat="1" applyFont="1" applyFill="1" applyBorder="1"/>
    <xf numFmtId="43" fontId="32" fillId="8" borderId="9" xfId="3" applyNumberFormat="1" applyFont="1" applyFill="1" applyBorder="1"/>
    <xf numFmtId="43" fontId="24" fillId="0" borderId="9" xfId="3" applyNumberFormat="1" applyFont="1" applyFill="1" applyBorder="1"/>
    <xf numFmtId="40" fontId="35" fillId="8" borderId="0" xfId="0" applyNumberFormat="1" applyFont="1" applyFill="1" applyBorder="1"/>
    <xf numFmtId="43" fontId="24" fillId="0" borderId="0" xfId="3" applyNumberFormat="1" applyFont="1" applyFill="1" applyBorder="1"/>
    <xf numFmtId="166" fontId="3" fillId="0" borderId="0" xfId="3" applyNumberFormat="1" applyFont="1" applyFill="1" applyProtection="1"/>
    <xf numFmtId="0" fontId="22" fillId="0" borderId="0" xfId="0" applyFont="1"/>
    <xf numFmtId="166" fontId="3" fillId="0" borderId="0" xfId="3" applyNumberFormat="1" applyFont="1" applyProtection="1">
      <protection locked="0"/>
    </xf>
    <xf numFmtId="166" fontId="16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5" fillId="0" borderId="0" xfId="3" applyNumberFormat="1" applyFont="1" applyBorder="1"/>
    <xf numFmtId="166" fontId="15" fillId="0" borderId="0" xfId="3" applyNumberFormat="1" applyFont="1"/>
    <xf numFmtId="166" fontId="0" fillId="0" borderId="0" xfId="3" applyNumberFormat="1" applyFont="1" applyBorder="1"/>
    <xf numFmtId="166" fontId="41" fillId="0" borderId="0" xfId="3" applyNumberFormat="1" applyFont="1" applyBorder="1"/>
    <xf numFmtId="166" fontId="41" fillId="0" borderId="0" xfId="3" applyNumberFormat="1" applyFont="1"/>
    <xf numFmtId="166" fontId="41" fillId="0" borderId="0" xfId="3" applyNumberFormat="1" applyFont="1" applyFill="1" applyBorder="1"/>
    <xf numFmtId="0" fontId="38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5" fillId="10" borderId="0" xfId="3" applyNumberFormat="1" applyFont="1" applyFill="1" applyBorder="1"/>
    <xf numFmtId="166" fontId="3" fillId="10" borderId="0" xfId="3" applyNumberFormat="1" applyFont="1" applyFill="1" applyBorder="1"/>
    <xf numFmtId="166" fontId="15" fillId="10" borderId="0" xfId="3" applyNumberFormat="1" applyFont="1" applyFill="1"/>
    <xf numFmtId="212" fontId="24" fillId="8" borderId="0" xfId="0" applyNumberFormat="1" applyFont="1" applyFill="1" applyBorder="1"/>
    <xf numFmtId="0" fontId="24" fillId="0" borderId="10" xfId="0" applyFont="1" applyFill="1" applyBorder="1" applyAlignment="1" applyProtection="1">
      <alignment horizontal="left"/>
    </xf>
    <xf numFmtId="9" fontId="24" fillId="0" borderId="0" xfId="20" applyFont="1" applyFill="1" applyBorder="1"/>
    <xf numFmtId="0" fontId="3" fillId="0" borderId="11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9" xfId="0" applyBorder="1"/>
    <xf numFmtId="0" fontId="7" fillId="0" borderId="0" xfId="0" applyFont="1" applyBorder="1"/>
    <xf numFmtId="0" fontId="2" fillId="0" borderId="10" xfId="0" applyFont="1" applyBorder="1"/>
    <xf numFmtId="164" fontId="3" fillId="0" borderId="0" xfId="20" applyNumberFormat="1" applyFont="1" applyBorder="1"/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19" xfId="0" applyFont="1" applyBorder="1"/>
    <xf numFmtId="0" fontId="2" fillId="0" borderId="6" xfId="0" applyFont="1" applyBorder="1"/>
    <xf numFmtId="0" fontId="3" fillId="0" borderId="18" xfId="0" applyFont="1" applyBorder="1"/>
    <xf numFmtId="43" fontId="3" fillId="0" borderId="7" xfId="3" applyFont="1" applyBorder="1"/>
    <xf numFmtId="43" fontId="3" fillId="0" borderId="8" xfId="3" applyFont="1" applyBorder="1"/>
    <xf numFmtId="43" fontId="3" fillId="0" borderId="9" xfId="3" applyFont="1" applyBorder="1"/>
    <xf numFmtId="43" fontId="15" fillId="0" borderId="0" xfId="3" applyFont="1" applyBorder="1"/>
    <xf numFmtId="43" fontId="15" fillId="0" borderId="9" xfId="3" applyFont="1" applyBorder="1"/>
    <xf numFmtId="43" fontId="2" fillId="0" borderId="0" xfId="3" applyFont="1" applyBorder="1"/>
    <xf numFmtId="43" fontId="2" fillId="0" borderId="9" xfId="3" applyFont="1" applyBorder="1"/>
    <xf numFmtId="166" fontId="2" fillId="0" borderId="6" xfId="3" applyNumberFormat="1" applyFont="1" applyBorder="1"/>
    <xf numFmtId="166" fontId="2" fillId="0" borderId="17" xfId="3" applyNumberFormat="1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22" xfId="0" applyFont="1" applyBorder="1"/>
    <xf numFmtId="0" fontId="3" fillId="0" borderId="13" xfId="0" applyFont="1" applyBorder="1" applyAlignment="1">
      <alignment horizontal="left"/>
    </xf>
    <xf numFmtId="43" fontId="2" fillId="0" borderId="0" xfId="3" applyFont="1" applyFill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0" fontId="11" fillId="0" borderId="0" xfId="0" applyFont="1" applyBorder="1"/>
    <xf numFmtId="168" fontId="3" fillId="0" borderId="0" xfId="3" applyNumberFormat="1" applyFont="1" applyFill="1" applyBorder="1"/>
    <xf numFmtId="166" fontId="3" fillId="0" borderId="23" xfId="3" applyNumberFormat="1" applyFont="1" applyFill="1" applyBorder="1" applyProtection="1"/>
    <xf numFmtId="166" fontId="3" fillId="0" borderId="34" xfId="3" applyNumberFormat="1" applyFont="1" applyFill="1" applyBorder="1" applyProtection="1"/>
    <xf numFmtId="166" fontId="3" fillId="0" borderId="35" xfId="3" applyNumberFormat="1" applyFont="1" applyFill="1" applyBorder="1" applyProtection="1"/>
    <xf numFmtId="15" fontId="24" fillId="8" borderId="0" xfId="0" applyNumberFormat="1" applyFont="1" applyFill="1" applyBorder="1" applyAlignment="1">
      <alignment horizontal="right"/>
    </xf>
    <xf numFmtId="0" fontId="2" fillId="0" borderId="1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4" xfId="0" applyFont="1" applyBorder="1"/>
    <xf numFmtId="2" fontId="24" fillId="0" borderId="0" xfId="0" applyNumberFormat="1" applyFont="1" applyFill="1" applyBorder="1"/>
    <xf numFmtId="43" fontId="32" fillId="8" borderId="0" xfId="3" applyNumberFormat="1" applyFont="1" applyFill="1" applyBorder="1" applyAlignment="1">
      <alignment horizontal="right"/>
    </xf>
    <xf numFmtId="38" fontId="32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30" fillId="0" borderId="0" xfId="0" applyFont="1" applyBorder="1"/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5" fillId="0" borderId="9" xfId="0" applyNumberFormat="1" applyFont="1" applyBorder="1" applyAlignment="1">
      <alignment horizontal="center"/>
    </xf>
    <xf numFmtId="204" fontId="37" fillId="0" borderId="9" xfId="3" applyNumberFormat="1" applyFont="1" applyFill="1" applyBorder="1" applyAlignment="1">
      <alignment horizontal="center"/>
    </xf>
    <xf numFmtId="204" fontId="35" fillId="0" borderId="9" xfId="3" applyNumberFormat="1" applyFont="1" applyFill="1" applyBorder="1" applyAlignment="1">
      <alignment horizontal="center"/>
    </xf>
    <xf numFmtId="204" fontId="26" fillId="0" borderId="9" xfId="0" applyNumberFormat="1" applyFont="1" applyFill="1" applyBorder="1"/>
    <xf numFmtId="204" fontId="3" fillId="0" borderId="9" xfId="0" applyNumberFormat="1" applyFont="1" applyBorder="1"/>
    <xf numFmtId="40" fontId="97" fillId="10" borderId="17" xfId="3" applyNumberFormat="1" applyFont="1" applyFill="1" applyBorder="1" applyAlignment="1">
      <alignment horizontal="center"/>
    </xf>
    <xf numFmtId="212" fontId="24" fillId="0" borderId="9" xfId="3" applyNumberFormat="1" applyFont="1" applyBorder="1" applyAlignment="1">
      <alignment horizontal="center"/>
    </xf>
    <xf numFmtId="313" fontId="24" fillId="0" borderId="0" xfId="0" applyNumberFormat="1" applyFont="1" applyFill="1" applyBorder="1" applyAlignment="1" applyProtection="1">
      <alignment horizontal="right"/>
    </xf>
    <xf numFmtId="0" fontId="21" fillId="0" borderId="10" xfId="0" applyFont="1" applyFill="1" applyBorder="1" applyAlignment="1">
      <alignment horizontal="left"/>
    </xf>
    <xf numFmtId="0" fontId="97" fillId="0" borderId="0" xfId="0" applyFont="1" applyFill="1" applyBorder="1" applyAlignment="1">
      <alignment horizontal="center"/>
    </xf>
    <xf numFmtId="43" fontId="24" fillId="0" borderId="23" xfId="3" applyNumberFormat="1" applyFont="1" applyBorder="1" applyAlignment="1">
      <alignment horizontal="right"/>
    </xf>
    <xf numFmtId="43" fontId="24" fillId="0" borderId="34" xfId="3" applyNumberFormat="1" applyFont="1" applyBorder="1" applyAlignment="1">
      <alignment horizontal="right"/>
    </xf>
    <xf numFmtId="43" fontId="24" fillId="0" borderId="35" xfId="3" applyNumberFormat="1" applyFont="1" applyBorder="1" applyAlignment="1">
      <alignment horizontal="right"/>
    </xf>
    <xf numFmtId="166" fontId="24" fillId="8" borderId="6" xfId="3" applyNumberFormat="1" applyFont="1" applyFill="1" applyBorder="1"/>
    <xf numFmtId="9" fontId="24" fillId="8" borderId="0" xfId="20" applyFont="1" applyFill="1" applyBorder="1"/>
    <xf numFmtId="43" fontId="3" fillId="0" borderId="0" xfId="0" applyNumberFormat="1" applyFont="1" applyBorder="1"/>
    <xf numFmtId="38" fontId="3" fillId="8" borderId="0" xfId="3" applyNumberFormat="1" applyFont="1" applyFill="1"/>
    <xf numFmtId="204" fontId="9" fillId="0" borderId="0" xfId="0" applyNumberFormat="1" applyFont="1" applyBorder="1"/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6" fillId="0" borderId="0" xfId="0" applyFont="1" applyFill="1" applyBorder="1"/>
    <xf numFmtId="0" fontId="16" fillId="0" borderId="6" xfId="0" applyFont="1" applyFill="1" applyBorder="1"/>
    <xf numFmtId="322" fontId="26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104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194" fontId="3" fillId="0" borderId="0" xfId="3" applyNumberFormat="1" applyFont="1"/>
    <xf numFmtId="9" fontId="3" fillId="0" borderId="9" xfId="20" applyFont="1" applyBorder="1"/>
    <xf numFmtId="190" fontId="2" fillId="0" borderId="9" xfId="0" applyNumberFormat="1" applyFont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3" fillId="0" borderId="0" xfId="3" applyNumberFormat="1" applyFont="1" applyFill="1" applyProtection="1"/>
    <xf numFmtId="166" fontId="13" fillId="0" borderId="0" xfId="3" applyNumberFormat="1" applyFont="1" applyProtection="1"/>
    <xf numFmtId="166" fontId="14" fillId="0" borderId="0" xfId="3" applyNumberFormat="1" applyFont="1" applyProtection="1"/>
    <xf numFmtId="166" fontId="16" fillId="0" borderId="0" xfId="3" applyNumberFormat="1" applyFont="1"/>
    <xf numFmtId="166" fontId="14" fillId="0" borderId="0" xfId="3" applyNumberFormat="1" applyFont="1"/>
    <xf numFmtId="166" fontId="17" fillId="0" borderId="0" xfId="3" applyNumberFormat="1" applyFont="1"/>
    <xf numFmtId="4" fontId="24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7" fillId="8" borderId="0" xfId="0" applyNumberFormat="1" applyFont="1" applyFill="1" applyBorder="1" applyAlignment="1">
      <alignment horizontal="right"/>
    </xf>
    <xf numFmtId="3" fontId="15" fillId="0" borderId="0" xfId="0" applyNumberFormat="1" applyFont="1" applyBorder="1"/>
    <xf numFmtId="0" fontId="2" fillId="0" borderId="11" xfId="0" applyFont="1" applyBorder="1"/>
    <xf numFmtId="37" fontId="3" fillId="0" borderId="15" xfId="0" applyNumberFormat="1" applyFont="1" applyBorder="1"/>
    <xf numFmtId="37" fontId="3" fillId="0" borderId="12" xfId="0" applyNumberFormat="1" applyFont="1" applyBorder="1"/>
    <xf numFmtId="0" fontId="2" fillId="0" borderId="14" xfId="0" applyFont="1" applyBorder="1"/>
    <xf numFmtId="179" fontId="17" fillId="8" borderId="22" xfId="0" applyNumberFormat="1" applyFont="1" applyFill="1" applyBorder="1" applyAlignment="1">
      <alignment horizontal="right"/>
    </xf>
    <xf numFmtId="0" fontId="2" fillId="0" borderId="13" xfId="0" applyFont="1" applyBorder="1"/>
    <xf numFmtId="166" fontId="3" fillId="0" borderId="16" xfId="3" applyNumberFormat="1" applyFont="1" applyBorder="1"/>
    <xf numFmtId="14" fontId="15" fillId="8" borderId="0" xfId="0" applyNumberFormat="1" applyFont="1" applyFill="1" applyAlignment="1">
      <alignment horizontal="center"/>
    </xf>
    <xf numFmtId="14" fontId="26" fillId="0" borderId="0" xfId="0" applyNumberFormat="1" applyFont="1" applyFill="1" applyAlignment="1">
      <alignment horizontal="center"/>
    </xf>
    <xf numFmtId="14" fontId="105" fillId="0" borderId="0" xfId="0" applyNumberFormat="1" applyFont="1" applyFill="1" applyBorder="1" applyAlignment="1">
      <alignment horizontal="center"/>
    </xf>
    <xf numFmtId="14" fontId="15" fillId="0" borderId="0" xfId="0" applyNumberFormat="1" applyFont="1" applyFill="1" applyAlignment="1">
      <alignment horizontal="center"/>
    </xf>
    <xf numFmtId="3" fontId="15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6" xfId="0" applyNumberFormat="1" applyFont="1" applyBorder="1" applyAlignment="1">
      <alignment horizontal="center"/>
    </xf>
    <xf numFmtId="2" fontId="18" fillId="0" borderId="12" xfId="0" applyNumberFormat="1" applyFont="1" applyBorder="1" applyAlignment="1">
      <alignment horizontal="center"/>
    </xf>
    <xf numFmtId="4" fontId="3" fillId="0" borderId="16" xfId="0" applyNumberFormat="1" applyFont="1" applyBorder="1" applyAlignment="1">
      <alignment horizontal="center"/>
    </xf>
    <xf numFmtId="37" fontId="3" fillId="0" borderId="35" xfId="0" applyNumberFormat="1" applyFont="1" applyFill="1" applyBorder="1" applyAlignment="1">
      <alignment horizontal="center"/>
    </xf>
    <xf numFmtId="0" fontId="18" fillId="0" borderId="11" xfId="0" applyFont="1" applyBorder="1"/>
    <xf numFmtId="0" fontId="18" fillId="0" borderId="13" xfId="0" applyFont="1" applyBorder="1"/>
    <xf numFmtId="0" fontId="3" fillId="0" borderId="23" xfId="0" applyFont="1" applyBorder="1" applyAlignment="1">
      <alignment horizontal="left"/>
    </xf>
    <xf numFmtId="43" fontId="3" fillId="0" borderId="4" xfId="3" applyFont="1" applyFill="1" applyBorder="1" applyAlignment="1">
      <alignment horizontal="left"/>
    </xf>
    <xf numFmtId="166" fontId="14" fillId="0" borderId="3" xfId="3" applyNumberFormat="1" applyFont="1" applyBorder="1"/>
    <xf numFmtId="179" fontId="17" fillId="8" borderId="34" xfId="0" applyNumberFormat="1" applyFont="1" applyFill="1" applyBorder="1" applyAlignment="1">
      <alignment horizontal="right"/>
    </xf>
    <xf numFmtId="14" fontId="15" fillId="4" borderId="0" xfId="0" applyNumberFormat="1" applyFont="1" applyFill="1" applyAlignment="1">
      <alignment horizontal="center"/>
    </xf>
    <xf numFmtId="3" fontId="3" fillId="4" borderId="0" xfId="0" applyNumberFormat="1" applyFont="1" applyFill="1"/>
    <xf numFmtId="3" fontId="3" fillId="4" borderId="0" xfId="0" applyNumberFormat="1" applyFont="1" applyFill="1" applyBorder="1"/>
    <xf numFmtId="3" fontId="14" fillId="0" borderId="0" xfId="0" applyNumberFormat="1" applyFont="1" applyBorder="1"/>
    <xf numFmtId="0" fontId="106" fillId="0" borderId="0" xfId="0" applyFont="1"/>
    <xf numFmtId="3" fontId="26" fillId="0" borderId="0" xfId="0" applyNumberFormat="1" applyFont="1"/>
    <xf numFmtId="179" fontId="107" fillId="0" borderId="0" xfId="0" applyNumberFormat="1" applyFont="1" applyFill="1" applyBorder="1" applyAlignment="1">
      <alignment horizontal="right"/>
    </xf>
    <xf numFmtId="3" fontId="26" fillId="0" borderId="0" xfId="0" applyNumberFormat="1" applyFont="1" applyBorder="1"/>
    <xf numFmtId="166" fontId="17" fillId="0" borderId="0" xfId="3" applyNumberFormat="1" applyFont="1" applyBorder="1" applyAlignment="1">
      <alignment horizontal="right"/>
    </xf>
    <xf numFmtId="166" fontId="17" fillId="0" borderId="0" xfId="3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6" fontId="2" fillId="0" borderId="9" xfId="3" applyNumberFormat="1" applyFont="1" applyBorder="1"/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4" dropStyle="combo" dx="22" fmlaLink="$X$13" fmlaRange="$X$9:$X$12" noThreeD="1" sel="1" val="0"/>
</file>

<file path=xl/ctrlProps/ctrlProp5.xml><?xml version="1.0" encoding="utf-8"?>
<formControlPr xmlns="http://schemas.microsoft.com/office/spreadsheetml/2009/9/main" objectType="Drop" dropLines="4" dropStyle="combo" dx="22" fmlaLink="$Y$13" fmlaRange="$Y$9:$Y$11" noThreeD="1" sel="2" val="0"/>
</file>

<file path=xl/ctrlProps/ctrlProp6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7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37</xdr:row>
          <xdr:rowOff>0</xdr:rowOff>
        </xdr:from>
        <xdr:to>
          <xdr:col>13</xdr:col>
          <xdr:colOff>28575</xdr:colOff>
          <xdr:row>38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20858AFC-DB7B-F672-D9C4-E8C38CFBD0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200025</xdr:rowOff>
        </xdr:from>
        <xdr:to>
          <xdr:col>7</xdr:col>
          <xdr:colOff>1190625</xdr:colOff>
          <xdr:row>57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AC0E0E0-7CC1-3765-6ED9-5385EA34A3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9525</xdr:rowOff>
        </xdr:from>
        <xdr:to>
          <xdr:col>9</xdr:col>
          <xdr:colOff>0</xdr:colOff>
          <xdr:row>59</xdr:row>
          <xdr:rowOff>28575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230523CE-6C1E-37EF-96D9-7E68D34F66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7</xdr:col>
          <xdr:colOff>1190625</xdr:colOff>
          <xdr:row>21</xdr:row>
          <xdr:rowOff>9525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EF1AFBC6-758F-594E-B050-6E9B7C9F05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9</xdr:row>
          <xdr:rowOff>9525</xdr:rowOff>
        </xdr:from>
        <xdr:to>
          <xdr:col>14</xdr:col>
          <xdr:colOff>847725</xdr:colOff>
          <xdr:row>10</xdr:row>
          <xdr:rowOff>9525</xdr:rowOff>
        </xdr:to>
        <xdr:sp macro="" textlink="">
          <xdr:nvSpPr>
            <xdr:cNvPr id="1077" name="Drop Down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B131BACB-A5D6-6DEA-BC5A-B74997C08A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180975</xdr:rowOff>
        </xdr:from>
        <xdr:to>
          <xdr:col>6</xdr:col>
          <xdr:colOff>1190625</xdr:colOff>
          <xdr:row>26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79B4FF48-58F0-C72E-EFA8-EB64A22957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27</xdr:row>
          <xdr:rowOff>28575</xdr:rowOff>
        </xdr:from>
        <xdr:to>
          <xdr:col>0</xdr:col>
          <xdr:colOff>1933575</xdr:colOff>
          <xdr:row>29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399F8DD5-DB11-1764-06D8-1BA87E834C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xirr"/>
    </definedNames>
    <sheetDataSet>
      <sheetData sheetId="0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O68"/>
  <sheetViews>
    <sheetView zoomScale="75" zoomScaleNormal="75" workbookViewId="0">
      <selection activeCell="F26" sqref="F26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5" ht="18.75">
      <c r="A2" s="194" t="s">
        <v>203</v>
      </c>
      <c r="B2" s="5"/>
      <c r="C2" s="5"/>
    </row>
    <row r="3" spans="1:15" s="47" customFormat="1" ht="15.75"/>
    <row r="4" spans="1:15" s="47" customFormat="1" ht="15.75">
      <c r="A4" s="47">
        <v>1</v>
      </c>
      <c r="B4" s="273" t="s">
        <v>420</v>
      </c>
    </row>
    <row r="5" spans="1:15" s="47" customFormat="1" ht="15.75">
      <c r="A5" s="47">
        <v>2</v>
      </c>
      <c r="B5" s="273" t="s">
        <v>429</v>
      </c>
    </row>
    <row r="6" spans="1:15" s="47" customFormat="1" ht="15.75">
      <c r="B6" s="273" t="s">
        <v>430</v>
      </c>
    </row>
    <row r="7" spans="1:15" s="47" customFormat="1" ht="15.75">
      <c r="A7" s="47">
        <v>3</v>
      </c>
      <c r="B7" s="27" t="s">
        <v>421</v>
      </c>
    </row>
    <row r="8" spans="1:15" s="47" customFormat="1" ht="15.75">
      <c r="A8" s="47">
        <v>4</v>
      </c>
      <c r="B8" s="47" t="s">
        <v>422</v>
      </c>
    </row>
    <row r="9" spans="1:15" s="47" customFormat="1" ht="15.75">
      <c r="A9" s="47">
        <v>5</v>
      </c>
      <c r="B9" s="47" t="s">
        <v>417</v>
      </c>
    </row>
    <row r="10" spans="1:15" s="47" customFormat="1" ht="15.75">
      <c r="A10" s="47">
        <v>6</v>
      </c>
      <c r="B10" s="47" t="s">
        <v>431</v>
      </c>
    </row>
    <row r="11" spans="1:15" s="47" customFormat="1" ht="15.75">
      <c r="A11" s="47">
        <v>7</v>
      </c>
      <c r="B11" s="47" t="s">
        <v>432</v>
      </c>
    </row>
    <row r="12" spans="1:15" s="47" customFormat="1" ht="15.75"/>
    <row r="13" spans="1:15" s="47" customFormat="1" ht="15.75"/>
    <row r="14" spans="1:15" s="47" customFormat="1" ht="15.75"/>
    <row r="15" spans="1:15" s="47" customFormat="1" ht="18.75">
      <c r="A15" s="194" t="s">
        <v>254</v>
      </c>
    </row>
    <row r="16" spans="1:15" s="47" customFormat="1" ht="18.75">
      <c r="A16" s="348"/>
      <c r="I16" s="346" t="s">
        <v>255</v>
      </c>
      <c r="O16" s="346" t="s">
        <v>157</v>
      </c>
    </row>
    <row r="17" spans="1:15" s="47" customFormat="1" ht="15.75">
      <c r="A17" s="47">
        <v>1</v>
      </c>
      <c r="B17" s="47" t="s">
        <v>415</v>
      </c>
      <c r="I17" s="47" t="s">
        <v>256</v>
      </c>
      <c r="O17" s="347">
        <v>36560</v>
      </c>
    </row>
    <row r="18" spans="1:15" s="47" customFormat="1" ht="15.75">
      <c r="B18" s="47" t="s">
        <v>372</v>
      </c>
      <c r="O18" s="347"/>
    </row>
    <row r="19" spans="1:15" s="47" customFormat="1" ht="15.75">
      <c r="A19" s="47">
        <v>2</v>
      </c>
      <c r="B19" s="47" t="s">
        <v>294</v>
      </c>
      <c r="I19" s="47" t="s">
        <v>256</v>
      </c>
      <c r="O19" s="347">
        <v>36560</v>
      </c>
    </row>
    <row r="20" spans="1:15" s="47" customFormat="1" ht="15.75">
      <c r="A20" s="47">
        <v>3</v>
      </c>
      <c r="B20" s="47" t="s">
        <v>31</v>
      </c>
      <c r="I20" s="47" t="s">
        <v>257</v>
      </c>
      <c r="O20" s="347">
        <v>36559</v>
      </c>
    </row>
    <row r="21" spans="1:15" s="47" customFormat="1" ht="15.75">
      <c r="A21" s="47">
        <v>4</v>
      </c>
      <c r="B21" s="47" t="s">
        <v>332</v>
      </c>
      <c r="I21" s="47" t="s">
        <v>333</v>
      </c>
    </row>
    <row r="22" spans="1:15" s="47" customFormat="1" ht="15.75">
      <c r="A22" s="47">
        <v>5</v>
      </c>
      <c r="B22" s="47" t="s">
        <v>423</v>
      </c>
      <c r="I22" s="47" t="s">
        <v>383</v>
      </c>
      <c r="O22" s="347">
        <v>36564</v>
      </c>
    </row>
    <row r="23" spans="1:15" s="47" customFormat="1" ht="15.75">
      <c r="A23" s="47">
        <v>6</v>
      </c>
      <c r="B23" s="47" t="s">
        <v>450</v>
      </c>
      <c r="I23" s="47" t="s">
        <v>451</v>
      </c>
    </row>
    <row r="24" spans="1:15" s="47" customFormat="1" ht="15.75"/>
    <row r="25" spans="1:15" s="47" customFormat="1" ht="15.75"/>
    <row r="26" spans="1:15" s="47" customFormat="1" ht="18.75">
      <c r="A26" s="194" t="s">
        <v>375</v>
      </c>
    </row>
    <row r="27" spans="1:15" s="47" customFormat="1" ht="18.75">
      <c r="A27" s="348"/>
    </row>
    <row r="28" spans="1:15" s="47" customFormat="1" ht="15.75">
      <c r="B28" s="382" t="s">
        <v>403</v>
      </c>
      <c r="E28" s="382" t="s">
        <v>402</v>
      </c>
      <c r="F28" s="382"/>
      <c r="G28" s="382"/>
      <c r="H28" s="382" t="s">
        <v>404</v>
      </c>
    </row>
    <row r="29" spans="1:15" s="47" customFormat="1" ht="15.75">
      <c r="B29" s="47" t="s">
        <v>401</v>
      </c>
      <c r="E29" s="47" t="s">
        <v>385</v>
      </c>
      <c r="H29" s="47" t="s">
        <v>398</v>
      </c>
    </row>
    <row r="30" spans="1:15" s="47" customFormat="1" ht="15.75">
      <c r="E30" s="47" t="s">
        <v>386</v>
      </c>
      <c r="H30" s="47" t="s">
        <v>399</v>
      </c>
    </row>
    <row r="31" spans="1:15" s="47" customFormat="1" ht="15.75">
      <c r="B31" s="47" t="s">
        <v>387</v>
      </c>
      <c r="E31" s="47" t="s">
        <v>388</v>
      </c>
      <c r="H31" s="47" t="s">
        <v>400</v>
      </c>
    </row>
    <row r="32" spans="1:15" s="47" customFormat="1" ht="15.75">
      <c r="B32" s="47" t="s">
        <v>381</v>
      </c>
      <c r="E32" s="47" t="s">
        <v>382</v>
      </c>
      <c r="H32" s="47" t="s">
        <v>395</v>
      </c>
    </row>
    <row r="33" spans="2:8" s="47" customFormat="1" ht="15.75">
      <c r="E33" s="47" t="s">
        <v>383</v>
      </c>
      <c r="H33" s="47" t="s">
        <v>396</v>
      </c>
    </row>
    <row r="34" spans="2:8" s="47" customFormat="1" ht="15.75">
      <c r="E34" s="47" t="s">
        <v>384</v>
      </c>
      <c r="H34" s="47" t="s">
        <v>397</v>
      </c>
    </row>
    <row r="35" spans="2:8" s="47" customFormat="1" ht="15.75">
      <c r="B35" s="47" t="s">
        <v>379</v>
      </c>
      <c r="E35" s="47" t="s">
        <v>380</v>
      </c>
      <c r="H35" s="47" t="s">
        <v>394</v>
      </c>
    </row>
    <row r="36" spans="2:8" s="47" customFormat="1" ht="15.75">
      <c r="B36" s="47" t="s">
        <v>450</v>
      </c>
      <c r="E36" s="47" t="s">
        <v>447</v>
      </c>
      <c r="H36" s="47" t="s">
        <v>448</v>
      </c>
    </row>
    <row r="37" spans="2:8" s="47" customFormat="1" ht="15.75">
      <c r="B37" s="47" t="s">
        <v>377</v>
      </c>
      <c r="E37" s="47" t="s">
        <v>378</v>
      </c>
      <c r="H37" s="47" t="s">
        <v>449</v>
      </c>
    </row>
    <row r="38" spans="2:8" s="47" customFormat="1" ht="15.75">
      <c r="B38" s="47" t="s">
        <v>376</v>
      </c>
      <c r="E38" s="47" t="s">
        <v>256</v>
      </c>
      <c r="H38" s="47" t="s">
        <v>393</v>
      </c>
    </row>
    <row r="39" spans="2:8" s="47" customFormat="1" ht="15.75"/>
    <row r="40" spans="2:8" s="47" customFormat="1" ht="15.75"/>
    <row r="41" spans="2:8" s="47" customFormat="1" ht="15.75"/>
    <row r="42" spans="2:8" s="47" customFormat="1" ht="15.75"/>
    <row r="43" spans="2:8" s="47" customFormat="1" ht="15.75"/>
    <row r="44" spans="2:8" s="47" customFormat="1" ht="15.75"/>
    <row r="45" spans="2:8" s="47" customFormat="1" ht="15.75"/>
    <row r="46" spans="2:8" s="47" customFormat="1" ht="15.75"/>
    <row r="47" spans="2:8" s="47" customFormat="1" ht="15.75"/>
    <row r="48" spans="2:8" s="47" customFormat="1" ht="15.75"/>
    <row r="49" s="47" customFormat="1" ht="15.75"/>
    <row r="50" s="47" customFormat="1" ht="15.75"/>
    <row r="51" s="47" customFormat="1" ht="15.75"/>
    <row r="52" s="47" customFormat="1" ht="15.75"/>
    <row r="53" s="47" customFormat="1" ht="15.75"/>
    <row r="54" s="47" customFormat="1" ht="15.75"/>
    <row r="55" s="47" customFormat="1" ht="15.75"/>
    <row r="56" s="47" customFormat="1" ht="15.75"/>
    <row r="57" s="47" customFormat="1" ht="15.75"/>
    <row r="58" s="47" customFormat="1" ht="15.75"/>
    <row r="59" s="47" customFormat="1" ht="15.75"/>
    <row r="60" s="47" customFormat="1" ht="15.75"/>
    <row r="61" s="47" customFormat="1" ht="15.75"/>
    <row r="62" s="47" customFormat="1" ht="15.75"/>
    <row r="63" s="47" customFormat="1" ht="15.75"/>
    <row r="64" s="47" customFormat="1" ht="15.75"/>
    <row r="65" s="47" customFormat="1" ht="15.75"/>
    <row r="66" s="47" customFormat="1" ht="15.75"/>
    <row r="67" s="47" customFormat="1" ht="15.75"/>
    <row r="68" s="47" customFormat="1" ht="15.75"/>
  </sheetData>
  <pageMargins left="0.75" right="0.75" top="1" bottom="1" header="0.5" footer="0.5"/>
  <pageSetup scale="70" orientation="landscape" horizontalDpi="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5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96" t="str">
        <f>Assumptions!A3</f>
        <v>PROJECT NAME:</v>
      </c>
    </row>
    <row r="4" spans="1:34" ht="18.75">
      <c r="A4" s="67" t="s">
        <v>108</v>
      </c>
    </row>
    <row r="5" spans="1:34">
      <c r="Z5" s="188"/>
    </row>
    <row r="6" spans="1:34">
      <c r="D6" s="262">
        <f>'Price Assumption'!D7</f>
        <v>0.66666666666666663</v>
      </c>
      <c r="E6" s="262">
        <f>'Price Assumption'!E7</f>
        <v>1.6666666666666665</v>
      </c>
      <c r="F6" s="262">
        <f>'Price Assumption'!F7</f>
        <v>2.6666666666666665</v>
      </c>
      <c r="G6" s="262">
        <f>'Price Assumption'!G7</f>
        <v>3.6666666666666665</v>
      </c>
      <c r="H6" s="262">
        <f>'Price Assumption'!H7</f>
        <v>4.6666666666666661</v>
      </c>
      <c r="I6" s="262">
        <f>'Price Assumption'!I7</f>
        <v>5.6666666666666661</v>
      </c>
      <c r="J6" s="262">
        <f>'Price Assumption'!J7</f>
        <v>6.6666666666666661</v>
      </c>
      <c r="K6" s="262">
        <f>'Price Assumption'!K7</f>
        <v>7.6666666666666661</v>
      </c>
      <c r="L6" s="262">
        <f>'Price Assumption'!L7</f>
        <v>8.6666666666666661</v>
      </c>
      <c r="M6" s="262">
        <f>'Price Assumption'!M7</f>
        <v>9.6666666666666661</v>
      </c>
      <c r="N6" s="262">
        <f>'Price Assumption'!N7</f>
        <v>10.666666666666666</v>
      </c>
      <c r="O6" s="262">
        <f>'Price Assumption'!O7</f>
        <v>11.666666666666666</v>
      </c>
      <c r="P6" s="262">
        <f>'Price Assumption'!P7</f>
        <v>12.666666666666666</v>
      </c>
      <c r="Q6" s="262">
        <f>'Price Assumption'!Q7</f>
        <v>13.666666666666666</v>
      </c>
      <c r="R6" s="262">
        <f>'Price Assumption'!R7</f>
        <v>14.666666666666666</v>
      </c>
      <c r="S6" s="262">
        <f>'Price Assumption'!S7</f>
        <v>15.666666666666666</v>
      </c>
      <c r="T6" s="262">
        <f>'Price Assumption'!T7</f>
        <v>16.666666666666664</v>
      </c>
      <c r="U6" s="262">
        <f>'Price Assumption'!U7</f>
        <v>17.666666666666664</v>
      </c>
      <c r="V6" s="262">
        <f>'Price Assumption'!V7</f>
        <v>18.666666666666664</v>
      </c>
      <c r="W6" s="262">
        <f>'Price Assumption'!W7</f>
        <v>19.666666666666664</v>
      </c>
      <c r="X6" s="262">
        <f>'Price Assumption'!X7</f>
        <v>20.666666666666664</v>
      </c>
      <c r="Y6" s="262">
        <f>'Price Assumption'!Y7</f>
        <v>21.666666666666664</v>
      </c>
      <c r="Z6" s="262">
        <f>'Price Assumption'!Z7</f>
        <v>22.666666666666664</v>
      </c>
      <c r="AA6" s="262">
        <f>'Price Assumption'!AA7</f>
        <v>23.666666666666664</v>
      </c>
      <c r="AB6" s="262">
        <f>'Price Assumption'!AB7</f>
        <v>24.666666666666664</v>
      </c>
      <c r="AC6" s="262">
        <f>'Price Assumption'!AC7</f>
        <v>25.666666666666664</v>
      </c>
      <c r="AD6" s="262">
        <f>'Price Assumption'!AD7</f>
        <v>26.666666666666664</v>
      </c>
      <c r="AE6" s="262">
        <f>'Price Assumption'!AE7</f>
        <v>27.666666666666664</v>
      </c>
      <c r="AF6" s="262">
        <f>'Price Assumption'!AF7</f>
        <v>28.666666666666664</v>
      </c>
      <c r="AG6" s="262">
        <f>'Price Assumption'!AG7</f>
        <v>29.666666666666664</v>
      </c>
      <c r="AH6" s="262">
        <f>'Price Assumption'!AH7</f>
        <v>30.666666666666664</v>
      </c>
    </row>
    <row r="7" spans="1:34" s="26" customFormat="1" ht="13.5" thickBot="1">
      <c r="A7" s="135" t="s">
        <v>41</v>
      </c>
      <c r="B7" s="164"/>
      <c r="C7" s="164"/>
      <c r="D7" s="7">
        <f>'Price Assumption'!D8</f>
        <v>2001</v>
      </c>
      <c r="E7" s="7">
        <f>'Price Assumption'!E8</f>
        <v>2002</v>
      </c>
      <c r="F7" s="7">
        <f>'Price Assumption'!F8</f>
        <v>2003</v>
      </c>
      <c r="G7" s="7">
        <f>'Price Assumption'!G8</f>
        <v>2004</v>
      </c>
      <c r="H7" s="7">
        <f>'Price Assumption'!H8</f>
        <v>2005</v>
      </c>
      <c r="I7" s="7">
        <f>'Price Assumption'!I8</f>
        <v>2006</v>
      </c>
      <c r="J7" s="7">
        <f>'Price Assumption'!J8</f>
        <v>2007</v>
      </c>
      <c r="K7" s="7">
        <f>'Price Assumption'!K8</f>
        <v>2008</v>
      </c>
      <c r="L7" s="7">
        <f>'Price Assumption'!L8</f>
        <v>2009</v>
      </c>
      <c r="M7" s="7">
        <f>'Price Assumption'!M8</f>
        <v>2010</v>
      </c>
      <c r="N7" s="7">
        <f>'Price Assumption'!N8</f>
        <v>2011</v>
      </c>
      <c r="O7" s="7">
        <f>'Price Assumption'!O8</f>
        <v>2012</v>
      </c>
      <c r="P7" s="7">
        <f>'Price Assumption'!P8</f>
        <v>2013</v>
      </c>
      <c r="Q7" s="7">
        <f>'Price Assumption'!Q8</f>
        <v>2014</v>
      </c>
      <c r="R7" s="7">
        <f>'Price Assumption'!R8</f>
        <v>2015</v>
      </c>
      <c r="S7" s="7">
        <f>'Price Assumption'!S8</f>
        <v>2016</v>
      </c>
      <c r="T7" s="7">
        <f>'Price Assumption'!T8</f>
        <v>2017</v>
      </c>
      <c r="U7" s="7">
        <f>'Price Assumption'!U8</f>
        <v>2018</v>
      </c>
      <c r="V7" s="7">
        <f>'Price Assumption'!V8</f>
        <v>2019</v>
      </c>
      <c r="W7" s="7">
        <f>'Price Assumption'!W8</f>
        <v>2020</v>
      </c>
      <c r="X7" s="7">
        <f>'Price Assumption'!X8</f>
        <v>2021</v>
      </c>
      <c r="Y7" s="7">
        <f>'Price Assumption'!Y8</f>
        <v>2022</v>
      </c>
      <c r="Z7" s="7">
        <f>'Price Assumption'!Z8</f>
        <v>2023</v>
      </c>
      <c r="AA7" s="7">
        <f>'Price Assumption'!AA8</f>
        <v>2024</v>
      </c>
      <c r="AB7" s="7">
        <f>'Price Assumption'!AB8</f>
        <v>2025</v>
      </c>
      <c r="AC7" s="7">
        <f>'Price Assumption'!AC8</f>
        <v>2026</v>
      </c>
      <c r="AD7" s="7">
        <f>'Price Assumption'!AD8</f>
        <v>2027</v>
      </c>
      <c r="AE7" s="7">
        <f>'Price Assumption'!AE8</f>
        <v>2028</v>
      </c>
      <c r="AF7" s="7">
        <f>'Price Assumption'!AF8</f>
        <v>2029</v>
      </c>
      <c r="AG7" s="7">
        <f>'Price Assumption'!AG8</f>
        <v>2030</v>
      </c>
      <c r="AH7" s="7">
        <f>'Price Assumption'!AH8</f>
        <v>2031</v>
      </c>
    </row>
    <row r="8" spans="1:34" s="26" customFormat="1">
      <c r="A8" s="149"/>
      <c r="B8" s="165"/>
      <c r="C8" s="165"/>
      <c r="D8" s="255">
        <f>IS!C8</f>
        <v>37255.5</v>
      </c>
      <c r="E8" s="255">
        <f>IS!D8</f>
        <v>37620.75</v>
      </c>
      <c r="F8" s="255">
        <f>IS!E8</f>
        <v>37986</v>
      </c>
      <c r="G8" s="255">
        <f>IS!F8</f>
        <v>38351.25</v>
      </c>
      <c r="H8" s="255">
        <f>IS!G8</f>
        <v>38716.5</v>
      </c>
      <c r="I8" s="255">
        <f>IS!H8</f>
        <v>39081.75</v>
      </c>
      <c r="J8" s="255">
        <f>IS!I8</f>
        <v>39447</v>
      </c>
      <c r="K8" s="255">
        <f>IS!J8</f>
        <v>39812.25</v>
      </c>
      <c r="L8" s="255">
        <f>IS!K8</f>
        <v>40177.5</v>
      </c>
      <c r="M8" s="255">
        <f>IS!L8</f>
        <v>40542.75</v>
      </c>
      <c r="N8" s="255">
        <f>IS!M8</f>
        <v>40908</v>
      </c>
      <c r="O8" s="255">
        <f>IS!N8</f>
        <v>41273.25</v>
      </c>
      <c r="P8" s="255">
        <f>IS!O8</f>
        <v>41638.5</v>
      </c>
      <c r="Q8" s="255">
        <f>IS!P8</f>
        <v>42003.75</v>
      </c>
      <c r="R8" s="255">
        <f>IS!Q8</f>
        <v>42369</v>
      </c>
      <c r="S8" s="255">
        <f>IS!R8</f>
        <v>42734.25</v>
      </c>
      <c r="T8" s="255">
        <f>IS!S8</f>
        <v>43099.5</v>
      </c>
      <c r="U8" s="255">
        <f>IS!T8</f>
        <v>43464.75</v>
      </c>
      <c r="V8" s="255">
        <f>IS!U8</f>
        <v>43830</v>
      </c>
      <c r="W8" s="255">
        <f>IS!V8</f>
        <v>44195.25</v>
      </c>
      <c r="X8" s="255">
        <f>IS!W8</f>
        <v>44560.5</v>
      </c>
      <c r="Y8" s="255">
        <f>IS!X8</f>
        <v>44925.75</v>
      </c>
      <c r="Z8" s="255">
        <f>IS!Y8</f>
        <v>45291</v>
      </c>
      <c r="AA8" s="255">
        <f>IS!Z8</f>
        <v>45656.25</v>
      </c>
      <c r="AB8" s="255">
        <f>IS!AA8</f>
        <v>46021.5</v>
      </c>
      <c r="AC8" s="255">
        <f>IS!AB8</f>
        <v>46386.75</v>
      </c>
      <c r="AD8" s="255">
        <f>IS!AC8</f>
        <v>46752</v>
      </c>
      <c r="AE8" s="255">
        <f>IS!AD8</f>
        <v>47117.25</v>
      </c>
      <c r="AF8" s="255">
        <f>IS!AE8</f>
        <v>47482.5</v>
      </c>
      <c r="AG8" s="255">
        <f>IS!AF8</f>
        <v>47847.75</v>
      </c>
      <c r="AH8" s="255">
        <f>IS!AG8</f>
        <v>48213</v>
      </c>
    </row>
    <row r="9" spans="1:34" ht="15.75">
      <c r="A9" s="27"/>
    </row>
    <row r="10" spans="1:34" s="10" customFormat="1">
      <c r="A10" s="28" t="s">
        <v>67</v>
      </c>
      <c r="B10" s="12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30" t="s">
        <v>68</v>
      </c>
      <c r="C11" s="25"/>
      <c r="D11" s="34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322</v>
      </c>
      <c r="B12" s="32">
        <f>Assumptions!$N$48</f>
        <v>15</v>
      </c>
      <c r="C12" s="33"/>
      <c r="D12" s="343">
        <v>0.05</v>
      </c>
      <c r="E12" s="343">
        <v>9.5000000000000001E-2</v>
      </c>
      <c r="F12" s="343">
        <v>8.5500000000000007E-2</v>
      </c>
      <c r="G12" s="343">
        <v>7.6999999999999999E-2</v>
      </c>
      <c r="H12" s="343">
        <v>6.93E-2</v>
      </c>
      <c r="I12" s="343">
        <v>6.2300000000000001E-2</v>
      </c>
      <c r="J12" s="343">
        <v>5.8999999999999997E-2</v>
      </c>
      <c r="K12" s="343">
        <v>5.91E-2</v>
      </c>
      <c r="L12" s="343">
        <v>5.8999999999999997E-2</v>
      </c>
      <c r="M12" s="343">
        <v>5.91E-2</v>
      </c>
      <c r="N12" s="343">
        <v>5.8999999999999997E-2</v>
      </c>
      <c r="O12" s="343">
        <v>5.91E-2</v>
      </c>
      <c r="P12" s="343">
        <v>5.8999999999999997E-2</v>
      </c>
      <c r="Q12" s="343">
        <v>5.91E-2</v>
      </c>
      <c r="R12" s="343">
        <v>5.8999999999999997E-2</v>
      </c>
      <c r="S12" s="343">
        <v>2.9499999999999998E-2</v>
      </c>
      <c r="T12" s="343">
        <v>0</v>
      </c>
      <c r="U12" s="343">
        <v>0</v>
      </c>
      <c r="V12" s="343">
        <v>0</v>
      </c>
      <c r="W12" s="343">
        <v>0</v>
      </c>
      <c r="X12" s="343">
        <v>0</v>
      </c>
      <c r="Y12" s="343">
        <v>0</v>
      </c>
      <c r="Z12" s="343">
        <v>0</v>
      </c>
      <c r="AA12" s="343">
        <v>0</v>
      </c>
      <c r="AB12" s="343">
        <v>0</v>
      </c>
      <c r="AC12" s="343">
        <v>0</v>
      </c>
      <c r="AD12" s="343">
        <v>0</v>
      </c>
      <c r="AE12" s="343">
        <v>0</v>
      </c>
      <c r="AF12" s="343">
        <v>0</v>
      </c>
      <c r="AG12" s="343">
        <v>0</v>
      </c>
      <c r="AH12" s="343">
        <v>0</v>
      </c>
    </row>
    <row r="13" spans="1:34" s="10" customFormat="1">
      <c r="A13" s="21" t="s">
        <v>323</v>
      </c>
      <c r="B13" s="32">
        <f>Assumptions!$N$49</f>
        <v>5</v>
      </c>
      <c r="C13" s="33"/>
      <c r="D13" s="343">
        <f>1/$B$13*D6</f>
        <v>0.13333333333333333</v>
      </c>
      <c r="E13" s="343">
        <f>1/$B$13</f>
        <v>0.2</v>
      </c>
      <c r="F13" s="343">
        <f>1/$B$13</f>
        <v>0.2</v>
      </c>
      <c r="G13" s="343">
        <f>1/$B$13</f>
        <v>0.2</v>
      </c>
      <c r="H13" s="343">
        <f>1/$B$13</f>
        <v>0.2</v>
      </c>
      <c r="I13" s="343">
        <f>1/B13-D13</f>
        <v>6.666666666666668E-2</v>
      </c>
      <c r="J13" s="343">
        <v>0</v>
      </c>
      <c r="K13" s="343">
        <v>0</v>
      </c>
      <c r="L13" s="343">
        <v>0</v>
      </c>
      <c r="M13" s="343">
        <v>0</v>
      </c>
      <c r="N13" s="343">
        <v>0</v>
      </c>
      <c r="O13" s="343">
        <v>0</v>
      </c>
      <c r="P13" s="343">
        <v>0</v>
      </c>
      <c r="Q13" s="343">
        <v>0</v>
      </c>
      <c r="R13" s="343">
        <v>0</v>
      </c>
      <c r="S13" s="343">
        <v>0</v>
      </c>
      <c r="T13" s="343">
        <v>0</v>
      </c>
      <c r="U13" s="343">
        <v>0</v>
      </c>
      <c r="V13" s="343">
        <v>0</v>
      </c>
      <c r="W13" s="343">
        <v>0</v>
      </c>
      <c r="X13" s="343">
        <v>0</v>
      </c>
      <c r="Y13" s="343">
        <v>0</v>
      </c>
      <c r="Z13" s="343">
        <v>0</v>
      </c>
      <c r="AA13" s="343">
        <v>0</v>
      </c>
      <c r="AB13" s="343">
        <v>0</v>
      </c>
      <c r="AC13" s="343">
        <v>0</v>
      </c>
      <c r="AD13" s="343">
        <v>0</v>
      </c>
      <c r="AE13" s="343">
        <v>0</v>
      </c>
      <c r="AF13" s="343">
        <v>0</v>
      </c>
      <c r="AG13" s="343">
        <v>0</v>
      </c>
      <c r="AH13" s="343">
        <v>0</v>
      </c>
    </row>
    <row r="14" spans="1:34" s="78" customFormat="1">
      <c r="A14" s="22" t="s">
        <v>428</v>
      </c>
      <c r="B14" s="76">
        <f>Assumptions!$N$50</f>
        <v>20</v>
      </c>
      <c r="C14" s="77"/>
      <c r="D14" s="343">
        <f>1/Assumptions!$N$50*D6</f>
        <v>3.3333333333333333E-2</v>
      </c>
      <c r="E14" s="343">
        <f>IF(AND(E6&gt;=Assumptions!$N$50,D6&lt;Assumptions!$N$50),1/Assumptions!$N$50-Depreciation!$D$14,IF(E6&lt;Assumptions!$N$50,1/Assumptions!$N$50,0))</f>
        <v>0.05</v>
      </c>
      <c r="F14" s="343">
        <f>IF(AND(F6&gt;=Assumptions!$N$50,E6&lt;Assumptions!$N$50),1/Assumptions!$N$50-Depreciation!$D$14,IF(F6&lt;Assumptions!$N$50,1/Assumptions!$N$50,0))</f>
        <v>0.05</v>
      </c>
      <c r="G14" s="343">
        <f>IF(AND(G6&gt;=Assumptions!$N$50,F6&lt;Assumptions!$N$50),1/Assumptions!$N$50-Depreciation!$D$14,IF(G6&lt;Assumptions!$N$50,1/Assumptions!$N$50,0))</f>
        <v>0.05</v>
      </c>
      <c r="H14" s="343">
        <f>IF(AND(H6&gt;=Assumptions!$N$50,G6&lt;Assumptions!$N$50),1/Assumptions!$N$50-Depreciation!$D$14,IF(H6&lt;Assumptions!$N$50,1/Assumptions!$N$50,0))</f>
        <v>0.05</v>
      </c>
      <c r="I14" s="343">
        <f>IF(AND(I6&gt;=Assumptions!$N$50,H6&lt;Assumptions!$N$50),1/Assumptions!$N$50-Depreciation!$D$14,IF(I6&lt;Assumptions!$N$50,1/Assumptions!$N$50,0))</f>
        <v>0.05</v>
      </c>
      <c r="J14" s="343">
        <f>IF(AND(J6&gt;=Assumptions!$N$50,I6&lt;Assumptions!$N$50),1/Assumptions!$N$50-Depreciation!$D$14,IF(J6&lt;Assumptions!$N$50,1/Assumptions!$N$50,0))</f>
        <v>0.05</v>
      </c>
      <c r="K14" s="343">
        <f>IF(AND(K6&gt;=Assumptions!$N$50,J6&lt;Assumptions!$N$50),1/Assumptions!$N$50-Depreciation!$D$14,IF(K6&lt;Assumptions!$N$50,1/Assumptions!$N$50,0))</f>
        <v>0.05</v>
      </c>
      <c r="L14" s="343">
        <f>IF(AND(L6&gt;=Assumptions!$N$50,K6&lt;Assumptions!$N$50),1/Assumptions!$N$50-Depreciation!$D$14,IF(L6&lt;Assumptions!$N$50,1/Assumptions!$N$50,0))</f>
        <v>0.05</v>
      </c>
      <c r="M14" s="343">
        <f>IF(AND(M6&gt;=Assumptions!$N$50,L6&lt;Assumptions!$N$50),1/Assumptions!$N$50-Depreciation!$D$14,IF(M6&lt;Assumptions!$N$50,1/Assumptions!$N$50,0))</f>
        <v>0.05</v>
      </c>
      <c r="N14" s="343">
        <f>IF(AND(N6&gt;=Assumptions!$N$50,M6&lt;Assumptions!$N$50),1/Assumptions!$N$50-Depreciation!$D$14,IF(N6&lt;Assumptions!$N$50,1/Assumptions!$N$50,0))</f>
        <v>0.05</v>
      </c>
      <c r="O14" s="343">
        <f>IF(AND(O6&gt;=Assumptions!$N$50,N6&lt;Assumptions!$N$50),1/Assumptions!$N$50-Depreciation!$D$14,IF(O6&lt;Assumptions!$N$50,1/Assumptions!$N$50,0))</f>
        <v>0.05</v>
      </c>
      <c r="P14" s="343">
        <f>IF(AND(P6&gt;=Assumptions!$N$50,O6&lt;Assumptions!$N$50),1/Assumptions!$N$50-Depreciation!$D$14,IF(P6&lt;Assumptions!$N$50,1/Assumptions!$N$50,0))</f>
        <v>0.05</v>
      </c>
      <c r="Q14" s="343">
        <f>IF(AND(Q6&gt;=Assumptions!$N$50,P6&lt;Assumptions!$N$50),1/Assumptions!$N$50-Depreciation!$D$14,IF(Q6&lt;Assumptions!$N$50,1/Assumptions!$N$50,0))</f>
        <v>0.05</v>
      </c>
      <c r="R14" s="343">
        <f>IF(AND(R6&gt;=Assumptions!$N$50,Q6&lt;Assumptions!$N$50),1/Assumptions!$N$50-Depreciation!$D$14,IF(R6&lt;Assumptions!$N$50,1/Assumptions!$N$50,0))</f>
        <v>0.05</v>
      </c>
      <c r="S14" s="343">
        <f>IF(AND(S6&gt;=Assumptions!$N$50,R6&lt;Assumptions!$N$50),1/Assumptions!$N$50-Depreciation!$D$14,IF(S6&lt;Assumptions!$N$50,1/Assumptions!$N$50,0))</f>
        <v>0.05</v>
      </c>
      <c r="T14" s="343">
        <f>IF(AND(T6&gt;=Assumptions!$N$50,S6&lt;Assumptions!$N$50),1/Assumptions!$N$50-Depreciation!$D$14,IF(T6&lt;Assumptions!$N$50,1/Assumptions!$N$50,0))</f>
        <v>0.05</v>
      </c>
      <c r="U14" s="343">
        <f>IF(AND(U6&gt;=Assumptions!$N$50,T6&lt;Assumptions!$N$50),1/Assumptions!$N$50-Depreciation!$D$14,IF(U6&lt;Assumptions!$N$50,1/Assumptions!$N$50,0))</f>
        <v>0.05</v>
      </c>
      <c r="V14" s="343">
        <f>IF(AND(V6&gt;=Assumptions!$N$50,U6&lt;Assumptions!$N$50),1/Assumptions!$N$50-Depreciation!$D$14,IF(V6&lt;Assumptions!$N$50,1/Assumptions!$N$50,0))</f>
        <v>0.05</v>
      </c>
      <c r="W14" s="343">
        <f>IF(AND(W6&gt;=Assumptions!$N$50,V6&lt;Assumptions!$N$50),1/Assumptions!$N$50-Depreciation!$D$14,IF(W6&lt;Assumptions!$N$50,1/Assumptions!$N$50,0))</f>
        <v>0.05</v>
      </c>
      <c r="X14" s="343">
        <f>IF(AND(X6&gt;=Assumptions!$N$50,W6&lt;Assumptions!$N$50),1/Assumptions!$N$50-Depreciation!$D$14,IF(X6&lt;Assumptions!$N$50,1/Assumptions!$N$50,0))</f>
        <v>1.666666666666667E-2</v>
      </c>
      <c r="Y14" s="343">
        <f>IF(AND(Y6&gt;=Assumptions!$N$50,X6&lt;Assumptions!$N$50),1/Assumptions!$N$50-Depreciation!$D$14,IF(Y6&lt;Assumptions!$N$50,1/Assumptions!$N$50,0))</f>
        <v>0</v>
      </c>
      <c r="Z14" s="343">
        <f>IF(AND(Z6&gt;=Assumptions!$N$50,Y6&lt;Assumptions!$N$50),1/Assumptions!$N$50-Depreciation!$D$14,IF(Z6&lt;Assumptions!$N$50,1/Assumptions!$N$50,0))</f>
        <v>0</v>
      </c>
      <c r="AA14" s="343">
        <f>IF(AND(AA6&gt;=Assumptions!$N$50,Z6&lt;Assumptions!$N$50),1/Assumptions!$N$50-Depreciation!$D$14,IF(AA6&lt;Assumptions!$N$50,1/Assumptions!$N$50,0))</f>
        <v>0</v>
      </c>
      <c r="AB14" s="343">
        <f>IF(AND(AB6&gt;=Assumptions!$N$50,AA6&lt;Assumptions!$N$50),1/Assumptions!$N$50-Depreciation!$D$14,IF(AB6&lt;Assumptions!$N$50,1/Assumptions!$N$50,0))</f>
        <v>0</v>
      </c>
      <c r="AC14" s="343">
        <f>IF(AND(AC6&gt;=Assumptions!$N$50,AB6&lt;Assumptions!$N$50),1/Assumptions!$N$50-Depreciation!$D$14,IF(AC6&lt;Assumptions!$N$50,1/Assumptions!$N$50,0))</f>
        <v>0</v>
      </c>
      <c r="AD14" s="343">
        <f>IF(AND(AD6&gt;=Assumptions!$N$50,AC6&lt;Assumptions!$N$50),1/Assumptions!$N$50-Depreciation!$D$14,IF(AD6&lt;Assumptions!$N$50,1/Assumptions!$N$50,0))</f>
        <v>0</v>
      </c>
      <c r="AE14" s="343">
        <f>IF(AND(AE6&gt;=Assumptions!$N$50,AD6&lt;Assumptions!$N$50),1/Assumptions!$N$50-Depreciation!$D$14,IF(AE6&lt;Assumptions!$N$50,1/Assumptions!$N$50,0))</f>
        <v>0</v>
      </c>
      <c r="AF14" s="343">
        <f>IF(AND(AF6&gt;=Assumptions!$N$50,AE6&lt;Assumptions!$N$50),1/Assumptions!$N$50-Depreciation!$D$14,IF(AF6&lt;Assumptions!$N$50,1/Assumptions!$N$50,0))</f>
        <v>0</v>
      </c>
      <c r="AG14" s="343">
        <f>IF(AND(AG6&gt;=Assumptions!$N$50,AF6&lt;Assumptions!$N$50),1/Assumptions!$N$50-Depreciation!$D$14,IF(AG6&lt;Assumptions!$N$50,1/Assumptions!$N$50,0))</f>
        <v>0</v>
      </c>
      <c r="AH14" s="343">
        <f>IF(AND(AH6&gt;=Assumptions!$N$50,AG6&lt;Assumptions!$N$50),1/Assumptions!$N$50-Depreciation!$D$14,IF(AH6&lt;Assumptions!$N$50,1/Assumptions!$N$50,0))</f>
        <v>0</v>
      </c>
    </row>
    <row r="15" spans="1:34" s="10" customFormat="1">
      <c r="A15" s="12"/>
      <c r="B15" s="35"/>
      <c r="C15" s="25"/>
      <c r="D15" s="3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322</v>
      </c>
      <c r="B16" s="497">
        <f>Assumptions!C34+Assumptions!C46+Assumptions!C38</f>
        <v>75730.134734742765</v>
      </c>
      <c r="C16" s="393"/>
      <c r="D16" s="18">
        <f>$B$16*D12</f>
        <v>3786.5067367371385</v>
      </c>
      <c r="E16" s="18">
        <f t="shared" ref="E16:Y16" si="0">$B$16*E12</f>
        <v>7194.3627998005632</v>
      </c>
      <c r="F16" s="18">
        <f t="shared" si="0"/>
        <v>6474.9265198205067</v>
      </c>
      <c r="G16" s="18">
        <f t="shared" si="0"/>
        <v>5831.2203745751931</v>
      </c>
      <c r="H16" s="18">
        <f t="shared" si="0"/>
        <v>5248.0983371176735</v>
      </c>
      <c r="I16" s="18">
        <f t="shared" si="0"/>
        <v>4717.9873939744748</v>
      </c>
      <c r="J16" s="18">
        <f t="shared" si="0"/>
        <v>4468.077949349823</v>
      </c>
      <c r="K16" s="18">
        <f t="shared" si="0"/>
        <v>4475.650962823297</v>
      </c>
      <c r="L16" s="18">
        <f t="shared" si="0"/>
        <v>4468.077949349823</v>
      </c>
      <c r="M16" s="18">
        <f t="shared" si="0"/>
        <v>4475.650962823297</v>
      </c>
      <c r="N16" s="18">
        <f t="shared" si="0"/>
        <v>4468.077949349823</v>
      </c>
      <c r="O16" s="18">
        <f t="shared" si="0"/>
        <v>4475.650962823297</v>
      </c>
      <c r="P16" s="18">
        <f t="shared" si="0"/>
        <v>4468.077949349823</v>
      </c>
      <c r="Q16" s="18">
        <f t="shared" si="0"/>
        <v>4475.650962823297</v>
      </c>
      <c r="R16" s="18">
        <f t="shared" si="0"/>
        <v>4468.077949349823</v>
      </c>
      <c r="S16" s="18">
        <f t="shared" si="0"/>
        <v>2234.0389746749115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323</v>
      </c>
      <c r="B17" s="392">
        <f>Assumptions!C50-Assumptions!C46-Assumptions!C47</f>
        <v>3380.08</v>
      </c>
      <c r="C17" s="393"/>
      <c r="D17" s="390">
        <f>$B$17*D13</f>
        <v>450.67733333333331</v>
      </c>
      <c r="E17" s="390">
        <f t="shared" ref="E17:AH17" si="2">$B$17*E13</f>
        <v>676.01600000000008</v>
      </c>
      <c r="F17" s="390">
        <f t="shared" si="2"/>
        <v>676.01600000000008</v>
      </c>
      <c r="G17" s="390">
        <f t="shared" si="2"/>
        <v>676.01600000000008</v>
      </c>
      <c r="H17" s="390">
        <f t="shared" si="2"/>
        <v>676.01600000000008</v>
      </c>
      <c r="I17" s="390">
        <f t="shared" si="2"/>
        <v>225.33866666666671</v>
      </c>
      <c r="J17" s="390">
        <f t="shared" si="2"/>
        <v>0</v>
      </c>
      <c r="K17" s="390">
        <f t="shared" si="2"/>
        <v>0</v>
      </c>
      <c r="L17" s="390">
        <f t="shared" si="2"/>
        <v>0</v>
      </c>
      <c r="M17" s="390">
        <f t="shared" si="2"/>
        <v>0</v>
      </c>
      <c r="N17" s="390">
        <f t="shared" si="2"/>
        <v>0</v>
      </c>
      <c r="O17" s="390">
        <f t="shared" si="2"/>
        <v>0</v>
      </c>
      <c r="P17" s="390">
        <f t="shared" si="2"/>
        <v>0</v>
      </c>
      <c r="Q17" s="390">
        <f t="shared" si="2"/>
        <v>0</v>
      </c>
      <c r="R17" s="390">
        <f t="shared" si="2"/>
        <v>0</v>
      </c>
      <c r="S17" s="390">
        <f t="shared" si="2"/>
        <v>0</v>
      </c>
      <c r="T17" s="390">
        <f t="shared" si="2"/>
        <v>0</v>
      </c>
      <c r="U17" s="390">
        <f t="shared" si="2"/>
        <v>0</v>
      </c>
      <c r="V17" s="390">
        <f t="shared" si="2"/>
        <v>0</v>
      </c>
      <c r="W17" s="390">
        <f t="shared" si="2"/>
        <v>0</v>
      </c>
      <c r="X17" s="390">
        <f t="shared" si="2"/>
        <v>0</v>
      </c>
      <c r="Y17" s="390">
        <f t="shared" si="2"/>
        <v>0</v>
      </c>
      <c r="Z17" s="390">
        <f t="shared" si="2"/>
        <v>0</v>
      </c>
      <c r="AA17" s="390">
        <f t="shared" si="2"/>
        <v>0</v>
      </c>
      <c r="AB17" s="390">
        <f t="shared" si="2"/>
        <v>0</v>
      </c>
      <c r="AC17" s="390">
        <f t="shared" si="2"/>
        <v>0</v>
      </c>
      <c r="AD17" s="390">
        <f t="shared" si="2"/>
        <v>0</v>
      </c>
      <c r="AE17" s="390">
        <f t="shared" si="2"/>
        <v>0</v>
      </c>
      <c r="AF17" s="390">
        <f t="shared" si="2"/>
        <v>0</v>
      </c>
      <c r="AG17" s="390">
        <f t="shared" si="2"/>
        <v>0</v>
      </c>
      <c r="AH17" s="390">
        <f t="shared" si="2"/>
        <v>0</v>
      </c>
    </row>
    <row r="18" spans="1:36" s="10" customFormat="1" ht="15">
      <c r="A18" s="22" t="s">
        <v>428</v>
      </c>
      <c r="B18" s="498">
        <f>Assumptions!$C$56</f>
        <v>0</v>
      </c>
      <c r="C18" s="393"/>
      <c r="D18" s="499">
        <f>$B$18*D14</f>
        <v>0</v>
      </c>
      <c r="E18" s="499">
        <f t="shared" ref="E18:Y18" si="3">$B$18*E14</f>
        <v>0</v>
      </c>
      <c r="F18" s="499">
        <f t="shared" si="3"/>
        <v>0</v>
      </c>
      <c r="G18" s="499">
        <f t="shared" si="3"/>
        <v>0</v>
      </c>
      <c r="H18" s="499">
        <f t="shared" si="3"/>
        <v>0</v>
      </c>
      <c r="I18" s="499">
        <f t="shared" si="3"/>
        <v>0</v>
      </c>
      <c r="J18" s="499">
        <f t="shared" si="3"/>
        <v>0</v>
      </c>
      <c r="K18" s="499">
        <f t="shared" si="3"/>
        <v>0</v>
      </c>
      <c r="L18" s="499">
        <f t="shared" si="3"/>
        <v>0</v>
      </c>
      <c r="M18" s="499">
        <f t="shared" si="3"/>
        <v>0</v>
      </c>
      <c r="N18" s="499">
        <f t="shared" si="3"/>
        <v>0</v>
      </c>
      <c r="O18" s="499">
        <f t="shared" si="3"/>
        <v>0</v>
      </c>
      <c r="P18" s="499">
        <f t="shared" si="3"/>
        <v>0</v>
      </c>
      <c r="Q18" s="499">
        <f t="shared" si="3"/>
        <v>0</v>
      </c>
      <c r="R18" s="499">
        <f t="shared" si="3"/>
        <v>0</v>
      </c>
      <c r="S18" s="499">
        <f t="shared" si="3"/>
        <v>0</v>
      </c>
      <c r="T18" s="499">
        <f t="shared" si="3"/>
        <v>0</v>
      </c>
      <c r="U18" s="499">
        <f t="shared" si="3"/>
        <v>0</v>
      </c>
      <c r="V18" s="499">
        <f t="shared" si="3"/>
        <v>0</v>
      </c>
      <c r="W18" s="499">
        <f t="shared" si="3"/>
        <v>0</v>
      </c>
      <c r="X18" s="499">
        <f t="shared" si="3"/>
        <v>0</v>
      </c>
      <c r="Y18" s="499">
        <f t="shared" si="3"/>
        <v>0</v>
      </c>
      <c r="Z18" s="499">
        <f t="shared" ref="Z18:AH18" si="4">$B$18*Z14</f>
        <v>0</v>
      </c>
      <c r="AA18" s="499">
        <f t="shared" si="4"/>
        <v>0</v>
      </c>
      <c r="AB18" s="499">
        <f t="shared" si="4"/>
        <v>0</v>
      </c>
      <c r="AC18" s="499">
        <f t="shared" si="4"/>
        <v>0</v>
      </c>
      <c r="AD18" s="499">
        <f t="shared" si="4"/>
        <v>0</v>
      </c>
      <c r="AE18" s="499">
        <f t="shared" si="4"/>
        <v>0</v>
      </c>
      <c r="AF18" s="499">
        <f t="shared" si="4"/>
        <v>0</v>
      </c>
      <c r="AG18" s="499">
        <f t="shared" si="4"/>
        <v>0</v>
      </c>
      <c r="AH18" s="499">
        <f t="shared" si="4"/>
        <v>0</v>
      </c>
    </row>
    <row r="19" spans="1:36" s="10" customFormat="1">
      <c r="A19" s="22" t="s">
        <v>69</v>
      </c>
      <c r="B19" s="18">
        <f>SUM(B16:B18)</f>
        <v>79110.214734742767</v>
      </c>
      <c r="C19" s="393"/>
      <c r="D19" s="18">
        <f t="shared" ref="D19:Y19" si="5">SUM(D16:D18)</f>
        <v>4237.1840700704715</v>
      </c>
      <c r="E19" s="18">
        <f t="shared" si="5"/>
        <v>7870.3787998005628</v>
      </c>
      <c r="F19" s="18">
        <f t="shared" si="5"/>
        <v>7150.9425198205063</v>
      </c>
      <c r="G19" s="18">
        <f t="shared" si="5"/>
        <v>6507.2363745751936</v>
      </c>
      <c r="H19" s="18">
        <f t="shared" si="5"/>
        <v>5924.1143371176731</v>
      </c>
      <c r="I19" s="18">
        <f t="shared" si="5"/>
        <v>4943.3260606411413</v>
      </c>
      <c r="J19" s="18">
        <f t="shared" si="5"/>
        <v>4468.077949349823</v>
      </c>
      <c r="K19" s="18">
        <f t="shared" si="5"/>
        <v>4475.650962823297</v>
      </c>
      <c r="L19" s="18">
        <f t="shared" si="5"/>
        <v>4468.077949349823</v>
      </c>
      <c r="M19" s="18">
        <f t="shared" si="5"/>
        <v>4475.650962823297</v>
      </c>
      <c r="N19" s="18">
        <f t="shared" si="5"/>
        <v>4468.077949349823</v>
      </c>
      <c r="O19" s="18">
        <f t="shared" si="5"/>
        <v>4475.650962823297</v>
      </c>
      <c r="P19" s="18">
        <f t="shared" si="5"/>
        <v>4468.077949349823</v>
      </c>
      <c r="Q19" s="18">
        <f t="shared" si="5"/>
        <v>4475.650962823297</v>
      </c>
      <c r="R19" s="18">
        <f t="shared" si="5"/>
        <v>4468.077949349823</v>
      </c>
      <c r="S19" s="18">
        <f t="shared" si="5"/>
        <v>2234.0389746749115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9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70</v>
      </c>
      <c r="B21" s="394">
        <f>B19</f>
        <v>79110.214734742767</v>
      </c>
      <c r="C21" s="500"/>
      <c r="D21" s="394">
        <f>B19-D19</f>
        <v>74873.030664672289</v>
      </c>
      <c r="E21" s="394">
        <f>D21-E19</f>
        <v>67002.651864871732</v>
      </c>
      <c r="F21" s="394">
        <f t="shared" ref="F21:X21" si="7">E21-F19</f>
        <v>59851.709345051226</v>
      </c>
      <c r="G21" s="394">
        <f t="shared" si="7"/>
        <v>53344.472970476032</v>
      </c>
      <c r="H21" s="394">
        <f t="shared" si="7"/>
        <v>47420.358633358359</v>
      </c>
      <c r="I21" s="394">
        <f t="shared" si="7"/>
        <v>42477.032572717217</v>
      </c>
      <c r="J21" s="394">
        <f t="shared" si="7"/>
        <v>38008.95462336739</v>
      </c>
      <c r="K21" s="394">
        <f t="shared" si="7"/>
        <v>33533.303660544094</v>
      </c>
      <c r="L21" s="394">
        <f t="shared" si="7"/>
        <v>29065.225711194271</v>
      </c>
      <c r="M21" s="394">
        <f t="shared" si="7"/>
        <v>24589.574748370975</v>
      </c>
      <c r="N21" s="394">
        <f t="shared" si="7"/>
        <v>20121.496799021152</v>
      </c>
      <c r="O21" s="394">
        <f t="shared" si="7"/>
        <v>15645.845836197856</v>
      </c>
      <c r="P21" s="394">
        <f t="shared" si="7"/>
        <v>11177.767886848033</v>
      </c>
      <c r="Q21" s="394">
        <f t="shared" si="7"/>
        <v>6702.1169240247355</v>
      </c>
      <c r="R21" s="394">
        <f t="shared" si="7"/>
        <v>2234.0389746749124</v>
      </c>
      <c r="S21" s="394">
        <f t="shared" si="7"/>
        <v>0</v>
      </c>
      <c r="T21" s="394">
        <f t="shared" si="7"/>
        <v>0</v>
      </c>
      <c r="U21" s="394">
        <f t="shared" si="7"/>
        <v>0</v>
      </c>
      <c r="V21" s="394">
        <f t="shared" si="7"/>
        <v>0</v>
      </c>
      <c r="W21" s="394">
        <f t="shared" si="7"/>
        <v>0</v>
      </c>
      <c r="X21" s="394">
        <f t="shared" si="7"/>
        <v>0</v>
      </c>
      <c r="Y21" s="394">
        <f>X21-Y19</f>
        <v>0</v>
      </c>
      <c r="Z21" s="394">
        <f t="shared" ref="Z21:AH21" si="8">Y21-Z19</f>
        <v>0</v>
      </c>
      <c r="AA21" s="394">
        <f t="shared" si="8"/>
        <v>0</v>
      </c>
      <c r="AB21" s="394">
        <f t="shared" si="8"/>
        <v>0</v>
      </c>
      <c r="AC21" s="394">
        <f t="shared" si="8"/>
        <v>0</v>
      </c>
      <c r="AD21" s="394">
        <f t="shared" si="8"/>
        <v>0</v>
      </c>
      <c r="AE21" s="394">
        <f t="shared" si="8"/>
        <v>0</v>
      </c>
      <c r="AF21" s="394">
        <f t="shared" si="8"/>
        <v>0</v>
      </c>
      <c r="AG21" s="394">
        <f t="shared" si="8"/>
        <v>0</v>
      </c>
      <c r="AH21" s="394">
        <f t="shared" si="8"/>
        <v>0</v>
      </c>
      <c r="AI21" s="391"/>
      <c r="AJ21" s="391"/>
    </row>
    <row r="22" spans="1:36" s="10" customFormat="1">
      <c r="A22" s="12"/>
      <c r="B22" s="81"/>
      <c r="C22" s="80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r="23" spans="1:36" s="10" customFormat="1">
      <c r="A23" s="16"/>
      <c r="B23" s="17"/>
      <c r="C23" s="36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8" t="s">
        <v>71</v>
      </c>
      <c r="B24" s="37"/>
      <c r="C24" s="25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8"/>
      <c r="B25" s="30" t="s">
        <v>68</v>
      </c>
      <c r="C25" s="25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322</v>
      </c>
      <c r="B26" s="32">
        <f>Assumptions!$N$48</f>
        <v>15</v>
      </c>
      <c r="C26" s="33"/>
      <c r="D26" s="34">
        <f>D12</f>
        <v>0.05</v>
      </c>
      <c r="E26" s="34">
        <f t="shared" ref="E26:Y26" si="9">E12</f>
        <v>9.5000000000000001E-2</v>
      </c>
      <c r="F26" s="34">
        <f t="shared" si="9"/>
        <v>8.5500000000000007E-2</v>
      </c>
      <c r="G26" s="34">
        <f t="shared" si="9"/>
        <v>7.6999999999999999E-2</v>
      </c>
      <c r="H26" s="34">
        <f t="shared" si="9"/>
        <v>6.93E-2</v>
      </c>
      <c r="I26" s="34">
        <f t="shared" si="9"/>
        <v>6.2300000000000001E-2</v>
      </c>
      <c r="J26" s="34">
        <f t="shared" si="9"/>
        <v>5.8999999999999997E-2</v>
      </c>
      <c r="K26" s="34">
        <f t="shared" si="9"/>
        <v>5.91E-2</v>
      </c>
      <c r="L26" s="34">
        <f t="shared" si="9"/>
        <v>5.8999999999999997E-2</v>
      </c>
      <c r="M26" s="34">
        <f t="shared" si="9"/>
        <v>5.91E-2</v>
      </c>
      <c r="N26" s="34">
        <f t="shared" si="9"/>
        <v>5.8999999999999997E-2</v>
      </c>
      <c r="O26" s="34">
        <f t="shared" si="9"/>
        <v>5.91E-2</v>
      </c>
      <c r="P26" s="34">
        <f t="shared" si="9"/>
        <v>5.8999999999999997E-2</v>
      </c>
      <c r="Q26" s="34">
        <f t="shared" si="9"/>
        <v>5.91E-2</v>
      </c>
      <c r="R26" s="34">
        <f t="shared" si="9"/>
        <v>5.8999999999999997E-2</v>
      </c>
      <c r="S26" s="34">
        <f t="shared" si="9"/>
        <v>2.9499999999999998E-2</v>
      </c>
      <c r="T26" s="34">
        <f t="shared" si="9"/>
        <v>0</v>
      </c>
      <c r="U26" s="34">
        <f t="shared" si="9"/>
        <v>0</v>
      </c>
      <c r="V26" s="34">
        <f t="shared" si="9"/>
        <v>0</v>
      </c>
      <c r="W26" s="34">
        <f t="shared" si="9"/>
        <v>0</v>
      </c>
      <c r="X26" s="34">
        <f t="shared" si="9"/>
        <v>0</v>
      </c>
      <c r="Y26" s="34">
        <f t="shared" si="9"/>
        <v>0</v>
      </c>
      <c r="Z26" s="34">
        <f t="shared" ref="Z26:AH26" si="10">Z12</f>
        <v>0</v>
      </c>
      <c r="AA26" s="34">
        <f t="shared" si="10"/>
        <v>0</v>
      </c>
      <c r="AB26" s="34">
        <f t="shared" si="10"/>
        <v>0</v>
      </c>
      <c r="AC26" s="34">
        <f t="shared" si="10"/>
        <v>0</v>
      </c>
      <c r="AD26" s="34">
        <f t="shared" si="10"/>
        <v>0</v>
      </c>
      <c r="AE26" s="34">
        <f t="shared" si="10"/>
        <v>0</v>
      </c>
      <c r="AF26" s="34">
        <f t="shared" si="10"/>
        <v>0</v>
      </c>
      <c r="AG26" s="34">
        <f t="shared" si="10"/>
        <v>0</v>
      </c>
      <c r="AH26" s="34">
        <f t="shared" si="10"/>
        <v>0</v>
      </c>
    </row>
    <row r="27" spans="1:36" s="10" customFormat="1">
      <c r="A27" s="21" t="s">
        <v>323</v>
      </c>
      <c r="B27" s="32">
        <f>Assumptions!$N$49</f>
        <v>5</v>
      </c>
      <c r="C27" s="33"/>
      <c r="D27" s="343">
        <f>D13</f>
        <v>0.13333333333333333</v>
      </c>
      <c r="E27" s="343">
        <f t="shared" ref="E27:AH27" si="11">E13</f>
        <v>0.2</v>
      </c>
      <c r="F27" s="343">
        <f t="shared" si="11"/>
        <v>0.2</v>
      </c>
      <c r="G27" s="343">
        <f t="shared" si="11"/>
        <v>0.2</v>
      </c>
      <c r="H27" s="343">
        <f t="shared" si="11"/>
        <v>0.2</v>
      </c>
      <c r="I27" s="343">
        <f t="shared" si="11"/>
        <v>6.666666666666668E-2</v>
      </c>
      <c r="J27" s="343">
        <f t="shared" si="11"/>
        <v>0</v>
      </c>
      <c r="K27" s="343">
        <f t="shared" si="11"/>
        <v>0</v>
      </c>
      <c r="L27" s="343">
        <f t="shared" si="11"/>
        <v>0</v>
      </c>
      <c r="M27" s="343">
        <f t="shared" si="11"/>
        <v>0</v>
      </c>
      <c r="N27" s="343">
        <f t="shared" si="11"/>
        <v>0</v>
      </c>
      <c r="O27" s="343">
        <f t="shared" si="11"/>
        <v>0</v>
      </c>
      <c r="P27" s="343">
        <f t="shared" si="11"/>
        <v>0</v>
      </c>
      <c r="Q27" s="343">
        <f t="shared" si="11"/>
        <v>0</v>
      </c>
      <c r="R27" s="343">
        <f t="shared" si="11"/>
        <v>0</v>
      </c>
      <c r="S27" s="343">
        <f t="shared" si="11"/>
        <v>0</v>
      </c>
      <c r="T27" s="343">
        <f t="shared" si="11"/>
        <v>0</v>
      </c>
      <c r="U27" s="343">
        <f t="shared" si="11"/>
        <v>0</v>
      </c>
      <c r="V27" s="343">
        <f t="shared" si="11"/>
        <v>0</v>
      </c>
      <c r="W27" s="343">
        <f t="shared" si="11"/>
        <v>0</v>
      </c>
      <c r="X27" s="343">
        <f t="shared" si="11"/>
        <v>0</v>
      </c>
      <c r="Y27" s="343">
        <f t="shared" si="11"/>
        <v>0</v>
      </c>
      <c r="Z27" s="343">
        <f t="shared" si="11"/>
        <v>0</v>
      </c>
      <c r="AA27" s="343">
        <f t="shared" si="11"/>
        <v>0</v>
      </c>
      <c r="AB27" s="343">
        <f t="shared" si="11"/>
        <v>0</v>
      </c>
      <c r="AC27" s="343">
        <f t="shared" si="11"/>
        <v>0</v>
      </c>
      <c r="AD27" s="343">
        <f t="shared" si="11"/>
        <v>0</v>
      </c>
      <c r="AE27" s="343">
        <f t="shared" si="11"/>
        <v>0</v>
      </c>
      <c r="AF27" s="343">
        <f t="shared" si="11"/>
        <v>0</v>
      </c>
      <c r="AG27" s="343">
        <f t="shared" si="11"/>
        <v>0</v>
      </c>
      <c r="AH27" s="343">
        <f t="shared" si="11"/>
        <v>0</v>
      </c>
    </row>
    <row r="28" spans="1:36" s="10" customFormat="1">
      <c r="A28" s="22" t="s">
        <v>428</v>
      </c>
      <c r="B28" s="76">
        <f>Assumptions!$N$50</f>
        <v>20</v>
      </c>
      <c r="C28" s="33"/>
      <c r="D28" s="34">
        <f>D14</f>
        <v>3.3333333333333333E-2</v>
      </c>
      <c r="E28" s="34">
        <f t="shared" ref="E28:Y28" si="12">E14</f>
        <v>0.05</v>
      </c>
      <c r="F28" s="34">
        <f t="shared" si="12"/>
        <v>0.05</v>
      </c>
      <c r="G28" s="34">
        <f t="shared" si="12"/>
        <v>0.05</v>
      </c>
      <c r="H28" s="34">
        <f t="shared" si="12"/>
        <v>0.05</v>
      </c>
      <c r="I28" s="34">
        <f t="shared" si="12"/>
        <v>0.05</v>
      </c>
      <c r="J28" s="34">
        <f t="shared" si="12"/>
        <v>0.05</v>
      </c>
      <c r="K28" s="34">
        <f t="shared" si="12"/>
        <v>0.05</v>
      </c>
      <c r="L28" s="34">
        <f t="shared" si="12"/>
        <v>0.05</v>
      </c>
      <c r="M28" s="34">
        <f t="shared" si="12"/>
        <v>0.05</v>
      </c>
      <c r="N28" s="34">
        <f t="shared" si="12"/>
        <v>0.05</v>
      </c>
      <c r="O28" s="34">
        <f t="shared" si="12"/>
        <v>0.05</v>
      </c>
      <c r="P28" s="34">
        <f t="shared" si="12"/>
        <v>0.05</v>
      </c>
      <c r="Q28" s="34">
        <f t="shared" si="12"/>
        <v>0.05</v>
      </c>
      <c r="R28" s="34">
        <f t="shared" si="12"/>
        <v>0.05</v>
      </c>
      <c r="S28" s="34">
        <f t="shared" si="12"/>
        <v>0.05</v>
      </c>
      <c r="T28" s="34">
        <f t="shared" si="12"/>
        <v>0.05</v>
      </c>
      <c r="U28" s="34">
        <f t="shared" si="12"/>
        <v>0.05</v>
      </c>
      <c r="V28" s="34">
        <f t="shared" si="12"/>
        <v>0.05</v>
      </c>
      <c r="W28" s="34">
        <f t="shared" si="12"/>
        <v>0.05</v>
      </c>
      <c r="X28" s="34">
        <f t="shared" si="12"/>
        <v>1.666666666666667E-2</v>
      </c>
      <c r="Y28" s="34">
        <f t="shared" si="12"/>
        <v>0</v>
      </c>
      <c r="Z28" s="34">
        <f t="shared" ref="Z28:AH28" si="13">Z14</f>
        <v>0</v>
      </c>
      <c r="AA28" s="34">
        <f t="shared" si="13"/>
        <v>0</v>
      </c>
      <c r="AB28" s="34">
        <f t="shared" si="13"/>
        <v>0</v>
      </c>
      <c r="AC28" s="34">
        <f t="shared" si="13"/>
        <v>0</v>
      </c>
      <c r="AD28" s="34">
        <f t="shared" si="13"/>
        <v>0</v>
      </c>
      <c r="AE28" s="34">
        <f t="shared" si="13"/>
        <v>0</v>
      </c>
      <c r="AF28" s="34">
        <f t="shared" si="13"/>
        <v>0</v>
      </c>
      <c r="AG28" s="34">
        <f t="shared" si="13"/>
        <v>0</v>
      </c>
      <c r="AH28" s="34">
        <f t="shared" si="13"/>
        <v>0</v>
      </c>
    </row>
    <row r="29" spans="1:36" s="10" customFormat="1">
      <c r="A29" s="16"/>
      <c r="B29" s="32"/>
      <c r="C29" s="25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</row>
    <row r="30" spans="1:36" s="10" customFormat="1">
      <c r="A30" s="12"/>
      <c r="B30" s="30"/>
      <c r="C30" s="25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322</v>
      </c>
      <c r="B31" s="497">
        <f>B16</f>
        <v>75730.134734742765</v>
      </c>
      <c r="C31" s="393"/>
      <c r="D31" s="18">
        <f>$B$31*D26</f>
        <v>3786.5067367371385</v>
      </c>
      <c r="E31" s="18">
        <f t="shared" ref="E31:Y31" si="14">$B$31*E26</f>
        <v>7194.3627998005632</v>
      </c>
      <c r="F31" s="18">
        <f t="shared" si="14"/>
        <v>6474.9265198205067</v>
      </c>
      <c r="G31" s="18">
        <f t="shared" si="14"/>
        <v>5831.2203745751931</v>
      </c>
      <c r="H31" s="18">
        <f t="shared" si="14"/>
        <v>5248.0983371176735</v>
      </c>
      <c r="I31" s="18">
        <f t="shared" si="14"/>
        <v>4717.9873939744748</v>
      </c>
      <c r="J31" s="18">
        <f t="shared" si="14"/>
        <v>4468.077949349823</v>
      </c>
      <c r="K31" s="18">
        <f t="shared" si="14"/>
        <v>4475.650962823297</v>
      </c>
      <c r="L31" s="18">
        <f t="shared" si="14"/>
        <v>4468.077949349823</v>
      </c>
      <c r="M31" s="18">
        <f t="shared" si="14"/>
        <v>4475.650962823297</v>
      </c>
      <c r="N31" s="18">
        <f t="shared" si="14"/>
        <v>4468.077949349823</v>
      </c>
      <c r="O31" s="18">
        <f t="shared" si="14"/>
        <v>4475.650962823297</v>
      </c>
      <c r="P31" s="18">
        <f t="shared" si="14"/>
        <v>4468.077949349823</v>
      </c>
      <c r="Q31" s="18">
        <f t="shared" si="14"/>
        <v>4475.650962823297</v>
      </c>
      <c r="R31" s="18">
        <f t="shared" si="14"/>
        <v>4468.077949349823</v>
      </c>
      <c r="S31" s="18">
        <f t="shared" si="14"/>
        <v>2234.0389746749115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323</v>
      </c>
      <c r="B32" s="392">
        <f>B17</f>
        <v>3380.08</v>
      </c>
      <c r="C32" s="393"/>
      <c r="D32" s="390">
        <f>D27*$B$32</f>
        <v>450.67733333333331</v>
      </c>
      <c r="E32" s="390">
        <f t="shared" ref="E32:AH32" si="16">E27*$B$32</f>
        <v>676.01600000000008</v>
      </c>
      <c r="F32" s="390">
        <f t="shared" si="16"/>
        <v>676.01600000000008</v>
      </c>
      <c r="G32" s="390">
        <f t="shared" si="16"/>
        <v>676.01600000000008</v>
      </c>
      <c r="H32" s="390">
        <f t="shared" si="16"/>
        <v>676.01600000000008</v>
      </c>
      <c r="I32" s="390">
        <f t="shared" si="16"/>
        <v>225.33866666666671</v>
      </c>
      <c r="J32" s="390">
        <f t="shared" si="16"/>
        <v>0</v>
      </c>
      <c r="K32" s="390">
        <f t="shared" si="16"/>
        <v>0</v>
      </c>
      <c r="L32" s="390">
        <f t="shared" si="16"/>
        <v>0</v>
      </c>
      <c r="M32" s="390">
        <f t="shared" si="16"/>
        <v>0</v>
      </c>
      <c r="N32" s="390">
        <f t="shared" si="16"/>
        <v>0</v>
      </c>
      <c r="O32" s="390">
        <f t="shared" si="16"/>
        <v>0</v>
      </c>
      <c r="P32" s="390">
        <f t="shared" si="16"/>
        <v>0</v>
      </c>
      <c r="Q32" s="390">
        <f t="shared" si="16"/>
        <v>0</v>
      </c>
      <c r="R32" s="390">
        <f t="shared" si="16"/>
        <v>0</v>
      </c>
      <c r="S32" s="390">
        <f t="shared" si="16"/>
        <v>0</v>
      </c>
      <c r="T32" s="390">
        <f t="shared" si="16"/>
        <v>0</v>
      </c>
      <c r="U32" s="390">
        <f t="shared" si="16"/>
        <v>0</v>
      </c>
      <c r="V32" s="390">
        <f t="shared" si="16"/>
        <v>0</v>
      </c>
      <c r="W32" s="390">
        <f t="shared" si="16"/>
        <v>0</v>
      </c>
      <c r="X32" s="390">
        <f t="shared" si="16"/>
        <v>0</v>
      </c>
      <c r="Y32" s="390">
        <f t="shared" si="16"/>
        <v>0</v>
      </c>
      <c r="Z32" s="390">
        <f t="shared" si="16"/>
        <v>0</v>
      </c>
      <c r="AA32" s="390">
        <f t="shared" si="16"/>
        <v>0</v>
      </c>
      <c r="AB32" s="390">
        <f t="shared" si="16"/>
        <v>0</v>
      </c>
      <c r="AC32" s="390">
        <f t="shared" si="16"/>
        <v>0</v>
      </c>
      <c r="AD32" s="390">
        <f t="shared" si="16"/>
        <v>0</v>
      </c>
      <c r="AE32" s="390">
        <f t="shared" si="16"/>
        <v>0</v>
      </c>
      <c r="AF32" s="390">
        <f t="shared" si="16"/>
        <v>0</v>
      </c>
      <c r="AG32" s="390">
        <f t="shared" si="16"/>
        <v>0</v>
      </c>
      <c r="AH32" s="390">
        <f t="shared" si="16"/>
        <v>0</v>
      </c>
    </row>
    <row r="33" spans="1:38" s="10" customFormat="1" ht="15">
      <c r="A33" s="22" t="s">
        <v>428</v>
      </c>
      <c r="B33" s="498">
        <f>B18</f>
        <v>0</v>
      </c>
      <c r="C33" s="393"/>
      <c r="D33" s="499">
        <f t="shared" ref="D33:Y33" si="17">$B33*D28</f>
        <v>0</v>
      </c>
      <c r="E33" s="499">
        <f t="shared" si="17"/>
        <v>0</v>
      </c>
      <c r="F33" s="499">
        <f t="shared" si="17"/>
        <v>0</v>
      </c>
      <c r="G33" s="499">
        <f t="shared" si="17"/>
        <v>0</v>
      </c>
      <c r="H33" s="499">
        <f t="shared" si="17"/>
        <v>0</v>
      </c>
      <c r="I33" s="499">
        <f t="shared" si="17"/>
        <v>0</v>
      </c>
      <c r="J33" s="499">
        <f t="shared" si="17"/>
        <v>0</v>
      </c>
      <c r="K33" s="499">
        <f t="shared" si="17"/>
        <v>0</v>
      </c>
      <c r="L33" s="499">
        <f t="shared" si="17"/>
        <v>0</v>
      </c>
      <c r="M33" s="499">
        <f t="shared" si="17"/>
        <v>0</v>
      </c>
      <c r="N33" s="499">
        <f t="shared" si="17"/>
        <v>0</v>
      </c>
      <c r="O33" s="499">
        <f t="shared" si="17"/>
        <v>0</v>
      </c>
      <c r="P33" s="499">
        <f t="shared" si="17"/>
        <v>0</v>
      </c>
      <c r="Q33" s="499">
        <f t="shared" si="17"/>
        <v>0</v>
      </c>
      <c r="R33" s="499">
        <f t="shared" si="17"/>
        <v>0</v>
      </c>
      <c r="S33" s="499">
        <f t="shared" si="17"/>
        <v>0</v>
      </c>
      <c r="T33" s="499">
        <f t="shared" si="17"/>
        <v>0</v>
      </c>
      <c r="U33" s="499">
        <f t="shared" si="17"/>
        <v>0</v>
      </c>
      <c r="V33" s="499">
        <f t="shared" si="17"/>
        <v>0</v>
      </c>
      <c r="W33" s="499">
        <f t="shared" si="17"/>
        <v>0</v>
      </c>
      <c r="X33" s="499">
        <f t="shared" si="17"/>
        <v>0</v>
      </c>
      <c r="Y33" s="499">
        <f t="shared" si="17"/>
        <v>0</v>
      </c>
      <c r="Z33" s="499">
        <f t="shared" ref="Z33:AH33" si="18">$B33*Z28</f>
        <v>0</v>
      </c>
      <c r="AA33" s="499">
        <f t="shared" si="18"/>
        <v>0</v>
      </c>
      <c r="AB33" s="499">
        <f t="shared" si="18"/>
        <v>0</v>
      </c>
      <c r="AC33" s="499">
        <f t="shared" si="18"/>
        <v>0</v>
      </c>
      <c r="AD33" s="499">
        <f t="shared" si="18"/>
        <v>0</v>
      </c>
      <c r="AE33" s="499">
        <f t="shared" si="18"/>
        <v>0</v>
      </c>
      <c r="AF33" s="499">
        <f t="shared" si="18"/>
        <v>0</v>
      </c>
      <c r="AG33" s="499">
        <f t="shared" si="18"/>
        <v>0</v>
      </c>
      <c r="AH33" s="499">
        <f t="shared" si="18"/>
        <v>0</v>
      </c>
    </row>
    <row r="34" spans="1:38" s="10" customFormat="1">
      <c r="A34" s="16" t="s">
        <v>69</v>
      </c>
      <c r="B34" s="18">
        <f>SUM(B31:B33)</f>
        <v>79110.214734742767</v>
      </c>
      <c r="C34" s="393"/>
      <c r="D34" s="18">
        <f t="shared" ref="D34:Y34" si="19">SUM(D31:D33)</f>
        <v>4237.1840700704715</v>
      </c>
      <c r="E34" s="18">
        <f t="shared" si="19"/>
        <v>7870.3787998005628</v>
      </c>
      <c r="F34" s="18">
        <f t="shared" si="19"/>
        <v>7150.9425198205063</v>
      </c>
      <c r="G34" s="18">
        <f t="shared" si="19"/>
        <v>6507.2363745751936</v>
      </c>
      <c r="H34" s="18">
        <f t="shared" si="19"/>
        <v>5924.1143371176731</v>
      </c>
      <c r="I34" s="18">
        <f t="shared" si="19"/>
        <v>4943.3260606411413</v>
      </c>
      <c r="J34" s="18">
        <f t="shared" si="19"/>
        <v>4468.077949349823</v>
      </c>
      <c r="K34" s="18">
        <f t="shared" si="19"/>
        <v>4475.650962823297</v>
      </c>
      <c r="L34" s="18">
        <f t="shared" si="19"/>
        <v>4468.077949349823</v>
      </c>
      <c r="M34" s="18">
        <f t="shared" si="19"/>
        <v>4475.650962823297</v>
      </c>
      <c r="N34" s="18">
        <f t="shared" si="19"/>
        <v>4468.077949349823</v>
      </c>
      <c r="O34" s="18">
        <f t="shared" si="19"/>
        <v>4475.650962823297</v>
      </c>
      <c r="P34" s="18">
        <f t="shared" si="19"/>
        <v>4468.077949349823</v>
      </c>
      <c r="Q34" s="18">
        <f t="shared" si="19"/>
        <v>4475.650962823297</v>
      </c>
      <c r="R34" s="18">
        <f t="shared" si="19"/>
        <v>4468.077949349823</v>
      </c>
      <c r="S34" s="18">
        <f t="shared" si="19"/>
        <v>2234.0389746749115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501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70</v>
      </c>
      <c r="B36" s="394">
        <f>B34</f>
        <v>79110.214734742767</v>
      </c>
      <c r="C36" s="502"/>
      <c r="D36" s="394">
        <f>B34-D34</f>
        <v>74873.030664672289</v>
      </c>
      <c r="E36" s="394">
        <f>D36-E34</f>
        <v>67002.651864871732</v>
      </c>
      <c r="F36" s="394">
        <f t="shared" ref="F36:W36" si="21">E36-F34</f>
        <v>59851.709345051226</v>
      </c>
      <c r="G36" s="394">
        <f t="shared" si="21"/>
        <v>53344.472970476032</v>
      </c>
      <c r="H36" s="394">
        <f t="shared" si="21"/>
        <v>47420.358633358359</v>
      </c>
      <c r="I36" s="394">
        <f t="shared" si="21"/>
        <v>42477.032572717217</v>
      </c>
      <c r="J36" s="394">
        <f t="shared" si="21"/>
        <v>38008.95462336739</v>
      </c>
      <c r="K36" s="394">
        <f t="shared" si="21"/>
        <v>33533.303660544094</v>
      </c>
      <c r="L36" s="394">
        <f t="shared" si="21"/>
        <v>29065.225711194271</v>
      </c>
      <c r="M36" s="394">
        <f t="shared" si="21"/>
        <v>24589.574748370975</v>
      </c>
      <c r="N36" s="394">
        <f t="shared" si="21"/>
        <v>20121.496799021152</v>
      </c>
      <c r="O36" s="394">
        <f t="shared" si="21"/>
        <v>15645.845836197856</v>
      </c>
      <c r="P36" s="394">
        <f t="shared" si="21"/>
        <v>11177.767886848033</v>
      </c>
      <c r="Q36" s="394">
        <f t="shared" si="21"/>
        <v>6702.1169240247355</v>
      </c>
      <c r="R36" s="394">
        <f t="shared" si="21"/>
        <v>2234.0389746749124</v>
      </c>
      <c r="S36" s="394">
        <f t="shared" si="21"/>
        <v>0</v>
      </c>
      <c r="T36" s="394">
        <f t="shared" si="21"/>
        <v>0</v>
      </c>
      <c r="U36" s="394">
        <f t="shared" si="21"/>
        <v>0</v>
      </c>
      <c r="V36" s="394">
        <f t="shared" si="21"/>
        <v>0</v>
      </c>
      <c r="W36" s="394">
        <f t="shared" si="21"/>
        <v>0</v>
      </c>
      <c r="X36" s="394">
        <f>W36-X34</f>
        <v>0</v>
      </c>
      <c r="Y36" s="394">
        <f>X36-Y34</f>
        <v>0</v>
      </c>
      <c r="Z36" s="394">
        <f t="shared" ref="Z36:AH36" si="22">Y36-Z34</f>
        <v>0</v>
      </c>
      <c r="AA36" s="394">
        <f t="shared" si="22"/>
        <v>0</v>
      </c>
      <c r="AB36" s="394">
        <f t="shared" si="22"/>
        <v>0</v>
      </c>
      <c r="AC36" s="394">
        <f t="shared" si="22"/>
        <v>0</v>
      </c>
      <c r="AD36" s="394">
        <f t="shared" si="22"/>
        <v>0</v>
      </c>
      <c r="AE36" s="394">
        <f t="shared" si="22"/>
        <v>0</v>
      </c>
      <c r="AF36" s="394">
        <f t="shared" si="22"/>
        <v>0</v>
      </c>
      <c r="AG36" s="394">
        <f t="shared" si="22"/>
        <v>0</v>
      </c>
      <c r="AH36" s="394">
        <f t="shared" si="22"/>
        <v>0</v>
      </c>
      <c r="AI36" s="391"/>
      <c r="AJ36" s="391"/>
    </row>
    <row r="37" spans="1:38" s="10" customFormat="1">
      <c r="A37" s="12"/>
      <c r="B37" s="12"/>
      <c r="C37" s="25"/>
      <c r="D37" s="38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8" t="s">
        <v>72</v>
      </c>
    </row>
    <row r="40" spans="1:38" s="10" customFormat="1">
      <c r="A40" s="28"/>
      <c r="B40" s="30" t="s">
        <v>68</v>
      </c>
      <c r="C40" s="495" t="s">
        <v>73</v>
      </c>
    </row>
    <row r="41" spans="1:38" s="10" customFormat="1">
      <c r="A41" s="21" t="s">
        <v>322</v>
      </c>
      <c r="B41" s="32">
        <f>Assumptions!$N$53</f>
        <v>30</v>
      </c>
      <c r="C41" s="496">
        <f>Assumptions!P53</f>
        <v>0.1</v>
      </c>
      <c r="D41" s="343">
        <f>1/Assumptions!$N$53*D6*(1-$C$41)</f>
        <v>1.9999999999999997E-2</v>
      </c>
      <c r="E41" s="343">
        <f>IF(AND(E6&gt;=Assumptions!$N$53,D6&lt;Assumptions!$N$53),1/Assumptions!$N$53*(1-$C$41)-Depreciation!$D$41,IF(AND(D6&gt;Assumptions!$N$53,E6&lt;Assumptions!$N$53),0,1/Assumptions!$N$53*(1-$C$41)))</f>
        <v>0.03</v>
      </c>
      <c r="F41" s="343">
        <f>IF(AND(F6&gt;=Assumptions!$N$53,E6&lt;Assumptions!$N$53),1/Assumptions!$N$53*(1-$C$41)-Depreciation!$D$41,IF(AND(E6&gt;Assumptions!$N$53,F6&lt;Assumptions!$N$53),0,1/Assumptions!$N$53*(1-$C$41)))</f>
        <v>0.03</v>
      </c>
      <c r="G41" s="343">
        <f>IF(AND(G6&gt;=Assumptions!$N$53,F6&lt;Assumptions!$N$53),1/Assumptions!$N$53*(1-$C$41)-Depreciation!$D$41,IF(AND(F6&gt;Assumptions!$N$53,G6&lt;Assumptions!$N$53),0,1/Assumptions!$N$53*(1-$C$41)))</f>
        <v>0.03</v>
      </c>
      <c r="H41" s="343">
        <f>IF(AND(H6&gt;=Assumptions!$N$53,G6&lt;Assumptions!$N$53),1/Assumptions!$N$53*(1-$C$41)-Depreciation!$D$41,IF(AND(G6&gt;Assumptions!$N$53,H6&lt;Assumptions!$N$53),0,1/Assumptions!$N$53*(1-$C$41)))</f>
        <v>0.03</v>
      </c>
      <c r="I41" s="343">
        <f>IF(AND(I6&gt;=Assumptions!$N$53,H6&lt;Assumptions!$N$53),1/Assumptions!$N$53*(1-$C$41)-Depreciation!$D$41,IF(AND(H6&gt;Assumptions!$N$53,I6&lt;Assumptions!$N$53),0,1/Assumptions!$N$53*(1-$C$41)))</f>
        <v>0.03</v>
      </c>
      <c r="J41" s="343">
        <f>IF(AND(J6&gt;=Assumptions!$N$53,I6&lt;Assumptions!$N$53),1/Assumptions!$N$53*(1-$C$41)-Depreciation!$D$41,IF(AND(I6&gt;Assumptions!$N$53,J6&lt;Assumptions!$N$53),0,1/Assumptions!$N$53*(1-$C$41)))</f>
        <v>0.03</v>
      </c>
      <c r="K41" s="343">
        <f>IF(AND(K6&gt;=Assumptions!$N$53,J6&lt;Assumptions!$N$53),1/Assumptions!$N$53*(1-$C$41)-Depreciation!$D$41,IF(AND(J6&gt;Assumptions!$N$53,K6&lt;Assumptions!$N$53),0,1/Assumptions!$N$53*(1-$C$41)))</f>
        <v>0.03</v>
      </c>
      <c r="L41" s="343">
        <f>IF(AND(L6&gt;=Assumptions!$N$53,K6&lt;Assumptions!$N$53),1/Assumptions!$N$53*(1-$C$41)-Depreciation!$D$41,IF(AND(K6&gt;Assumptions!$N$53,L6&lt;Assumptions!$N$53),0,1/Assumptions!$N$53*(1-$C$41)))</f>
        <v>0.03</v>
      </c>
      <c r="M41" s="343">
        <f>IF(AND(M6&gt;=Assumptions!$N$53,L6&lt;Assumptions!$N$53),1/Assumptions!$N$53*(1-$C$41)-Depreciation!$D$41,IF(AND(L6&gt;Assumptions!$N$53,M6&lt;Assumptions!$N$53),0,1/Assumptions!$N$53*(1-$C$41)))</f>
        <v>0.03</v>
      </c>
      <c r="N41" s="343">
        <f>IF(AND(N6&gt;=Assumptions!$N$53,M6&lt;Assumptions!$N$53),1/Assumptions!$N$53*(1-$C$41)-Depreciation!$D$41,IF(AND(M6&gt;Assumptions!$N$53,N6&lt;Assumptions!$N$53),0,1/Assumptions!$N$53*(1-$C$41)))</f>
        <v>0.03</v>
      </c>
      <c r="O41" s="343">
        <f>IF(AND(O6&gt;=Assumptions!$N$53,N6&lt;Assumptions!$N$53),1/Assumptions!$N$53*(1-$C$41)-Depreciation!$D$41,IF(AND(N6&gt;Assumptions!$N$53,O6&lt;Assumptions!$N$53),0,1/Assumptions!$N$53*(1-$C$41)))</f>
        <v>0.03</v>
      </c>
      <c r="P41" s="343">
        <f>IF(AND(P6&gt;=Assumptions!$N$53,O6&lt;Assumptions!$N$53),1/Assumptions!$N$53*(1-$C$41)-Depreciation!$D$41,IF(AND(O6&gt;Assumptions!$N$53,P6&lt;Assumptions!$N$53),0,1/Assumptions!$N$53*(1-$C$41)))</f>
        <v>0.03</v>
      </c>
      <c r="Q41" s="343">
        <f>IF(AND(Q6&gt;=Assumptions!$N$53,P6&lt;Assumptions!$N$53),1/Assumptions!$N$53*(1-$C$41)-Depreciation!$D$41,IF(AND(P6&gt;Assumptions!$N$53,Q6&lt;Assumptions!$N$53),0,1/Assumptions!$N$53*(1-$C$41)))</f>
        <v>0.03</v>
      </c>
      <c r="R41" s="343">
        <f>IF(AND(R6&gt;=Assumptions!$N$53,Q6&lt;Assumptions!$N$53),1/Assumptions!$N$53*(1-$C$41)-Depreciation!$D$41,IF(AND(Q6&gt;Assumptions!$N$53,R6&lt;Assumptions!$N$53),0,1/Assumptions!$N$53*(1-$C$41)))</f>
        <v>0.03</v>
      </c>
      <c r="S41" s="343">
        <f>IF(AND(S6&gt;=Assumptions!$N$53,R6&lt;Assumptions!$N$53),1/Assumptions!$N$53*(1-$C$41)-Depreciation!$D$41,IF(AND(R6&gt;Assumptions!$N$53,S6&lt;Assumptions!$N$53),0,1/Assumptions!$N$53*(1-$C$41)))</f>
        <v>0.03</v>
      </c>
      <c r="T41" s="343">
        <f>IF(AND(T6&gt;=Assumptions!$N$53,S6&lt;Assumptions!$N$53),1/Assumptions!$N$53*(1-$C$41)-Depreciation!$D$41,IF(AND(S6&gt;Assumptions!$N$53,T6&lt;Assumptions!$N$53),0,1/Assumptions!$N$53*(1-$C$41)))</f>
        <v>0.03</v>
      </c>
      <c r="U41" s="343">
        <f>IF(AND(U6&gt;=Assumptions!$N$53,T6&lt;Assumptions!$N$53),1/Assumptions!$N$53*(1-$C$41)-Depreciation!$D$41,IF(AND(T6&gt;Assumptions!$N$53,U6&lt;Assumptions!$N$53),0,1/Assumptions!$N$53*(1-$C$41)))</f>
        <v>0.03</v>
      </c>
      <c r="V41" s="343">
        <f>IF(AND(V6&gt;=Assumptions!$N$53,U6&lt;Assumptions!$N$53),1/Assumptions!$N$53*(1-$C$41)-Depreciation!$D$41,IF(AND(U6&gt;Assumptions!$N$53,V6&lt;Assumptions!$N$53),0,1/Assumptions!$N$53*(1-$C$41)))</f>
        <v>0.03</v>
      </c>
      <c r="W41" s="343">
        <f>IF(AND(W6&gt;=Assumptions!$N$53,V6&lt;Assumptions!$N$53),1/Assumptions!$N$53*(1-$C$41)-Depreciation!$D$41,IF(AND(V6&gt;Assumptions!$N$53,W6&lt;Assumptions!$N$53),0,1/Assumptions!$N$53*(1-$C$41)))</f>
        <v>0.03</v>
      </c>
      <c r="X41" s="343">
        <f>IF(AND(X6&gt;=Assumptions!$N$53,W6&lt;Assumptions!$N$53),1/Assumptions!$N$53*(1-$C$41)-Depreciation!$D$41,IF(AND(W6&gt;Assumptions!$N$53,X6&lt;Assumptions!$N$53),0,1/Assumptions!$N$53*(1-$C$41)))</f>
        <v>0.03</v>
      </c>
      <c r="Y41" s="343">
        <f>IF(AND(Y6&gt;=Assumptions!$N$53,X6&lt;Assumptions!$N$53),1/Assumptions!$N$53*(1-$C$41)-Depreciation!$D$41,IF(AND(X6&gt;Assumptions!$N$53,Y6&lt;Assumptions!$N$53),0,1/Assumptions!$N$53*(1-$C$41)))</f>
        <v>0.03</v>
      </c>
      <c r="Z41" s="343">
        <f>IF(AND(Z6&gt;=Assumptions!$N$53,Y6&lt;Assumptions!$N$53),1/Assumptions!$N$53*(1-$C$41)-Depreciation!$D$41,IF(AND(Y6&gt;Assumptions!$N$53,Z6&lt;Assumptions!$N$53),0,1/Assumptions!$N$53*(1-$C$41)))</f>
        <v>0.03</v>
      </c>
      <c r="AA41" s="343">
        <f>IF(AND(AA6&gt;=Assumptions!$N$53,Z6&lt;Assumptions!$N$53),1/Assumptions!$N$53*(1-$C$41)-Depreciation!$D$41,IF(AND(Z6&gt;Assumptions!$N$53,AA6&lt;Assumptions!$N$53),0,1/Assumptions!$N$53*(1-$C$41)))</f>
        <v>0.03</v>
      </c>
      <c r="AB41" s="343">
        <f>IF(AND(AB6&gt;=Assumptions!$N$53,AA6&lt;Assumptions!$N$53),1/Assumptions!$N$53*(1-$C$41)-Depreciation!$D$41,IF(AND(AA6&gt;Assumptions!$N$53,AB6&lt;Assumptions!$N$53),0,1/Assumptions!$N$53*(1-$C$41)))</f>
        <v>0.03</v>
      </c>
      <c r="AC41" s="343">
        <f>IF(AND(AC6&gt;=Assumptions!$N$53,AB6&lt;Assumptions!$N$53),1/Assumptions!$N$53*(1-$C$41)-Depreciation!$D$41,IF(AND(AB6&gt;Assumptions!$N$53,AC6&lt;Assumptions!$N$53),0,1/Assumptions!$N$53*(1-$C$41)))</f>
        <v>0.03</v>
      </c>
      <c r="AD41" s="343">
        <f>IF(AND(AD6&gt;=Assumptions!$N$53,AC6&lt;Assumptions!$N$53),1/Assumptions!$N$53*(1-$C$41)-Depreciation!$D$41,IF(AND(AC6&gt;Assumptions!$N$53,AD6&lt;Assumptions!$N$53),0,1/Assumptions!$N$53*(1-$C$41)))</f>
        <v>0.03</v>
      </c>
      <c r="AE41" s="343">
        <f>IF(AND(AE6&gt;=Assumptions!$N$53,AD6&lt;Assumptions!$N$53),1/Assumptions!$N$53*(1-$C$41)-Depreciation!$D$41,IF(AND(AD6&gt;Assumptions!$N$53,AE6&lt;Assumptions!$N$53),0,1/Assumptions!$N$53*(1-$C$41)))</f>
        <v>0.03</v>
      </c>
      <c r="AF41" s="343">
        <f>IF(AND(AF6&gt;=Assumptions!$N$53,AE6&lt;Assumptions!$N$53),1/Assumptions!$N$53*(1-$C$41)-Depreciation!$D$41,IF(AND(AE6&gt;Assumptions!$N$53,AF6&lt;Assumptions!$N$53),0,1/Assumptions!$N$53*(1-$C$41)))</f>
        <v>0.03</v>
      </c>
      <c r="AG41" s="343">
        <f>IF(AND(AG6&gt;=Assumptions!$N$53,AF6&lt;Assumptions!$N$53),1/Assumptions!$N$53*(1-$C$41)-Depreciation!$D$41,IF(AND(AF6&gt;Assumptions!$N$53,AG6&lt;Assumptions!$N$53),0,1/Assumptions!$N$53*(1-$C$41)))</f>
        <v>0.03</v>
      </c>
      <c r="AH41" s="343">
        <f>IF(AND(AH6&gt;=Assumptions!$N$53,AG6&lt;Assumptions!$N$53),1/Assumptions!$N$53*(1-$C$41)-Depreciation!$D$41,IF(AND(AG6&gt;Assumptions!$N$53,AH6&lt;Assumptions!$N$53),0,1/Assumptions!$N$53*(1-$C$41)))</f>
        <v>1.0000000000000002E-2</v>
      </c>
    </row>
    <row r="42" spans="1:38" s="10" customFormat="1">
      <c r="A42" s="21" t="s">
        <v>323</v>
      </c>
      <c r="B42" s="32">
        <f>Assumptions!$N$49</f>
        <v>5</v>
      </c>
      <c r="C42" s="33"/>
      <c r="D42" s="343">
        <f>D13</f>
        <v>0.13333333333333333</v>
      </c>
      <c r="E42" s="343">
        <f t="shared" ref="E42:AH42" si="23">E13</f>
        <v>0.2</v>
      </c>
      <c r="F42" s="343">
        <f t="shared" si="23"/>
        <v>0.2</v>
      </c>
      <c r="G42" s="343">
        <f t="shared" si="23"/>
        <v>0.2</v>
      </c>
      <c r="H42" s="343">
        <f t="shared" si="23"/>
        <v>0.2</v>
      </c>
      <c r="I42" s="343">
        <f t="shared" si="23"/>
        <v>6.666666666666668E-2</v>
      </c>
      <c r="J42" s="343">
        <f t="shared" si="23"/>
        <v>0</v>
      </c>
      <c r="K42" s="343">
        <f t="shared" si="23"/>
        <v>0</v>
      </c>
      <c r="L42" s="343">
        <f t="shared" si="23"/>
        <v>0</v>
      </c>
      <c r="M42" s="343">
        <f t="shared" si="23"/>
        <v>0</v>
      </c>
      <c r="N42" s="343">
        <f t="shared" si="23"/>
        <v>0</v>
      </c>
      <c r="O42" s="343">
        <f t="shared" si="23"/>
        <v>0</v>
      </c>
      <c r="P42" s="343">
        <f t="shared" si="23"/>
        <v>0</v>
      </c>
      <c r="Q42" s="343">
        <f t="shared" si="23"/>
        <v>0</v>
      </c>
      <c r="R42" s="343">
        <f t="shared" si="23"/>
        <v>0</v>
      </c>
      <c r="S42" s="343">
        <f t="shared" si="23"/>
        <v>0</v>
      </c>
      <c r="T42" s="343">
        <f t="shared" si="23"/>
        <v>0</v>
      </c>
      <c r="U42" s="343">
        <f t="shared" si="23"/>
        <v>0</v>
      </c>
      <c r="V42" s="343">
        <f t="shared" si="23"/>
        <v>0</v>
      </c>
      <c r="W42" s="343">
        <f t="shared" si="23"/>
        <v>0</v>
      </c>
      <c r="X42" s="343">
        <f t="shared" si="23"/>
        <v>0</v>
      </c>
      <c r="Y42" s="343">
        <f t="shared" si="23"/>
        <v>0</v>
      </c>
      <c r="Z42" s="343">
        <f t="shared" si="23"/>
        <v>0</v>
      </c>
      <c r="AA42" s="343">
        <f t="shared" si="23"/>
        <v>0</v>
      </c>
      <c r="AB42" s="343">
        <f t="shared" si="23"/>
        <v>0</v>
      </c>
      <c r="AC42" s="343">
        <f t="shared" si="23"/>
        <v>0</v>
      </c>
      <c r="AD42" s="343">
        <f t="shared" si="23"/>
        <v>0</v>
      </c>
      <c r="AE42" s="343">
        <f t="shared" si="23"/>
        <v>0</v>
      </c>
      <c r="AF42" s="343">
        <f t="shared" si="23"/>
        <v>0</v>
      </c>
      <c r="AG42" s="343">
        <f t="shared" si="23"/>
        <v>0</v>
      </c>
      <c r="AH42" s="343">
        <f t="shared" si="23"/>
        <v>0</v>
      </c>
    </row>
    <row r="43" spans="1:38" s="10" customFormat="1">
      <c r="A43" s="22" t="s">
        <v>428</v>
      </c>
      <c r="B43" s="35">
        <f>Assumptions!$N$55</f>
        <v>20</v>
      </c>
      <c r="C43" s="25"/>
      <c r="D43" s="343">
        <f>1/Assumptions!$N$55*D6</f>
        <v>3.3333333333333333E-2</v>
      </c>
      <c r="E43" s="343">
        <f>IF(AND(E6&gt;=Assumptions!$N$55, D6&lt;Assumptions!$N$55),1/Assumptions!$N$55-Depreciation!$D$43,IF(E6&lt;Assumptions!$N$55,1/Assumptions!$N$55,0))</f>
        <v>0.05</v>
      </c>
      <c r="F43" s="343">
        <f>IF(AND(F6&gt;=Assumptions!$N$55, E6&lt;Assumptions!$N$55),1/Assumptions!$N$55-Depreciation!$D$43,IF(F6&lt;Assumptions!$N$55,1/Assumptions!$N$55,0))</f>
        <v>0.05</v>
      </c>
      <c r="G43" s="343">
        <f>IF(AND(G6&gt;=Assumptions!$N$55, F6&lt;Assumptions!$N$55),1/Assumptions!$N$55-Depreciation!$D$43,IF(G6&lt;Assumptions!$N$55,1/Assumptions!$N$55,0))</f>
        <v>0.05</v>
      </c>
      <c r="H43" s="343">
        <f>IF(AND(H6&gt;=Assumptions!$N$55, G6&lt;Assumptions!$N$55),1/Assumptions!$N$55-Depreciation!$D$43,IF(H6&lt;Assumptions!$N$55,1/Assumptions!$N$55,0))</f>
        <v>0.05</v>
      </c>
      <c r="I43" s="343">
        <f>IF(AND(I6&gt;=Assumptions!$N$55, H6&lt;Assumptions!$N$55),1/Assumptions!$N$55-Depreciation!$D$43,IF(I6&lt;Assumptions!$N$55,1/Assumptions!$N$55,0))</f>
        <v>0.05</v>
      </c>
      <c r="J43" s="343">
        <f>IF(AND(J6&gt;=Assumptions!$N$55, I6&lt;Assumptions!$N$55),1/Assumptions!$N$55-Depreciation!$D$43,IF(J6&lt;Assumptions!$N$55,1/Assumptions!$N$55,0))</f>
        <v>0.05</v>
      </c>
      <c r="K43" s="343">
        <f>IF(AND(K6&gt;=Assumptions!$N$55, J6&lt;Assumptions!$N$55),1/Assumptions!$N$55-Depreciation!$D$43,IF(K6&lt;Assumptions!$N$55,1/Assumptions!$N$55,0))</f>
        <v>0.05</v>
      </c>
      <c r="L43" s="343">
        <f>IF(AND(L6&gt;=Assumptions!$N$55, K6&lt;Assumptions!$N$55),1/Assumptions!$N$55-Depreciation!$D$43,IF(L6&lt;Assumptions!$N$55,1/Assumptions!$N$55,0))</f>
        <v>0.05</v>
      </c>
      <c r="M43" s="343">
        <f>IF(AND(M6&gt;=Assumptions!$N$55, L6&lt;Assumptions!$N$55),1/Assumptions!$N$55-Depreciation!$D$43,IF(M6&lt;Assumptions!$N$55,1/Assumptions!$N$55,0))</f>
        <v>0.05</v>
      </c>
      <c r="N43" s="343">
        <f>IF(AND(N6&gt;=Assumptions!$N$55, M6&lt;Assumptions!$N$55),1/Assumptions!$N$55-Depreciation!$D$43,IF(N6&lt;Assumptions!$N$55,1/Assumptions!$N$55,0))</f>
        <v>0.05</v>
      </c>
      <c r="O43" s="343">
        <f>IF(AND(O6&gt;=Assumptions!$N$55, N6&lt;Assumptions!$N$55),1/Assumptions!$N$55-Depreciation!$D$43,IF(O6&lt;Assumptions!$N$55,1/Assumptions!$N$55,0))</f>
        <v>0.05</v>
      </c>
      <c r="P43" s="343">
        <f>IF(AND(P6&gt;=Assumptions!$N$55, O6&lt;Assumptions!$N$55),1/Assumptions!$N$55-Depreciation!$D$43,IF(P6&lt;Assumptions!$N$55,1/Assumptions!$N$55,0))</f>
        <v>0.05</v>
      </c>
      <c r="Q43" s="343">
        <f>IF(AND(Q6&gt;=Assumptions!$N$55, P6&lt;Assumptions!$N$55),1/Assumptions!$N$55-Depreciation!$D$43,IF(Q6&lt;Assumptions!$N$55,1/Assumptions!$N$55,0))</f>
        <v>0.05</v>
      </c>
      <c r="R43" s="343">
        <f>IF(AND(R6&gt;=Assumptions!$N$55, Q6&lt;Assumptions!$N$55),1/Assumptions!$N$55-Depreciation!$D$43,IF(R6&lt;Assumptions!$N$55,1/Assumptions!$N$55,0))</f>
        <v>0.05</v>
      </c>
      <c r="S43" s="343">
        <f>IF(AND(S6&gt;=Assumptions!$N$55, R6&lt;Assumptions!$N$55),1/Assumptions!$N$55-Depreciation!$D$43,IF(S6&lt;Assumptions!$N$55,1/Assumptions!$N$55,0))</f>
        <v>0.05</v>
      </c>
      <c r="T43" s="343">
        <f>IF(AND(T6&gt;=Assumptions!$N$55, S6&lt;Assumptions!$N$55),1/Assumptions!$N$55-Depreciation!$D$43,IF(T6&lt;Assumptions!$N$55,1/Assumptions!$N$55,0))</f>
        <v>0.05</v>
      </c>
      <c r="U43" s="343">
        <f>IF(AND(U6&gt;=Assumptions!$N$55, T6&lt;Assumptions!$N$55),1/Assumptions!$N$55-Depreciation!$D$43,IF(U6&lt;Assumptions!$N$55,1/Assumptions!$N$55,0))</f>
        <v>0.05</v>
      </c>
      <c r="V43" s="343">
        <f>IF(AND(V6&gt;=Assumptions!$N$55, U6&lt;Assumptions!$N$55),1/Assumptions!$N$55-Depreciation!$D$43,IF(V6&lt;Assumptions!$N$55,1/Assumptions!$N$55,0))</f>
        <v>0.05</v>
      </c>
      <c r="W43" s="343">
        <f>IF(AND(W6&gt;=Assumptions!$N$55, V6&lt;Assumptions!$N$55),1/Assumptions!$N$55-Depreciation!$D$43,IF(W6&lt;Assumptions!$N$55,1/Assumptions!$N$55,0))</f>
        <v>0.05</v>
      </c>
      <c r="X43" s="343">
        <f>IF(AND(X6&gt;=Assumptions!$N$55, W6&lt;Assumptions!$N$55),1/Assumptions!$N$55-Depreciation!$D$43,IF(X6&lt;Assumptions!$N$55,1/Assumptions!$N$55,0))</f>
        <v>1.666666666666667E-2</v>
      </c>
      <c r="Y43" s="343">
        <f>IF(AND(Y6&gt;=Assumptions!$N$55, X6&lt;Assumptions!$N$55),1/Assumptions!$N$55-Depreciation!$D$43,IF(Y6&lt;Assumptions!$N$55,1/Assumptions!$N$55,0))</f>
        <v>0</v>
      </c>
      <c r="Z43" s="343">
        <f>IF(AND(Z6&gt;=Assumptions!$N$55, Y6&lt;Assumptions!$N$55),1/Assumptions!$N$55-Depreciation!$D$43,IF(Z6&lt;Assumptions!$N$55,1/Assumptions!$N$55,0))</f>
        <v>0</v>
      </c>
      <c r="AA43" s="343">
        <f>IF(AND(AA6&gt;=Assumptions!$N$55, Z6&lt;Assumptions!$N$55),1/Assumptions!$N$55-Depreciation!$D$43,IF(AA6&lt;Assumptions!$N$55,1/Assumptions!$N$55,0))</f>
        <v>0</v>
      </c>
      <c r="AB43" s="343">
        <f>IF(AND(AB6&gt;=Assumptions!$N$55, AA6&lt;Assumptions!$N$55),1/Assumptions!$N$55-Depreciation!$D$43,IF(AB6&lt;Assumptions!$N$55,1/Assumptions!$N$55,0))</f>
        <v>0</v>
      </c>
      <c r="AC43" s="343">
        <f>IF(AND(AC6&gt;=Assumptions!$N$55, AB6&lt;Assumptions!$N$55),1/Assumptions!$N$55-Depreciation!$D$43,IF(AC6&lt;Assumptions!$N$55,1/Assumptions!$N$55,0))</f>
        <v>0</v>
      </c>
      <c r="AD43" s="343">
        <f>IF(AND(AD6&gt;=Assumptions!$N$55, AC6&lt;Assumptions!$N$55),1/Assumptions!$N$55-Depreciation!$D$43,IF(AD6&lt;Assumptions!$N$55,1/Assumptions!$N$55,0))</f>
        <v>0</v>
      </c>
      <c r="AE43" s="343">
        <f>IF(AND(AE6&gt;=Assumptions!$N$55, AD6&lt;Assumptions!$N$55),1/Assumptions!$N$55-Depreciation!$D$43,IF(AE6&lt;Assumptions!$N$55,1/Assumptions!$N$55,0))</f>
        <v>0</v>
      </c>
      <c r="AF43" s="343">
        <f>IF(AND(AF6&gt;=Assumptions!$N$55, AE6&lt;Assumptions!$N$55),1/Assumptions!$N$55-Depreciation!$D$43,IF(AF6&lt;Assumptions!$N$55,1/Assumptions!$N$55,0))</f>
        <v>0</v>
      </c>
      <c r="AG43" s="343">
        <f>IF(AND(AG6&gt;=Assumptions!$N$55, AF6&lt;Assumptions!$N$55),1/Assumptions!$N$55-Depreciation!$D$43,IF(AG6&lt;Assumptions!$N$55,1/Assumptions!$N$55,0))</f>
        <v>0</v>
      </c>
      <c r="AH43" s="343">
        <f>IF(AND(AH6&gt;=Assumptions!$N$55, AG6&lt;Assumptions!$N$55),1/Assumptions!$N$55-Depreciation!$D$43,IF(AH6&lt;Assumptions!$N$55,1/Assumptions!$N$55,0))</f>
        <v>0</v>
      </c>
    </row>
    <row r="44" spans="1:38" s="10" customFormat="1">
      <c r="A44" s="12"/>
      <c r="B44" s="30"/>
      <c r="C44" s="25"/>
    </row>
    <row r="45" spans="1:38" s="10" customFormat="1">
      <c r="A45" s="21" t="s">
        <v>322</v>
      </c>
      <c r="B45" s="497">
        <f>B16</f>
        <v>75730.134734742765</v>
      </c>
      <c r="C45" s="393"/>
      <c r="D45" s="18">
        <f t="shared" ref="D45:Y45" si="24">D41*$B$45</f>
        <v>1514.602694694855</v>
      </c>
      <c r="E45" s="18">
        <f t="shared" si="24"/>
        <v>2271.904042042283</v>
      </c>
      <c r="F45" s="18">
        <f t="shared" si="24"/>
        <v>2271.904042042283</v>
      </c>
      <c r="G45" s="18">
        <f t="shared" si="24"/>
        <v>2271.904042042283</v>
      </c>
      <c r="H45" s="18">
        <f t="shared" si="24"/>
        <v>2271.904042042283</v>
      </c>
      <c r="I45" s="18">
        <f t="shared" si="24"/>
        <v>2271.904042042283</v>
      </c>
      <c r="J45" s="18">
        <f t="shared" si="24"/>
        <v>2271.904042042283</v>
      </c>
      <c r="K45" s="18">
        <f t="shared" si="24"/>
        <v>2271.904042042283</v>
      </c>
      <c r="L45" s="18">
        <f t="shared" si="24"/>
        <v>2271.904042042283</v>
      </c>
      <c r="M45" s="18">
        <f t="shared" si="24"/>
        <v>2271.904042042283</v>
      </c>
      <c r="N45" s="18">
        <f t="shared" si="24"/>
        <v>2271.904042042283</v>
      </c>
      <c r="O45" s="18">
        <f t="shared" si="24"/>
        <v>2271.904042042283</v>
      </c>
      <c r="P45" s="18">
        <f t="shared" si="24"/>
        <v>2271.904042042283</v>
      </c>
      <c r="Q45" s="18">
        <f t="shared" si="24"/>
        <v>2271.904042042283</v>
      </c>
      <c r="R45" s="18">
        <f t="shared" si="24"/>
        <v>2271.904042042283</v>
      </c>
      <c r="S45" s="18">
        <f t="shared" si="24"/>
        <v>2271.904042042283</v>
      </c>
      <c r="T45" s="18">
        <f t="shared" si="24"/>
        <v>2271.904042042283</v>
      </c>
      <c r="U45" s="18">
        <f t="shared" si="24"/>
        <v>2271.904042042283</v>
      </c>
      <c r="V45" s="18">
        <f t="shared" si="24"/>
        <v>2271.904042042283</v>
      </c>
      <c r="W45" s="18">
        <f t="shared" si="24"/>
        <v>2271.904042042283</v>
      </c>
      <c r="X45" s="18">
        <f t="shared" si="24"/>
        <v>2271.904042042283</v>
      </c>
      <c r="Y45" s="18">
        <f t="shared" si="24"/>
        <v>2271.904042042283</v>
      </c>
      <c r="Z45" s="18">
        <f t="shared" ref="Z45:AH45" si="25">Z41*$B$45</f>
        <v>2271.904042042283</v>
      </c>
      <c r="AA45" s="18">
        <f t="shared" si="25"/>
        <v>2271.904042042283</v>
      </c>
      <c r="AB45" s="18">
        <f t="shared" si="25"/>
        <v>2271.904042042283</v>
      </c>
      <c r="AC45" s="18">
        <f t="shared" si="25"/>
        <v>2271.904042042283</v>
      </c>
      <c r="AD45" s="18">
        <f t="shared" si="25"/>
        <v>2271.904042042283</v>
      </c>
      <c r="AE45" s="18">
        <f t="shared" si="25"/>
        <v>2271.904042042283</v>
      </c>
      <c r="AF45" s="18">
        <f t="shared" si="25"/>
        <v>2271.904042042283</v>
      </c>
      <c r="AG45" s="18">
        <f t="shared" si="25"/>
        <v>2271.904042042283</v>
      </c>
      <c r="AH45" s="18">
        <f t="shared" si="25"/>
        <v>757.30134734742785</v>
      </c>
      <c r="AI45" s="20"/>
      <c r="AJ45" s="20"/>
      <c r="AK45" s="20"/>
      <c r="AL45" s="20"/>
    </row>
    <row r="46" spans="1:38" s="10" customFormat="1">
      <c r="A46" s="21" t="s">
        <v>323</v>
      </c>
      <c r="B46" s="392">
        <f>B17</f>
        <v>3380.08</v>
      </c>
      <c r="C46" s="393"/>
      <c r="D46" s="390">
        <f>D42*$B$46</f>
        <v>450.67733333333331</v>
      </c>
      <c r="E46" s="390">
        <f t="shared" ref="E46:AH46" si="26">E42*$B$46</f>
        <v>676.01600000000008</v>
      </c>
      <c r="F46" s="390">
        <f t="shared" si="26"/>
        <v>676.01600000000008</v>
      </c>
      <c r="G46" s="390">
        <f t="shared" si="26"/>
        <v>676.01600000000008</v>
      </c>
      <c r="H46" s="390">
        <f t="shared" si="26"/>
        <v>676.01600000000008</v>
      </c>
      <c r="I46" s="390">
        <f t="shared" si="26"/>
        <v>225.33866666666671</v>
      </c>
      <c r="J46" s="390">
        <f t="shared" si="26"/>
        <v>0</v>
      </c>
      <c r="K46" s="390">
        <f t="shared" si="26"/>
        <v>0</v>
      </c>
      <c r="L46" s="390">
        <f t="shared" si="26"/>
        <v>0</v>
      </c>
      <c r="M46" s="390">
        <f t="shared" si="26"/>
        <v>0</v>
      </c>
      <c r="N46" s="390">
        <f t="shared" si="26"/>
        <v>0</v>
      </c>
      <c r="O46" s="390">
        <f t="shared" si="26"/>
        <v>0</v>
      </c>
      <c r="P46" s="390">
        <f t="shared" si="26"/>
        <v>0</v>
      </c>
      <c r="Q46" s="390">
        <f t="shared" si="26"/>
        <v>0</v>
      </c>
      <c r="R46" s="390">
        <f t="shared" si="26"/>
        <v>0</v>
      </c>
      <c r="S46" s="390">
        <f t="shared" si="26"/>
        <v>0</v>
      </c>
      <c r="T46" s="390">
        <f t="shared" si="26"/>
        <v>0</v>
      </c>
      <c r="U46" s="390">
        <f t="shared" si="26"/>
        <v>0</v>
      </c>
      <c r="V46" s="390">
        <f t="shared" si="26"/>
        <v>0</v>
      </c>
      <c r="W46" s="390">
        <f t="shared" si="26"/>
        <v>0</v>
      </c>
      <c r="X46" s="390">
        <f t="shared" si="26"/>
        <v>0</v>
      </c>
      <c r="Y46" s="390">
        <f t="shared" si="26"/>
        <v>0</v>
      </c>
      <c r="Z46" s="390">
        <f t="shared" si="26"/>
        <v>0</v>
      </c>
      <c r="AA46" s="390">
        <f t="shared" si="26"/>
        <v>0</v>
      </c>
      <c r="AB46" s="390">
        <f t="shared" si="26"/>
        <v>0</v>
      </c>
      <c r="AC46" s="390">
        <f t="shared" si="26"/>
        <v>0</v>
      </c>
      <c r="AD46" s="390">
        <f t="shared" si="26"/>
        <v>0</v>
      </c>
      <c r="AE46" s="390">
        <f t="shared" si="26"/>
        <v>0</v>
      </c>
      <c r="AF46" s="390">
        <f t="shared" si="26"/>
        <v>0</v>
      </c>
      <c r="AG46" s="390">
        <f t="shared" si="26"/>
        <v>0</v>
      </c>
      <c r="AH46" s="39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428</v>
      </c>
      <c r="B47" s="498">
        <f>B18</f>
        <v>0</v>
      </c>
      <c r="C47" s="393"/>
      <c r="D47" s="499">
        <f t="shared" ref="D47:Y47" si="27">D43*$B$47</f>
        <v>0</v>
      </c>
      <c r="E47" s="499">
        <f t="shared" si="27"/>
        <v>0</v>
      </c>
      <c r="F47" s="499">
        <f t="shared" si="27"/>
        <v>0</v>
      </c>
      <c r="G47" s="499">
        <f t="shared" si="27"/>
        <v>0</v>
      </c>
      <c r="H47" s="499">
        <f t="shared" si="27"/>
        <v>0</v>
      </c>
      <c r="I47" s="499">
        <f t="shared" si="27"/>
        <v>0</v>
      </c>
      <c r="J47" s="499">
        <f t="shared" si="27"/>
        <v>0</v>
      </c>
      <c r="K47" s="499">
        <f t="shared" si="27"/>
        <v>0</v>
      </c>
      <c r="L47" s="499">
        <f t="shared" si="27"/>
        <v>0</v>
      </c>
      <c r="M47" s="499">
        <f t="shared" si="27"/>
        <v>0</v>
      </c>
      <c r="N47" s="499">
        <f t="shared" si="27"/>
        <v>0</v>
      </c>
      <c r="O47" s="499">
        <f t="shared" si="27"/>
        <v>0</v>
      </c>
      <c r="P47" s="499">
        <f t="shared" si="27"/>
        <v>0</v>
      </c>
      <c r="Q47" s="499">
        <f t="shared" si="27"/>
        <v>0</v>
      </c>
      <c r="R47" s="499">
        <f t="shared" si="27"/>
        <v>0</v>
      </c>
      <c r="S47" s="499">
        <f t="shared" si="27"/>
        <v>0</v>
      </c>
      <c r="T47" s="499">
        <f t="shared" si="27"/>
        <v>0</v>
      </c>
      <c r="U47" s="499">
        <f t="shared" si="27"/>
        <v>0</v>
      </c>
      <c r="V47" s="499">
        <f t="shared" si="27"/>
        <v>0</v>
      </c>
      <c r="W47" s="499">
        <f t="shared" si="27"/>
        <v>0</v>
      </c>
      <c r="X47" s="499">
        <f t="shared" si="27"/>
        <v>0</v>
      </c>
      <c r="Y47" s="499">
        <f t="shared" si="27"/>
        <v>0</v>
      </c>
      <c r="Z47" s="499">
        <f t="shared" ref="Z47:AH47" si="28">Z43*$B$47</f>
        <v>0</v>
      </c>
      <c r="AA47" s="499">
        <f t="shared" si="28"/>
        <v>0</v>
      </c>
      <c r="AB47" s="499">
        <f t="shared" si="28"/>
        <v>0</v>
      </c>
      <c r="AC47" s="499">
        <f t="shared" si="28"/>
        <v>0</v>
      </c>
      <c r="AD47" s="499">
        <f t="shared" si="28"/>
        <v>0</v>
      </c>
      <c r="AE47" s="499">
        <f t="shared" si="28"/>
        <v>0</v>
      </c>
      <c r="AF47" s="499">
        <f t="shared" si="28"/>
        <v>0</v>
      </c>
      <c r="AG47" s="499">
        <f t="shared" si="28"/>
        <v>0</v>
      </c>
      <c r="AH47" s="499">
        <f t="shared" si="28"/>
        <v>0</v>
      </c>
      <c r="AI47" s="20"/>
      <c r="AJ47" s="20"/>
      <c r="AK47" s="20"/>
      <c r="AL47" s="20"/>
    </row>
    <row r="48" spans="1:38" s="10" customFormat="1">
      <c r="A48" s="16" t="s">
        <v>69</v>
      </c>
      <c r="B48" s="18">
        <f>SUM(B45:B47)</f>
        <v>79110.214734742767</v>
      </c>
      <c r="C48" s="393"/>
      <c r="D48" s="18">
        <f t="shared" ref="D48:Y48" si="29">SUM(D45:D47)</f>
        <v>1965.2800280281883</v>
      </c>
      <c r="E48" s="18">
        <f t="shared" si="29"/>
        <v>2947.9200420422831</v>
      </c>
      <c r="F48" s="18">
        <f t="shared" si="29"/>
        <v>2947.9200420422831</v>
      </c>
      <c r="G48" s="18">
        <f t="shared" si="29"/>
        <v>2947.9200420422831</v>
      </c>
      <c r="H48" s="18">
        <f t="shared" si="29"/>
        <v>2947.9200420422831</v>
      </c>
      <c r="I48" s="18">
        <f t="shared" si="29"/>
        <v>2497.2427087089495</v>
      </c>
      <c r="J48" s="18">
        <f t="shared" si="29"/>
        <v>2271.904042042283</v>
      </c>
      <c r="K48" s="18">
        <f t="shared" si="29"/>
        <v>2271.904042042283</v>
      </c>
      <c r="L48" s="18">
        <f t="shared" si="29"/>
        <v>2271.904042042283</v>
      </c>
      <c r="M48" s="18">
        <f t="shared" si="29"/>
        <v>2271.904042042283</v>
      </c>
      <c r="N48" s="18">
        <f t="shared" si="29"/>
        <v>2271.904042042283</v>
      </c>
      <c r="O48" s="18">
        <f t="shared" si="29"/>
        <v>2271.904042042283</v>
      </c>
      <c r="P48" s="18">
        <f t="shared" si="29"/>
        <v>2271.904042042283</v>
      </c>
      <c r="Q48" s="18">
        <f t="shared" si="29"/>
        <v>2271.904042042283</v>
      </c>
      <c r="R48" s="18">
        <f t="shared" si="29"/>
        <v>2271.904042042283</v>
      </c>
      <c r="S48" s="18">
        <f t="shared" si="29"/>
        <v>2271.904042042283</v>
      </c>
      <c r="T48" s="18">
        <f t="shared" si="29"/>
        <v>2271.904042042283</v>
      </c>
      <c r="U48" s="18">
        <f t="shared" si="29"/>
        <v>2271.904042042283</v>
      </c>
      <c r="V48" s="18">
        <f t="shared" si="29"/>
        <v>2271.904042042283</v>
      </c>
      <c r="W48" s="18">
        <f t="shared" si="29"/>
        <v>2271.904042042283</v>
      </c>
      <c r="X48" s="18">
        <f t="shared" si="29"/>
        <v>2271.904042042283</v>
      </c>
      <c r="Y48" s="18">
        <f t="shared" si="29"/>
        <v>2271.904042042283</v>
      </c>
      <c r="Z48" s="18">
        <f t="shared" ref="Z48:AH48" si="30">SUM(Z45:Z47)</f>
        <v>2271.904042042283</v>
      </c>
      <c r="AA48" s="18">
        <f t="shared" si="30"/>
        <v>2271.904042042283</v>
      </c>
      <c r="AB48" s="18">
        <f t="shared" si="30"/>
        <v>2271.904042042283</v>
      </c>
      <c r="AC48" s="18">
        <f t="shared" si="30"/>
        <v>2271.904042042283</v>
      </c>
      <c r="AD48" s="18">
        <f t="shared" si="30"/>
        <v>2271.904042042283</v>
      </c>
      <c r="AE48" s="18">
        <f t="shared" si="30"/>
        <v>2271.904042042283</v>
      </c>
      <c r="AF48" s="18">
        <f t="shared" si="30"/>
        <v>2271.904042042283</v>
      </c>
      <c r="AG48" s="18">
        <f t="shared" si="30"/>
        <v>2271.904042042283</v>
      </c>
      <c r="AH48" s="18">
        <f t="shared" si="30"/>
        <v>757.30134734742785</v>
      </c>
      <c r="AI48" s="20"/>
      <c r="AJ48" s="20"/>
      <c r="AK48" s="20"/>
      <c r="AL48" s="20"/>
    </row>
    <row r="49" spans="1:38">
      <c r="A49" s="22"/>
      <c r="B49" s="18"/>
      <c r="C49" s="501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6" customFormat="1">
      <c r="A50" s="395" t="s">
        <v>74</v>
      </c>
      <c r="B50" s="503">
        <f>B48</f>
        <v>79110.214734742767</v>
      </c>
      <c r="C50" s="502"/>
      <c r="D50" s="394">
        <f>B48-D48</f>
        <v>77144.934706714572</v>
      </c>
      <c r="E50" s="394">
        <f>D50-E48</f>
        <v>74197.014664672286</v>
      </c>
      <c r="F50" s="394">
        <f t="shared" ref="F50:Y50" si="31">E50-F48</f>
        <v>71249.09462263</v>
      </c>
      <c r="G50" s="394">
        <f t="shared" si="31"/>
        <v>68301.174580587714</v>
      </c>
      <c r="H50" s="394">
        <f t="shared" si="31"/>
        <v>65353.254538545429</v>
      </c>
      <c r="I50" s="394">
        <f t="shared" si="31"/>
        <v>62856.011829836476</v>
      </c>
      <c r="J50" s="394">
        <f t="shared" si="31"/>
        <v>60584.107787794193</v>
      </c>
      <c r="K50" s="394">
        <f t="shared" si="31"/>
        <v>58312.203745751911</v>
      </c>
      <c r="L50" s="394">
        <f t="shared" si="31"/>
        <v>56040.299703709628</v>
      </c>
      <c r="M50" s="394">
        <f t="shared" si="31"/>
        <v>53768.395661667346</v>
      </c>
      <c r="N50" s="394">
        <f t="shared" si="31"/>
        <v>51496.491619625063</v>
      </c>
      <c r="O50" s="394">
        <f t="shared" si="31"/>
        <v>49224.587577582781</v>
      </c>
      <c r="P50" s="394">
        <f t="shared" si="31"/>
        <v>46952.683535540498</v>
      </c>
      <c r="Q50" s="394">
        <f t="shared" si="31"/>
        <v>44680.779493498216</v>
      </c>
      <c r="R50" s="394">
        <f t="shared" si="31"/>
        <v>42408.875451455933</v>
      </c>
      <c r="S50" s="394">
        <f t="shared" si="31"/>
        <v>40136.971409413651</v>
      </c>
      <c r="T50" s="394">
        <f t="shared" si="31"/>
        <v>37865.067367371368</v>
      </c>
      <c r="U50" s="394">
        <f t="shared" si="31"/>
        <v>35593.163325329086</v>
      </c>
      <c r="V50" s="394">
        <f t="shared" si="31"/>
        <v>33321.259283286803</v>
      </c>
      <c r="W50" s="394">
        <f t="shared" si="31"/>
        <v>31049.355241244521</v>
      </c>
      <c r="X50" s="394">
        <f t="shared" si="31"/>
        <v>28777.451199202238</v>
      </c>
      <c r="Y50" s="394">
        <f t="shared" si="31"/>
        <v>26505.547157159956</v>
      </c>
      <c r="Z50" s="394">
        <f t="shared" ref="Z50:AH50" si="32">Y50-Z48</f>
        <v>24233.643115117673</v>
      </c>
      <c r="AA50" s="394">
        <f t="shared" si="32"/>
        <v>21961.73907307539</v>
      </c>
      <c r="AB50" s="394">
        <f t="shared" si="32"/>
        <v>19689.835031033108</v>
      </c>
      <c r="AC50" s="394">
        <f t="shared" si="32"/>
        <v>17417.930988990825</v>
      </c>
      <c r="AD50" s="394">
        <f t="shared" si="32"/>
        <v>15146.026946948543</v>
      </c>
      <c r="AE50" s="394">
        <f t="shared" si="32"/>
        <v>12874.12290490626</v>
      </c>
      <c r="AF50" s="394">
        <f t="shared" si="32"/>
        <v>10602.218862863978</v>
      </c>
      <c r="AG50" s="394">
        <f t="shared" si="32"/>
        <v>8330.3148208216953</v>
      </c>
      <c r="AH50" s="394">
        <f t="shared" si="32"/>
        <v>7573.0134734742678</v>
      </c>
      <c r="AI50" s="296"/>
      <c r="AJ50" s="296"/>
      <c r="AK50" s="296"/>
      <c r="AL50" s="296"/>
    </row>
    <row r="52" spans="1:38">
      <c r="B52" s="73"/>
    </row>
  </sheetData>
  <pageMargins left="0.45" right="0.45" top="0.5" bottom="0.5" header="0.25" footer="0.25"/>
  <pageSetup scale="43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7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96" t="str">
        <f>Assumptions!A3</f>
        <v>PROJECT NAME:</v>
      </c>
    </row>
    <row r="4" spans="1:32" ht="18.75">
      <c r="A4" s="68" t="s">
        <v>109</v>
      </c>
      <c r="B4" s="86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8"/>
      <c r="Y4" s="78"/>
    </row>
    <row r="5" spans="1:32">
      <c r="A5" s="71"/>
      <c r="B5" s="87"/>
      <c r="C5" s="14"/>
      <c r="D5" s="14"/>
      <c r="E5" s="14"/>
      <c r="F5" s="14"/>
      <c r="G5" s="14"/>
      <c r="H5" s="14"/>
      <c r="I5" s="84"/>
      <c r="J5" s="14"/>
      <c r="K5" s="14"/>
      <c r="L5" s="14"/>
      <c r="M5" s="14"/>
      <c r="N5" s="14"/>
      <c r="O5" s="84"/>
      <c r="P5" s="14"/>
      <c r="Q5" s="14"/>
      <c r="R5" s="14"/>
      <c r="S5" s="14"/>
      <c r="T5" s="14"/>
      <c r="U5" s="84"/>
      <c r="V5" s="14"/>
      <c r="W5" s="14"/>
      <c r="X5" s="99"/>
      <c r="Y5" s="99"/>
    </row>
    <row r="6" spans="1:32">
      <c r="A6" s="149"/>
      <c r="B6" s="265">
        <f>'Price Assumption'!D7</f>
        <v>0.66666666666666663</v>
      </c>
      <c r="C6" s="265">
        <f>'Price Assumption'!E7</f>
        <v>1.6666666666666665</v>
      </c>
      <c r="D6" s="265">
        <f>'Price Assumption'!F7</f>
        <v>2.6666666666666665</v>
      </c>
      <c r="E6" s="265">
        <f>'Price Assumption'!G7</f>
        <v>3.6666666666666665</v>
      </c>
      <c r="F6" s="265">
        <f>'Price Assumption'!H7</f>
        <v>4.6666666666666661</v>
      </c>
      <c r="G6" s="265">
        <f>'Price Assumption'!I7</f>
        <v>5.6666666666666661</v>
      </c>
      <c r="H6" s="265">
        <f>'Price Assumption'!J7</f>
        <v>6.6666666666666661</v>
      </c>
      <c r="I6" s="265">
        <f>'Price Assumption'!K7</f>
        <v>7.6666666666666661</v>
      </c>
      <c r="J6" s="265">
        <f>'Price Assumption'!L7</f>
        <v>8.6666666666666661</v>
      </c>
      <c r="K6" s="265">
        <f>'Price Assumption'!M7</f>
        <v>9.6666666666666661</v>
      </c>
      <c r="L6" s="265">
        <f>'Price Assumption'!N7</f>
        <v>10.666666666666666</v>
      </c>
      <c r="M6" s="265">
        <f>'Price Assumption'!O7</f>
        <v>11.666666666666666</v>
      </c>
      <c r="N6" s="265">
        <f>'Price Assumption'!P7</f>
        <v>12.666666666666666</v>
      </c>
      <c r="O6" s="265">
        <f>'Price Assumption'!Q7</f>
        <v>13.666666666666666</v>
      </c>
      <c r="P6" s="265">
        <f>'Price Assumption'!R7</f>
        <v>14.666666666666666</v>
      </c>
      <c r="Q6" s="265">
        <f>'Price Assumption'!S7</f>
        <v>15.666666666666666</v>
      </c>
      <c r="R6" s="265">
        <f>'Price Assumption'!T7</f>
        <v>16.666666666666664</v>
      </c>
      <c r="S6" s="265">
        <f>'Price Assumption'!U7</f>
        <v>17.666666666666664</v>
      </c>
      <c r="T6" s="265">
        <f>'Price Assumption'!V7</f>
        <v>18.666666666666664</v>
      </c>
      <c r="U6" s="265">
        <f>'Price Assumption'!W7</f>
        <v>19.666666666666664</v>
      </c>
      <c r="V6" s="265">
        <f>'Price Assumption'!X7</f>
        <v>20.666666666666664</v>
      </c>
      <c r="W6" s="265">
        <f>'Price Assumption'!Y7</f>
        <v>21.666666666666664</v>
      </c>
      <c r="X6" s="265">
        <f>'Price Assumption'!Z7</f>
        <v>22.666666666666664</v>
      </c>
      <c r="Y6" s="265">
        <f>'Price Assumption'!AA7</f>
        <v>23.666666666666664</v>
      </c>
      <c r="Z6" s="265">
        <f>'Price Assumption'!AB7</f>
        <v>24.666666666666664</v>
      </c>
      <c r="AA6" s="265">
        <f>'Price Assumption'!AC7</f>
        <v>25.666666666666664</v>
      </c>
      <c r="AB6" s="265">
        <f>'Price Assumption'!AD7</f>
        <v>26.666666666666664</v>
      </c>
      <c r="AC6" s="265">
        <f>'Price Assumption'!AE7</f>
        <v>27.666666666666664</v>
      </c>
      <c r="AD6" s="265">
        <f>'Price Assumption'!AF7</f>
        <v>28.666666666666664</v>
      </c>
      <c r="AE6" s="265">
        <f>'Price Assumption'!AG7</f>
        <v>29.666666666666664</v>
      </c>
      <c r="AF6" s="265">
        <f>'Price Assumption'!AH7</f>
        <v>30.666666666666664</v>
      </c>
    </row>
    <row r="7" spans="1:32" ht="13.5" thickBot="1">
      <c r="A7" s="135" t="s">
        <v>41</v>
      </c>
      <c r="B7" s="7">
        <f>'Price Assumption'!D8</f>
        <v>2001</v>
      </c>
      <c r="C7" s="7">
        <f>'Price Assumption'!E8</f>
        <v>2002</v>
      </c>
      <c r="D7" s="7">
        <f>'Price Assumption'!F8</f>
        <v>2003</v>
      </c>
      <c r="E7" s="7">
        <f>'Price Assumption'!G8</f>
        <v>2004</v>
      </c>
      <c r="F7" s="7">
        <f>'Price Assumption'!H8</f>
        <v>2005</v>
      </c>
      <c r="G7" s="7">
        <f>'Price Assumption'!I8</f>
        <v>2006</v>
      </c>
      <c r="H7" s="7">
        <f>'Price Assumption'!J8</f>
        <v>2007</v>
      </c>
      <c r="I7" s="7">
        <f>'Price Assumption'!K8</f>
        <v>2008</v>
      </c>
      <c r="J7" s="7">
        <f>'Price Assumption'!L8</f>
        <v>2009</v>
      </c>
      <c r="K7" s="7">
        <f>'Price Assumption'!M8</f>
        <v>2010</v>
      </c>
      <c r="L7" s="7">
        <f>'Price Assumption'!N8</f>
        <v>2011</v>
      </c>
      <c r="M7" s="7">
        <f>'Price Assumption'!O8</f>
        <v>2012</v>
      </c>
      <c r="N7" s="7">
        <f>'Price Assumption'!P8</f>
        <v>2013</v>
      </c>
      <c r="O7" s="7">
        <f>'Price Assumption'!Q8</f>
        <v>2014</v>
      </c>
      <c r="P7" s="7">
        <f>'Price Assumption'!R8</f>
        <v>2015</v>
      </c>
      <c r="Q7" s="7">
        <f>'Price Assumption'!S8</f>
        <v>2016</v>
      </c>
      <c r="R7" s="7">
        <f>'Price Assumption'!T8</f>
        <v>2017</v>
      </c>
      <c r="S7" s="7">
        <f>'Price Assumption'!U8</f>
        <v>2018</v>
      </c>
      <c r="T7" s="7">
        <f>'Price Assumption'!V8</f>
        <v>2019</v>
      </c>
      <c r="U7" s="7">
        <f>'Price Assumption'!W8</f>
        <v>2020</v>
      </c>
      <c r="V7" s="7">
        <f>'Price Assumption'!X8</f>
        <v>2021</v>
      </c>
      <c r="W7" s="7">
        <f>'Price Assumption'!Y8</f>
        <v>2022</v>
      </c>
      <c r="X7" s="7">
        <f>'Price Assumption'!Z8</f>
        <v>2023</v>
      </c>
      <c r="Y7" s="7">
        <f>'Price Assumption'!AA8</f>
        <v>2024</v>
      </c>
      <c r="Z7" s="7">
        <f>'Price Assumption'!AB8</f>
        <v>2025</v>
      </c>
      <c r="AA7" s="7">
        <f>'Price Assumption'!AC8</f>
        <v>2026</v>
      </c>
      <c r="AB7" s="7">
        <f>'Price Assumption'!AD8</f>
        <v>2027</v>
      </c>
      <c r="AC7" s="7">
        <f>'Price Assumption'!AE8</f>
        <v>2028</v>
      </c>
      <c r="AD7" s="7">
        <f>'Price Assumption'!AF8</f>
        <v>2029</v>
      </c>
      <c r="AE7" s="7">
        <f>'Price Assumption'!AG8</f>
        <v>2030</v>
      </c>
      <c r="AF7" s="7">
        <f>'Price Assumption'!AH8</f>
        <v>2031</v>
      </c>
    </row>
    <row r="8" spans="1:32">
      <c r="A8" s="149"/>
      <c r="B8" s="255">
        <f>Depreciation!D8</f>
        <v>37255.5</v>
      </c>
      <c r="C8" s="255">
        <f>Depreciation!E8</f>
        <v>37620.75</v>
      </c>
      <c r="D8" s="255">
        <f>Depreciation!F8</f>
        <v>37986</v>
      </c>
      <c r="E8" s="255">
        <f>Depreciation!G8</f>
        <v>38351.25</v>
      </c>
      <c r="F8" s="255">
        <f>Depreciation!H8</f>
        <v>38716.5</v>
      </c>
      <c r="G8" s="255">
        <f>Depreciation!I8</f>
        <v>39081.75</v>
      </c>
      <c r="H8" s="255">
        <f>Depreciation!J8</f>
        <v>39447</v>
      </c>
      <c r="I8" s="255">
        <f>Depreciation!K8</f>
        <v>39812.25</v>
      </c>
      <c r="J8" s="255">
        <f>Depreciation!L8</f>
        <v>40177.5</v>
      </c>
      <c r="K8" s="255">
        <f>Depreciation!M8</f>
        <v>40542.75</v>
      </c>
      <c r="L8" s="255">
        <f>Depreciation!N8</f>
        <v>40908</v>
      </c>
      <c r="M8" s="255">
        <f>Depreciation!O8</f>
        <v>41273.25</v>
      </c>
      <c r="N8" s="255">
        <f>Depreciation!P8</f>
        <v>41638.5</v>
      </c>
      <c r="O8" s="255">
        <f>Depreciation!Q8</f>
        <v>42003.75</v>
      </c>
      <c r="P8" s="255">
        <f>Depreciation!R8</f>
        <v>42369</v>
      </c>
      <c r="Q8" s="255">
        <f>Depreciation!S8</f>
        <v>42734.25</v>
      </c>
      <c r="R8" s="255">
        <f>Depreciation!T8</f>
        <v>43099.5</v>
      </c>
      <c r="S8" s="255">
        <f>Depreciation!U8</f>
        <v>43464.75</v>
      </c>
      <c r="T8" s="255">
        <f>Depreciation!V8</f>
        <v>43830</v>
      </c>
      <c r="U8" s="255">
        <f>Depreciation!W8</f>
        <v>44195.25</v>
      </c>
      <c r="V8" s="255">
        <f>Depreciation!X8</f>
        <v>44560.5</v>
      </c>
      <c r="W8" s="255">
        <f>Depreciation!Y8</f>
        <v>44925.75</v>
      </c>
      <c r="X8" s="255">
        <f>Depreciation!Z8</f>
        <v>45291</v>
      </c>
      <c r="Y8" s="255">
        <f>Depreciation!AA8</f>
        <v>45656.25</v>
      </c>
      <c r="Z8" s="255">
        <f>Depreciation!AB8</f>
        <v>46021.5</v>
      </c>
      <c r="AA8" s="255">
        <f>Depreciation!AC8</f>
        <v>46386.75</v>
      </c>
      <c r="AB8" s="255">
        <f>Depreciation!AD8</f>
        <v>46752</v>
      </c>
      <c r="AC8" s="255">
        <f>Depreciation!AE8</f>
        <v>47117.25</v>
      </c>
      <c r="AD8" s="255">
        <f>Depreciation!AF8</f>
        <v>47482.5</v>
      </c>
      <c r="AE8" s="255">
        <f>Depreciation!AG8</f>
        <v>47847.75</v>
      </c>
      <c r="AF8" s="255">
        <f>Depreciation!AH8</f>
        <v>48213</v>
      </c>
    </row>
    <row r="9" spans="1:32">
      <c r="A9" s="150" t="s">
        <v>75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15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 spans="1:32">
      <c r="A11" s="150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</row>
    <row r="12" spans="1:32" ht="13.5">
      <c r="A12" s="23" t="s">
        <v>76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</row>
    <row r="13" spans="1:32">
      <c r="A13" s="21" t="s">
        <v>261</v>
      </c>
      <c r="B13" s="19">
        <f>IS!C41</f>
        <v>2654.4673837640548</v>
      </c>
      <c r="C13" s="19">
        <f>IS!D41</f>
        <v>3972.5708757511875</v>
      </c>
      <c r="D13" s="19">
        <f>IS!E41</f>
        <v>3962.9456758562928</v>
      </c>
      <c r="E13" s="19">
        <f>IS!F41</f>
        <v>5009.768739569804</v>
      </c>
      <c r="F13" s="19">
        <f>IS!G41</f>
        <v>5492.3768864580607</v>
      </c>
      <c r="G13" s="19">
        <f>IS!H41</f>
        <v>6047.4116773196656</v>
      </c>
      <c r="H13" s="19">
        <f>IS!I41</f>
        <v>6374.6154879312344</v>
      </c>
      <c r="I13" s="19">
        <f>IS!J41</f>
        <v>6474.3476240287491</v>
      </c>
      <c r="J13" s="19">
        <f>IS!K41</f>
        <v>6749.2055461879427</v>
      </c>
      <c r="K13" s="19">
        <f>IS!L41</f>
        <v>6849.3412717466344</v>
      </c>
      <c r="L13" s="19">
        <f>IS!M41</f>
        <v>7135.1082177310564</v>
      </c>
      <c r="M13" s="19">
        <f>IS!N41</f>
        <v>7235.3478675546939</v>
      </c>
      <c r="N13" s="19">
        <f>IS!O41</f>
        <v>7532.354225807052</v>
      </c>
      <c r="O13" s="19">
        <f>IS!P41</f>
        <v>7632.3601386418723</v>
      </c>
      <c r="P13" s="19">
        <f>IS!Q41</f>
        <v>7729.0236287577209</v>
      </c>
      <c r="Q13" s="19">
        <f>IS!R41</f>
        <v>7822.0592572540081</v>
      </c>
      <c r="R13" s="19">
        <f>IS!S41</f>
        <v>7964.8829513215132</v>
      </c>
      <c r="S13" s="19">
        <f>IS!T41</f>
        <v>8076.607219190817</v>
      </c>
      <c r="T13" s="19">
        <f>IS!U41</f>
        <v>8156.9024742126294</v>
      </c>
      <c r="U13" s="19">
        <f>IS!V41</f>
        <v>8232.2809141768485</v>
      </c>
      <c r="V13" s="19">
        <f>IS!W41</f>
        <v>8302.380376234596</v>
      </c>
      <c r="W13" s="19">
        <f>IS!X41</f>
        <v>8366.8213928996138</v>
      </c>
      <c r="X13" s="19">
        <f>IS!Y41</f>
        <v>8430.3683845034648</v>
      </c>
      <c r="Y13" s="19">
        <f>IS!Z41</f>
        <v>8492.9945302943379</v>
      </c>
      <c r="Z13" s="19">
        <f>IS!AA41</f>
        <v>8554.6722048978081</v>
      </c>
      <c r="AA13" s="19">
        <f>IS!AB41</f>
        <v>8615.3729541782741</v>
      </c>
      <c r="AB13" s="19">
        <f>IS!AC41</f>
        <v>8675.0674703760378</v>
      </c>
      <c r="AC13" s="19">
        <f>IS!AD41</f>
        <v>8733.7255664986387</v>
      </c>
      <c r="AD13" s="19">
        <f>IS!AE41</f>
        <v>8791.3161499437938</v>
      </c>
      <c r="AE13" s="19">
        <f>IS!AF41</f>
        <v>8847.8071953311883</v>
      </c>
      <c r="AF13" s="19">
        <f>IS!AG41</f>
        <v>2063.8418080354518</v>
      </c>
    </row>
    <row r="14" spans="1:32">
      <c r="A14" s="21" t="s">
        <v>77</v>
      </c>
      <c r="B14" s="19">
        <f>IS!C35</f>
        <v>1965.2800280281883</v>
      </c>
      <c r="C14" s="19">
        <f>IS!D35</f>
        <v>2947.9200420422831</v>
      </c>
      <c r="D14" s="19">
        <f>IS!E35</f>
        <v>2947.9200420422831</v>
      </c>
      <c r="E14" s="19">
        <f>IS!F35</f>
        <v>2947.9200420422831</v>
      </c>
      <c r="F14" s="19">
        <f>IS!G35</f>
        <v>2947.9200420422831</v>
      </c>
      <c r="G14" s="19">
        <f>IS!H35</f>
        <v>2497.2427087089495</v>
      </c>
      <c r="H14" s="19">
        <f>IS!I35</f>
        <v>2271.904042042283</v>
      </c>
      <c r="I14" s="19">
        <f>IS!J35</f>
        <v>2271.904042042283</v>
      </c>
      <c r="J14" s="19">
        <f>IS!K35</f>
        <v>2271.904042042283</v>
      </c>
      <c r="K14" s="19">
        <f>IS!L35</f>
        <v>2271.904042042283</v>
      </c>
      <c r="L14" s="19">
        <f>IS!M35</f>
        <v>2271.904042042283</v>
      </c>
      <c r="M14" s="19">
        <f>IS!N35</f>
        <v>2271.904042042283</v>
      </c>
      <c r="N14" s="19">
        <f>IS!O35</f>
        <v>2271.904042042283</v>
      </c>
      <c r="O14" s="19">
        <f>IS!P35</f>
        <v>2271.904042042283</v>
      </c>
      <c r="P14" s="19">
        <f>IS!Q35</f>
        <v>2271.904042042283</v>
      </c>
      <c r="Q14" s="19">
        <f>IS!R35</f>
        <v>2271.904042042283</v>
      </c>
      <c r="R14" s="19">
        <f>IS!S35</f>
        <v>2271.904042042283</v>
      </c>
      <c r="S14" s="19">
        <f>IS!T35</f>
        <v>2271.904042042283</v>
      </c>
      <c r="T14" s="19">
        <f>IS!U35</f>
        <v>2271.904042042283</v>
      </c>
      <c r="U14" s="19">
        <f>IS!V35</f>
        <v>2271.904042042283</v>
      </c>
      <c r="V14" s="19">
        <f>IS!W35</f>
        <v>2271.904042042283</v>
      </c>
      <c r="W14" s="19">
        <f>IS!X35</f>
        <v>2271.904042042283</v>
      </c>
      <c r="X14" s="19">
        <f>IS!Y35</f>
        <v>2271.904042042283</v>
      </c>
      <c r="Y14" s="19">
        <f>IS!Z35</f>
        <v>2271.904042042283</v>
      </c>
      <c r="Z14" s="19">
        <f>IS!AA35</f>
        <v>2271.904042042283</v>
      </c>
      <c r="AA14" s="19">
        <f>IS!AB35</f>
        <v>2271.904042042283</v>
      </c>
      <c r="AB14" s="19">
        <f>IS!AC35</f>
        <v>2271.904042042283</v>
      </c>
      <c r="AC14" s="19">
        <f>IS!AD35</f>
        <v>2271.904042042283</v>
      </c>
      <c r="AD14" s="19">
        <f>IS!AE35</f>
        <v>2271.904042042283</v>
      </c>
      <c r="AE14" s="19">
        <f>IS!AF35</f>
        <v>2271.904042042283</v>
      </c>
      <c r="AF14" s="19">
        <f>IS!AG35</f>
        <v>757.30134734742785</v>
      </c>
    </row>
    <row r="15" spans="1:32" ht="15">
      <c r="A15" s="21" t="s">
        <v>78</v>
      </c>
      <c r="B15" s="152">
        <f>-Depreciation!D34</f>
        <v>-4237.1840700704715</v>
      </c>
      <c r="C15" s="152">
        <f>-Depreciation!E34</f>
        <v>-7870.3787998005628</v>
      </c>
      <c r="D15" s="152">
        <f>-Depreciation!F34</f>
        <v>-7150.9425198205063</v>
      </c>
      <c r="E15" s="152">
        <f>-Depreciation!G34</f>
        <v>-6507.2363745751936</v>
      </c>
      <c r="F15" s="152">
        <f>-Depreciation!H34</f>
        <v>-5924.1143371176731</v>
      </c>
      <c r="G15" s="152">
        <f>-Depreciation!I34</f>
        <v>-4943.3260606411413</v>
      </c>
      <c r="H15" s="152">
        <f>-Depreciation!J34</f>
        <v>-4468.077949349823</v>
      </c>
      <c r="I15" s="152">
        <f>-Depreciation!K34</f>
        <v>-4475.650962823297</v>
      </c>
      <c r="J15" s="152">
        <f>-Depreciation!L34</f>
        <v>-4468.077949349823</v>
      </c>
      <c r="K15" s="152">
        <f>-Depreciation!M34</f>
        <v>-4475.650962823297</v>
      </c>
      <c r="L15" s="152">
        <f>-Depreciation!N34</f>
        <v>-4468.077949349823</v>
      </c>
      <c r="M15" s="152">
        <f>-Depreciation!O34</f>
        <v>-4475.650962823297</v>
      </c>
      <c r="N15" s="152">
        <f>-Depreciation!P34</f>
        <v>-4468.077949349823</v>
      </c>
      <c r="O15" s="152">
        <f>-Depreciation!Q34</f>
        <v>-4475.650962823297</v>
      </c>
      <c r="P15" s="152">
        <f>-Depreciation!R34</f>
        <v>-4468.077949349823</v>
      </c>
      <c r="Q15" s="152">
        <f>-Depreciation!S34</f>
        <v>-2234.0389746749115</v>
      </c>
      <c r="R15" s="152">
        <f>-Depreciation!T34</f>
        <v>0</v>
      </c>
      <c r="S15" s="152">
        <f>-Depreciation!U34</f>
        <v>0</v>
      </c>
      <c r="T15" s="152">
        <f>-Depreciation!V34</f>
        <v>0</v>
      </c>
      <c r="U15" s="152">
        <f>-Depreciation!W34</f>
        <v>0</v>
      </c>
      <c r="V15" s="152">
        <f>-Depreciation!X34</f>
        <v>0</v>
      </c>
      <c r="W15" s="152">
        <f>-Depreciation!Y34</f>
        <v>0</v>
      </c>
      <c r="X15" s="152">
        <f>-Depreciation!Z34</f>
        <v>0</v>
      </c>
      <c r="Y15" s="152">
        <f>-Depreciation!AA34</f>
        <v>0</v>
      </c>
      <c r="Z15" s="152">
        <f>-Depreciation!AB34</f>
        <v>0</v>
      </c>
      <c r="AA15" s="152">
        <f>-Depreciation!AC34</f>
        <v>0</v>
      </c>
      <c r="AB15" s="152">
        <f>-Depreciation!AD34</f>
        <v>0</v>
      </c>
      <c r="AC15" s="152">
        <f>-Depreciation!AE34</f>
        <v>0</v>
      </c>
      <c r="AD15" s="152">
        <f>-Depreciation!AF34</f>
        <v>0</v>
      </c>
      <c r="AE15" s="152">
        <f>-Depreciation!AG34</f>
        <v>0</v>
      </c>
      <c r="AF15" s="152">
        <f>-Depreciation!AH34</f>
        <v>0</v>
      </c>
    </row>
    <row r="16" spans="1:32">
      <c r="A16" s="151" t="s">
        <v>79</v>
      </c>
      <c r="B16" s="24">
        <f>SUM(B13:B15)</f>
        <v>382.56334172177139</v>
      </c>
      <c r="C16" s="24">
        <f t="shared" ref="C16:W16" si="0">SUM(C13:C15)</f>
        <v>-949.88788200709223</v>
      </c>
      <c r="D16" s="24">
        <f t="shared" si="0"/>
        <v>-240.07680192193038</v>
      </c>
      <c r="E16" s="24">
        <f t="shared" si="0"/>
        <v>1450.4524070368934</v>
      </c>
      <c r="F16" s="24">
        <f t="shared" si="0"/>
        <v>2516.1825913826706</v>
      </c>
      <c r="G16" s="24">
        <f t="shared" si="0"/>
        <v>3601.3283253874733</v>
      </c>
      <c r="H16" s="24">
        <f t="shared" si="0"/>
        <v>4178.4415806236939</v>
      </c>
      <c r="I16" s="24">
        <f t="shared" si="0"/>
        <v>4270.6007032477346</v>
      </c>
      <c r="J16" s="24">
        <f t="shared" si="0"/>
        <v>4553.0316388804022</v>
      </c>
      <c r="K16" s="24">
        <f t="shared" si="0"/>
        <v>4645.5943509656199</v>
      </c>
      <c r="L16" s="24">
        <f t="shared" si="0"/>
        <v>4938.9343104235159</v>
      </c>
      <c r="M16" s="24">
        <f t="shared" si="0"/>
        <v>5031.6009467736794</v>
      </c>
      <c r="N16" s="24">
        <f t="shared" si="0"/>
        <v>5336.1803184995115</v>
      </c>
      <c r="O16" s="24">
        <f t="shared" si="0"/>
        <v>5428.6132178608577</v>
      </c>
      <c r="P16" s="24">
        <f t="shared" si="0"/>
        <v>5532.8497214501804</v>
      </c>
      <c r="Q16" s="24">
        <f t="shared" si="0"/>
        <v>7859.9243246213791</v>
      </c>
      <c r="R16" s="24">
        <f t="shared" si="0"/>
        <v>10236.786993363796</v>
      </c>
      <c r="S16" s="24">
        <f t="shared" si="0"/>
        <v>10348.5112612331</v>
      </c>
      <c r="T16" s="24">
        <f t="shared" si="0"/>
        <v>10428.806516254912</v>
      </c>
      <c r="U16" s="24">
        <f t="shared" si="0"/>
        <v>10504.184956219131</v>
      </c>
      <c r="V16" s="24">
        <f t="shared" si="0"/>
        <v>10574.284418276879</v>
      </c>
      <c r="W16" s="24">
        <f t="shared" si="0"/>
        <v>10638.725434941896</v>
      </c>
      <c r="X16" s="24">
        <f t="shared" ref="X16:AF16" si="1">SUM(X13:X15)</f>
        <v>10702.272426545747</v>
      </c>
      <c r="Y16" s="24">
        <f t="shared" si="1"/>
        <v>10764.89857233662</v>
      </c>
      <c r="Z16" s="24">
        <f t="shared" si="1"/>
        <v>10826.576246940091</v>
      </c>
      <c r="AA16" s="24">
        <f t="shared" si="1"/>
        <v>10887.276996220557</v>
      </c>
      <c r="AB16" s="24">
        <f t="shared" si="1"/>
        <v>10946.97151241832</v>
      </c>
      <c r="AC16" s="24">
        <f t="shared" si="1"/>
        <v>11005.629608540921</v>
      </c>
      <c r="AD16" s="24">
        <f t="shared" si="1"/>
        <v>11063.220191986076</v>
      </c>
      <c r="AE16" s="24">
        <f t="shared" si="1"/>
        <v>11119.711237373471</v>
      </c>
      <c r="AF16" s="24">
        <f t="shared" si="1"/>
        <v>2821.1431553828797</v>
      </c>
    </row>
    <row r="17" spans="1:32">
      <c r="A17" s="21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8" spans="1:32">
      <c r="A18" s="21" t="s">
        <v>111</v>
      </c>
      <c r="B18" s="153">
        <f>Assumptions!$N$60</f>
        <v>7.0000000000000007E-2</v>
      </c>
      <c r="C18" s="153">
        <f>Assumptions!$N$60</f>
        <v>7.0000000000000007E-2</v>
      </c>
      <c r="D18" s="153">
        <f>Assumptions!$N$60</f>
        <v>7.0000000000000007E-2</v>
      </c>
      <c r="E18" s="153">
        <f>Assumptions!$N$60</f>
        <v>7.0000000000000007E-2</v>
      </c>
      <c r="F18" s="153">
        <f>Assumptions!$N$60</f>
        <v>7.0000000000000007E-2</v>
      </c>
      <c r="G18" s="153">
        <f>Assumptions!$N$60</f>
        <v>7.0000000000000007E-2</v>
      </c>
      <c r="H18" s="153">
        <f>Assumptions!$N$60</f>
        <v>7.0000000000000007E-2</v>
      </c>
      <c r="I18" s="153">
        <f>Assumptions!$N$60</f>
        <v>7.0000000000000007E-2</v>
      </c>
      <c r="J18" s="153">
        <f>Assumptions!$N$60</f>
        <v>7.0000000000000007E-2</v>
      </c>
      <c r="K18" s="153">
        <f>Assumptions!$N$60</f>
        <v>7.0000000000000007E-2</v>
      </c>
      <c r="L18" s="153">
        <f>Assumptions!$N$60</f>
        <v>7.0000000000000007E-2</v>
      </c>
      <c r="M18" s="153">
        <f>Assumptions!$N$60</f>
        <v>7.0000000000000007E-2</v>
      </c>
      <c r="N18" s="153">
        <f>Assumptions!$N$60</f>
        <v>7.0000000000000007E-2</v>
      </c>
      <c r="O18" s="153">
        <f>Assumptions!$N$60</f>
        <v>7.0000000000000007E-2</v>
      </c>
      <c r="P18" s="153">
        <f>Assumptions!$N$60</f>
        <v>7.0000000000000007E-2</v>
      </c>
      <c r="Q18" s="153">
        <f>Assumptions!$N$60</f>
        <v>7.0000000000000007E-2</v>
      </c>
      <c r="R18" s="153">
        <f>Assumptions!$N$60</f>
        <v>7.0000000000000007E-2</v>
      </c>
      <c r="S18" s="153">
        <f>Assumptions!$N$60</f>
        <v>7.0000000000000007E-2</v>
      </c>
      <c r="T18" s="153">
        <f>Assumptions!$N$60</f>
        <v>7.0000000000000007E-2</v>
      </c>
      <c r="U18" s="153">
        <f>Assumptions!$N$60</f>
        <v>7.0000000000000007E-2</v>
      </c>
      <c r="V18" s="153">
        <f>Assumptions!$N$60</f>
        <v>7.0000000000000007E-2</v>
      </c>
      <c r="W18" s="153">
        <f>Assumptions!$N$60</f>
        <v>7.0000000000000007E-2</v>
      </c>
      <c r="X18" s="153">
        <f>Assumptions!$N$60</f>
        <v>7.0000000000000007E-2</v>
      </c>
      <c r="Y18" s="153">
        <f>Assumptions!$N$60</f>
        <v>7.0000000000000007E-2</v>
      </c>
      <c r="Z18" s="153">
        <f>Assumptions!$N$60</f>
        <v>7.0000000000000007E-2</v>
      </c>
      <c r="AA18" s="153">
        <f>Assumptions!$N$60</f>
        <v>7.0000000000000007E-2</v>
      </c>
      <c r="AB18" s="153">
        <f>Assumptions!$N$60</f>
        <v>7.0000000000000007E-2</v>
      </c>
      <c r="AC18" s="153">
        <f>Assumptions!$N$60</f>
        <v>7.0000000000000007E-2</v>
      </c>
      <c r="AD18" s="153">
        <f>Assumptions!$N$60</f>
        <v>7.0000000000000007E-2</v>
      </c>
      <c r="AE18" s="153">
        <f>Assumptions!$N$60</f>
        <v>7.0000000000000007E-2</v>
      </c>
      <c r="AF18" s="153">
        <f>Assumptions!$N$60</f>
        <v>7.0000000000000007E-2</v>
      </c>
    </row>
    <row r="19" spans="1:32">
      <c r="A19" s="21" t="s">
        <v>80</v>
      </c>
      <c r="B19" s="19">
        <f t="shared" ref="B19:AF19" si="2">B16*B18</f>
        <v>26.779433920523999</v>
      </c>
      <c r="C19" s="19">
        <f t="shared" si="2"/>
        <v>-66.492151740496467</v>
      </c>
      <c r="D19" s="19">
        <f t="shared" si="2"/>
        <v>-16.805376134535127</v>
      </c>
      <c r="E19" s="19">
        <f t="shared" si="2"/>
        <v>101.53166849258255</v>
      </c>
      <c r="F19" s="19">
        <f t="shared" si="2"/>
        <v>176.13278139678695</v>
      </c>
      <c r="G19" s="19">
        <f t="shared" si="2"/>
        <v>252.09298277712315</v>
      </c>
      <c r="H19" s="19">
        <f t="shared" si="2"/>
        <v>292.49091064365859</v>
      </c>
      <c r="I19" s="19">
        <f t="shared" si="2"/>
        <v>298.94204922734144</v>
      </c>
      <c r="J19" s="19">
        <f t="shared" si="2"/>
        <v>318.71221472162819</v>
      </c>
      <c r="K19" s="19">
        <f t="shared" si="2"/>
        <v>325.1916045675934</v>
      </c>
      <c r="L19" s="19">
        <f t="shared" si="2"/>
        <v>345.72540172964614</v>
      </c>
      <c r="M19" s="19">
        <f t="shared" si="2"/>
        <v>352.21206627415762</v>
      </c>
      <c r="N19" s="19">
        <f t="shared" si="2"/>
        <v>373.53262229496585</v>
      </c>
      <c r="O19" s="19">
        <f t="shared" si="2"/>
        <v>380.00292525026009</v>
      </c>
      <c r="P19" s="19">
        <f t="shared" si="2"/>
        <v>387.29948050151268</v>
      </c>
      <c r="Q19" s="19">
        <f t="shared" si="2"/>
        <v>550.19470272349656</v>
      </c>
      <c r="R19" s="19">
        <f t="shared" si="2"/>
        <v>716.57508953546574</v>
      </c>
      <c r="S19" s="19">
        <f t="shared" si="2"/>
        <v>724.39578828631704</v>
      </c>
      <c r="T19" s="19">
        <f t="shared" si="2"/>
        <v>730.01645613784387</v>
      </c>
      <c r="U19" s="19">
        <f t="shared" si="2"/>
        <v>735.29294693533927</v>
      </c>
      <c r="V19" s="19">
        <f t="shared" si="2"/>
        <v>740.19990927938159</v>
      </c>
      <c r="W19" s="19">
        <f t="shared" si="2"/>
        <v>744.71078044593287</v>
      </c>
      <c r="X19" s="19">
        <f t="shared" si="2"/>
        <v>749.15906985820243</v>
      </c>
      <c r="Y19" s="19">
        <f t="shared" si="2"/>
        <v>753.54290006356348</v>
      </c>
      <c r="Z19" s="19">
        <f t="shared" si="2"/>
        <v>757.86033728580639</v>
      </c>
      <c r="AA19" s="19">
        <f t="shared" si="2"/>
        <v>762.10938973543898</v>
      </c>
      <c r="AB19" s="19">
        <f t="shared" si="2"/>
        <v>766.28800586928253</v>
      </c>
      <c r="AC19" s="19">
        <f t="shared" si="2"/>
        <v>770.39407259786458</v>
      </c>
      <c r="AD19" s="19">
        <f t="shared" si="2"/>
        <v>774.42541343902542</v>
      </c>
      <c r="AE19" s="19">
        <f t="shared" si="2"/>
        <v>778.37978661614306</v>
      </c>
      <c r="AF19" s="19">
        <f t="shared" si="2"/>
        <v>197.4800208768016</v>
      </c>
    </row>
    <row r="20" spans="1:32">
      <c r="A20" s="21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</row>
    <row r="21" spans="1:32">
      <c r="A21" s="21" t="s">
        <v>81</v>
      </c>
      <c r="B21" s="19">
        <v>0</v>
      </c>
      <c r="C21" s="19">
        <f>B25</f>
        <v>0</v>
      </c>
      <c r="D21" s="19">
        <f t="shared" ref="D21:W21" si="3">C25</f>
        <v>66.492151740496467</v>
      </c>
      <c r="E21" s="19">
        <f t="shared" si="3"/>
        <v>83.297527875031591</v>
      </c>
      <c r="F21" s="19">
        <f t="shared" si="3"/>
        <v>0</v>
      </c>
      <c r="G21" s="19">
        <f t="shared" si="3"/>
        <v>0</v>
      </c>
      <c r="H21" s="19">
        <f t="shared" si="3"/>
        <v>0</v>
      </c>
      <c r="I21" s="19">
        <f t="shared" si="3"/>
        <v>0</v>
      </c>
      <c r="J21" s="19">
        <f t="shared" si="3"/>
        <v>0</v>
      </c>
      <c r="K21" s="19">
        <f t="shared" si="3"/>
        <v>0</v>
      </c>
      <c r="L21" s="19">
        <f t="shared" si="3"/>
        <v>0</v>
      </c>
      <c r="M21" s="19">
        <f t="shared" si="3"/>
        <v>0</v>
      </c>
      <c r="N21" s="19">
        <f t="shared" si="3"/>
        <v>0</v>
      </c>
      <c r="O21" s="19">
        <f t="shared" si="3"/>
        <v>0</v>
      </c>
      <c r="P21" s="19">
        <f>O25</f>
        <v>0</v>
      </c>
      <c r="Q21" s="19">
        <f t="shared" si="3"/>
        <v>0</v>
      </c>
      <c r="R21" s="19">
        <f t="shared" si="3"/>
        <v>0</v>
      </c>
      <c r="S21" s="19">
        <f t="shared" si="3"/>
        <v>0</v>
      </c>
      <c r="T21" s="19">
        <v>0</v>
      </c>
      <c r="U21" s="19">
        <f t="shared" si="3"/>
        <v>0</v>
      </c>
      <c r="V21" s="19">
        <f t="shared" si="3"/>
        <v>0</v>
      </c>
      <c r="W21" s="19">
        <f t="shared" si="3"/>
        <v>0</v>
      </c>
      <c r="X21" s="19">
        <f t="shared" ref="X21:AF21" si="4">W25</f>
        <v>0</v>
      </c>
      <c r="Y21" s="19">
        <f t="shared" si="4"/>
        <v>0</v>
      </c>
      <c r="Z21" s="19">
        <f t="shared" si="4"/>
        <v>0</v>
      </c>
      <c r="AA21" s="19">
        <f t="shared" si="4"/>
        <v>0</v>
      </c>
      <c r="AB21" s="19">
        <f t="shared" si="4"/>
        <v>0</v>
      </c>
      <c r="AC21" s="19">
        <f t="shared" si="4"/>
        <v>0</v>
      </c>
      <c r="AD21" s="19">
        <f t="shared" si="4"/>
        <v>0</v>
      </c>
      <c r="AE21" s="19">
        <f t="shared" si="4"/>
        <v>0</v>
      </c>
      <c r="AF21" s="19">
        <f t="shared" si="4"/>
        <v>0</v>
      </c>
    </row>
    <row r="22" spans="1:32">
      <c r="A22" s="21" t="s">
        <v>82</v>
      </c>
      <c r="B22" s="161">
        <f>IF(B19&lt;0,-B19,0)</f>
        <v>0</v>
      </c>
      <c r="C22" s="161">
        <f t="shared" ref="C22:W22" si="5">IF(C19&lt;0,-C19,0)</f>
        <v>66.492151740496467</v>
      </c>
      <c r="D22" s="161">
        <f t="shared" si="5"/>
        <v>16.805376134535127</v>
      </c>
      <c r="E22" s="161">
        <f t="shared" si="5"/>
        <v>0</v>
      </c>
      <c r="F22" s="161">
        <f t="shared" si="5"/>
        <v>0</v>
      </c>
      <c r="G22" s="161">
        <f t="shared" si="5"/>
        <v>0</v>
      </c>
      <c r="H22" s="161">
        <f t="shared" si="5"/>
        <v>0</v>
      </c>
      <c r="I22" s="161">
        <f t="shared" si="5"/>
        <v>0</v>
      </c>
      <c r="J22" s="161">
        <f t="shared" si="5"/>
        <v>0</v>
      </c>
      <c r="K22" s="161">
        <f t="shared" si="5"/>
        <v>0</v>
      </c>
      <c r="L22" s="161">
        <f t="shared" si="5"/>
        <v>0</v>
      </c>
      <c r="M22" s="161">
        <f t="shared" si="5"/>
        <v>0</v>
      </c>
      <c r="N22" s="161">
        <f t="shared" si="5"/>
        <v>0</v>
      </c>
      <c r="O22" s="161">
        <f t="shared" si="5"/>
        <v>0</v>
      </c>
      <c r="P22" s="161">
        <f t="shared" si="5"/>
        <v>0</v>
      </c>
      <c r="Q22" s="161">
        <f t="shared" si="5"/>
        <v>0</v>
      </c>
      <c r="R22" s="161">
        <f t="shared" si="5"/>
        <v>0</v>
      </c>
      <c r="S22" s="161">
        <f t="shared" si="5"/>
        <v>0</v>
      </c>
      <c r="T22" s="161">
        <f t="shared" si="5"/>
        <v>0</v>
      </c>
      <c r="U22" s="161">
        <f t="shared" si="5"/>
        <v>0</v>
      </c>
      <c r="V22" s="161">
        <f t="shared" si="5"/>
        <v>0</v>
      </c>
      <c r="W22" s="161">
        <f t="shared" si="5"/>
        <v>0</v>
      </c>
      <c r="X22" s="161">
        <f t="shared" ref="X22:AF22" si="6">IF(X19&lt;0,-X19,0)</f>
        <v>0</v>
      </c>
      <c r="Y22" s="161">
        <f t="shared" si="6"/>
        <v>0</v>
      </c>
      <c r="Z22" s="161">
        <f t="shared" si="6"/>
        <v>0</v>
      </c>
      <c r="AA22" s="161">
        <f t="shared" si="6"/>
        <v>0</v>
      </c>
      <c r="AB22" s="161">
        <f t="shared" si="6"/>
        <v>0</v>
      </c>
      <c r="AC22" s="161">
        <f t="shared" si="6"/>
        <v>0</v>
      </c>
      <c r="AD22" s="161">
        <f t="shared" si="6"/>
        <v>0</v>
      </c>
      <c r="AE22" s="161">
        <f t="shared" si="6"/>
        <v>0</v>
      </c>
      <c r="AF22" s="161">
        <f t="shared" si="6"/>
        <v>0</v>
      </c>
    </row>
    <row r="23" spans="1:32">
      <c r="A23" s="13" t="s">
        <v>391</v>
      </c>
      <c r="B23" s="445">
        <v>0</v>
      </c>
      <c r="C23" s="446">
        <v>0</v>
      </c>
      <c r="D23" s="446">
        <v>0</v>
      </c>
      <c r="E23" s="446">
        <v>0</v>
      </c>
      <c r="F23" s="446">
        <v>0</v>
      </c>
      <c r="G23" s="446">
        <v>0</v>
      </c>
      <c r="H23" s="446">
        <v>0</v>
      </c>
      <c r="I23" s="447">
        <v>0</v>
      </c>
      <c r="J23" s="161">
        <f>IF(-SUM(B24:I24, B23:I23)&gt;B22,0,-B22-SUM(B24:I24,B23:I23))</f>
        <v>0</v>
      </c>
      <c r="K23" s="161">
        <f t="shared" ref="K23:AF23" si="7">IF(-SUM(C24:J24, C23:J23)&gt;C22,0,-C22-SUM(C24:J24,C23:J23))</f>
        <v>0</v>
      </c>
      <c r="L23" s="161">
        <f t="shared" si="7"/>
        <v>0</v>
      </c>
      <c r="M23" s="161">
        <f t="shared" si="7"/>
        <v>0</v>
      </c>
      <c r="N23" s="161">
        <f t="shared" si="7"/>
        <v>0</v>
      </c>
      <c r="O23" s="161">
        <f t="shared" si="7"/>
        <v>0</v>
      </c>
      <c r="P23" s="161">
        <f t="shared" si="7"/>
        <v>0</v>
      </c>
      <c r="Q23" s="161">
        <f t="shared" si="7"/>
        <v>0</v>
      </c>
      <c r="R23" s="161">
        <f t="shared" si="7"/>
        <v>0</v>
      </c>
      <c r="S23" s="161">
        <f t="shared" si="7"/>
        <v>0</v>
      </c>
      <c r="T23" s="161">
        <f t="shared" si="7"/>
        <v>0</v>
      </c>
      <c r="U23" s="161">
        <f t="shared" si="7"/>
        <v>0</v>
      </c>
      <c r="V23" s="161">
        <f t="shared" si="7"/>
        <v>0</v>
      </c>
      <c r="W23" s="161">
        <f t="shared" si="7"/>
        <v>0</v>
      </c>
      <c r="X23" s="161">
        <f t="shared" si="7"/>
        <v>0</v>
      </c>
      <c r="Y23" s="161">
        <f t="shared" si="7"/>
        <v>0</v>
      </c>
      <c r="Z23" s="161">
        <f t="shared" si="7"/>
        <v>0</v>
      </c>
      <c r="AA23" s="161">
        <f t="shared" si="7"/>
        <v>0</v>
      </c>
      <c r="AB23" s="161">
        <f t="shared" si="7"/>
        <v>0</v>
      </c>
      <c r="AC23" s="161">
        <f t="shared" si="7"/>
        <v>0</v>
      </c>
      <c r="AD23" s="161">
        <f t="shared" si="7"/>
        <v>0</v>
      </c>
      <c r="AE23" s="161">
        <f t="shared" si="7"/>
        <v>0</v>
      </c>
      <c r="AF23" s="161">
        <f t="shared" si="7"/>
        <v>0</v>
      </c>
    </row>
    <row r="24" spans="1:32">
      <c r="A24" s="13" t="s">
        <v>390</v>
      </c>
      <c r="B24" s="154">
        <f>IF(B19&lt;0,0,IF(B21&gt;B19,-B19,-B21))</f>
        <v>0</v>
      </c>
      <c r="C24" s="154">
        <f t="shared" ref="C24:V24" si="8">IF(C19&lt;0,0,IF(C21&gt;C19,-C19,-C21))</f>
        <v>0</v>
      </c>
      <c r="D24" s="154">
        <f t="shared" si="8"/>
        <v>0</v>
      </c>
      <c r="E24" s="154">
        <f t="shared" si="8"/>
        <v>-83.297527875031591</v>
      </c>
      <c r="F24" s="154">
        <f t="shared" si="8"/>
        <v>0</v>
      </c>
      <c r="G24" s="154">
        <f t="shared" si="8"/>
        <v>0</v>
      </c>
      <c r="H24" s="154">
        <f t="shared" si="8"/>
        <v>0</v>
      </c>
      <c r="I24" s="154">
        <f t="shared" si="8"/>
        <v>0</v>
      </c>
      <c r="J24" s="154">
        <f t="shared" si="8"/>
        <v>0</v>
      </c>
      <c r="K24" s="154">
        <f t="shared" si="8"/>
        <v>0</v>
      </c>
      <c r="L24" s="154">
        <f t="shared" si="8"/>
        <v>0</v>
      </c>
      <c r="M24" s="154">
        <f t="shared" si="8"/>
        <v>0</v>
      </c>
      <c r="N24" s="154">
        <f t="shared" si="8"/>
        <v>0</v>
      </c>
      <c r="O24" s="154">
        <f t="shared" si="8"/>
        <v>0</v>
      </c>
      <c r="P24" s="154">
        <f t="shared" si="8"/>
        <v>0</v>
      </c>
      <c r="Q24" s="154">
        <f t="shared" si="8"/>
        <v>0</v>
      </c>
      <c r="R24" s="154">
        <f t="shared" si="8"/>
        <v>0</v>
      </c>
      <c r="S24" s="154">
        <f t="shared" si="8"/>
        <v>0</v>
      </c>
      <c r="T24" s="154">
        <f t="shared" si="8"/>
        <v>0</v>
      </c>
      <c r="U24" s="154">
        <f t="shared" si="8"/>
        <v>0</v>
      </c>
      <c r="V24" s="154">
        <f t="shared" si="8"/>
        <v>0</v>
      </c>
      <c r="W24" s="154">
        <f>IF(W19&lt;0,0,IF(W21&gt;W19,-W19,-W21))</f>
        <v>0</v>
      </c>
      <c r="X24" s="154">
        <f t="shared" ref="X24:AF24" si="9">IF(X19&lt;0,0,IF(X21&gt;X19,-X19,-X21))</f>
        <v>0</v>
      </c>
      <c r="Y24" s="154">
        <f t="shared" si="9"/>
        <v>0</v>
      </c>
      <c r="Z24" s="154">
        <f t="shared" si="9"/>
        <v>0</v>
      </c>
      <c r="AA24" s="154">
        <f t="shared" si="9"/>
        <v>0</v>
      </c>
      <c r="AB24" s="154">
        <f t="shared" si="9"/>
        <v>0</v>
      </c>
      <c r="AC24" s="154">
        <f t="shared" si="9"/>
        <v>0</v>
      </c>
      <c r="AD24" s="154">
        <f t="shared" si="9"/>
        <v>0</v>
      </c>
      <c r="AE24" s="154">
        <f t="shared" si="9"/>
        <v>0</v>
      </c>
      <c r="AF24" s="154">
        <f t="shared" si="9"/>
        <v>0</v>
      </c>
    </row>
    <row r="25" spans="1:32">
      <c r="A25" s="13" t="s">
        <v>83</v>
      </c>
      <c r="B25" s="154">
        <f t="shared" ref="B25:AF25" si="10">SUM(B21:B24)</f>
        <v>0</v>
      </c>
      <c r="C25" s="154">
        <f t="shared" si="10"/>
        <v>66.492151740496467</v>
      </c>
      <c r="D25" s="154">
        <f t="shared" si="10"/>
        <v>83.297527875031591</v>
      </c>
      <c r="E25" s="154">
        <f t="shared" si="10"/>
        <v>0</v>
      </c>
      <c r="F25" s="154">
        <f t="shared" si="10"/>
        <v>0</v>
      </c>
      <c r="G25" s="154">
        <f t="shared" si="10"/>
        <v>0</v>
      </c>
      <c r="H25" s="154">
        <f t="shared" si="10"/>
        <v>0</v>
      </c>
      <c r="I25" s="154">
        <f t="shared" si="10"/>
        <v>0</v>
      </c>
      <c r="J25" s="154">
        <f t="shared" si="10"/>
        <v>0</v>
      </c>
      <c r="K25" s="154">
        <f t="shared" si="10"/>
        <v>0</v>
      </c>
      <c r="L25" s="154">
        <f t="shared" si="10"/>
        <v>0</v>
      </c>
      <c r="M25" s="154">
        <f t="shared" si="10"/>
        <v>0</v>
      </c>
      <c r="N25" s="154">
        <f t="shared" si="10"/>
        <v>0</v>
      </c>
      <c r="O25" s="154">
        <f t="shared" si="10"/>
        <v>0</v>
      </c>
      <c r="P25" s="154">
        <f t="shared" si="10"/>
        <v>0</v>
      </c>
      <c r="Q25" s="154">
        <f t="shared" si="10"/>
        <v>0</v>
      </c>
      <c r="R25" s="154">
        <f t="shared" si="10"/>
        <v>0</v>
      </c>
      <c r="S25" s="154">
        <f t="shared" si="10"/>
        <v>0</v>
      </c>
      <c r="T25" s="154">
        <f t="shared" si="10"/>
        <v>0</v>
      </c>
      <c r="U25" s="154">
        <f t="shared" si="10"/>
        <v>0</v>
      </c>
      <c r="V25" s="154">
        <f t="shared" si="10"/>
        <v>0</v>
      </c>
      <c r="W25" s="154">
        <f t="shared" si="10"/>
        <v>0</v>
      </c>
      <c r="X25" s="154">
        <f t="shared" si="10"/>
        <v>0</v>
      </c>
      <c r="Y25" s="154">
        <f t="shared" si="10"/>
        <v>0</v>
      </c>
      <c r="Z25" s="154">
        <f t="shared" si="10"/>
        <v>0</v>
      </c>
      <c r="AA25" s="154">
        <f t="shared" si="10"/>
        <v>0</v>
      </c>
      <c r="AB25" s="154">
        <f t="shared" si="10"/>
        <v>0</v>
      </c>
      <c r="AC25" s="154">
        <f t="shared" si="10"/>
        <v>0</v>
      </c>
      <c r="AD25" s="154">
        <f t="shared" si="10"/>
        <v>0</v>
      </c>
      <c r="AE25" s="154">
        <f t="shared" si="10"/>
        <v>0</v>
      </c>
      <c r="AF25" s="154">
        <f t="shared" si="10"/>
        <v>0</v>
      </c>
    </row>
    <row r="26" spans="1:32">
      <c r="A26" s="1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</row>
    <row r="27" spans="1:32">
      <c r="A27" s="44" t="s">
        <v>263</v>
      </c>
      <c r="B27" s="158">
        <f>IF(B16&lt;0,0,B24+B19)</f>
        <v>26.779433920523999</v>
      </c>
      <c r="C27" s="158">
        <f t="shared" ref="C27:AF27" si="11">IF(C16&lt;0,0,C24+C19)</f>
        <v>0</v>
      </c>
      <c r="D27" s="158">
        <f t="shared" si="11"/>
        <v>0</v>
      </c>
      <c r="E27" s="158">
        <f t="shared" si="11"/>
        <v>18.234140617550963</v>
      </c>
      <c r="F27" s="158">
        <f t="shared" si="11"/>
        <v>176.13278139678695</v>
      </c>
      <c r="G27" s="158">
        <f t="shared" si="11"/>
        <v>252.09298277712315</v>
      </c>
      <c r="H27" s="158">
        <f t="shared" si="11"/>
        <v>292.49091064365859</v>
      </c>
      <c r="I27" s="158">
        <f t="shared" si="11"/>
        <v>298.94204922734144</v>
      </c>
      <c r="J27" s="158">
        <f t="shared" si="11"/>
        <v>318.71221472162819</v>
      </c>
      <c r="K27" s="158">
        <f t="shared" si="11"/>
        <v>325.1916045675934</v>
      </c>
      <c r="L27" s="158">
        <f t="shared" si="11"/>
        <v>345.72540172964614</v>
      </c>
      <c r="M27" s="158">
        <f t="shared" si="11"/>
        <v>352.21206627415762</v>
      </c>
      <c r="N27" s="158">
        <f t="shared" si="11"/>
        <v>373.53262229496585</v>
      </c>
      <c r="O27" s="158">
        <f t="shared" si="11"/>
        <v>380.00292525026009</v>
      </c>
      <c r="P27" s="158">
        <f t="shared" si="11"/>
        <v>387.29948050151268</v>
      </c>
      <c r="Q27" s="158">
        <f t="shared" si="11"/>
        <v>550.19470272349656</v>
      </c>
      <c r="R27" s="158">
        <f t="shared" si="11"/>
        <v>716.57508953546574</v>
      </c>
      <c r="S27" s="158">
        <f t="shared" si="11"/>
        <v>724.39578828631704</v>
      </c>
      <c r="T27" s="158">
        <f t="shared" si="11"/>
        <v>730.01645613784387</v>
      </c>
      <c r="U27" s="158">
        <f t="shared" si="11"/>
        <v>735.29294693533927</v>
      </c>
      <c r="V27" s="158">
        <f t="shared" si="11"/>
        <v>740.19990927938159</v>
      </c>
      <c r="W27" s="158">
        <f t="shared" si="11"/>
        <v>744.71078044593287</v>
      </c>
      <c r="X27" s="158">
        <f t="shared" si="11"/>
        <v>749.15906985820243</v>
      </c>
      <c r="Y27" s="158">
        <f t="shared" si="11"/>
        <v>753.54290006356348</v>
      </c>
      <c r="Z27" s="158">
        <f t="shared" si="11"/>
        <v>757.86033728580639</v>
      </c>
      <c r="AA27" s="158">
        <f t="shared" si="11"/>
        <v>762.10938973543898</v>
      </c>
      <c r="AB27" s="158">
        <f t="shared" si="11"/>
        <v>766.28800586928253</v>
      </c>
      <c r="AC27" s="158">
        <f t="shared" si="11"/>
        <v>770.39407259786458</v>
      </c>
      <c r="AD27" s="158">
        <f t="shared" si="11"/>
        <v>774.42541343902542</v>
      </c>
      <c r="AE27" s="158">
        <f t="shared" si="11"/>
        <v>778.37978661614306</v>
      </c>
      <c r="AF27" s="158">
        <f t="shared" si="11"/>
        <v>197.4800208768016</v>
      </c>
    </row>
    <row r="28" spans="1:32">
      <c r="A28" s="44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</row>
    <row r="29" spans="1:32">
      <c r="A29" s="21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>
      <c r="A30" s="150" t="s">
        <v>84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</row>
    <row r="31" spans="1:32">
      <c r="A31" s="21" t="s">
        <v>79</v>
      </c>
      <c r="B31" s="19">
        <f>B16</f>
        <v>382.56334172177139</v>
      </c>
      <c r="C31" s="19">
        <f t="shared" ref="C31:AF31" si="12">C16</f>
        <v>-949.88788200709223</v>
      </c>
      <c r="D31" s="19">
        <f t="shared" si="12"/>
        <v>-240.07680192193038</v>
      </c>
      <c r="E31" s="19">
        <f t="shared" si="12"/>
        <v>1450.4524070368934</v>
      </c>
      <c r="F31" s="19">
        <f t="shared" si="12"/>
        <v>2516.1825913826706</v>
      </c>
      <c r="G31" s="19">
        <f t="shared" si="12"/>
        <v>3601.3283253874733</v>
      </c>
      <c r="H31" s="19">
        <f t="shared" si="12"/>
        <v>4178.4415806236939</v>
      </c>
      <c r="I31" s="19">
        <f t="shared" si="12"/>
        <v>4270.6007032477346</v>
      </c>
      <c r="J31" s="19">
        <f t="shared" si="12"/>
        <v>4553.0316388804022</v>
      </c>
      <c r="K31" s="19">
        <f t="shared" si="12"/>
        <v>4645.5943509656199</v>
      </c>
      <c r="L31" s="19">
        <f t="shared" si="12"/>
        <v>4938.9343104235159</v>
      </c>
      <c r="M31" s="19">
        <f t="shared" si="12"/>
        <v>5031.6009467736794</v>
      </c>
      <c r="N31" s="19">
        <f t="shared" si="12"/>
        <v>5336.1803184995115</v>
      </c>
      <c r="O31" s="19">
        <f t="shared" si="12"/>
        <v>5428.6132178608577</v>
      </c>
      <c r="P31" s="19">
        <f t="shared" si="12"/>
        <v>5532.8497214501804</v>
      </c>
      <c r="Q31" s="19">
        <f t="shared" si="12"/>
        <v>7859.9243246213791</v>
      </c>
      <c r="R31" s="19">
        <f t="shared" si="12"/>
        <v>10236.786993363796</v>
      </c>
      <c r="S31" s="19">
        <f t="shared" si="12"/>
        <v>10348.5112612331</v>
      </c>
      <c r="T31" s="19">
        <f t="shared" si="12"/>
        <v>10428.806516254912</v>
      </c>
      <c r="U31" s="19">
        <f t="shared" si="12"/>
        <v>10504.184956219131</v>
      </c>
      <c r="V31" s="19">
        <f t="shared" si="12"/>
        <v>10574.284418276879</v>
      </c>
      <c r="W31" s="19">
        <f t="shared" si="12"/>
        <v>10638.725434941896</v>
      </c>
      <c r="X31" s="19">
        <f t="shared" si="12"/>
        <v>10702.272426545747</v>
      </c>
      <c r="Y31" s="19">
        <f t="shared" si="12"/>
        <v>10764.89857233662</v>
      </c>
      <c r="Z31" s="19">
        <f t="shared" si="12"/>
        <v>10826.576246940091</v>
      </c>
      <c r="AA31" s="19">
        <f t="shared" si="12"/>
        <v>10887.276996220557</v>
      </c>
      <c r="AB31" s="19">
        <f t="shared" si="12"/>
        <v>10946.97151241832</v>
      </c>
      <c r="AC31" s="19">
        <f t="shared" si="12"/>
        <v>11005.629608540921</v>
      </c>
      <c r="AD31" s="19">
        <f t="shared" si="12"/>
        <v>11063.220191986076</v>
      </c>
      <c r="AE31" s="19">
        <f t="shared" si="12"/>
        <v>11119.711237373471</v>
      </c>
      <c r="AF31" s="19">
        <f t="shared" si="12"/>
        <v>2821.1431553828797</v>
      </c>
    </row>
    <row r="32" spans="1:32" ht="15">
      <c r="A32" s="21" t="s">
        <v>85</v>
      </c>
      <c r="B32" s="156">
        <f>-B27</f>
        <v>-26.779433920523999</v>
      </c>
      <c r="C32" s="156">
        <f t="shared" ref="C32:AF32" si="13">-C27</f>
        <v>0</v>
      </c>
      <c r="D32" s="156">
        <f t="shared" si="13"/>
        <v>0</v>
      </c>
      <c r="E32" s="156">
        <f t="shared" si="13"/>
        <v>-18.234140617550963</v>
      </c>
      <c r="F32" s="156">
        <f t="shared" si="13"/>
        <v>-176.13278139678695</v>
      </c>
      <c r="G32" s="156">
        <f t="shared" si="13"/>
        <v>-252.09298277712315</v>
      </c>
      <c r="H32" s="156">
        <f t="shared" si="13"/>
        <v>-292.49091064365859</v>
      </c>
      <c r="I32" s="156">
        <f t="shared" si="13"/>
        <v>-298.94204922734144</v>
      </c>
      <c r="J32" s="156">
        <f t="shared" si="13"/>
        <v>-318.71221472162819</v>
      </c>
      <c r="K32" s="156">
        <f t="shared" si="13"/>
        <v>-325.1916045675934</v>
      </c>
      <c r="L32" s="156">
        <f t="shared" si="13"/>
        <v>-345.72540172964614</v>
      </c>
      <c r="M32" s="156">
        <f t="shared" si="13"/>
        <v>-352.21206627415762</v>
      </c>
      <c r="N32" s="156">
        <f t="shared" si="13"/>
        <v>-373.53262229496585</v>
      </c>
      <c r="O32" s="156">
        <f t="shared" si="13"/>
        <v>-380.00292525026009</v>
      </c>
      <c r="P32" s="156">
        <f t="shared" si="13"/>
        <v>-387.29948050151268</v>
      </c>
      <c r="Q32" s="156">
        <f t="shared" si="13"/>
        <v>-550.19470272349656</v>
      </c>
      <c r="R32" s="156">
        <f t="shared" si="13"/>
        <v>-716.57508953546574</v>
      </c>
      <c r="S32" s="156">
        <f t="shared" si="13"/>
        <v>-724.39578828631704</v>
      </c>
      <c r="T32" s="156">
        <f t="shared" si="13"/>
        <v>-730.01645613784387</v>
      </c>
      <c r="U32" s="156">
        <f t="shared" si="13"/>
        <v>-735.29294693533927</v>
      </c>
      <c r="V32" s="156">
        <f t="shared" si="13"/>
        <v>-740.19990927938159</v>
      </c>
      <c r="W32" s="156">
        <f t="shared" si="13"/>
        <v>-744.71078044593287</v>
      </c>
      <c r="X32" s="156">
        <f t="shared" si="13"/>
        <v>-749.15906985820243</v>
      </c>
      <c r="Y32" s="156">
        <f t="shared" si="13"/>
        <v>-753.54290006356348</v>
      </c>
      <c r="Z32" s="156">
        <f t="shared" si="13"/>
        <v>-757.86033728580639</v>
      </c>
      <c r="AA32" s="156">
        <f t="shared" si="13"/>
        <v>-762.10938973543898</v>
      </c>
      <c r="AB32" s="156">
        <f t="shared" si="13"/>
        <v>-766.28800586928253</v>
      </c>
      <c r="AC32" s="156">
        <f t="shared" si="13"/>
        <v>-770.39407259786458</v>
      </c>
      <c r="AD32" s="156">
        <f t="shared" si="13"/>
        <v>-774.42541343902542</v>
      </c>
      <c r="AE32" s="156">
        <f t="shared" si="13"/>
        <v>-778.37978661614306</v>
      </c>
      <c r="AF32" s="156">
        <f t="shared" si="13"/>
        <v>-197.4800208768016</v>
      </c>
    </row>
    <row r="33" spans="1:32">
      <c r="A33" s="151" t="s">
        <v>262</v>
      </c>
      <c r="B33" s="45">
        <f t="shared" ref="B33:AF33" si="14">SUM(B31:B32)</f>
        <v>355.78390780124738</v>
      </c>
      <c r="C33" s="45">
        <f t="shared" si="14"/>
        <v>-949.88788200709223</v>
      </c>
      <c r="D33" s="45">
        <f t="shared" si="14"/>
        <v>-240.07680192193038</v>
      </c>
      <c r="E33" s="45">
        <f t="shared" si="14"/>
        <v>1432.2182664193424</v>
      </c>
      <c r="F33" s="45">
        <f t="shared" si="14"/>
        <v>2340.0498099858837</v>
      </c>
      <c r="G33" s="45">
        <f t="shared" si="14"/>
        <v>3349.23534261035</v>
      </c>
      <c r="H33" s="45">
        <f t="shared" si="14"/>
        <v>3885.9506699800354</v>
      </c>
      <c r="I33" s="45">
        <f t="shared" si="14"/>
        <v>3971.658654020393</v>
      </c>
      <c r="J33" s="45">
        <f t="shared" si="14"/>
        <v>4234.3194241587744</v>
      </c>
      <c r="K33" s="45">
        <f t="shared" si="14"/>
        <v>4320.4027463980265</v>
      </c>
      <c r="L33" s="45">
        <f t="shared" si="14"/>
        <v>4593.2089086938695</v>
      </c>
      <c r="M33" s="45">
        <f t="shared" si="14"/>
        <v>4679.3888804995222</v>
      </c>
      <c r="N33" s="45">
        <f t="shared" si="14"/>
        <v>4962.6476962045454</v>
      </c>
      <c r="O33" s="45">
        <f t="shared" si="14"/>
        <v>5048.6102926105978</v>
      </c>
      <c r="P33" s="45">
        <f t="shared" si="14"/>
        <v>5145.550240948668</v>
      </c>
      <c r="Q33" s="45">
        <f t="shared" si="14"/>
        <v>7309.7296218978827</v>
      </c>
      <c r="R33" s="45">
        <f t="shared" si="14"/>
        <v>9520.2119038283308</v>
      </c>
      <c r="S33" s="45">
        <f t="shared" si="14"/>
        <v>9624.1154729467817</v>
      </c>
      <c r="T33" s="45">
        <f t="shared" si="14"/>
        <v>9698.7900601170677</v>
      </c>
      <c r="U33" s="45">
        <f t="shared" si="14"/>
        <v>9768.8920092837925</v>
      </c>
      <c r="V33" s="45">
        <f t="shared" si="14"/>
        <v>9834.0845089974973</v>
      </c>
      <c r="W33" s="45">
        <f t="shared" si="14"/>
        <v>9894.0146544959644</v>
      </c>
      <c r="X33" s="45">
        <f t="shared" si="14"/>
        <v>9953.1133566875451</v>
      </c>
      <c r="Y33" s="45">
        <f t="shared" si="14"/>
        <v>10011.355672273057</v>
      </c>
      <c r="Z33" s="45">
        <f t="shared" si="14"/>
        <v>10068.715909654284</v>
      </c>
      <c r="AA33" s="45">
        <f t="shared" si="14"/>
        <v>10125.167606485118</v>
      </c>
      <c r="AB33" s="45">
        <f t="shared" si="14"/>
        <v>10180.683506549038</v>
      </c>
      <c r="AC33" s="45">
        <f t="shared" si="14"/>
        <v>10235.235535943057</v>
      </c>
      <c r="AD33" s="45">
        <f t="shared" si="14"/>
        <v>10288.794778547051</v>
      </c>
      <c r="AE33" s="45">
        <f t="shared" si="14"/>
        <v>10341.331450757327</v>
      </c>
      <c r="AF33" s="45">
        <f t="shared" si="14"/>
        <v>2623.6631345060782</v>
      </c>
    </row>
    <row r="34" spans="1:32">
      <c r="A34" s="151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</row>
    <row r="35" spans="1:32">
      <c r="A35" s="21" t="s">
        <v>86</v>
      </c>
      <c r="B35" s="157">
        <f>Assumptions!$N$59</f>
        <v>0.35</v>
      </c>
      <c r="C35" s="157">
        <f>Assumptions!$N$59</f>
        <v>0.35</v>
      </c>
      <c r="D35" s="157">
        <f>Assumptions!$N$59</f>
        <v>0.35</v>
      </c>
      <c r="E35" s="157">
        <f>Assumptions!$N$59</f>
        <v>0.35</v>
      </c>
      <c r="F35" s="157">
        <f>Assumptions!$N$59</f>
        <v>0.35</v>
      </c>
      <c r="G35" s="157">
        <f>Assumptions!$N$59</f>
        <v>0.35</v>
      </c>
      <c r="H35" s="157">
        <f>Assumptions!$N$59</f>
        <v>0.35</v>
      </c>
      <c r="I35" s="157">
        <f>Assumptions!$N$59</f>
        <v>0.35</v>
      </c>
      <c r="J35" s="157">
        <f>Assumptions!$N$59</f>
        <v>0.35</v>
      </c>
      <c r="K35" s="157">
        <f>Assumptions!$N$59</f>
        <v>0.35</v>
      </c>
      <c r="L35" s="157">
        <f>Assumptions!$N$59</f>
        <v>0.35</v>
      </c>
      <c r="M35" s="157">
        <f>Assumptions!$N$59</f>
        <v>0.35</v>
      </c>
      <c r="N35" s="157">
        <f>Assumptions!$N$59</f>
        <v>0.35</v>
      </c>
      <c r="O35" s="157">
        <f>Assumptions!$N$59</f>
        <v>0.35</v>
      </c>
      <c r="P35" s="157">
        <f>Assumptions!$N$59</f>
        <v>0.35</v>
      </c>
      <c r="Q35" s="157">
        <f>Assumptions!$N$59</f>
        <v>0.35</v>
      </c>
      <c r="R35" s="157">
        <f>Assumptions!$N$59</f>
        <v>0.35</v>
      </c>
      <c r="S35" s="157">
        <f>Assumptions!$N$59</f>
        <v>0.35</v>
      </c>
      <c r="T35" s="157">
        <f>Assumptions!$N$59</f>
        <v>0.35</v>
      </c>
      <c r="U35" s="157">
        <f>Assumptions!$N$59</f>
        <v>0.35</v>
      </c>
      <c r="V35" s="157">
        <f>Assumptions!$N$59</f>
        <v>0.35</v>
      </c>
      <c r="W35" s="157">
        <f>Assumptions!$N$59</f>
        <v>0.35</v>
      </c>
      <c r="X35" s="157">
        <f>Assumptions!$N$59</f>
        <v>0.35</v>
      </c>
      <c r="Y35" s="157">
        <f>Assumptions!$N$59</f>
        <v>0.35</v>
      </c>
      <c r="Z35" s="157">
        <f>Assumptions!$N$59</f>
        <v>0.35</v>
      </c>
      <c r="AA35" s="157">
        <f>Assumptions!$N$59</f>
        <v>0.35</v>
      </c>
      <c r="AB35" s="157">
        <f>Assumptions!$N$59</f>
        <v>0.35</v>
      </c>
      <c r="AC35" s="157">
        <f>Assumptions!$N$59</f>
        <v>0.35</v>
      </c>
      <c r="AD35" s="157">
        <f>Assumptions!$N$59</f>
        <v>0.35</v>
      </c>
      <c r="AE35" s="157">
        <f>Assumptions!$N$59</f>
        <v>0.35</v>
      </c>
      <c r="AF35" s="157">
        <f>Assumptions!$N$59</f>
        <v>0.35</v>
      </c>
    </row>
    <row r="36" spans="1:32">
      <c r="A36" s="21" t="s">
        <v>87</v>
      </c>
      <c r="B36" s="19">
        <f>B33*B35</f>
        <v>124.52436773043658</v>
      </c>
      <c r="C36" s="19">
        <f t="shared" ref="C36:W36" si="15">C33*C35</f>
        <v>-332.46075870248228</v>
      </c>
      <c r="D36" s="19">
        <f t="shared" si="15"/>
        <v>-84.026880672675631</v>
      </c>
      <c r="E36" s="19">
        <f t="shared" si="15"/>
        <v>501.27639324676983</v>
      </c>
      <c r="F36" s="19">
        <f t="shared" si="15"/>
        <v>819.01743349505921</v>
      </c>
      <c r="G36" s="19">
        <f t="shared" si="15"/>
        <v>1172.2323699136225</v>
      </c>
      <c r="H36" s="19">
        <f t="shared" si="15"/>
        <v>1360.0827344930124</v>
      </c>
      <c r="I36" s="19">
        <f t="shared" si="15"/>
        <v>1390.0805289071375</v>
      </c>
      <c r="J36" s="19">
        <f t="shared" si="15"/>
        <v>1482.0117984555709</v>
      </c>
      <c r="K36" s="19">
        <f t="shared" si="15"/>
        <v>1512.1409612393093</v>
      </c>
      <c r="L36" s="19">
        <f t="shared" si="15"/>
        <v>1607.6231180428542</v>
      </c>
      <c r="M36" s="19">
        <f t="shared" si="15"/>
        <v>1637.7861081748326</v>
      </c>
      <c r="N36" s="19">
        <f t="shared" si="15"/>
        <v>1736.9266936715908</v>
      </c>
      <c r="O36" s="19">
        <f t="shared" si="15"/>
        <v>1767.0136024137091</v>
      </c>
      <c r="P36" s="19">
        <f t="shared" si="15"/>
        <v>1800.9425843320337</v>
      </c>
      <c r="Q36" s="19">
        <f t="shared" si="15"/>
        <v>2558.4053676642588</v>
      </c>
      <c r="R36" s="19">
        <f t="shared" si="15"/>
        <v>3332.0741663399158</v>
      </c>
      <c r="S36" s="19">
        <f t="shared" si="15"/>
        <v>3368.4404155313732</v>
      </c>
      <c r="T36" s="19">
        <f t="shared" si="15"/>
        <v>3394.5765210409736</v>
      </c>
      <c r="U36" s="19">
        <f t="shared" si="15"/>
        <v>3419.1122032493272</v>
      </c>
      <c r="V36" s="19">
        <f t="shared" si="15"/>
        <v>3441.9295781491237</v>
      </c>
      <c r="W36" s="19">
        <f t="shared" si="15"/>
        <v>3462.9051290735874</v>
      </c>
      <c r="X36" s="19">
        <f t="shared" ref="X36:AF36" si="16">X33*X35</f>
        <v>3483.5896748406408</v>
      </c>
      <c r="Y36" s="19">
        <f t="shared" si="16"/>
        <v>3503.97448529557</v>
      </c>
      <c r="Z36" s="19">
        <f t="shared" si="16"/>
        <v>3524.0505683789993</v>
      </c>
      <c r="AA36" s="19">
        <f t="shared" si="16"/>
        <v>3543.8086622697911</v>
      </c>
      <c r="AB36" s="19">
        <f t="shared" si="16"/>
        <v>3563.2392272921629</v>
      </c>
      <c r="AC36" s="19">
        <f t="shared" si="16"/>
        <v>3582.3324375800694</v>
      </c>
      <c r="AD36" s="19">
        <f t="shared" si="16"/>
        <v>3601.0781724914677</v>
      </c>
      <c r="AE36" s="19">
        <f t="shared" si="16"/>
        <v>3619.4660077650642</v>
      </c>
      <c r="AF36" s="19">
        <f t="shared" si="16"/>
        <v>918.28209707712733</v>
      </c>
    </row>
    <row r="37" spans="1:32">
      <c r="A37" s="1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</row>
    <row r="38" spans="1:32">
      <c r="A38" s="21" t="s">
        <v>81</v>
      </c>
      <c r="B38" s="19">
        <v>0</v>
      </c>
      <c r="C38" s="19">
        <f t="shared" ref="C38:S38" si="17">B42</f>
        <v>0</v>
      </c>
      <c r="D38" s="19">
        <f t="shared" si="17"/>
        <v>332.46075870248228</v>
      </c>
      <c r="E38" s="19">
        <f t="shared" si="17"/>
        <v>416.48763937515793</v>
      </c>
      <c r="F38" s="19">
        <f t="shared" si="17"/>
        <v>0</v>
      </c>
      <c r="G38" s="19">
        <f t="shared" si="17"/>
        <v>0</v>
      </c>
      <c r="H38" s="19">
        <f t="shared" si="17"/>
        <v>0</v>
      </c>
      <c r="I38" s="19">
        <f t="shared" si="17"/>
        <v>0</v>
      </c>
      <c r="J38" s="19">
        <f t="shared" si="17"/>
        <v>0</v>
      </c>
      <c r="K38" s="19">
        <f t="shared" si="17"/>
        <v>0</v>
      </c>
      <c r="L38" s="19">
        <f t="shared" si="17"/>
        <v>0</v>
      </c>
      <c r="M38" s="19">
        <f t="shared" si="17"/>
        <v>0</v>
      </c>
      <c r="N38" s="19">
        <f t="shared" si="17"/>
        <v>0</v>
      </c>
      <c r="O38" s="19">
        <f t="shared" si="17"/>
        <v>0</v>
      </c>
      <c r="P38" s="19">
        <f t="shared" si="17"/>
        <v>0</v>
      </c>
      <c r="Q38" s="19">
        <f t="shared" si="17"/>
        <v>0</v>
      </c>
      <c r="R38" s="19">
        <f t="shared" si="17"/>
        <v>0</v>
      </c>
      <c r="S38" s="19">
        <f t="shared" si="17"/>
        <v>0</v>
      </c>
      <c r="T38" s="19">
        <v>0</v>
      </c>
      <c r="U38" s="19">
        <f t="shared" ref="U38:AF38" si="18">T42</f>
        <v>0</v>
      </c>
      <c r="V38" s="19">
        <f t="shared" si="18"/>
        <v>0</v>
      </c>
      <c r="W38" s="19">
        <f t="shared" si="18"/>
        <v>0</v>
      </c>
      <c r="X38" s="19">
        <f t="shared" si="18"/>
        <v>0</v>
      </c>
      <c r="Y38" s="19">
        <f t="shared" si="18"/>
        <v>0</v>
      </c>
      <c r="Z38" s="19">
        <f t="shared" si="18"/>
        <v>0</v>
      </c>
      <c r="AA38" s="19">
        <f t="shared" si="18"/>
        <v>0</v>
      </c>
      <c r="AB38" s="19">
        <f t="shared" si="18"/>
        <v>0</v>
      </c>
      <c r="AC38" s="19">
        <f t="shared" si="18"/>
        <v>0</v>
      </c>
      <c r="AD38" s="19">
        <f t="shared" si="18"/>
        <v>0</v>
      </c>
      <c r="AE38" s="19">
        <f t="shared" si="18"/>
        <v>0</v>
      </c>
      <c r="AF38" s="19">
        <f t="shared" si="18"/>
        <v>0</v>
      </c>
    </row>
    <row r="39" spans="1:32">
      <c r="A39" s="21" t="s">
        <v>82</v>
      </c>
      <c r="B39" s="161">
        <f>IF(B36&lt;0,-B36,0)</f>
        <v>0</v>
      </c>
      <c r="C39" s="161">
        <f t="shared" ref="C39:AF39" si="19">IF(C36&lt;0,-C36,0)</f>
        <v>332.46075870248228</v>
      </c>
      <c r="D39" s="161">
        <f t="shared" si="19"/>
        <v>84.026880672675631</v>
      </c>
      <c r="E39" s="161">
        <f t="shared" si="19"/>
        <v>0</v>
      </c>
      <c r="F39" s="161">
        <f t="shared" si="19"/>
        <v>0</v>
      </c>
      <c r="G39" s="161">
        <f t="shared" si="19"/>
        <v>0</v>
      </c>
      <c r="H39" s="161">
        <f t="shared" si="19"/>
        <v>0</v>
      </c>
      <c r="I39" s="161">
        <f t="shared" si="19"/>
        <v>0</v>
      </c>
      <c r="J39" s="161">
        <f t="shared" si="19"/>
        <v>0</v>
      </c>
      <c r="K39" s="161">
        <f t="shared" si="19"/>
        <v>0</v>
      </c>
      <c r="L39" s="161">
        <f t="shared" si="19"/>
        <v>0</v>
      </c>
      <c r="M39" s="161">
        <f t="shared" si="19"/>
        <v>0</v>
      </c>
      <c r="N39" s="161">
        <f t="shared" si="19"/>
        <v>0</v>
      </c>
      <c r="O39" s="161">
        <f t="shared" si="19"/>
        <v>0</v>
      </c>
      <c r="P39" s="161">
        <f t="shared" si="19"/>
        <v>0</v>
      </c>
      <c r="Q39" s="161">
        <f t="shared" si="19"/>
        <v>0</v>
      </c>
      <c r="R39" s="161">
        <f t="shared" si="19"/>
        <v>0</v>
      </c>
      <c r="S39" s="161">
        <f t="shared" si="19"/>
        <v>0</v>
      </c>
      <c r="T39" s="161">
        <f t="shared" si="19"/>
        <v>0</v>
      </c>
      <c r="U39" s="161">
        <f t="shared" si="19"/>
        <v>0</v>
      </c>
      <c r="V39" s="161">
        <f t="shared" si="19"/>
        <v>0</v>
      </c>
      <c r="W39" s="161">
        <f t="shared" si="19"/>
        <v>0</v>
      </c>
      <c r="X39" s="161">
        <f t="shared" si="19"/>
        <v>0</v>
      </c>
      <c r="Y39" s="161">
        <f t="shared" si="19"/>
        <v>0</v>
      </c>
      <c r="Z39" s="161">
        <f t="shared" si="19"/>
        <v>0</v>
      </c>
      <c r="AA39" s="161">
        <f t="shared" si="19"/>
        <v>0</v>
      </c>
      <c r="AB39" s="161">
        <f t="shared" si="19"/>
        <v>0</v>
      </c>
      <c r="AC39" s="161">
        <f t="shared" si="19"/>
        <v>0</v>
      </c>
      <c r="AD39" s="161">
        <f t="shared" si="19"/>
        <v>0</v>
      </c>
      <c r="AE39" s="161">
        <f t="shared" si="19"/>
        <v>0</v>
      </c>
      <c r="AF39" s="161">
        <f t="shared" si="19"/>
        <v>0</v>
      </c>
    </row>
    <row r="40" spans="1:32">
      <c r="A40" s="13" t="s">
        <v>391</v>
      </c>
      <c r="B40" s="445">
        <v>0</v>
      </c>
      <c r="C40" s="446">
        <v>0</v>
      </c>
      <c r="D40" s="446">
        <v>0</v>
      </c>
      <c r="E40" s="446">
        <v>0</v>
      </c>
      <c r="F40" s="446">
        <v>0</v>
      </c>
      <c r="G40" s="446">
        <v>0</v>
      </c>
      <c r="H40" s="446">
        <v>0</v>
      </c>
      <c r="I40" s="446">
        <v>0</v>
      </c>
      <c r="J40" s="446">
        <v>0</v>
      </c>
      <c r="K40" s="446">
        <v>0</v>
      </c>
      <c r="L40" s="446">
        <v>0</v>
      </c>
      <c r="M40" s="446">
        <v>0</v>
      </c>
      <c r="N40" s="446">
        <v>0</v>
      </c>
      <c r="O40" s="446">
        <v>0</v>
      </c>
      <c r="P40" s="447">
        <v>0</v>
      </c>
      <c r="Q40" s="161">
        <f>IF(-SUM(B41:P41, B40:P40)&gt;B39,0,-B39-SUM(B41:P41,B40:P40))</f>
        <v>0</v>
      </c>
      <c r="R40" s="161">
        <f t="shared" ref="R40:AF40" si="20">IF(-SUM(C41:Q41, C40:Q40)&gt;C39,0,-C39-SUM(C41:Q41,C40:Q40))</f>
        <v>0</v>
      </c>
      <c r="S40" s="161">
        <f t="shared" si="20"/>
        <v>0</v>
      </c>
      <c r="T40" s="161">
        <f t="shared" si="20"/>
        <v>0</v>
      </c>
      <c r="U40" s="161">
        <f t="shared" si="20"/>
        <v>0</v>
      </c>
      <c r="V40" s="161">
        <f t="shared" si="20"/>
        <v>0</v>
      </c>
      <c r="W40" s="161">
        <f t="shared" si="20"/>
        <v>0</v>
      </c>
      <c r="X40" s="161">
        <f t="shared" si="20"/>
        <v>0</v>
      </c>
      <c r="Y40" s="161">
        <f t="shared" si="20"/>
        <v>0</v>
      </c>
      <c r="Z40" s="161">
        <f t="shared" si="20"/>
        <v>0</v>
      </c>
      <c r="AA40" s="161">
        <f t="shared" si="20"/>
        <v>0</v>
      </c>
      <c r="AB40" s="161">
        <f t="shared" si="20"/>
        <v>0</v>
      </c>
      <c r="AC40" s="161">
        <f t="shared" si="20"/>
        <v>0</v>
      </c>
      <c r="AD40" s="161">
        <f t="shared" si="20"/>
        <v>0</v>
      </c>
      <c r="AE40" s="161">
        <f t="shared" si="20"/>
        <v>0</v>
      </c>
      <c r="AF40" s="161">
        <f t="shared" si="20"/>
        <v>0</v>
      </c>
    </row>
    <row r="41" spans="1:32">
      <c r="A41" s="13" t="s">
        <v>392</v>
      </c>
      <c r="B41" s="154">
        <f>IF(B36&lt;0,0,IF(B38&gt;B36,-B36,-B38))</f>
        <v>0</v>
      </c>
      <c r="C41" s="154">
        <f t="shared" ref="C41:V41" si="21">IF(C36&lt;0,0,IF(C38&gt;C36,-C36,-C38))</f>
        <v>0</v>
      </c>
      <c r="D41" s="154">
        <f t="shared" si="21"/>
        <v>0</v>
      </c>
      <c r="E41" s="154">
        <f t="shared" si="21"/>
        <v>-416.48763937515793</v>
      </c>
      <c r="F41" s="154">
        <f t="shared" si="21"/>
        <v>0</v>
      </c>
      <c r="G41" s="154">
        <f t="shared" si="21"/>
        <v>0</v>
      </c>
      <c r="H41" s="154">
        <f t="shared" si="21"/>
        <v>0</v>
      </c>
      <c r="I41" s="154">
        <f t="shared" si="21"/>
        <v>0</v>
      </c>
      <c r="J41" s="154">
        <f t="shared" si="21"/>
        <v>0</v>
      </c>
      <c r="K41" s="154">
        <f t="shared" si="21"/>
        <v>0</v>
      </c>
      <c r="L41" s="154">
        <f t="shared" si="21"/>
        <v>0</v>
      </c>
      <c r="M41" s="154">
        <f t="shared" si="21"/>
        <v>0</v>
      </c>
      <c r="N41" s="154">
        <f t="shared" si="21"/>
        <v>0</v>
      </c>
      <c r="O41" s="154">
        <f t="shared" si="21"/>
        <v>0</v>
      </c>
      <c r="P41" s="154">
        <f t="shared" si="21"/>
        <v>0</v>
      </c>
      <c r="Q41" s="154">
        <f t="shared" si="21"/>
        <v>0</v>
      </c>
      <c r="R41" s="154">
        <f t="shared" si="21"/>
        <v>0</v>
      </c>
      <c r="S41" s="154">
        <f t="shared" si="21"/>
        <v>0</v>
      </c>
      <c r="T41" s="154">
        <f t="shared" si="21"/>
        <v>0</v>
      </c>
      <c r="U41" s="154">
        <f t="shared" si="21"/>
        <v>0</v>
      </c>
      <c r="V41" s="154">
        <f t="shared" si="21"/>
        <v>0</v>
      </c>
      <c r="W41" s="154">
        <f>IF(W36&lt;0,0,IF(W38&gt;W36,-W36,-W38))</f>
        <v>0</v>
      </c>
      <c r="X41" s="154">
        <f t="shared" ref="X41:AF41" si="22">IF(X36&lt;0,0,IF(X38&gt;X36,-X36,-X38))</f>
        <v>0</v>
      </c>
      <c r="Y41" s="154">
        <f t="shared" si="22"/>
        <v>0</v>
      </c>
      <c r="Z41" s="154">
        <f t="shared" si="22"/>
        <v>0</v>
      </c>
      <c r="AA41" s="154">
        <f t="shared" si="22"/>
        <v>0</v>
      </c>
      <c r="AB41" s="154">
        <f t="shared" si="22"/>
        <v>0</v>
      </c>
      <c r="AC41" s="154">
        <f t="shared" si="22"/>
        <v>0</v>
      </c>
      <c r="AD41" s="154">
        <f t="shared" si="22"/>
        <v>0</v>
      </c>
      <c r="AE41" s="154">
        <f t="shared" si="22"/>
        <v>0</v>
      </c>
      <c r="AF41" s="154">
        <f t="shared" si="22"/>
        <v>0</v>
      </c>
    </row>
    <row r="42" spans="1:32">
      <c r="A42" s="13" t="s">
        <v>83</v>
      </c>
      <c r="B42" s="154">
        <f t="shared" ref="B42:AF42" si="23">SUM(B38:B41)</f>
        <v>0</v>
      </c>
      <c r="C42" s="154">
        <f t="shared" si="23"/>
        <v>332.46075870248228</v>
      </c>
      <c r="D42" s="154">
        <f t="shared" si="23"/>
        <v>416.48763937515793</v>
      </c>
      <c r="E42" s="154">
        <f t="shared" si="23"/>
        <v>0</v>
      </c>
      <c r="F42" s="154">
        <f t="shared" si="23"/>
        <v>0</v>
      </c>
      <c r="G42" s="154">
        <f t="shared" si="23"/>
        <v>0</v>
      </c>
      <c r="H42" s="154">
        <f t="shared" si="23"/>
        <v>0</v>
      </c>
      <c r="I42" s="154">
        <f t="shared" si="23"/>
        <v>0</v>
      </c>
      <c r="J42" s="154">
        <f t="shared" si="23"/>
        <v>0</v>
      </c>
      <c r="K42" s="154">
        <f t="shared" si="23"/>
        <v>0</v>
      </c>
      <c r="L42" s="154">
        <f t="shared" si="23"/>
        <v>0</v>
      </c>
      <c r="M42" s="154">
        <f t="shared" si="23"/>
        <v>0</v>
      </c>
      <c r="N42" s="154">
        <f t="shared" si="23"/>
        <v>0</v>
      </c>
      <c r="O42" s="154">
        <f t="shared" si="23"/>
        <v>0</v>
      </c>
      <c r="P42" s="154">
        <f t="shared" si="23"/>
        <v>0</v>
      </c>
      <c r="Q42" s="154">
        <f t="shared" si="23"/>
        <v>0</v>
      </c>
      <c r="R42" s="154">
        <f t="shared" si="23"/>
        <v>0</v>
      </c>
      <c r="S42" s="154">
        <f t="shared" si="23"/>
        <v>0</v>
      </c>
      <c r="T42" s="154">
        <f t="shared" si="23"/>
        <v>0</v>
      </c>
      <c r="U42" s="154">
        <f t="shared" si="23"/>
        <v>0</v>
      </c>
      <c r="V42" s="154">
        <f t="shared" si="23"/>
        <v>0</v>
      </c>
      <c r="W42" s="154">
        <f t="shared" si="23"/>
        <v>0</v>
      </c>
      <c r="X42" s="154">
        <f t="shared" si="23"/>
        <v>0</v>
      </c>
      <c r="Y42" s="154">
        <f t="shared" si="23"/>
        <v>0</v>
      </c>
      <c r="Z42" s="154">
        <f t="shared" si="23"/>
        <v>0</v>
      </c>
      <c r="AA42" s="154">
        <f t="shared" si="23"/>
        <v>0</v>
      </c>
      <c r="AB42" s="154">
        <f t="shared" si="23"/>
        <v>0</v>
      </c>
      <c r="AC42" s="154">
        <f t="shared" si="23"/>
        <v>0</v>
      </c>
      <c r="AD42" s="154">
        <f t="shared" si="23"/>
        <v>0</v>
      </c>
      <c r="AE42" s="154">
        <f t="shared" si="23"/>
        <v>0</v>
      </c>
      <c r="AF42" s="154">
        <f t="shared" si="23"/>
        <v>0</v>
      </c>
    </row>
    <row r="43" spans="1:32">
      <c r="A43" s="1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</row>
    <row r="44" spans="1:32">
      <c r="A44" s="44" t="s">
        <v>263</v>
      </c>
      <c r="B44" s="158">
        <f>IF(B33&lt;0,0,B41+B36)</f>
        <v>124.52436773043658</v>
      </c>
      <c r="C44" s="158">
        <f t="shared" ref="C44:AF44" si="24">IF(C33&lt;0,0,C41+C36)</f>
        <v>0</v>
      </c>
      <c r="D44" s="158">
        <f t="shared" si="24"/>
        <v>0</v>
      </c>
      <c r="E44" s="158">
        <f t="shared" si="24"/>
        <v>84.788753871611902</v>
      </c>
      <c r="F44" s="158">
        <f t="shared" si="24"/>
        <v>819.01743349505921</v>
      </c>
      <c r="G44" s="158">
        <f t="shared" si="24"/>
        <v>1172.2323699136225</v>
      </c>
      <c r="H44" s="158">
        <f t="shared" si="24"/>
        <v>1360.0827344930124</v>
      </c>
      <c r="I44" s="158">
        <f t="shared" si="24"/>
        <v>1390.0805289071375</v>
      </c>
      <c r="J44" s="158">
        <f t="shared" si="24"/>
        <v>1482.0117984555709</v>
      </c>
      <c r="K44" s="158">
        <f t="shared" si="24"/>
        <v>1512.1409612393093</v>
      </c>
      <c r="L44" s="158">
        <f t="shared" si="24"/>
        <v>1607.6231180428542</v>
      </c>
      <c r="M44" s="158">
        <f t="shared" si="24"/>
        <v>1637.7861081748326</v>
      </c>
      <c r="N44" s="158">
        <f t="shared" si="24"/>
        <v>1736.9266936715908</v>
      </c>
      <c r="O44" s="158">
        <f t="shared" si="24"/>
        <v>1767.0136024137091</v>
      </c>
      <c r="P44" s="158">
        <f t="shared" si="24"/>
        <v>1800.9425843320337</v>
      </c>
      <c r="Q44" s="158">
        <f t="shared" si="24"/>
        <v>2558.4053676642588</v>
      </c>
      <c r="R44" s="158">
        <f t="shared" si="24"/>
        <v>3332.0741663399158</v>
      </c>
      <c r="S44" s="158">
        <f t="shared" si="24"/>
        <v>3368.4404155313732</v>
      </c>
      <c r="T44" s="158">
        <f t="shared" si="24"/>
        <v>3394.5765210409736</v>
      </c>
      <c r="U44" s="158">
        <f t="shared" si="24"/>
        <v>3419.1122032493272</v>
      </c>
      <c r="V44" s="158">
        <f t="shared" si="24"/>
        <v>3441.9295781491237</v>
      </c>
      <c r="W44" s="158">
        <f t="shared" si="24"/>
        <v>3462.9051290735874</v>
      </c>
      <c r="X44" s="158">
        <f t="shared" si="24"/>
        <v>3483.5896748406408</v>
      </c>
      <c r="Y44" s="158">
        <f t="shared" si="24"/>
        <v>3503.97448529557</v>
      </c>
      <c r="Z44" s="158">
        <f t="shared" si="24"/>
        <v>3524.0505683789993</v>
      </c>
      <c r="AA44" s="158">
        <f t="shared" si="24"/>
        <v>3543.8086622697911</v>
      </c>
      <c r="AB44" s="158">
        <f t="shared" si="24"/>
        <v>3563.2392272921629</v>
      </c>
      <c r="AC44" s="158">
        <f t="shared" si="24"/>
        <v>3582.3324375800694</v>
      </c>
      <c r="AD44" s="158">
        <f t="shared" si="24"/>
        <v>3601.0781724914677</v>
      </c>
      <c r="AE44" s="158">
        <f t="shared" si="24"/>
        <v>3619.4660077650642</v>
      </c>
      <c r="AF44" s="158">
        <f t="shared" si="24"/>
        <v>918.28209707712733</v>
      </c>
    </row>
    <row r="45" spans="1:32">
      <c r="A45" s="44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01"/>
      <c r="Y45" s="101"/>
    </row>
    <row r="46" spans="1:32"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100"/>
      <c r="Y46" s="100"/>
    </row>
    <row r="47" spans="1:32"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</row>
    <row r="48" spans="1:32"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</row>
    <row r="49" spans="3:32"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</row>
    <row r="50" spans="3:32"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</row>
    <row r="51" spans="3:32">
      <c r="X51" s="6"/>
      <c r="Y51" s="6"/>
    </row>
    <row r="52" spans="3:32">
      <c r="X52" s="6"/>
      <c r="Y52" s="6"/>
    </row>
    <row r="53" spans="3:32">
      <c r="X53" s="6"/>
      <c r="Y53" s="6"/>
    </row>
    <row r="54" spans="3:32">
      <c r="X54" s="6"/>
      <c r="Y54" s="6"/>
    </row>
    <row r="55" spans="3:32">
      <c r="X55" s="6"/>
      <c r="Y55" s="6"/>
    </row>
    <row r="56" spans="3:32">
      <c r="X56" s="6"/>
      <c r="Y56" s="6"/>
    </row>
    <row r="57" spans="3:32">
      <c r="X57" s="6"/>
      <c r="Y57" s="6"/>
    </row>
  </sheetData>
  <pageMargins left="0.45" right="0.45" top="0.5" bottom="0.5" header="0.25" footer="0.25"/>
  <pageSetup scale="50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3"/>
  <sheetViews>
    <sheetView zoomScale="75" zoomScaleNormal="75" workbookViewId="0">
      <selection activeCell="E16" sqref="E16"/>
    </sheetView>
  </sheetViews>
  <sheetFormatPr defaultRowHeight="12.75"/>
  <cols>
    <col min="1" max="1" width="29.5703125" style="12" customWidth="1"/>
    <col min="2" max="9" width="16.28515625" style="12" customWidth="1"/>
    <col min="10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96" t="str">
        <f>Assumptions!A3</f>
        <v>PROJECT NAME:</v>
      </c>
    </row>
    <row r="4" spans="1:25" ht="18.75">
      <c r="A4" s="68" t="s">
        <v>233</v>
      </c>
      <c r="B4" s="266"/>
      <c r="C4" s="56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8"/>
      <c r="Y4" s="78"/>
    </row>
    <row r="5" spans="1:25">
      <c r="A5" s="71"/>
      <c r="B5" s="87"/>
      <c r="C5" s="14"/>
      <c r="D5" s="14"/>
      <c r="E5" s="14"/>
      <c r="F5" s="14"/>
      <c r="G5" s="14"/>
      <c r="H5" s="14"/>
      <c r="I5" s="84"/>
      <c r="J5" s="14"/>
      <c r="K5" s="14"/>
      <c r="L5" s="14"/>
      <c r="M5" s="14"/>
      <c r="N5" s="14"/>
      <c r="O5" s="84"/>
      <c r="P5" s="14"/>
      <c r="Q5" s="14"/>
      <c r="R5" s="14"/>
      <c r="S5" s="14"/>
      <c r="T5" s="14"/>
      <c r="U5" s="84"/>
      <c r="V5" s="14"/>
      <c r="W5" s="14"/>
      <c r="X5" s="99"/>
      <c r="Y5" s="99"/>
    </row>
    <row r="6" spans="1:25">
      <c r="A6" s="71" t="s">
        <v>292</v>
      </c>
      <c r="B6" s="288"/>
      <c r="C6" s="289">
        <f>SUM(Assumptions!C21:C33)</f>
        <v>29937</v>
      </c>
      <c r="D6" s="290"/>
      <c r="E6" s="290"/>
      <c r="F6" s="290"/>
      <c r="G6" s="290"/>
      <c r="H6" s="290"/>
      <c r="I6" s="291"/>
      <c r="J6" s="290"/>
      <c r="K6" s="290"/>
      <c r="L6" s="290"/>
      <c r="M6" s="290"/>
      <c r="N6" s="290"/>
      <c r="O6" s="291"/>
      <c r="P6" s="290"/>
      <c r="Q6" s="290"/>
      <c r="R6" s="290"/>
      <c r="S6" s="290"/>
      <c r="T6" s="290"/>
      <c r="U6" s="291"/>
      <c r="V6" s="290"/>
      <c r="W6" s="290"/>
      <c r="X6" s="293"/>
      <c r="Y6" s="293"/>
    </row>
    <row r="7" spans="1:25">
      <c r="A7" s="71" t="s">
        <v>240</v>
      </c>
      <c r="B7" s="288"/>
      <c r="C7" s="289">
        <f>Assumptions!H15</f>
        <v>8</v>
      </c>
      <c r="D7" s="290"/>
      <c r="E7" s="290"/>
      <c r="F7" s="290"/>
      <c r="G7" s="290"/>
      <c r="H7" s="290"/>
      <c r="I7" s="291"/>
      <c r="J7" s="290"/>
      <c r="K7" s="290"/>
      <c r="L7" s="290"/>
      <c r="M7" s="290"/>
      <c r="N7" s="290"/>
      <c r="O7" s="291"/>
      <c r="P7" s="290"/>
      <c r="Q7" s="290"/>
      <c r="R7" s="290"/>
      <c r="S7" s="290"/>
      <c r="T7" s="290"/>
      <c r="U7" s="291"/>
      <c r="V7" s="290"/>
      <c r="W7" s="290"/>
      <c r="X7" s="293"/>
      <c r="Y7" s="293"/>
    </row>
    <row r="8" spans="1:25">
      <c r="A8" s="71" t="s">
        <v>238</v>
      </c>
      <c r="B8" s="288"/>
      <c r="C8" s="297">
        <f>Assumptions!H38</f>
        <v>7.8299999999999995E-2</v>
      </c>
      <c r="D8" s="299">
        <f>C8/360</f>
        <v>2.1749999999999997E-4</v>
      </c>
      <c r="E8" s="290"/>
      <c r="F8" s="290"/>
      <c r="G8" s="290"/>
      <c r="H8" s="290"/>
      <c r="I8" s="291"/>
      <c r="J8" s="290"/>
      <c r="K8" s="290"/>
      <c r="L8" s="290"/>
      <c r="M8" s="290"/>
      <c r="N8" s="290"/>
      <c r="O8" s="291"/>
      <c r="P8" s="290"/>
      <c r="Q8" s="290"/>
      <c r="R8" s="290"/>
      <c r="S8" s="290"/>
      <c r="T8" s="290"/>
      <c r="U8" s="291"/>
      <c r="V8" s="290"/>
      <c r="W8" s="290"/>
      <c r="X8" s="293"/>
      <c r="Y8" s="293"/>
    </row>
    <row r="9" spans="1:25">
      <c r="A9" s="71"/>
      <c r="B9" s="288"/>
      <c r="C9" s="298" t="s">
        <v>239</v>
      </c>
      <c r="D9" s="298" t="s">
        <v>293</v>
      </c>
      <c r="E9" s="290"/>
      <c r="F9" s="290"/>
      <c r="G9" s="290"/>
      <c r="H9" s="290"/>
      <c r="I9" s="291"/>
      <c r="J9" s="290"/>
      <c r="K9" s="290"/>
      <c r="L9" s="290"/>
      <c r="M9" s="290"/>
      <c r="N9" s="290"/>
      <c r="O9" s="291"/>
      <c r="P9" s="290"/>
      <c r="Q9" s="290"/>
      <c r="R9" s="290"/>
      <c r="S9" s="290"/>
      <c r="T9" s="290"/>
      <c r="U9" s="291"/>
      <c r="V9" s="290"/>
      <c r="W9" s="290"/>
      <c r="X9" s="293"/>
      <c r="Y9" s="293"/>
    </row>
    <row r="10" spans="1:25">
      <c r="A10" s="71"/>
      <c r="B10" s="288"/>
      <c r="C10" s="298"/>
      <c r="D10" s="298"/>
      <c r="E10" s="290"/>
      <c r="F10" s="290"/>
      <c r="G10" s="290"/>
      <c r="H10" s="290"/>
      <c r="I10" s="291"/>
      <c r="J10" s="290"/>
      <c r="K10" s="290"/>
      <c r="L10" s="290"/>
      <c r="M10" s="290"/>
      <c r="N10" s="290"/>
      <c r="O10" s="291"/>
      <c r="P10" s="290"/>
      <c r="Q10" s="290"/>
      <c r="R10" s="290"/>
      <c r="S10" s="290"/>
      <c r="T10" s="290"/>
      <c r="U10" s="291"/>
      <c r="V10" s="290"/>
      <c r="W10" s="290"/>
      <c r="X10" s="293"/>
      <c r="Y10" s="293"/>
    </row>
    <row r="11" spans="1:25">
      <c r="A11" s="71"/>
      <c r="B11" s="288"/>
      <c r="C11" s="298"/>
      <c r="D11" s="298"/>
      <c r="E11" s="290"/>
      <c r="F11" s="290"/>
      <c r="G11" s="290"/>
      <c r="H11" s="290"/>
      <c r="I11" s="291"/>
      <c r="J11" s="290"/>
      <c r="K11" s="290"/>
      <c r="L11" s="290"/>
      <c r="M11" s="290"/>
      <c r="N11" s="290"/>
      <c r="O11" s="291"/>
      <c r="P11" s="290"/>
      <c r="Q11" s="290"/>
      <c r="R11" s="290"/>
      <c r="S11" s="290"/>
      <c r="T11" s="290"/>
      <c r="U11" s="291"/>
      <c r="V11" s="290"/>
      <c r="W11" s="290"/>
      <c r="X11" s="293"/>
      <c r="Y11" s="293"/>
    </row>
    <row r="12" spans="1:25">
      <c r="A12" s="5"/>
      <c r="B12" s="285"/>
      <c r="C12" s="285"/>
      <c r="D12" s="286" t="s">
        <v>227</v>
      </c>
      <c r="E12" s="284" t="s">
        <v>234</v>
      </c>
      <c r="F12" s="285"/>
      <c r="G12" s="285"/>
      <c r="H12" s="285"/>
      <c r="I12" s="285"/>
      <c r="J12" s="280"/>
    </row>
    <row r="13" spans="1:25">
      <c r="A13" s="284" t="s">
        <v>224</v>
      </c>
      <c r="B13" s="5"/>
      <c r="C13" s="5"/>
      <c r="D13" s="286" t="s">
        <v>235</v>
      </c>
      <c r="E13" s="286" t="s">
        <v>228</v>
      </c>
      <c r="F13" s="286" t="s">
        <v>229</v>
      </c>
      <c r="G13" s="292" t="s">
        <v>230</v>
      </c>
      <c r="H13" s="286" t="s">
        <v>231</v>
      </c>
      <c r="I13" s="286" t="s">
        <v>232</v>
      </c>
      <c r="J13" s="74"/>
    </row>
    <row r="14" spans="1:25">
      <c r="A14" s="281" t="s">
        <v>225</v>
      </c>
      <c r="B14" s="281" t="s">
        <v>157</v>
      </c>
      <c r="C14" s="281" t="s">
        <v>226</v>
      </c>
      <c r="D14" s="281" t="s">
        <v>237</v>
      </c>
      <c r="E14" s="281" t="s">
        <v>237</v>
      </c>
      <c r="F14" s="281" t="s">
        <v>237</v>
      </c>
      <c r="G14" s="281" t="s">
        <v>237</v>
      </c>
      <c r="H14" s="281" t="s">
        <v>237</v>
      </c>
      <c r="I14" s="281" t="s">
        <v>237</v>
      </c>
      <c r="J14" s="74"/>
    </row>
    <row r="15" spans="1:25">
      <c r="A15" s="282">
        <v>0</v>
      </c>
      <c r="B15" s="283">
        <v>36739</v>
      </c>
      <c r="C15" s="329">
        <v>0</v>
      </c>
      <c r="D15" s="294">
        <f>E60*3</f>
        <v>42781.348821995125</v>
      </c>
      <c r="E15" s="295">
        <f>C15*$C$6</f>
        <v>0</v>
      </c>
      <c r="F15" s="295">
        <f>+E15+D15</f>
        <v>42781.348821995125</v>
      </c>
      <c r="G15" s="295">
        <f>F15+H15</f>
        <v>42781.348821995125</v>
      </c>
      <c r="H15" s="295">
        <v>0</v>
      </c>
      <c r="I15" s="295">
        <f>H15</f>
        <v>0</v>
      </c>
    </row>
    <row r="16" spans="1:25">
      <c r="A16" s="282">
        <f t="shared" ref="A16:A34" si="0">A15+1</f>
        <v>1</v>
      </c>
      <c r="B16" s="283">
        <v>36770</v>
      </c>
      <c r="C16" s="329">
        <f t="shared" ref="C16:C23" si="1">100%/$C$7</f>
        <v>0.125</v>
      </c>
      <c r="D16" s="294">
        <v>0</v>
      </c>
      <c r="E16" s="295">
        <f t="shared" ref="E16:E34" si="2">C16*$C$6</f>
        <v>3742.125</v>
      </c>
      <c r="F16" s="295">
        <f t="shared" ref="F16:F34" si="3">+E16+D16</f>
        <v>3742.125</v>
      </c>
      <c r="G16" s="295">
        <f>F16+G15+H16</f>
        <v>46811.92706642743</v>
      </c>
      <c r="H16" s="295">
        <f>IF(A16&gt;$C$7,0,G15*(B16-B15)*$D$8)</f>
        <v>288.45324443230209</v>
      </c>
      <c r="I16" s="295">
        <f>IF(A16&lt;=$C$7,H16+I15,I15)</f>
        <v>288.45324443230209</v>
      </c>
    </row>
    <row r="17" spans="1:9">
      <c r="A17" s="282">
        <f t="shared" si="0"/>
        <v>2</v>
      </c>
      <c r="B17" s="283">
        <v>36800</v>
      </c>
      <c r="C17" s="329">
        <f t="shared" si="1"/>
        <v>0.125</v>
      </c>
      <c r="D17" s="294">
        <v>0</v>
      </c>
      <c r="E17" s="295">
        <f t="shared" si="2"/>
        <v>3742.125</v>
      </c>
      <c r="F17" s="295">
        <f t="shared" si="3"/>
        <v>3742.125</v>
      </c>
      <c r="G17" s="295">
        <f t="shared" ref="G17:G34" si="4">F17+G16+H17</f>
        <v>50859.499890535866</v>
      </c>
      <c r="H17" s="295">
        <f t="shared" ref="H17:H34" si="5">IF(A17&gt;$C$7,0,G16*(B17-B16)*$D$8)</f>
        <v>305.44782410843897</v>
      </c>
      <c r="I17" s="295">
        <f t="shared" ref="I17:I34" si="6">IF(A17&lt;=$C$7,H17+I16,I16)</f>
        <v>593.90106854074111</v>
      </c>
    </row>
    <row r="18" spans="1:9">
      <c r="A18" s="282">
        <f t="shared" si="0"/>
        <v>3</v>
      </c>
      <c r="B18" s="283">
        <v>36831</v>
      </c>
      <c r="C18" s="329">
        <f t="shared" si="1"/>
        <v>0.125</v>
      </c>
      <c r="D18" s="294">
        <v>0</v>
      </c>
      <c r="E18" s="295">
        <f t="shared" si="2"/>
        <v>3742.125</v>
      </c>
      <c r="F18" s="295">
        <f t="shared" si="3"/>
        <v>3742.125</v>
      </c>
      <c r="G18" s="295">
        <f t="shared" si="4"/>
        <v>54944.545068547806</v>
      </c>
      <c r="H18" s="295">
        <f t="shared" si="5"/>
        <v>342.92017801193805</v>
      </c>
      <c r="I18" s="295">
        <f t="shared" si="6"/>
        <v>936.82124655267921</v>
      </c>
    </row>
    <row r="19" spans="1:9">
      <c r="A19" s="282">
        <f t="shared" si="0"/>
        <v>4</v>
      </c>
      <c r="B19" s="283">
        <v>36861</v>
      </c>
      <c r="C19" s="329">
        <f t="shared" si="1"/>
        <v>0.125</v>
      </c>
      <c r="D19" s="294">
        <v>0</v>
      </c>
      <c r="E19" s="295">
        <f t="shared" si="2"/>
        <v>3742.125</v>
      </c>
      <c r="F19" s="295">
        <f t="shared" si="3"/>
        <v>3742.125</v>
      </c>
      <c r="G19" s="295">
        <f t="shared" si="4"/>
        <v>59045.183225120083</v>
      </c>
      <c r="H19" s="295">
        <f t="shared" si="5"/>
        <v>358.5131565722744</v>
      </c>
      <c r="I19" s="295">
        <f t="shared" si="6"/>
        <v>1295.3344031249535</v>
      </c>
    </row>
    <row r="20" spans="1:9">
      <c r="A20" s="282">
        <f t="shared" si="0"/>
        <v>5</v>
      </c>
      <c r="B20" s="283">
        <v>36892</v>
      </c>
      <c r="C20" s="329">
        <f t="shared" si="1"/>
        <v>0.125</v>
      </c>
      <c r="D20" s="294">
        <v>0</v>
      </c>
      <c r="E20" s="295">
        <f t="shared" si="2"/>
        <v>3742.125</v>
      </c>
      <c r="F20" s="295">
        <f t="shared" si="3"/>
        <v>3742.125</v>
      </c>
      <c r="G20" s="295">
        <f t="shared" si="4"/>
        <v>63185.420373015455</v>
      </c>
      <c r="H20" s="295">
        <f t="shared" si="5"/>
        <v>398.11214789537212</v>
      </c>
      <c r="I20" s="295">
        <f t="shared" si="6"/>
        <v>1693.4465510203256</v>
      </c>
    </row>
    <row r="21" spans="1:9">
      <c r="A21" s="282">
        <f t="shared" si="0"/>
        <v>6</v>
      </c>
      <c r="B21" s="283">
        <v>36923</v>
      </c>
      <c r="C21" s="329">
        <f t="shared" si="1"/>
        <v>0.125</v>
      </c>
      <c r="D21" s="294">
        <v>0</v>
      </c>
      <c r="E21" s="295">
        <f t="shared" si="2"/>
        <v>3742.125</v>
      </c>
      <c r="F21" s="295">
        <f t="shared" si="3"/>
        <v>3742.125</v>
      </c>
      <c r="G21" s="295">
        <f t="shared" si="4"/>
        <v>67353.573069880513</v>
      </c>
      <c r="H21" s="295">
        <f t="shared" si="5"/>
        <v>426.02769686505661</v>
      </c>
      <c r="I21" s="295">
        <f t="shared" si="6"/>
        <v>2119.4742478853823</v>
      </c>
    </row>
    <row r="22" spans="1:9">
      <c r="A22" s="282">
        <f t="shared" si="0"/>
        <v>7</v>
      </c>
      <c r="B22" s="283">
        <v>36951</v>
      </c>
      <c r="C22" s="329">
        <f t="shared" si="1"/>
        <v>0.125</v>
      </c>
      <c r="D22" s="294">
        <v>0</v>
      </c>
      <c r="E22" s="295">
        <f t="shared" si="2"/>
        <v>3742.125</v>
      </c>
      <c r="F22" s="295">
        <f t="shared" si="3"/>
        <v>3742.125</v>
      </c>
      <c r="G22" s="295">
        <f t="shared" si="4"/>
        <v>71505.88132987608</v>
      </c>
      <c r="H22" s="295">
        <f t="shared" si="5"/>
        <v>410.18325999557231</v>
      </c>
      <c r="I22" s="295">
        <f t="shared" si="6"/>
        <v>2529.6575078809547</v>
      </c>
    </row>
    <row r="23" spans="1:9">
      <c r="A23" s="282">
        <f t="shared" si="0"/>
        <v>8</v>
      </c>
      <c r="B23" s="283">
        <v>36982</v>
      </c>
      <c r="C23" s="329">
        <f t="shared" si="1"/>
        <v>0.125</v>
      </c>
      <c r="D23" s="294">
        <v>0</v>
      </c>
      <c r="E23" s="295">
        <f t="shared" si="2"/>
        <v>3742.125</v>
      </c>
      <c r="F23" s="295">
        <f t="shared" si="3"/>
        <v>3742.125</v>
      </c>
      <c r="G23" s="295">
        <f t="shared" si="4"/>
        <v>75730.134734742765</v>
      </c>
      <c r="H23" s="295">
        <f t="shared" si="5"/>
        <v>482.12840486668944</v>
      </c>
      <c r="I23" s="295">
        <f t="shared" si="6"/>
        <v>3011.785912747644</v>
      </c>
    </row>
    <row r="24" spans="1:9">
      <c r="A24" s="282">
        <f t="shared" si="0"/>
        <v>9</v>
      </c>
      <c r="B24" s="283">
        <v>37012</v>
      </c>
      <c r="C24" s="329">
        <v>0</v>
      </c>
      <c r="D24" s="294">
        <v>0</v>
      </c>
      <c r="E24" s="295">
        <f t="shared" si="2"/>
        <v>0</v>
      </c>
      <c r="F24" s="295">
        <f t="shared" si="3"/>
        <v>0</v>
      </c>
      <c r="G24" s="295">
        <f t="shared" si="4"/>
        <v>75730.134734742765</v>
      </c>
      <c r="H24" s="295">
        <f t="shared" si="5"/>
        <v>0</v>
      </c>
      <c r="I24" s="295">
        <f t="shared" si="6"/>
        <v>3011.785912747644</v>
      </c>
    </row>
    <row r="25" spans="1:9">
      <c r="A25" s="282">
        <f t="shared" si="0"/>
        <v>10</v>
      </c>
      <c r="B25" s="283">
        <v>37043</v>
      </c>
      <c r="C25" s="329">
        <v>0</v>
      </c>
      <c r="D25" s="294">
        <v>0</v>
      </c>
      <c r="E25" s="295">
        <f t="shared" si="2"/>
        <v>0</v>
      </c>
      <c r="F25" s="295">
        <f t="shared" si="3"/>
        <v>0</v>
      </c>
      <c r="G25" s="295">
        <f t="shared" si="4"/>
        <v>75730.134734742765</v>
      </c>
      <c r="H25" s="295">
        <f t="shared" si="5"/>
        <v>0</v>
      </c>
      <c r="I25" s="295">
        <f t="shared" si="6"/>
        <v>3011.785912747644</v>
      </c>
    </row>
    <row r="26" spans="1:9">
      <c r="A26" s="282">
        <f t="shared" si="0"/>
        <v>11</v>
      </c>
      <c r="B26" s="283">
        <v>37073</v>
      </c>
      <c r="C26" s="329">
        <v>0</v>
      </c>
      <c r="D26" s="294">
        <v>0</v>
      </c>
      <c r="E26" s="295">
        <f t="shared" si="2"/>
        <v>0</v>
      </c>
      <c r="F26" s="295">
        <f t="shared" si="3"/>
        <v>0</v>
      </c>
      <c r="G26" s="295">
        <f t="shared" si="4"/>
        <v>75730.134734742765</v>
      </c>
      <c r="H26" s="295">
        <f t="shared" si="5"/>
        <v>0</v>
      </c>
      <c r="I26" s="295">
        <f t="shared" si="6"/>
        <v>3011.785912747644</v>
      </c>
    </row>
    <row r="27" spans="1:9">
      <c r="A27" s="282">
        <f t="shared" si="0"/>
        <v>12</v>
      </c>
      <c r="B27" s="283">
        <v>37104</v>
      </c>
      <c r="C27" s="329">
        <v>0</v>
      </c>
      <c r="D27" s="294">
        <v>0</v>
      </c>
      <c r="E27" s="295">
        <f t="shared" si="2"/>
        <v>0</v>
      </c>
      <c r="F27" s="295">
        <f t="shared" si="3"/>
        <v>0</v>
      </c>
      <c r="G27" s="295">
        <f t="shared" si="4"/>
        <v>75730.134734742765</v>
      </c>
      <c r="H27" s="295">
        <f t="shared" si="5"/>
        <v>0</v>
      </c>
      <c r="I27" s="295">
        <f t="shared" si="6"/>
        <v>3011.785912747644</v>
      </c>
    </row>
    <row r="28" spans="1:9">
      <c r="A28" s="282">
        <f t="shared" si="0"/>
        <v>13</v>
      </c>
      <c r="B28" s="283">
        <v>37135</v>
      </c>
      <c r="C28" s="329">
        <v>0</v>
      </c>
      <c r="D28" s="294">
        <v>0</v>
      </c>
      <c r="E28" s="295">
        <f t="shared" si="2"/>
        <v>0</v>
      </c>
      <c r="F28" s="295">
        <f t="shared" si="3"/>
        <v>0</v>
      </c>
      <c r="G28" s="295">
        <f t="shared" si="4"/>
        <v>75730.134734742765</v>
      </c>
      <c r="H28" s="295">
        <f t="shared" si="5"/>
        <v>0</v>
      </c>
      <c r="I28" s="295">
        <f t="shared" si="6"/>
        <v>3011.785912747644</v>
      </c>
    </row>
    <row r="29" spans="1:9">
      <c r="A29" s="282">
        <f t="shared" si="0"/>
        <v>14</v>
      </c>
      <c r="B29" s="283">
        <v>37165</v>
      </c>
      <c r="C29" s="329">
        <v>0</v>
      </c>
      <c r="D29" s="294">
        <v>0</v>
      </c>
      <c r="E29" s="295">
        <f t="shared" si="2"/>
        <v>0</v>
      </c>
      <c r="F29" s="295">
        <f t="shared" si="3"/>
        <v>0</v>
      </c>
      <c r="G29" s="295">
        <f t="shared" si="4"/>
        <v>75730.134734742765</v>
      </c>
      <c r="H29" s="295">
        <f t="shared" si="5"/>
        <v>0</v>
      </c>
      <c r="I29" s="295">
        <f t="shared" si="6"/>
        <v>3011.785912747644</v>
      </c>
    </row>
    <row r="30" spans="1:9">
      <c r="A30" s="282">
        <f t="shared" si="0"/>
        <v>15</v>
      </c>
      <c r="B30" s="283">
        <v>37196</v>
      </c>
      <c r="C30" s="329">
        <v>0</v>
      </c>
      <c r="D30" s="294">
        <v>0</v>
      </c>
      <c r="E30" s="295">
        <f t="shared" si="2"/>
        <v>0</v>
      </c>
      <c r="F30" s="295">
        <f t="shared" si="3"/>
        <v>0</v>
      </c>
      <c r="G30" s="295">
        <f t="shared" si="4"/>
        <v>75730.134734742765</v>
      </c>
      <c r="H30" s="295">
        <f t="shared" si="5"/>
        <v>0</v>
      </c>
      <c r="I30" s="295">
        <f t="shared" si="6"/>
        <v>3011.785912747644</v>
      </c>
    </row>
    <row r="31" spans="1:9">
      <c r="A31" s="282">
        <f t="shared" si="0"/>
        <v>16</v>
      </c>
      <c r="B31" s="283">
        <v>37226</v>
      </c>
      <c r="C31" s="329">
        <v>0</v>
      </c>
      <c r="D31" s="294">
        <v>0</v>
      </c>
      <c r="E31" s="295">
        <f t="shared" si="2"/>
        <v>0</v>
      </c>
      <c r="F31" s="295">
        <f t="shared" si="3"/>
        <v>0</v>
      </c>
      <c r="G31" s="295">
        <f t="shared" si="4"/>
        <v>75730.134734742765</v>
      </c>
      <c r="H31" s="295">
        <f t="shared" si="5"/>
        <v>0</v>
      </c>
      <c r="I31" s="295">
        <f t="shared" si="6"/>
        <v>3011.785912747644</v>
      </c>
    </row>
    <row r="32" spans="1:9">
      <c r="A32" s="282">
        <f t="shared" si="0"/>
        <v>17</v>
      </c>
      <c r="B32" s="283">
        <v>37257</v>
      </c>
      <c r="C32" s="329">
        <v>0</v>
      </c>
      <c r="D32" s="294">
        <v>0</v>
      </c>
      <c r="E32" s="295">
        <f t="shared" si="2"/>
        <v>0</v>
      </c>
      <c r="F32" s="295">
        <f t="shared" si="3"/>
        <v>0</v>
      </c>
      <c r="G32" s="295">
        <f t="shared" si="4"/>
        <v>75730.134734742765</v>
      </c>
      <c r="H32" s="295">
        <f t="shared" si="5"/>
        <v>0</v>
      </c>
      <c r="I32" s="295">
        <f t="shared" si="6"/>
        <v>3011.785912747644</v>
      </c>
    </row>
    <row r="33" spans="1:9">
      <c r="A33" s="282">
        <f t="shared" si="0"/>
        <v>18</v>
      </c>
      <c r="B33" s="283">
        <v>37288</v>
      </c>
      <c r="C33" s="329">
        <v>0</v>
      </c>
      <c r="D33" s="294">
        <v>0</v>
      </c>
      <c r="E33" s="295">
        <f t="shared" si="2"/>
        <v>0</v>
      </c>
      <c r="F33" s="295">
        <f t="shared" si="3"/>
        <v>0</v>
      </c>
      <c r="G33" s="295">
        <f t="shared" si="4"/>
        <v>75730.134734742765</v>
      </c>
      <c r="H33" s="295">
        <f t="shared" si="5"/>
        <v>0</v>
      </c>
      <c r="I33" s="295">
        <f t="shared" si="6"/>
        <v>3011.785912747644</v>
      </c>
    </row>
    <row r="34" spans="1:9">
      <c r="A34" s="282">
        <f t="shared" si="0"/>
        <v>19</v>
      </c>
      <c r="B34" s="283">
        <v>37316</v>
      </c>
      <c r="C34" s="330">
        <v>0</v>
      </c>
      <c r="D34" s="300">
        <v>0</v>
      </c>
      <c r="E34" s="301">
        <f t="shared" si="2"/>
        <v>0</v>
      </c>
      <c r="F34" s="301">
        <f t="shared" si="3"/>
        <v>0</v>
      </c>
      <c r="G34" s="301">
        <f t="shared" si="4"/>
        <v>75730.134734742765</v>
      </c>
      <c r="H34" s="301">
        <f t="shared" si="5"/>
        <v>0</v>
      </c>
      <c r="I34" s="301">
        <f t="shared" si="6"/>
        <v>3011.785912747644</v>
      </c>
    </row>
    <row r="35" spans="1:9">
      <c r="C35" s="287">
        <f>SUM(C15:C34)</f>
        <v>1</v>
      </c>
      <c r="D35" s="296">
        <f>SUM(D15:D34)</f>
        <v>42781.348821995125</v>
      </c>
      <c r="E35" s="296">
        <f>SUM(E15:E34)</f>
        <v>29937</v>
      </c>
      <c r="F35" s="296">
        <f>SUM(F15:F34)</f>
        <v>72718.348821995125</v>
      </c>
      <c r="G35" s="18"/>
      <c r="H35" s="296">
        <f>SUM(H15:H34)</f>
        <v>3011.785912747644</v>
      </c>
      <c r="I35" s="296"/>
    </row>
    <row r="39" spans="1:9" ht="18.75">
      <c r="A39" s="68" t="s">
        <v>287</v>
      </c>
      <c r="B39" s="350"/>
    </row>
    <row r="42" spans="1:9">
      <c r="B42" s="284" t="s">
        <v>286</v>
      </c>
      <c r="C42" s="284" t="s">
        <v>285</v>
      </c>
      <c r="D42" s="284" t="s">
        <v>284</v>
      </c>
      <c r="E42" s="284" t="s">
        <v>283</v>
      </c>
    </row>
    <row r="43" spans="1:9" ht="13.5" thickBot="1">
      <c r="B43" s="284" t="s">
        <v>282</v>
      </c>
      <c r="C43" s="284" t="s">
        <v>281</v>
      </c>
      <c r="D43" s="284" t="s">
        <v>280</v>
      </c>
      <c r="E43" s="284" t="s">
        <v>279</v>
      </c>
      <c r="F43" s="11"/>
    </row>
    <row r="44" spans="1:9">
      <c r="B44" s="351" t="s">
        <v>278</v>
      </c>
      <c r="C44" s="352">
        <v>3</v>
      </c>
      <c r="D44" s="353">
        <v>36737</v>
      </c>
      <c r="E44" s="354">
        <v>36829</v>
      </c>
    </row>
    <row r="45" spans="1:9">
      <c r="B45" s="355" t="s">
        <v>277</v>
      </c>
      <c r="C45" s="356">
        <v>3</v>
      </c>
      <c r="D45" s="357">
        <v>36768</v>
      </c>
      <c r="E45" s="358">
        <v>36829</v>
      </c>
    </row>
    <row r="46" spans="1:9">
      <c r="B46" s="355" t="s">
        <v>276</v>
      </c>
      <c r="C46" s="356">
        <v>2</v>
      </c>
      <c r="D46" s="357">
        <v>36799</v>
      </c>
      <c r="E46" s="358">
        <v>36829</v>
      </c>
    </row>
    <row r="47" spans="1:9">
      <c r="B47" s="355" t="s">
        <v>275</v>
      </c>
      <c r="C47" s="356">
        <v>3</v>
      </c>
      <c r="D47" s="357">
        <v>36829</v>
      </c>
      <c r="E47" s="358">
        <v>36829</v>
      </c>
    </row>
    <row r="48" spans="1:9">
      <c r="B48" s="355" t="s">
        <v>274</v>
      </c>
      <c r="C48" s="356">
        <v>2</v>
      </c>
      <c r="D48" s="357">
        <v>36860</v>
      </c>
      <c r="E48" s="358">
        <v>36860</v>
      </c>
    </row>
    <row r="49" spans="2:6">
      <c r="B49" s="359" t="s">
        <v>273</v>
      </c>
      <c r="C49" s="356">
        <v>2</v>
      </c>
      <c r="D49" s="357">
        <v>36890</v>
      </c>
      <c r="E49" s="358">
        <v>36890</v>
      </c>
    </row>
    <row r="50" spans="2:6">
      <c r="B50" s="359" t="s">
        <v>272</v>
      </c>
      <c r="C50" s="356">
        <v>3</v>
      </c>
      <c r="D50" s="357">
        <v>36555</v>
      </c>
      <c r="E50" s="358">
        <v>36555</v>
      </c>
    </row>
    <row r="51" spans="2:6">
      <c r="B51" s="359" t="s">
        <v>271</v>
      </c>
      <c r="C51" s="356">
        <v>2</v>
      </c>
      <c r="D51" s="357">
        <v>36950</v>
      </c>
      <c r="E51" s="358">
        <v>36950</v>
      </c>
    </row>
    <row r="52" spans="2:6">
      <c r="B52" s="359" t="s">
        <v>270</v>
      </c>
      <c r="C52" s="356">
        <v>2</v>
      </c>
      <c r="D52" s="357">
        <v>36980</v>
      </c>
      <c r="E52" s="358">
        <v>36980</v>
      </c>
    </row>
    <row r="53" spans="2:6" ht="13.5" thickBot="1">
      <c r="B53" s="360" t="s">
        <v>269</v>
      </c>
      <c r="C53" s="361">
        <v>2</v>
      </c>
      <c r="D53" s="362">
        <v>37011</v>
      </c>
      <c r="E53" s="363">
        <v>37011</v>
      </c>
    </row>
    <row r="55" spans="2:6" ht="13.5" thickBot="1"/>
    <row r="56" spans="2:6">
      <c r="B56" s="367" t="s">
        <v>289</v>
      </c>
      <c r="C56" s="39"/>
      <c r="D56" s="39"/>
      <c r="E56" s="364"/>
    </row>
    <row r="57" spans="2:6">
      <c r="B57" s="42" t="s">
        <v>290</v>
      </c>
      <c r="C57" s="13"/>
      <c r="D57" s="13"/>
      <c r="E57" s="365">
        <v>13950</v>
      </c>
    </row>
    <row r="58" spans="2:6">
      <c r="B58" s="42" t="s">
        <v>291</v>
      </c>
      <c r="C58" s="13"/>
      <c r="D58" s="13"/>
      <c r="E58" s="365">
        <v>289.6162739983738</v>
      </c>
    </row>
    <row r="59" spans="2:6" ht="13.5" thickBot="1">
      <c r="B59" s="198" t="s">
        <v>288</v>
      </c>
      <c r="C59" s="43"/>
      <c r="D59" s="43"/>
      <c r="E59" s="366">
        <v>20.833333333333314</v>
      </c>
      <c r="F59" s="18"/>
    </row>
    <row r="60" spans="2:6" ht="13.5" thickBot="1">
      <c r="B60" s="368" t="s">
        <v>268</v>
      </c>
      <c r="C60" s="369"/>
      <c r="D60" s="369"/>
      <c r="E60" s="370">
        <f>SUM(E57:E59)</f>
        <v>14260.449607331708</v>
      </c>
      <c r="F60" s="18"/>
    </row>
    <row r="61" spans="2:6">
      <c r="D61" s="18"/>
      <c r="E61" s="18"/>
      <c r="F61" s="18"/>
    </row>
    <row r="62" spans="2:6">
      <c r="C62" s="18"/>
      <c r="D62" s="18"/>
      <c r="E62" s="18"/>
      <c r="F62" s="18"/>
    </row>
    <row r="63" spans="2:6">
      <c r="B63" s="18"/>
      <c r="C63" s="18"/>
      <c r="D63" s="18"/>
      <c r="E63" s="18"/>
      <c r="F63" s="18"/>
    </row>
  </sheetData>
  <pageMargins left="0.45" right="0.45" top="0.5" bottom="0.5" header="0.25" footer="0.25"/>
  <pageSetup scale="82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2:F27"/>
  <sheetViews>
    <sheetView zoomScale="75" zoomScaleNormal="75" workbookViewId="0">
      <selection activeCell="C11" sqref="C11"/>
    </sheetView>
  </sheetViews>
  <sheetFormatPr defaultRowHeight="12.75"/>
  <cols>
    <col min="1" max="1" width="48.5703125" style="13" bestFit="1" customWidth="1"/>
    <col min="2" max="2" width="32.5703125" style="13" bestFit="1" customWidth="1"/>
    <col min="3" max="4" width="12.85546875" style="13" bestFit="1" customWidth="1"/>
    <col min="5" max="6" width="11.5703125" style="13" bestFit="1" customWidth="1"/>
    <col min="7" max="7" width="9.140625" style="13"/>
    <col min="8" max="9" width="6.7109375" style="13" bestFit="1" customWidth="1"/>
    <col min="10" max="16384" width="9.140625" style="13"/>
  </cols>
  <sheetData>
    <row r="2" spans="1:6" ht="18.75">
      <c r="A2" s="420" t="str">
        <f>Assumptions!A3</f>
        <v>PROJECT NAME:</v>
      </c>
    </row>
    <row r="4" spans="1:6" ht="18.75">
      <c r="A4" s="68" t="s">
        <v>342</v>
      </c>
    </row>
    <row r="5" spans="1:6" ht="13.5" thickBot="1">
      <c r="C5" s="456">
        <v>11</v>
      </c>
      <c r="D5" s="456">
        <v>12</v>
      </c>
      <c r="E5" s="456">
        <v>21</v>
      </c>
      <c r="F5" s="456">
        <v>22</v>
      </c>
    </row>
    <row r="6" spans="1:6">
      <c r="A6" s="367" t="s">
        <v>343</v>
      </c>
      <c r="B6" s="39"/>
      <c r="C6" s="423" t="s">
        <v>344</v>
      </c>
      <c r="D6" s="423" t="s">
        <v>345</v>
      </c>
      <c r="E6" s="423" t="s">
        <v>344</v>
      </c>
      <c r="F6" s="424" t="s">
        <v>345</v>
      </c>
    </row>
    <row r="7" spans="1:6" ht="13.5" thickBot="1">
      <c r="A7" s="421"/>
      <c r="B7" s="44"/>
      <c r="C7" s="69" t="s">
        <v>346</v>
      </c>
      <c r="D7" s="69" t="s">
        <v>346</v>
      </c>
      <c r="E7" s="544" t="s">
        <v>347</v>
      </c>
      <c r="F7" s="545" t="s">
        <v>347</v>
      </c>
    </row>
    <row r="8" spans="1:6">
      <c r="A8" s="427" t="s">
        <v>350</v>
      </c>
      <c r="B8" s="39"/>
      <c r="C8" s="428">
        <v>48.3</v>
      </c>
      <c r="D8" s="428">
        <v>48.3</v>
      </c>
      <c r="E8" s="428">
        <v>45.5</v>
      </c>
      <c r="F8" s="429">
        <v>34.5</v>
      </c>
    </row>
    <row r="9" spans="1:6">
      <c r="A9" s="42" t="s">
        <v>348</v>
      </c>
      <c r="B9" s="422">
        <v>1.4999999999999999E-2</v>
      </c>
      <c r="C9" s="92">
        <f>-$B$9*C8</f>
        <v>-0.72449999999999992</v>
      </c>
      <c r="D9" s="92">
        <f>-$B$9*D8</f>
        <v>-0.72449999999999992</v>
      </c>
      <c r="E9" s="92">
        <f>-$B$9*E8</f>
        <v>-0.6825</v>
      </c>
      <c r="F9" s="430">
        <f>-$B$9*F8</f>
        <v>-0.51749999999999996</v>
      </c>
    </row>
    <row r="10" spans="1:6">
      <c r="A10" s="42" t="s">
        <v>349</v>
      </c>
      <c r="B10" s="422">
        <v>5.0000000000000001E-3</v>
      </c>
      <c r="C10" s="92">
        <f>-$B$10*C8</f>
        <v>-0.24149999999999999</v>
      </c>
      <c r="D10" s="92">
        <f>-$B$10*D8</f>
        <v>-0.24149999999999999</v>
      </c>
      <c r="E10" s="92">
        <f>-$B$10*E8</f>
        <v>-0.22750000000000001</v>
      </c>
      <c r="F10" s="430">
        <f>-$B$10*F8</f>
        <v>-0.17250000000000001</v>
      </c>
    </row>
    <row r="11" spans="1:6">
      <c r="A11" s="42" t="s">
        <v>351</v>
      </c>
      <c r="C11" s="92">
        <f>-IF(Assumptions!$AA$13=1,$C$27/1000,0)</f>
        <v>-0.24448724665147328</v>
      </c>
      <c r="D11" s="92">
        <f>-IF(Assumptions!$AA$13=1,$C$27/1000,0)</f>
        <v>-0.24448724665147328</v>
      </c>
      <c r="E11" s="92">
        <f>-IF(Assumptions!$AA$13=1,$C$27/1000,0)</f>
        <v>-0.24448724665147328</v>
      </c>
      <c r="F11" s="430">
        <f>-IF(Assumptions!$AA$13=1,$C$27/1000,0)</f>
        <v>-0.24448724665147328</v>
      </c>
    </row>
    <row r="12" spans="1:6">
      <c r="A12" s="42" t="s">
        <v>352</v>
      </c>
      <c r="C12" s="431">
        <v>-0.2</v>
      </c>
      <c r="D12" s="431">
        <v>-1.75</v>
      </c>
      <c r="E12" s="431">
        <v>0</v>
      </c>
      <c r="F12" s="432">
        <v>0</v>
      </c>
    </row>
    <row r="13" spans="1:6">
      <c r="A13" s="421" t="s">
        <v>353</v>
      </c>
      <c r="B13" s="44"/>
      <c r="C13" s="433">
        <f>SUM(C8:C12)</f>
        <v>46.889512753348519</v>
      </c>
      <c r="D13" s="433">
        <f>SUM(D8:D12)</f>
        <v>45.339512753348522</v>
      </c>
      <c r="E13" s="433">
        <f>SUM(E8:E12)</f>
        <v>44.34551275334853</v>
      </c>
      <c r="F13" s="434">
        <f>SUM(F8:F12)</f>
        <v>33.565512753348528</v>
      </c>
    </row>
    <row r="14" spans="1:6">
      <c r="A14" s="42"/>
      <c r="F14" s="41"/>
    </row>
    <row r="15" spans="1:6">
      <c r="A15" s="421" t="s">
        <v>445</v>
      </c>
      <c r="B15" s="44"/>
      <c r="C15" s="155">
        <f>(413000*1.03)/C13</f>
        <v>9072.1778713646709</v>
      </c>
      <c r="D15" s="155">
        <f>(413000*1.03)/D13</f>
        <v>9382.3240296860731</v>
      </c>
      <c r="E15" s="155">
        <f>(392000*1.03)/E13</f>
        <v>9104.8670977315978</v>
      </c>
      <c r="F15" s="546">
        <f>(317000*1.03)/F13</f>
        <v>9727.5439347318497</v>
      </c>
    </row>
    <row r="16" spans="1:6" ht="13.5" thickBot="1">
      <c r="A16" s="425" t="s">
        <v>445</v>
      </c>
      <c r="B16" s="426"/>
      <c r="C16" s="435">
        <f>C15*1.1</f>
        <v>9979.3956585011383</v>
      </c>
      <c r="D16" s="435">
        <f>D15*1.1</f>
        <v>10320.556432654681</v>
      </c>
      <c r="E16" s="435">
        <f>E15*1.1</f>
        <v>10015.353807504758</v>
      </c>
      <c r="F16" s="436">
        <f>F15*1.1</f>
        <v>10700.298328205035</v>
      </c>
    </row>
    <row r="18" spans="1:3" ht="13.5" thickBot="1"/>
    <row r="19" spans="1:3">
      <c r="A19" s="427" t="s">
        <v>355</v>
      </c>
      <c r="B19" s="39" t="s">
        <v>356</v>
      </c>
      <c r="C19" s="364">
        <f>Assumptions!N14</f>
        <v>400</v>
      </c>
    </row>
    <row r="20" spans="1:3">
      <c r="A20" s="42" t="s">
        <v>357</v>
      </c>
      <c r="B20" s="13" t="s">
        <v>356</v>
      </c>
      <c r="C20" s="365">
        <v>700</v>
      </c>
    </row>
    <row r="21" spans="1:3">
      <c r="A21" s="42" t="s">
        <v>358</v>
      </c>
      <c r="B21" s="13" t="s">
        <v>359</v>
      </c>
      <c r="C21" s="365">
        <v>80</v>
      </c>
    </row>
    <row r="22" spans="1:3">
      <c r="A22" s="42" t="s">
        <v>360</v>
      </c>
      <c r="B22" s="13" t="s">
        <v>7</v>
      </c>
      <c r="C22" s="493">
        <v>0.82</v>
      </c>
    </row>
    <row r="23" spans="1:3">
      <c r="A23" s="42" t="s">
        <v>361</v>
      </c>
      <c r="B23" s="13" t="s">
        <v>362</v>
      </c>
      <c r="C23" s="365">
        <v>10</v>
      </c>
    </row>
    <row r="24" spans="1:3">
      <c r="A24" s="42" t="s">
        <v>363</v>
      </c>
      <c r="B24" s="13" t="s">
        <v>364</v>
      </c>
      <c r="C24" s="494">
        <f>(0.91+(C21-70)/1000)*((C19+15)/650)^-0.1</f>
        <v>0.96221994184362891</v>
      </c>
    </row>
    <row r="25" spans="1:3">
      <c r="A25" s="42"/>
      <c r="C25" s="494"/>
    </row>
    <row r="26" spans="1:3">
      <c r="A26" s="42" t="s">
        <v>365</v>
      </c>
      <c r="B26" s="13" t="s">
        <v>364</v>
      </c>
      <c r="C26" s="494">
        <f>(C20+14.7+5)/(C19+14.7-5)</f>
        <v>1.756651208201123</v>
      </c>
    </row>
    <row r="27" spans="1:3" ht="13.5" thickBot="1">
      <c r="A27" s="198" t="s">
        <v>366</v>
      </c>
      <c r="B27" s="43" t="s">
        <v>367</v>
      </c>
      <c r="C27" s="436">
        <f>C23*((8.584*(460+C21)*C24)/(C22*100*0.231))*((C26)^0.231-1)*0.747</f>
        <v>244.48724665147327</v>
      </c>
    </row>
  </sheetData>
  <pageMargins left="0.75" right="0.75" top="1" bottom="1" header="0.5" footer="0.5"/>
  <pageSetup scale="95"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E19"/>
  <sheetViews>
    <sheetView zoomScale="75" zoomScaleNormal="75" workbookViewId="0">
      <selection activeCell="B10" sqref="B10"/>
    </sheetView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5" ht="18.75">
      <c r="A2" s="96" t="str">
        <f>Assumptions!A3</f>
        <v>PROJECT NAME:</v>
      </c>
    </row>
    <row r="4" spans="1:5" ht="18.75">
      <c r="A4" s="194" t="s">
        <v>145</v>
      </c>
    </row>
    <row r="6" spans="1:5" ht="13.5" thickBot="1"/>
    <row r="7" spans="1:5" ht="21" thickBot="1">
      <c r="A7" s="196"/>
      <c r="B7" s="197" t="s">
        <v>134</v>
      </c>
      <c r="C7" s="197" t="s">
        <v>134</v>
      </c>
      <c r="D7" s="132" t="s">
        <v>0</v>
      </c>
      <c r="E7" s="133"/>
    </row>
    <row r="8" spans="1:5" ht="16.5" thickBot="1">
      <c r="A8" s="111"/>
      <c r="B8" s="183" t="s">
        <v>148</v>
      </c>
      <c r="C8" s="183" t="s">
        <v>150</v>
      </c>
      <c r="D8" s="132" t="s">
        <v>142</v>
      </c>
      <c r="E8" s="133"/>
    </row>
    <row r="9" spans="1:5" ht="15.75">
      <c r="A9" s="224"/>
      <c r="B9" s="225" t="s">
        <v>149</v>
      </c>
      <c r="C9" s="225" t="s">
        <v>149</v>
      </c>
      <c r="D9" s="225" t="s">
        <v>2</v>
      </c>
      <c r="E9" s="226" t="s">
        <v>143</v>
      </c>
    </row>
    <row r="10" spans="1:5" ht="16.5" thickBot="1">
      <c r="A10" s="229" t="s">
        <v>144</v>
      </c>
      <c r="B10" s="230">
        <f>Assumptions!C69</f>
        <v>7.8581586480140672E-2</v>
      </c>
      <c r="C10" s="230">
        <f>Assumptions!C70</f>
        <v>9.13099080324173E-2</v>
      </c>
      <c r="D10" s="231">
        <v>1.2888963749231688</v>
      </c>
      <c r="E10" s="232">
        <v>1.3927921351860328</v>
      </c>
    </row>
    <row r="11" spans="1:5" ht="15.75">
      <c r="A11" s="235"/>
      <c r="C11" s="227"/>
      <c r="D11" s="228"/>
      <c r="E11" s="228"/>
    </row>
    <row r="12" spans="1:5" ht="13.5" thickBot="1"/>
    <row r="13" spans="1:5" ht="15.75">
      <c r="A13" s="236" t="s">
        <v>146</v>
      </c>
      <c r="B13" s="237">
        <f>B10</f>
        <v>7.8581586480140672E-2</v>
      </c>
      <c r="C13" s="237">
        <f>C10</f>
        <v>9.13099080324173E-2</v>
      </c>
      <c r="D13" s="233">
        <f>D10</f>
        <v>1.2888963749231688</v>
      </c>
      <c r="E13" s="234">
        <f>E10</f>
        <v>1.3927921351860328</v>
      </c>
    </row>
    <row r="14" spans="1:5" ht="15.75">
      <c r="A14" s="42"/>
      <c r="B14" s="13"/>
      <c r="C14" s="238"/>
      <c r="D14" s="107"/>
      <c r="E14" s="112"/>
    </row>
    <row r="15" spans="1:5" ht="15.75">
      <c r="A15" s="42"/>
      <c r="B15" s="13"/>
      <c r="C15" s="238"/>
      <c r="D15" s="107"/>
      <c r="E15" s="112"/>
    </row>
    <row r="16" spans="1:5" ht="15.75">
      <c r="A16" s="42"/>
      <c r="B16" s="13"/>
      <c r="C16" s="238"/>
      <c r="D16" s="107"/>
      <c r="E16" s="112"/>
    </row>
    <row r="17" spans="1:5" ht="15.75">
      <c r="A17" s="42"/>
      <c r="B17" s="13"/>
      <c r="C17" s="238"/>
      <c r="D17" s="107"/>
      <c r="E17" s="112"/>
    </row>
    <row r="18" spans="1:5" ht="15.75">
      <c r="A18" s="42"/>
      <c r="B18" s="13"/>
      <c r="C18" s="238"/>
      <c r="D18" s="107"/>
      <c r="E18" s="112"/>
    </row>
    <row r="19" spans="1:5" ht="16.5" thickBot="1">
      <c r="A19" s="198"/>
      <c r="B19" s="43"/>
      <c r="C19" s="239"/>
      <c r="D19" s="114"/>
      <c r="E19" s="240"/>
    </row>
  </sheetData>
  <pageMargins left="0.45" right="0.45" top="0.5" bottom="0.5" header="0.25" footer="0.25"/>
  <pageSetup scale="81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1"/>
  <sheetViews>
    <sheetView tabSelected="1" topLeftCell="H2" zoomScale="75" zoomScaleNormal="75" workbookViewId="0">
      <selection activeCell="B68" sqref="B68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302" t="s">
        <v>91</v>
      </c>
      <c r="I1" s="88"/>
      <c r="AL1" s="88"/>
    </row>
    <row r="2" spans="1:38" ht="13.5" customHeight="1">
      <c r="A2" s="302"/>
      <c r="I2" s="88"/>
      <c r="AL2" s="88"/>
    </row>
    <row r="3" spans="1:38" ht="19.5" customHeight="1">
      <c r="A3" s="207" t="s">
        <v>214</v>
      </c>
      <c r="I3" s="88"/>
      <c r="AL3" s="88"/>
    </row>
    <row r="4" spans="1:38" s="5" customFormat="1" ht="19.5" customHeight="1">
      <c r="A4" s="303"/>
      <c r="I4" s="205"/>
      <c r="AL4" s="205"/>
    </row>
    <row r="5" spans="1:38" ht="19.5" customHeight="1">
      <c r="A5" s="194" t="s">
        <v>3</v>
      </c>
      <c r="C5" s="5"/>
      <c r="D5" s="5"/>
    </row>
    <row r="7" spans="1:38" ht="13.5" thickBot="1"/>
    <row r="8" spans="1:38" ht="15.75">
      <c r="A8" s="104" t="s">
        <v>4</v>
      </c>
      <c r="B8" s="39"/>
      <c r="C8" s="39"/>
      <c r="D8" s="214"/>
      <c r="E8" s="13"/>
      <c r="F8" s="103" t="s">
        <v>104</v>
      </c>
      <c r="G8" s="124"/>
      <c r="H8" s="125"/>
      <c r="I8" s="249"/>
      <c r="J8" s="40"/>
      <c r="L8" s="103" t="s">
        <v>5</v>
      </c>
      <c r="M8" s="249"/>
      <c r="N8" s="251"/>
      <c r="O8" s="39"/>
      <c r="P8" s="40"/>
      <c r="U8" s="449" t="s">
        <v>300</v>
      </c>
      <c r="V8" s="450" t="s">
        <v>308</v>
      </c>
      <c r="W8" s="450" t="s">
        <v>317</v>
      </c>
      <c r="X8" s="450" t="s">
        <v>147</v>
      </c>
      <c r="Y8" s="450" t="s">
        <v>335</v>
      </c>
      <c r="Z8" s="450" t="s">
        <v>336</v>
      </c>
      <c r="AA8" s="450" t="s">
        <v>337</v>
      </c>
      <c r="AB8" s="479" t="s">
        <v>434</v>
      </c>
    </row>
    <row r="9" spans="1:38" ht="15.75">
      <c r="A9" s="42"/>
      <c r="B9" s="13"/>
      <c r="C9" s="13"/>
      <c r="D9" s="41"/>
      <c r="E9" s="13"/>
      <c r="F9" s="127"/>
      <c r="G9" s="204"/>
      <c r="H9" s="204"/>
      <c r="I9" s="13"/>
      <c r="J9" s="41"/>
      <c r="L9" s="211"/>
      <c r="M9" s="174"/>
      <c r="N9" s="121"/>
      <c r="O9" s="13"/>
      <c r="P9" s="41"/>
      <c r="U9" s="416" t="s">
        <v>306</v>
      </c>
      <c r="V9" s="417" t="s">
        <v>309</v>
      </c>
      <c r="W9" s="417" t="s">
        <v>425</v>
      </c>
      <c r="X9" s="417" t="s">
        <v>330</v>
      </c>
      <c r="Y9" s="417" t="s">
        <v>340</v>
      </c>
      <c r="Z9" s="417" t="s">
        <v>338</v>
      </c>
      <c r="AA9" s="417" t="s">
        <v>338</v>
      </c>
      <c r="AB9" s="480" t="s">
        <v>437</v>
      </c>
    </row>
    <row r="10" spans="1:38" ht="15.75">
      <c r="A10" s="105" t="s">
        <v>6</v>
      </c>
      <c r="B10" s="106" t="s">
        <v>7</v>
      </c>
      <c r="C10" s="242" t="s">
        <v>8</v>
      </c>
      <c r="D10" s="461" t="s">
        <v>241</v>
      </c>
      <c r="E10" s="13"/>
      <c r="F10" s="127" t="s">
        <v>121</v>
      </c>
      <c r="G10" s="13"/>
      <c r="H10" s="274" t="s">
        <v>136</v>
      </c>
      <c r="I10" s="13"/>
      <c r="J10" s="41"/>
      <c r="L10" s="111" t="s">
        <v>154</v>
      </c>
      <c r="M10" s="13"/>
      <c r="N10" s="275">
        <f>H12*H13</f>
        <v>136.01853826004557</v>
      </c>
      <c r="O10" s="13"/>
      <c r="P10" s="41"/>
      <c r="U10" s="373" t="s">
        <v>301</v>
      </c>
      <c r="V10" s="254" t="s">
        <v>310</v>
      </c>
      <c r="W10" s="254" t="s">
        <v>426</v>
      </c>
      <c r="X10" s="254" t="s">
        <v>328</v>
      </c>
      <c r="Y10" s="254" t="s">
        <v>446</v>
      </c>
      <c r="Z10" s="254" t="s">
        <v>339</v>
      </c>
      <c r="AA10" s="254" t="s">
        <v>339</v>
      </c>
      <c r="AB10" s="481" t="s">
        <v>435</v>
      </c>
    </row>
    <row r="11" spans="1:38" ht="15.75">
      <c r="A11" s="108" t="s">
        <v>9</v>
      </c>
      <c r="B11" s="331">
        <f>C11/C14</f>
        <v>0.22049759564451893</v>
      </c>
      <c r="C11" s="243">
        <f>C58-C12</f>
        <v>17443.612139932375</v>
      </c>
      <c r="D11" s="462">
        <f>C11/$N$12</f>
        <v>128.2443728852827</v>
      </c>
      <c r="E11" s="13"/>
      <c r="F11" s="127" t="s">
        <v>265</v>
      </c>
      <c r="G11" s="13"/>
      <c r="H11" s="349">
        <v>14260.449607331708</v>
      </c>
      <c r="I11" s="13"/>
      <c r="J11" s="41"/>
      <c r="L11" s="115" t="s">
        <v>101</v>
      </c>
      <c r="M11" s="13"/>
      <c r="N11" s="454">
        <v>0</v>
      </c>
      <c r="O11" s="13"/>
      <c r="P11" s="41"/>
      <c r="U11" s="373" t="s">
        <v>40</v>
      </c>
      <c r="V11" s="254" t="s">
        <v>306</v>
      </c>
      <c r="W11" s="254"/>
      <c r="X11" s="254" t="s">
        <v>427</v>
      </c>
      <c r="Y11" s="254"/>
      <c r="Z11" s="254"/>
      <c r="AA11" s="254"/>
      <c r="AB11" s="481" t="s">
        <v>436</v>
      </c>
    </row>
    <row r="12" spans="1:38" ht="15.75">
      <c r="A12" s="108" t="s">
        <v>95</v>
      </c>
      <c r="B12" s="173">
        <f>C12/C14</f>
        <v>0.77950240435548102</v>
      </c>
      <c r="C12" s="243">
        <f>SUM(G31:I31)</f>
        <v>61666.602594810392</v>
      </c>
      <c r="D12" s="462">
        <f>C12/$N$12</f>
        <v>453.36910235657558</v>
      </c>
      <c r="E12" s="13"/>
      <c r="F12" s="127" t="s">
        <v>11</v>
      </c>
      <c r="G12" s="204"/>
      <c r="H12" s="309">
        <v>3</v>
      </c>
      <c r="I12" s="121"/>
      <c r="J12" s="41"/>
      <c r="L12" s="129" t="s">
        <v>418</v>
      </c>
      <c r="M12" s="44"/>
      <c r="N12" s="478">
        <f>SUM(N10:N11)</f>
        <v>136.01853826004557</v>
      </c>
      <c r="O12" s="13"/>
      <c r="P12" s="41"/>
      <c r="U12" s="451"/>
      <c r="V12" s="254" t="s">
        <v>40</v>
      </c>
      <c r="W12" s="13"/>
      <c r="X12" s="254" t="s">
        <v>334</v>
      </c>
      <c r="Y12" s="13"/>
      <c r="Z12" s="13"/>
      <c r="AA12" s="13"/>
      <c r="AB12" s="439"/>
    </row>
    <row r="13" spans="1:38" ht="15.75">
      <c r="A13" s="109"/>
      <c r="B13" s="304"/>
      <c r="C13" s="243"/>
      <c r="D13" s="462"/>
      <c r="E13" s="13"/>
      <c r="F13" s="127" t="s">
        <v>368</v>
      </c>
      <c r="G13" s="204"/>
      <c r="H13" s="310">
        <f>HLOOKUP((SUM($Y$14:$Z$14)),'Operational Characteristics'!$C$5:$F$13,9)</f>
        <v>45.339512753348522</v>
      </c>
      <c r="I13" s="121"/>
      <c r="J13" s="41"/>
      <c r="L13" s="42"/>
      <c r="M13" s="13"/>
      <c r="N13" s="13"/>
      <c r="O13" s="13"/>
      <c r="P13" s="41"/>
      <c r="U13" s="416">
        <v>3</v>
      </c>
      <c r="V13" s="417">
        <v>1</v>
      </c>
      <c r="W13" s="417">
        <v>1</v>
      </c>
      <c r="X13" s="417">
        <v>1</v>
      </c>
      <c r="Y13" s="417">
        <v>2</v>
      </c>
      <c r="Z13" s="417">
        <v>1</v>
      </c>
      <c r="AA13" s="417">
        <f>IF(C28&gt;0,1,2)</f>
        <v>1</v>
      </c>
      <c r="AB13" s="480">
        <v>1</v>
      </c>
    </row>
    <row r="14" spans="1:38" ht="15.75">
      <c r="A14" s="110" t="s">
        <v>10</v>
      </c>
      <c r="B14" s="170">
        <f>C14/$C$14</f>
        <v>1</v>
      </c>
      <c r="C14" s="244">
        <f>SUM(C11:C12)</f>
        <v>79110.214734742767</v>
      </c>
      <c r="D14" s="463">
        <f>C14/$N$12</f>
        <v>581.61347524185828</v>
      </c>
      <c r="E14" s="13"/>
      <c r="F14" s="127" t="s">
        <v>105</v>
      </c>
      <c r="G14" s="204"/>
      <c r="H14" s="309">
        <f>HLOOKUP((SUM($Y$14:$Z$14)),'Operational Characteristics'!$C$5:$F$16,12)</f>
        <v>10320.556432654681</v>
      </c>
      <c r="I14" s="121"/>
      <c r="J14" s="41"/>
      <c r="L14" s="111" t="s">
        <v>354</v>
      </c>
      <c r="M14" s="13"/>
      <c r="N14" s="309">
        <v>400</v>
      </c>
      <c r="O14" s="13"/>
      <c r="P14" s="41"/>
      <c r="U14" s="374" t="str">
        <f>CHOOSE(U13,U9,U10,U11)</f>
        <v>Custom</v>
      </c>
      <c r="V14" s="375" t="str">
        <f>CHOOSE(V13,V9,V10,V11,V12)</f>
        <v>Base</v>
      </c>
      <c r="W14" s="375" t="str">
        <f>CHOOSE(W13,W9,W10,W11,W12)</f>
        <v>Pass-through</v>
      </c>
      <c r="X14" s="375" t="str">
        <f>CHOOSE(X13,X9,X10,X11,X12)</f>
        <v>EBITDA Exit Multiple</v>
      </c>
      <c r="Y14" s="375">
        <f>IF(Y13=1,1,2)</f>
        <v>2</v>
      </c>
      <c r="Z14" s="375">
        <f>IF(C32&gt;0,10,20)</f>
        <v>10</v>
      </c>
      <c r="AA14" s="375" t="str">
        <f>CHOOSE(AA13,AA9,AA10,AA11,AA12)</f>
        <v>Yes</v>
      </c>
      <c r="AB14" s="418" t="str">
        <f>CHOOSE(AB13,AB9,AB10,AB11,AB12)</f>
        <v>Bank LT Debt</v>
      </c>
    </row>
    <row r="15" spans="1:38" ht="16.5" thickBot="1">
      <c r="A15" s="42"/>
      <c r="B15" s="13"/>
      <c r="C15" s="13"/>
      <c r="D15" s="464"/>
      <c r="E15" s="13"/>
      <c r="F15" s="127" t="s">
        <v>236</v>
      </c>
      <c r="G15" s="13"/>
      <c r="H15" s="312">
        <v>8</v>
      </c>
      <c r="I15" s="13"/>
      <c r="J15" s="41"/>
      <c r="L15" s="113" t="s">
        <v>215</v>
      </c>
      <c r="M15" s="43"/>
      <c r="N15" s="319">
        <v>1400</v>
      </c>
      <c r="O15" s="43"/>
      <c r="P15" s="89"/>
    </row>
    <row r="16" spans="1:38" ht="16.5" thickBot="1">
      <c r="A16" s="42"/>
      <c r="B16" s="13"/>
      <c r="C16" s="13"/>
      <c r="D16" s="464"/>
      <c r="E16" s="13"/>
      <c r="F16" s="127" t="s">
        <v>123</v>
      </c>
      <c r="G16" s="204"/>
      <c r="H16" s="311">
        <v>37012</v>
      </c>
      <c r="I16" s="13"/>
      <c r="J16" s="41"/>
      <c r="U16" s="437"/>
      <c r="V16" s="63" t="s">
        <v>369</v>
      </c>
      <c r="W16" s="438" t="s">
        <v>370</v>
      </c>
    </row>
    <row r="17" spans="1:23" ht="15.75">
      <c r="A17" s="105" t="s">
        <v>120</v>
      </c>
      <c r="B17" s="106"/>
      <c r="C17" s="245"/>
      <c r="D17" s="462"/>
      <c r="E17" s="13"/>
      <c r="F17" s="111" t="s">
        <v>158</v>
      </c>
      <c r="G17" s="107"/>
      <c r="H17" s="339">
        <f>13-MONTH(H16)</f>
        <v>8</v>
      </c>
      <c r="I17" s="121"/>
      <c r="J17" s="41"/>
      <c r="L17" s="104" t="s">
        <v>249</v>
      </c>
      <c r="M17" s="130"/>
      <c r="N17" s="39"/>
      <c r="O17" s="39"/>
      <c r="P17" s="40"/>
      <c r="U17" s="61" t="s">
        <v>340</v>
      </c>
      <c r="V17" s="13">
        <v>11</v>
      </c>
      <c r="W17" s="439">
        <v>21</v>
      </c>
    </row>
    <row r="18" spans="1:23" ht="15.75">
      <c r="A18" s="215"/>
      <c r="B18" s="190"/>
      <c r="C18" s="13"/>
      <c r="D18" s="464"/>
      <c r="E18" s="13"/>
      <c r="F18" s="127" t="s">
        <v>122</v>
      </c>
      <c r="G18" s="13"/>
      <c r="H18" s="309">
        <v>30</v>
      </c>
      <c r="I18" s="121"/>
      <c r="J18" s="41"/>
      <c r="L18" s="42" t="s">
        <v>416</v>
      </c>
      <c r="M18" s="13"/>
      <c r="N18" s="13"/>
      <c r="O18" s="13"/>
      <c r="P18" s="41"/>
      <c r="U18" s="440" t="s">
        <v>341</v>
      </c>
      <c r="V18" s="64">
        <v>12</v>
      </c>
      <c r="W18" s="376">
        <v>22</v>
      </c>
    </row>
    <row r="19" spans="1:23" ht="15.75">
      <c r="A19" s="108" t="s">
        <v>242</v>
      </c>
      <c r="B19" s="13"/>
      <c r="C19" s="13"/>
      <c r="D19" s="464"/>
      <c r="E19" s="13"/>
      <c r="F19" s="127" t="s">
        <v>407</v>
      </c>
      <c r="G19" s="13"/>
      <c r="H19" s="448" t="s">
        <v>408</v>
      </c>
      <c r="I19" s="121"/>
      <c r="J19" s="41"/>
      <c r="L19" s="42"/>
      <c r="M19" s="13"/>
      <c r="N19" s="13"/>
      <c r="O19" s="13"/>
      <c r="P19" s="41"/>
    </row>
    <row r="20" spans="1:23" ht="15.75">
      <c r="A20" s="111" t="s">
        <v>266</v>
      </c>
      <c r="B20" s="191">
        <f t="shared" ref="B20:B33" si="0">C20/$C$58</f>
        <v>0.54078160406265308</v>
      </c>
      <c r="C20" s="246">
        <f>H11*H12</f>
        <v>42781.348821995125</v>
      </c>
      <c r="D20" s="462">
        <f t="shared" ref="D20:D33" si="1">C20/$N$12</f>
        <v>314.52586808574625</v>
      </c>
      <c r="E20" s="13"/>
      <c r="F20" s="42"/>
      <c r="G20" s="13"/>
      <c r="H20" s="13"/>
      <c r="I20" s="13"/>
      <c r="J20" s="41"/>
      <c r="L20" s="129" t="s">
        <v>155</v>
      </c>
      <c r="M20" s="13"/>
      <c r="N20" s="320">
        <v>0.03</v>
      </c>
      <c r="O20" s="276"/>
      <c r="P20" s="41"/>
    </row>
    <row r="21" spans="1:23" ht="15.75">
      <c r="A21" s="111" t="s">
        <v>331</v>
      </c>
      <c r="B21" s="191">
        <f t="shared" si="0"/>
        <v>2.3511502354488559E-3</v>
      </c>
      <c r="C21" s="246">
        <f>62*H12</f>
        <v>186</v>
      </c>
      <c r="D21" s="462">
        <f t="shared" si="1"/>
        <v>1.3674606592551224</v>
      </c>
      <c r="E21" s="13"/>
      <c r="F21" s="126" t="s">
        <v>329</v>
      </c>
      <c r="G21" s="13"/>
      <c r="H21" s="415"/>
      <c r="I21" s="13"/>
      <c r="J21" s="41"/>
      <c r="L21" s="111"/>
      <c r="M21" s="13"/>
      <c r="N21" s="13"/>
      <c r="O21" s="276"/>
      <c r="P21" s="41"/>
    </row>
    <row r="22" spans="1:23" ht="15.75">
      <c r="A22" s="111" t="s">
        <v>219</v>
      </c>
      <c r="B22" s="191">
        <f t="shared" si="0"/>
        <v>0.25574447077204976</v>
      </c>
      <c r="C22" s="307">
        <v>20232</v>
      </c>
      <c r="D22" s="462">
        <f t="shared" si="1"/>
        <v>148.74443041962169</v>
      </c>
      <c r="E22" s="13"/>
      <c r="F22" s="414" t="s">
        <v>330</v>
      </c>
      <c r="G22" s="204"/>
      <c r="H22" s="413">
        <v>5</v>
      </c>
      <c r="I22" s="476"/>
      <c r="J22" s="41"/>
      <c r="L22" s="129" t="s">
        <v>99</v>
      </c>
      <c r="M22" s="13"/>
      <c r="N22" s="107"/>
      <c r="O22" s="276"/>
      <c r="P22" s="41"/>
    </row>
    <row r="23" spans="1:23" ht="15.75">
      <c r="A23" s="111" t="s">
        <v>125</v>
      </c>
      <c r="B23" s="191">
        <f t="shared" si="0"/>
        <v>0</v>
      </c>
      <c r="C23" s="307">
        <v>0</v>
      </c>
      <c r="D23" s="462">
        <f t="shared" si="1"/>
        <v>0</v>
      </c>
      <c r="E23" s="13"/>
      <c r="F23" s="414" t="s">
        <v>328</v>
      </c>
      <c r="G23" s="13"/>
      <c r="H23" s="475">
        <v>0.2</v>
      </c>
      <c r="I23" s="121"/>
      <c r="J23" s="41"/>
      <c r="L23" s="42"/>
      <c r="M23" s="13"/>
      <c r="N23" s="335" t="s">
        <v>245</v>
      </c>
      <c r="O23" s="253" t="s">
        <v>216</v>
      </c>
      <c r="P23" s="250" t="s">
        <v>218</v>
      </c>
    </row>
    <row r="24" spans="1:23" ht="16.5" thickBot="1">
      <c r="A24" s="111" t="s">
        <v>126</v>
      </c>
      <c r="B24" s="191">
        <f t="shared" si="0"/>
        <v>0</v>
      </c>
      <c r="C24" s="307">
        <v>0</v>
      </c>
      <c r="D24" s="462">
        <f t="shared" si="1"/>
        <v>0</v>
      </c>
      <c r="E24" s="13"/>
      <c r="F24" s="305" t="s">
        <v>427</v>
      </c>
      <c r="G24" s="43"/>
      <c r="H24" s="474">
        <v>200</v>
      </c>
      <c r="I24" s="43"/>
      <c r="J24" s="89"/>
      <c r="L24" s="111" t="s">
        <v>246</v>
      </c>
      <c r="M24" s="13"/>
      <c r="N24" s="333">
        <v>115.61</v>
      </c>
      <c r="O24" s="277"/>
      <c r="P24" s="321">
        <v>0.5</v>
      </c>
    </row>
    <row r="25" spans="1:23" ht="16.5" thickBot="1">
      <c r="A25" s="111" t="s">
        <v>127</v>
      </c>
      <c r="B25" s="191">
        <f t="shared" si="0"/>
        <v>0</v>
      </c>
      <c r="C25" s="307">
        <v>0</v>
      </c>
      <c r="D25" s="462">
        <f t="shared" si="1"/>
        <v>0</v>
      </c>
      <c r="E25" s="13"/>
      <c r="L25" s="115" t="s">
        <v>321</v>
      </c>
      <c r="M25" s="13"/>
      <c r="N25" s="384">
        <v>358.39</v>
      </c>
      <c r="O25" s="385"/>
      <c r="P25" s="386">
        <v>1.55</v>
      </c>
    </row>
    <row r="26" spans="1:23" ht="15.75">
      <c r="A26" s="111" t="s">
        <v>128</v>
      </c>
      <c r="B26" s="191">
        <f t="shared" si="0"/>
        <v>9.1012267178665392E-3</v>
      </c>
      <c r="C26" s="307">
        <v>720</v>
      </c>
      <c r="D26" s="462">
        <f t="shared" si="1"/>
        <v>5.2933961003424086</v>
      </c>
      <c r="E26" s="13"/>
      <c r="F26" s="104" t="s">
        <v>135</v>
      </c>
      <c r="G26" s="39"/>
      <c r="H26" s="39"/>
      <c r="I26" s="93"/>
      <c r="J26" s="40"/>
      <c r="L26" s="127" t="s">
        <v>318</v>
      </c>
      <c r="M26" s="6"/>
      <c r="N26" s="339">
        <f>SUM(N24:N25)</f>
        <v>474</v>
      </c>
      <c r="O26" s="278"/>
      <c r="P26" s="387">
        <f>SUM(P24:P25)</f>
        <v>2.0499999999999998</v>
      </c>
    </row>
    <row r="27" spans="1:23" ht="15.75">
      <c r="A27" s="111" t="s">
        <v>129</v>
      </c>
      <c r="B27" s="191">
        <f t="shared" si="0"/>
        <v>0</v>
      </c>
      <c r="C27" s="307">
        <v>0</v>
      </c>
      <c r="D27" s="462">
        <f t="shared" si="1"/>
        <v>0</v>
      </c>
      <c r="E27" s="13"/>
      <c r="F27" s="469" t="s">
        <v>133</v>
      </c>
      <c r="G27" s="470"/>
      <c r="H27" s="470" t="s">
        <v>433</v>
      </c>
      <c r="I27" s="208"/>
      <c r="J27" s="419"/>
      <c r="L27" s="42"/>
      <c r="M27" s="13"/>
      <c r="N27" s="13"/>
      <c r="O27" s="13"/>
      <c r="P27" s="41"/>
      <c r="R27" s="3"/>
    </row>
    <row r="28" spans="1:23" ht="15.75">
      <c r="A28" s="111" t="s">
        <v>452</v>
      </c>
      <c r="B28" s="191">
        <f t="shared" si="0"/>
        <v>1.2134968957155386E-2</v>
      </c>
      <c r="C28" s="307">
        <v>960</v>
      </c>
      <c r="D28" s="462">
        <f t="shared" si="1"/>
        <v>7.0578614671232121</v>
      </c>
      <c r="E28" s="13"/>
      <c r="F28" s="306" t="s">
        <v>92</v>
      </c>
      <c r="G28" s="313">
        <v>36739</v>
      </c>
      <c r="H28" s="313"/>
      <c r="I28" s="208"/>
      <c r="J28" s="419"/>
      <c r="L28" s="111" t="s">
        <v>247</v>
      </c>
      <c r="M28" s="13"/>
      <c r="N28" s="312">
        <v>550</v>
      </c>
      <c r="O28" s="334">
        <f>N28/$N$12</f>
        <v>4.0435664655393406</v>
      </c>
      <c r="P28" s="41"/>
      <c r="R28" s="3"/>
    </row>
    <row r="29" spans="1:23" ht="15.75">
      <c r="A29" s="111" t="s">
        <v>130</v>
      </c>
      <c r="B29" s="191">
        <f t="shared" si="0"/>
        <v>0</v>
      </c>
      <c r="C29" s="307">
        <v>0</v>
      </c>
      <c r="D29" s="462">
        <f t="shared" si="1"/>
        <v>0</v>
      </c>
      <c r="E29" s="13"/>
      <c r="F29" s="306" t="s">
        <v>151</v>
      </c>
      <c r="G29" s="313">
        <v>36557</v>
      </c>
      <c r="H29" s="313"/>
      <c r="I29" s="208"/>
      <c r="J29" s="419"/>
      <c r="L29" s="111" t="s">
        <v>35</v>
      </c>
      <c r="M29" s="13"/>
      <c r="N29" s="312">
        <v>0</v>
      </c>
      <c r="O29" s="334">
        <f t="shared" ref="O29:O34" si="2">N29/$N$12</f>
        <v>0</v>
      </c>
      <c r="P29" s="41"/>
      <c r="R29" s="455"/>
    </row>
    <row r="30" spans="1:23" ht="15.75">
      <c r="A30" s="111" t="s">
        <v>220</v>
      </c>
      <c r="B30" s="191">
        <f t="shared" si="0"/>
        <v>1.2514186737066491E-2</v>
      </c>
      <c r="C30" s="307">
        <v>990</v>
      </c>
      <c r="D30" s="462">
        <f t="shared" si="1"/>
        <v>7.2784196379708126</v>
      </c>
      <c r="E30" s="13"/>
      <c r="F30" s="42"/>
      <c r="G30" s="13"/>
      <c r="H30" s="6"/>
      <c r="I30" s="208"/>
      <c r="J30" s="419"/>
      <c r="L30" s="111" t="s">
        <v>36</v>
      </c>
      <c r="M30" s="13"/>
      <c r="N30" s="312">
        <v>0</v>
      </c>
      <c r="O30" s="334">
        <f t="shared" si="2"/>
        <v>0</v>
      </c>
      <c r="P30" s="41"/>
      <c r="R30" s="3"/>
    </row>
    <row r="31" spans="1:23" ht="15.75">
      <c r="A31" s="111" t="s">
        <v>221</v>
      </c>
      <c r="B31" s="191">
        <f t="shared" si="0"/>
        <v>5.0549730062150397E-2</v>
      </c>
      <c r="C31" s="307">
        <v>3999</v>
      </c>
      <c r="D31" s="462">
        <f t="shared" si="1"/>
        <v>29.40040417398513</v>
      </c>
      <c r="E31" s="13"/>
      <c r="F31" s="116" t="s">
        <v>14</v>
      </c>
      <c r="G31" s="117">
        <f>Debt!B31</f>
        <v>61666.602594810392</v>
      </c>
      <c r="H31" s="117"/>
      <c r="I31" s="208"/>
      <c r="J31" s="419"/>
      <c r="L31" s="111" t="s">
        <v>37</v>
      </c>
      <c r="M31" s="13"/>
      <c r="N31" s="312">
        <v>0</v>
      </c>
      <c r="O31" s="334">
        <f t="shared" si="2"/>
        <v>0</v>
      </c>
      <c r="P31" s="41"/>
      <c r="R31" s="3"/>
    </row>
    <row r="32" spans="1:23" ht="15.75">
      <c r="A32" s="111" t="s">
        <v>131</v>
      </c>
      <c r="B32" s="191">
        <f t="shared" si="0"/>
        <v>3.6025689091555048E-2</v>
      </c>
      <c r="C32" s="307">
        <v>2850</v>
      </c>
      <c r="D32" s="462">
        <f t="shared" si="1"/>
        <v>20.953026230522035</v>
      </c>
      <c r="E32" s="13"/>
      <c r="F32" s="116" t="s">
        <v>15</v>
      </c>
      <c r="G32" s="314">
        <v>17</v>
      </c>
      <c r="H32" s="117"/>
      <c r="I32" s="208"/>
      <c r="J32" s="419"/>
      <c r="L32" s="111" t="s">
        <v>47</v>
      </c>
      <c r="M32" s="13"/>
      <c r="N32" s="312">
        <v>0</v>
      </c>
      <c r="O32" s="334">
        <f t="shared" si="2"/>
        <v>0</v>
      </c>
      <c r="P32" s="41"/>
      <c r="Q32" s="74"/>
      <c r="R32" s="3"/>
    </row>
    <row r="33" spans="1:18" ht="15.75">
      <c r="A33" s="115" t="s">
        <v>132</v>
      </c>
      <c r="B33" s="213">
        <f t="shared" si="0"/>
        <v>0</v>
      </c>
      <c r="C33" s="308">
        <v>0</v>
      </c>
      <c r="D33" s="463">
        <f t="shared" si="1"/>
        <v>0</v>
      </c>
      <c r="E33" s="13"/>
      <c r="F33" s="116" t="s">
        <v>16</v>
      </c>
      <c r="G33" s="468">
        <f>G32*365.25+G28</f>
        <v>42948.25</v>
      </c>
      <c r="H33" s="468"/>
      <c r="I33" s="208"/>
      <c r="J33" s="419"/>
      <c r="L33" s="111" t="s">
        <v>38</v>
      </c>
      <c r="M33" s="13"/>
      <c r="N33" s="312">
        <v>0</v>
      </c>
      <c r="O33" s="334">
        <f t="shared" si="2"/>
        <v>0</v>
      </c>
      <c r="P33" s="41"/>
      <c r="R33" s="3"/>
    </row>
    <row r="34" spans="1:18" ht="15.75">
      <c r="A34" s="111" t="s">
        <v>124</v>
      </c>
      <c r="B34" s="191">
        <f>SUM(B20:B33)</f>
        <v>0.91920302663594544</v>
      </c>
      <c r="C34" s="246">
        <f>SUM(C20:C33)</f>
        <v>72718.348821995125</v>
      </c>
      <c r="D34" s="462">
        <f>SUM(D20:D33)</f>
        <v>534.62086677456659</v>
      </c>
      <c r="E34" s="13"/>
      <c r="F34" s="116" t="s">
        <v>17</v>
      </c>
      <c r="G34" s="134">
        <f>Debt!B9</f>
        <v>10.565009354767463</v>
      </c>
      <c r="H34" s="504" t="str">
        <f>IF(H31,Debt!L9," ")</f>
        <v xml:space="preserve"> </v>
      </c>
      <c r="I34" s="208"/>
      <c r="J34" s="419"/>
      <c r="L34" s="115" t="s">
        <v>39</v>
      </c>
      <c r="M34" s="271"/>
      <c r="N34" s="384">
        <v>0</v>
      </c>
      <c r="O34" s="388">
        <f t="shared" si="2"/>
        <v>0</v>
      </c>
      <c r="P34" s="41"/>
      <c r="R34" s="3"/>
    </row>
    <row r="35" spans="1:18" ht="15.75">
      <c r="A35" s="42"/>
      <c r="B35" s="13"/>
      <c r="C35" s="13"/>
      <c r="D35" s="464"/>
      <c r="E35" s="13"/>
      <c r="F35" s="116"/>
      <c r="G35" s="13"/>
      <c r="H35" s="13"/>
      <c r="I35" s="208"/>
      <c r="J35" s="419"/>
      <c r="L35" s="127" t="s">
        <v>319</v>
      </c>
      <c r="M35" s="6"/>
      <c r="N35" s="339">
        <f>SUM(N28:N34)</f>
        <v>550</v>
      </c>
      <c r="O35" s="389">
        <f>SUM(O28:O34)</f>
        <v>4.0435664655393406</v>
      </c>
      <c r="P35" s="482"/>
      <c r="R35" s="5"/>
    </row>
    <row r="36" spans="1:18" ht="15.75">
      <c r="A36" s="108" t="s">
        <v>248</v>
      </c>
      <c r="B36" s="13"/>
      <c r="C36" s="13"/>
      <c r="D36" s="465"/>
      <c r="E36" s="13"/>
      <c r="F36" s="111" t="s">
        <v>18</v>
      </c>
      <c r="G36" s="315">
        <v>6.83E-2</v>
      </c>
      <c r="H36" s="315">
        <v>6.83E-2</v>
      </c>
      <c r="I36" s="208"/>
      <c r="J36" s="419"/>
      <c r="L36" s="42"/>
      <c r="M36" s="13"/>
      <c r="N36" s="13"/>
      <c r="O36" s="13"/>
      <c r="P36" s="41"/>
      <c r="R36" s="5"/>
    </row>
    <row r="37" spans="1:18" ht="15.75">
      <c r="A37" s="108" t="s">
        <v>204</v>
      </c>
      <c r="B37" s="191">
        <f t="shared" ref="B37:B49" si="3">C37/$C$58</f>
        <v>0</v>
      </c>
      <c r="C37" s="307">
        <v>0</v>
      </c>
      <c r="D37" s="462">
        <f t="shared" ref="D37:D50" si="4">C37/$N$12</f>
        <v>0</v>
      </c>
      <c r="E37" s="13"/>
      <c r="F37" s="111" t="s">
        <v>19</v>
      </c>
      <c r="G37" s="316">
        <v>0.01</v>
      </c>
      <c r="H37" s="316">
        <v>0.01</v>
      </c>
      <c r="I37" s="208"/>
      <c r="J37" s="419"/>
      <c r="L37" s="129" t="s">
        <v>100</v>
      </c>
      <c r="M37" s="13"/>
      <c r="N37" s="184"/>
      <c r="O37" s="278"/>
      <c r="P37" s="41"/>
      <c r="R37" s="13"/>
    </row>
    <row r="38" spans="1:18" ht="15.75">
      <c r="A38" s="108" t="s">
        <v>212</v>
      </c>
      <c r="B38" s="191">
        <f t="shared" si="3"/>
        <v>0</v>
      </c>
      <c r="C38" s="307">
        <v>0</v>
      </c>
      <c r="D38" s="462">
        <f t="shared" si="4"/>
        <v>0</v>
      </c>
      <c r="E38" s="13"/>
      <c r="F38" s="116" t="s">
        <v>438</v>
      </c>
      <c r="G38" s="118">
        <f>Debt!B7</f>
        <v>7.8299999999999995E-2</v>
      </c>
      <c r="H38" s="118">
        <f>SUM(H36:H37)</f>
        <v>7.8299999999999995E-2</v>
      </c>
      <c r="I38" s="208"/>
      <c r="J38" s="419"/>
      <c r="L38" s="111" t="s">
        <v>300</v>
      </c>
      <c r="M38" s="13"/>
      <c r="N38" s="339">
        <f>IS!C17</f>
        <v>2992.1719905000004</v>
      </c>
      <c r="O38" s="278">
        <f>N38/$N$12</f>
        <v>21.998266036203454</v>
      </c>
      <c r="P38" s="41"/>
      <c r="R38" s="13"/>
    </row>
    <row r="39" spans="1:18" ht="15.75">
      <c r="A39" s="108" t="s">
        <v>205</v>
      </c>
      <c r="B39" s="191">
        <f t="shared" si="3"/>
        <v>0</v>
      </c>
      <c r="C39" s="307">
        <v>0</v>
      </c>
      <c r="D39" s="462">
        <f t="shared" si="4"/>
        <v>0</v>
      </c>
      <c r="E39" s="13"/>
      <c r="F39" s="111"/>
      <c r="G39" s="107"/>
      <c r="H39" s="107"/>
      <c r="I39" s="107"/>
      <c r="J39" s="217"/>
      <c r="L39" s="111" t="s">
        <v>264</v>
      </c>
      <c r="M39" s="13"/>
      <c r="N39" s="312">
        <v>0</v>
      </c>
      <c r="O39" s="278">
        <f>N39/$N$12</f>
        <v>0</v>
      </c>
      <c r="P39" s="41"/>
      <c r="R39" s="3"/>
    </row>
    <row r="40" spans="1:18" ht="15.75">
      <c r="A40" s="111" t="s">
        <v>206</v>
      </c>
      <c r="B40" s="191">
        <f t="shared" si="3"/>
        <v>0</v>
      </c>
      <c r="C40" s="307">
        <v>0</v>
      </c>
      <c r="D40" s="462">
        <f t="shared" si="4"/>
        <v>0</v>
      </c>
      <c r="E40" s="13"/>
      <c r="F40" s="111" t="s">
        <v>152</v>
      </c>
      <c r="G40" s="314">
        <v>4028.6613183722961</v>
      </c>
      <c r="H40" s="314">
        <v>6</v>
      </c>
      <c r="I40" s="107" t="s">
        <v>153</v>
      </c>
      <c r="J40" s="218"/>
      <c r="L40" s="111" t="s">
        <v>253</v>
      </c>
      <c r="M40" s="13"/>
      <c r="N40" s="339">
        <f>IS!C25/IS!C6</f>
        <v>192.86233676678643</v>
      </c>
      <c r="O40" s="278">
        <f>N40/$N$12</f>
        <v>1.4179121407558772</v>
      </c>
      <c r="P40" s="41"/>
      <c r="R40" s="3"/>
    </row>
    <row r="41" spans="1:18" ht="15.75">
      <c r="A41" s="108" t="s">
        <v>207</v>
      </c>
      <c r="B41" s="191">
        <f t="shared" si="3"/>
        <v>0</v>
      </c>
      <c r="C41" s="307">
        <v>0</v>
      </c>
      <c r="D41" s="462">
        <f t="shared" si="4"/>
        <v>0</v>
      </c>
      <c r="E41" s="13"/>
      <c r="F41" s="111" t="s">
        <v>20</v>
      </c>
      <c r="G41" s="317">
        <v>0.02</v>
      </c>
      <c r="H41" s="107"/>
      <c r="I41" s="107"/>
      <c r="J41" s="218"/>
      <c r="L41" s="111" t="s">
        <v>258</v>
      </c>
      <c r="M41" s="13"/>
      <c r="N41" s="339">
        <f>IS!C26/IS!C6</f>
        <v>0</v>
      </c>
      <c r="O41" s="278">
        <f>N41/$N$12</f>
        <v>0</v>
      </c>
      <c r="P41" s="41"/>
      <c r="R41" s="455"/>
    </row>
    <row r="42" spans="1:18" ht="16.5" thickBot="1">
      <c r="A42" s="108" t="s">
        <v>217</v>
      </c>
      <c r="B42" s="191">
        <f t="shared" si="3"/>
        <v>1.2640592663703525E-2</v>
      </c>
      <c r="C42" s="307">
        <v>1000</v>
      </c>
      <c r="D42" s="462">
        <f t="shared" si="4"/>
        <v>7.3519390282533461</v>
      </c>
      <c r="E42" s="13"/>
      <c r="F42" s="111" t="s">
        <v>21</v>
      </c>
      <c r="G42" s="317">
        <v>0.05</v>
      </c>
      <c r="H42" s="13"/>
      <c r="I42" s="13"/>
      <c r="J42" s="41"/>
      <c r="L42" s="113" t="s">
        <v>252</v>
      </c>
      <c r="M42" s="43"/>
      <c r="N42" s="342">
        <f>AVERAGE(IS!C27:AG27)</f>
        <v>41.586181350939832</v>
      </c>
      <c r="O42" s="279">
        <f>N42/$N$12</f>
        <v>0.30573906970999598</v>
      </c>
      <c r="P42" s="89"/>
      <c r="R42" s="280"/>
    </row>
    <row r="43" spans="1:18" ht="16.5" thickBot="1">
      <c r="A43" s="108" t="s">
        <v>208</v>
      </c>
      <c r="B43" s="191">
        <f t="shared" si="3"/>
        <v>0</v>
      </c>
      <c r="C43" s="307">
        <v>0</v>
      </c>
      <c r="D43" s="462">
        <f t="shared" si="4"/>
        <v>0</v>
      </c>
      <c r="E43" s="13"/>
      <c r="F43" s="42"/>
      <c r="G43" s="13"/>
      <c r="H43" s="13"/>
      <c r="I43" s="13"/>
      <c r="J43" s="41"/>
      <c r="N43" s="248"/>
    </row>
    <row r="44" spans="1:18" ht="15.75">
      <c r="A44" s="108" t="s">
        <v>209</v>
      </c>
      <c r="B44" s="191">
        <f t="shared" si="3"/>
        <v>0</v>
      </c>
      <c r="C44" s="307">
        <v>0</v>
      </c>
      <c r="D44" s="462">
        <f t="shared" si="4"/>
        <v>0</v>
      </c>
      <c r="E44" s="13"/>
      <c r="F44" s="469" t="s">
        <v>134</v>
      </c>
      <c r="G44" s="13"/>
      <c r="H44" s="13"/>
      <c r="I44" s="13"/>
      <c r="J44" s="41"/>
      <c r="L44" s="103" t="s">
        <v>22</v>
      </c>
      <c r="M44" s="125"/>
      <c r="N44" s="322"/>
      <c r="O44" s="130"/>
      <c r="P44" s="40"/>
    </row>
    <row r="45" spans="1:18" ht="15.75">
      <c r="A45" s="108" t="s">
        <v>213</v>
      </c>
      <c r="B45" s="191">
        <f t="shared" si="3"/>
        <v>0</v>
      </c>
      <c r="C45" s="307">
        <v>0</v>
      </c>
      <c r="D45" s="462">
        <f t="shared" si="4"/>
        <v>0</v>
      </c>
      <c r="E45" s="13"/>
      <c r="F45" s="306" t="s">
        <v>94</v>
      </c>
      <c r="G45" s="313">
        <v>36739</v>
      </c>
      <c r="H45" s="13"/>
      <c r="I45" s="13"/>
      <c r="J45" s="41"/>
      <c r="L45" s="42"/>
      <c r="M45" s="193"/>
      <c r="N45" s="13"/>
      <c r="O45" s="13"/>
      <c r="P45" s="41"/>
    </row>
    <row r="46" spans="1:18" ht="15.75">
      <c r="A46" s="111" t="s">
        <v>267</v>
      </c>
      <c r="B46" s="191">
        <f t="shared" si="3"/>
        <v>3.8070758913323496E-2</v>
      </c>
      <c r="C46" s="246">
        <f>IDC!H35</f>
        <v>3011.785912747644</v>
      </c>
      <c r="D46" s="462">
        <f t="shared" si="4"/>
        <v>22.142466396673029</v>
      </c>
      <c r="E46" s="13"/>
      <c r="F46" s="111" t="s">
        <v>12</v>
      </c>
      <c r="G46" s="318">
        <v>0.5</v>
      </c>
      <c r="H46" s="166">
        <f>G46*C11</f>
        <v>8721.8060699661874</v>
      </c>
      <c r="I46" s="13"/>
      <c r="J46" s="41"/>
      <c r="L46" s="111"/>
      <c r="M46" s="13"/>
      <c r="N46" s="169" t="s">
        <v>23</v>
      </c>
      <c r="O46" s="169" t="s">
        <v>24</v>
      </c>
      <c r="P46" s="195" t="s">
        <v>25</v>
      </c>
    </row>
    <row r="47" spans="1:18" ht="16.5" thickBot="1">
      <c r="A47" s="111" t="s">
        <v>222</v>
      </c>
      <c r="B47" s="191">
        <f t="shared" si="3"/>
        <v>0</v>
      </c>
      <c r="C47" s="307">
        <v>0</v>
      </c>
      <c r="D47" s="462">
        <f t="shared" si="4"/>
        <v>0</v>
      </c>
      <c r="E47" s="13"/>
      <c r="F47" s="113" t="s">
        <v>13</v>
      </c>
      <c r="G47" s="332">
        <f>1-G46</f>
        <v>0.5</v>
      </c>
      <c r="H47" s="167">
        <f>G47*C11</f>
        <v>8721.8060699661874</v>
      </c>
      <c r="I47" s="43"/>
      <c r="J47" s="89"/>
      <c r="L47" s="126" t="s">
        <v>26</v>
      </c>
      <c r="M47" s="13"/>
      <c r="N47" s="323"/>
      <c r="O47" s="323"/>
      <c r="P47" s="112"/>
    </row>
    <row r="48" spans="1:18" ht="16.5" thickBot="1">
      <c r="A48" s="111" t="s">
        <v>373</v>
      </c>
      <c r="B48" s="191">
        <f t="shared" si="3"/>
        <v>3.0085621787027488E-2</v>
      </c>
      <c r="C48" s="246">
        <f>SUM(C22:C33)*N64</f>
        <v>2380.08</v>
      </c>
      <c r="D48" s="462">
        <f t="shared" si="4"/>
        <v>17.498203042365223</v>
      </c>
      <c r="E48" s="72"/>
      <c r="L48" s="127" t="s">
        <v>27</v>
      </c>
      <c r="M48" s="13"/>
      <c r="N48" s="336">
        <v>15</v>
      </c>
      <c r="O48" s="324" t="s">
        <v>28</v>
      </c>
      <c r="P48" s="219">
        <v>0</v>
      </c>
    </row>
    <row r="49" spans="1:16" ht="15.75">
      <c r="A49" s="105" t="s">
        <v>223</v>
      </c>
      <c r="B49" s="213">
        <f t="shared" si="3"/>
        <v>0</v>
      </c>
      <c r="C49" s="308">
        <v>0</v>
      </c>
      <c r="D49" s="463">
        <f t="shared" si="4"/>
        <v>0</v>
      </c>
      <c r="E49" s="44"/>
      <c r="F49" s="103" t="s">
        <v>243</v>
      </c>
      <c r="G49" s="124"/>
      <c r="H49" s="130"/>
      <c r="I49" s="251"/>
      <c r="J49" s="40"/>
      <c r="L49" s="127" t="s">
        <v>324</v>
      </c>
      <c r="M49" s="13"/>
      <c r="N49" s="336">
        <v>5</v>
      </c>
      <c r="O49" s="324" t="s">
        <v>30</v>
      </c>
      <c r="P49" s="219">
        <v>0</v>
      </c>
    </row>
    <row r="50" spans="1:16" ht="15.75">
      <c r="A50" s="111" t="s">
        <v>124</v>
      </c>
      <c r="B50" s="191">
        <f>SUM(B37:B49)</f>
        <v>8.0796973364054517E-2</v>
      </c>
      <c r="C50" s="246">
        <f>SUM(C37:C49)</f>
        <v>6391.865912747644</v>
      </c>
      <c r="D50" s="462">
        <f t="shared" si="4"/>
        <v>46.992608467291596</v>
      </c>
      <c r="E50" s="13"/>
      <c r="F50" s="42"/>
      <c r="G50" s="13"/>
      <c r="H50" s="13"/>
      <c r="I50" s="121"/>
      <c r="J50" s="41"/>
      <c r="L50" s="127" t="s">
        <v>29</v>
      </c>
      <c r="M50" s="13"/>
      <c r="N50" s="336">
        <v>20</v>
      </c>
      <c r="O50" s="324" t="s">
        <v>30</v>
      </c>
      <c r="P50" s="219">
        <v>0</v>
      </c>
    </row>
    <row r="51" spans="1:16" ht="15.75">
      <c r="A51" s="42"/>
      <c r="B51" s="13"/>
      <c r="C51" s="246"/>
      <c r="D51" s="465"/>
      <c r="E51" s="94"/>
      <c r="F51" s="115" t="s">
        <v>409</v>
      </c>
      <c r="G51" s="13"/>
      <c r="H51" s="13"/>
      <c r="I51" s="13"/>
      <c r="J51" s="41"/>
      <c r="L51" s="127"/>
      <c r="M51" s="13"/>
      <c r="N51" s="325"/>
      <c r="O51" s="325"/>
      <c r="P51" s="326"/>
    </row>
    <row r="52" spans="1:16" ht="15.75">
      <c r="A52" s="108" t="s">
        <v>117</v>
      </c>
      <c r="B52" s="13"/>
      <c r="C52" s="246"/>
      <c r="D52" s="464"/>
      <c r="E52" s="94"/>
      <c r="F52" s="111" t="s">
        <v>411</v>
      </c>
      <c r="G52" s="13"/>
      <c r="H52" s="312">
        <v>3</v>
      </c>
      <c r="I52" s="121"/>
      <c r="J52" s="41"/>
      <c r="L52" s="126" t="s">
        <v>31</v>
      </c>
      <c r="M52" s="13"/>
      <c r="N52" s="325"/>
      <c r="O52" s="325"/>
      <c r="P52" s="220"/>
    </row>
    <row r="53" spans="1:16" ht="15.75">
      <c r="A53" s="108" t="s">
        <v>210</v>
      </c>
      <c r="B53" s="191">
        <f>C53/$C$58</f>
        <v>0</v>
      </c>
      <c r="C53" s="307">
        <v>0</v>
      </c>
      <c r="D53" s="462">
        <f>C53/$N$12</f>
        <v>0</v>
      </c>
      <c r="E53" s="13"/>
      <c r="F53" s="111" t="s">
        <v>413</v>
      </c>
      <c r="G53" s="13"/>
      <c r="H53" s="310">
        <v>4.75</v>
      </c>
      <c r="I53" s="13"/>
      <c r="J53" s="41"/>
      <c r="L53" s="127" t="s">
        <v>27</v>
      </c>
      <c r="M53" s="13"/>
      <c r="N53" s="336">
        <v>30</v>
      </c>
      <c r="O53" s="324" t="s">
        <v>30</v>
      </c>
      <c r="P53" s="220">
        <v>0.1</v>
      </c>
    </row>
    <row r="54" spans="1:16" ht="15.75">
      <c r="A54" s="108" t="s">
        <v>211</v>
      </c>
      <c r="B54" s="191">
        <f>C54/$C$58</f>
        <v>0</v>
      </c>
      <c r="C54" s="307">
        <v>0</v>
      </c>
      <c r="D54" s="462">
        <f>C54/$N$12</f>
        <v>0</v>
      </c>
      <c r="E54" s="13"/>
      <c r="F54" s="42"/>
      <c r="G54" s="13"/>
      <c r="H54" s="13"/>
      <c r="I54" s="13"/>
      <c r="J54" s="41"/>
      <c r="L54" s="127" t="s">
        <v>324</v>
      </c>
      <c r="M54" s="13"/>
      <c r="N54" s="336">
        <v>5</v>
      </c>
      <c r="O54" s="324" t="s">
        <v>30</v>
      </c>
      <c r="P54" s="219">
        <v>0</v>
      </c>
    </row>
    <row r="55" spans="1:16" ht="16.5" thickBot="1">
      <c r="A55" s="115" t="s">
        <v>118</v>
      </c>
      <c r="B55" s="213">
        <f>C55/$C$58</f>
        <v>0</v>
      </c>
      <c r="C55" s="308">
        <v>0</v>
      </c>
      <c r="D55" s="462">
        <f>C55/$N$12</f>
        <v>0</v>
      </c>
      <c r="E55" s="13"/>
      <c r="F55" s="115" t="s">
        <v>412</v>
      </c>
      <c r="G55" s="13"/>
      <c r="H55" s="13"/>
      <c r="I55" s="13"/>
      <c r="J55" s="41"/>
      <c r="L55" s="128" t="s">
        <v>29</v>
      </c>
      <c r="M55" s="43"/>
      <c r="N55" s="337">
        <v>20</v>
      </c>
      <c r="O55" s="327" t="s">
        <v>30</v>
      </c>
      <c r="P55" s="221">
        <v>0</v>
      </c>
    </row>
    <row r="56" spans="1:16" ht="16.5" thickBot="1">
      <c r="A56" s="111" t="s">
        <v>124</v>
      </c>
      <c r="B56" s="191">
        <f>SUM(B53:B55)</f>
        <v>0</v>
      </c>
      <c r="C56" s="122">
        <f>SUM(C53:C55)</f>
        <v>0</v>
      </c>
      <c r="D56" s="462">
        <f>C56/$N$12</f>
        <v>0</v>
      </c>
      <c r="E56" s="13"/>
      <c r="F56" s="111" t="s">
        <v>411</v>
      </c>
      <c r="G56" s="13"/>
      <c r="H56" s="312">
        <f>H18-H52</f>
        <v>27</v>
      </c>
      <c r="I56" s="121"/>
      <c r="J56" s="41"/>
    </row>
    <row r="57" spans="1:16" ht="15.75">
      <c r="A57" s="42"/>
      <c r="B57" s="13"/>
      <c r="C57" s="13"/>
      <c r="D57" s="465"/>
      <c r="E57" s="13"/>
      <c r="F57" s="111" t="s">
        <v>413</v>
      </c>
      <c r="G57" s="107"/>
      <c r="H57" s="176"/>
      <c r="I57" s="121"/>
      <c r="J57" s="41"/>
      <c r="L57" s="103" t="s">
        <v>244</v>
      </c>
      <c r="M57" s="125"/>
      <c r="N57" s="344"/>
      <c r="O57" s="345"/>
      <c r="P57" s="483"/>
    </row>
    <row r="58" spans="1:16" ht="16.5" thickBot="1">
      <c r="A58" s="216" t="s">
        <v>119</v>
      </c>
      <c r="B58" s="212">
        <f>B56+B50+B34</f>
        <v>1</v>
      </c>
      <c r="C58" s="247">
        <f>C56+C50+C34</f>
        <v>79110.214734742767</v>
      </c>
      <c r="D58" s="466">
        <f>C58/$N$12</f>
        <v>581.61347524185828</v>
      </c>
      <c r="E58" s="13"/>
      <c r="F58" s="42"/>
      <c r="G58" s="13"/>
      <c r="H58" s="13"/>
      <c r="I58" s="13"/>
      <c r="J58" s="41"/>
      <c r="L58" s="211"/>
      <c r="M58" s="204"/>
      <c r="N58" s="179"/>
      <c r="O58" s="6"/>
      <c r="P58" s="482"/>
    </row>
    <row r="59" spans="1:16" ht="16.5" thickBot="1">
      <c r="A59" s="13"/>
      <c r="B59" s="13"/>
      <c r="C59" s="90"/>
      <c r="D59" s="13"/>
      <c r="E59" s="13"/>
      <c r="F59" s="111" t="s">
        <v>314</v>
      </c>
      <c r="G59" s="107"/>
      <c r="H59" s="176">
        <f>P26</f>
        <v>2.0499999999999998</v>
      </c>
      <c r="I59" s="121"/>
      <c r="J59" s="41"/>
      <c r="L59" s="127" t="s">
        <v>156</v>
      </c>
      <c r="M59" s="6"/>
      <c r="N59" s="323">
        <v>0.35</v>
      </c>
      <c r="O59" s="6"/>
      <c r="P59" s="482"/>
    </row>
    <row r="60" spans="1:16" ht="15.75">
      <c r="A60" s="104" t="s">
        <v>32</v>
      </c>
      <c r="B60" s="130"/>
      <c r="C60" s="130"/>
      <c r="D60" s="131"/>
      <c r="E60" s="13"/>
      <c r="F60" s="111"/>
      <c r="G60" s="13"/>
      <c r="H60" s="323"/>
      <c r="I60" s="121"/>
      <c r="J60" s="41"/>
      <c r="L60" s="127" t="s">
        <v>389</v>
      </c>
      <c r="M60" s="6"/>
      <c r="N60" s="320">
        <v>7.0000000000000007E-2</v>
      </c>
      <c r="O60" s="484" t="s">
        <v>295</v>
      </c>
      <c r="P60" s="482"/>
    </row>
    <row r="61" spans="1:16" ht="16.5" thickBot="1">
      <c r="A61" s="42"/>
      <c r="B61" s="13"/>
      <c r="C61" s="13"/>
      <c r="D61" s="41"/>
      <c r="E61" s="13"/>
      <c r="F61" s="113" t="s">
        <v>141</v>
      </c>
      <c r="G61" s="43"/>
      <c r="H61" s="341">
        <f>N12*N15</f>
        <v>190425.95356406379</v>
      </c>
      <c r="I61" s="252"/>
      <c r="J61" s="89"/>
      <c r="L61" s="127" t="s">
        <v>327</v>
      </c>
      <c r="M61" s="6"/>
      <c r="N61" s="320">
        <v>2.5000000000000001E-3</v>
      </c>
      <c r="O61" s="484" t="s">
        <v>295</v>
      </c>
      <c r="P61" s="482"/>
    </row>
    <row r="62" spans="1:16" ht="15.75">
      <c r="A62" s="457" t="s">
        <v>371</v>
      </c>
      <c r="B62" s="458"/>
      <c r="C62" s="459">
        <f>D58</f>
        <v>581.61347524185828</v>
      </c>
      <c r="D62" s="41"/>
      <c r="E62" s="13"/>
      <c r="L62" s="127" t="s">
        <v>259</v>
      </c>
      <c r="M62" s="6"/>
      <c r="N62" s="320">
        <v>0</v>
      </c>
      <c r="O62" s="484" t="s">
        <v>295</v>
      </c>
      <c r="P62" s="482"/>
    </row>
    <row r="63" spans="1:16" ht="15.75">
      <c r="A63" s="457" t="s">
        <v>406</v>
      </c>
      <c r="B63" s="458"/>
      <c r="C63" s="459">
        <f>IS!C50</f>
        <v>5.3967014987060136</v>
      </c>
      <c r="D63" s="41"/>
      <c r="E63" s="13"/>
      <c r="L63" s="127" t="s">
        <v>305</v>
      </c>
      <c r="M63" s="13"/>
      <c r="N63" s="320">
        <v>1.4999999999999999E-2</v>
      </c>
      <c r="O63" s="484" t="s">
        <v>295</v>
      </c>
      <c r="P63" s="41"/>
    </row>
    <row r="64" spans="1:16" ht="16.5" thickBot="1">
      <c r="A64" s="42"/>
      <c r="B64" s="13"/>
      <c r="C64" s="13"/>
      <c r="D64" s="41"/>
      <c r="E64" s="13"/>
      <c r="L64" s="128" t="s">
        <v>374</v>
      </c>
      <c r="M64" s="43"/>
      <c r="N64" s="340">
        <v>0.08</v>
      </c>
      <c r="O64" s="485" t="s">
        <v>295</v>
      </c>
      <c r="P64" s="89"/>
    </row>
    <row r="65" spans="1:5" ht="15.75">
      <c r="A65" s="111"/>
      <c r="B65" s="107"/>
      <c r="C65" s="106" t="s">
        <v>34</v>
      </c>
      <c r="D65" s="195" t="s">
        <v>33</v>
      </c>
      <c r="E65" s="13"/>
    </row>
    <row r="66" spans="1:5" ht="15.75">
      <c r="A66" s="115" t="s">
        <v>0</v>
      </c>
      <c r="B66" s="119"/>
      <c r="C66" s="120">
        <f>Debt!D67</f>
        <v>1.3114617979780911</v>
      </c>
      <c r="D66" s="467">
        <f>Debt!D68</f>
        <v>0.76167008898015065</v>
      </c>
      <c r="E66" s="13"/>
    </row>
    <row r="67" spans="1:5" ht="15.75">
      <c r="A67" s="42"/>
      <c r="B67" s="107"/>
      <c r="C67" s="13"/>
      <c r="D67" s="41"/>
      <c r="E67" s="13"/>
    </row>
    <row r="68" spans="1:5" ht="15.75">
      <c r="A68" s="115" t="s">
        <v>453</v>
      </c>
      <c r="B68" s="13"/>
      <c r="C68" s="13"/>
      <c r="D68" s="41"/>
      <c r="E68" s="13"/>
    </row>
    <row r="69" spans="1:5" ht="15.75">
      <c r="A69" s="111" t="s">
        <v>250</v>
      </c>
      <c r="B69" s="107"/>
      <c r="C69" s="168">
        <f>Returns!B26</f>
        <v>7.8581586480140672E-2</v>
      </c>
      <c r="D69" s="41"/>
      <c r="E69" s="13"/>
    </row>
    <row r="70" spans="1:5" ht="15.75">
      <c r="A70" s="111" t="s">
        <v>251</v>
      </c>
      <c r="B70" s="13"/>
      <c r="C70" s="168">
        <f>Returns!B33</f>
        <v>9.13099080324173E-2</v>
      </c>
      <c r="D70" s="112"/>
      <c r="E70" s="13"/>
    </row>
    <row r="71" spans="1:5" ht="15.75">
      <c r="A71" s="111"/>
      <c r="B71" s="107"/>
      <c r="C71" s="168"/>
      <c r="D71" s="112"/>
    </row>
    <row r="72" spans="1:5" ht="15.75">
      <c r="A72" s="115" t="s">
        <v>96</v>
      </c>
      <c r="B72" s="106">
        <f>IS!C7</f>
        <v>2001</v>
      </c>
      <c r="C72" s="106">
        <f>IS!D7</f>
        <v>2002</v>
      </c>
      <c r="D72" s="195">
        <f>IS!E7</f>
        <v>2003</v>
      </c>
      <c r="E72" s="107"/>
    </row>
    <row r="73" spans="1:5" ht="15.75">
      <c r="A73" s="111" t="s">
        <v>113</v>
      </c>
      <c r="B73" s="122">
        <f>IS!C33</f>
        <v>4619.7474117922429</v>
      </c>
      <c r="C73" s="122">
        <f>IS!D33</f>
        <v>6920.4909177934705</v>
      </c>
      <c r="D73" s="189">
        <f>IS!E33</f>
        <v>6910.8657178985759</v>
      </c>
      <c r="E73" s="107"/>
    </row>
    <row r="74" spans="1:5" ht="15.75">
      <c r="A74" s="111" t="s">
        <v>114</v>
      </c>
      <c r="B74" s="122">
        <f>IS!C46</f>
        <v>1604.6255334853713</v>
      </c>
      <c r="C74" s="122">
        <f>IS!D46</f>
        <v>2401.4190943915928</v>
      </c>
      <c r="D74" s="189">
        <f>IS!E46</f>
        <v>2395.600661055129</v>
      </c>
      <c r="E74" s="13"/>
    </row>
    <row r="75" spans="1:5" ht="15.75">
      <c r="A75" s="111" t="s">
        <v>115</v>
      </c>
      <c r="B75" s="122">
        <f>CF!C17</f>
        <v>-703.70714035658239</v>
      </c>
      <c r="C75" s="122">
        <f>CF!D17</f>
        <v>1604.4403655638034</v>
      </c>
      <c r="D75" s="189">
        <f>CF!E17</f>
        <v>789.56665512004292</v>
      </c>
      <c r="E75" s="13"/>
    </row>
    <row r="76" spans="1:5" ht="16.5" thickBot="1">
      <c r="A76" s="113" t="s">
        <v>116</v>
      </c>
      <c r="B76" s="123">
        <f>CF!C22</f>
        <v>-855.01094200754289</v>
      </c>
      <c r="C76" s="123">
        <f>CF!D22</f>
        <v>1604.4403655638034</v>
      </c>
      <c r="D76" s="222">
        <f>CF!E22</f>
        <v>789.56665512004292</v>
      </c>
      <c r="E76" s="13"/>
    </row>
    <row r="77" spans="1:5">
      <c r="E77" s="13"/>
    </row>
    <row r="78" spans="1:5">
      <c r="E78" s="13"/>
    </row>
    <row r="79" spans="1:5">
      <c r="E79" s="13"/>
    </row>
    <row r="80" spans="1:5">
      <c r="E80" s="13"/>
    </row>
    <row r="81" spans="5:9">
      <c r="E81" s="13"/>
    </row>
    <row r="82" spans="5:9" ht="15.75">
      <c r="E82" s="47"/>
    </row>
    <row r="84" spans="5:9" ht="15.75">
      <c r="E84" s="107"/>
    </row>
    <row r="85" spans="5:9" ht="15.75">
      <c r="E85" s="107"/>
    </row>
    <row r="86" spans="5:9" ht="15.75">
      <c r="E86" s="107"/>
    </row>
    <row r="87" spans="5:9" ht="15.75">
      <c r="E87" s="107"/>
    </row>
    <row r="88" spans="5:9">
      <c r="E88" s="13"/>
    </row>
    <row r="89" spans="5:9" ht="15.75">
      <c r="E89" s="107"/>
    </row>
    <row r="90" spans="5:9" ht="15.75">
      <c r="E90" s="107"/>
    </row>
    <row r="91" spans="5:9">
      <c r="E91" s="13"/>
    </row>
    <row r="92" spans="5:9" ht="15.75">
      <c r="E92" s="13"/>
      <c r="I92" s="181"/>
    </row>
    <row r="93" spans="5:9" ht="15.75">
      <c r="E93" s="107"/>
    </row>
    <row r="94" spans="5:9" ht="15.75">
      <c r="E94" s="107"/>
    </row>
    <row r="95" spans="5:9" ht="15.75">
      <c r="E95" s="107"/>
    </row>
    <row r="96" spans="5:9" ht="15.75">
      <c r="E96" s="106"/>
    </row>
    <row r="97" spans="5:5" ht="15.75">
      <c r="E97" s="122"/>
    </row>
    <row r="98" spans="5:5" ht="15.75">
      <c r="E98" s="122"/>
    </row>
    <row r="99" spans="5:5" ht="15.75">
      <c r="E99" s="122"/>
    </row>
    <row r="100" spans="5:5" ht="15.75">
      <c r="E100" s="122"/>
    </row>
    <row r="116" spans="9:24" ht="15.75">
      <c r="I116" s="181"/>
    </row>
    <row r="117" spans="9:24" ht="15.75">
      <c r="I117" s="181"/>
    </row>
    <row r="118" spans="9:24" ht="15.75">
      <c r="I118" s="181"/>
    </row>
    <row r="119" spans="9:24" ht="15.75">
      <c r="I119" s="181"/>
    </row>
    <row r="120" spans="9:24" ht="15.75">
      <c r="I120" s="181"/>
    </row>
    <row r="121" spans="9:24" ht="15.75">
      <c r="I121" s="181"/>
    </row>
    <row r="122" spans="9:24" ht="15.75">
      <c r="I122" s="181"/>
    </row>
    <row r="123" spans="9:24" ht="15.75">
      <c r="I123" s="181"/>
    </row>
    <row r="128" spans="9:24"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spans="10:24"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spans="10:24" ht="15.75">
      <c r="J130" s="182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J131" s="13"/>
      <c r="K131" s="13"/>
      <c r="L131" s="92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>
      <c r="J132" s="13"/>
      <c r="K132" s="13"/>
      <c r="L132" s="92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9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 ht="15.75">
      <c r="J134" s="13"/>
      <c r="K134" s="13"/>
      <c r="L134" s="177"/>
      <c r="M134" s="176"/>
      <c r="N134" s="176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 ht="15.75">
      <c r="J135" s="176"/>
      <c r="K135" s="176"/>
      <c r="L135" s="175"/>
      <c r="M135" s="178"/>
      <c r="N135" s="178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78"/>
      <c r="K136" s="178"/>
      <c r="L136" s="180"/>
      <c r="M136" s="179"/>
      <c r="N136" s="179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79"/>
      <c r="K137" s="179"/>
      <c r="L137" s="180"/>
      <c r="M137" s="179"/>
      <c r="N137" s="179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79"/>
      <c r="K138" s="179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>
      <c r="J139" s="13"/>
      <c r="K139" s="13"/>
    </row>
    <row r="141" spans="10:24" ht="15.75">
      <c r="J141" s="182"/>
    </row>
    <row r="142" spans="10:24">
      <c r="J142" s="13"/>
    </row>
    <row r="143" spans="10:24">
      <c r="J143" s="13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 ht="15.75">
      <c r="J148" s="176"/>
    </row>
    <row r="149" spans="10:10" ht="15.75">
      <c r="J149" s="178"/>
    </row>
    <row r="150" spans="10:10" ht="15.75">
      <c r="J150" s="179"/>
    </row>
    <row r="151" spans="10:10" ht="15.75">
      <c r="J151" s="179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37</xdr:row>
                    <xdr:rowOff>0</xdr:rowOff>
                  </from>
                  <to>
                    <xdr:col>13</xdr:col>
                    <xdr:colOff>28575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200025</xdr:rowOff>
                  </from>
                  <to>
                    <xdr:col>7</xdr:col>
                    <xdr:colOff>1190625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9525</xdr:rowOff>
                  </from>
                  <to>
                    <xdr:col>9</xdr:col>
                    <xdr:colOff>0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7" name="Drop Down 49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7</xdr:col>
                    <xdr:colOff>1190625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8" name="Drop Down 53">
              <controlPr defaultSize="0" autoFill="0" autoLine="0" autoPict="0">
                <anchor moveWithCells="1">
                  <from>
                    <xdr:col>14</xdr:col>
                    <xdr:colOff>9525</xdr:colOff>
                    <xdr:row>9</xdr:row>
                    <xdr:rowOff>9525</xdr:rowOff>
                  </from>
                  <to>
                    <xdr:col>14</xdr:col>
                    <xdr:colOff>847725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9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180975</xdr:rowOff>
                  </from>
                  <to>
                    <xdr:col>6</xdr:col>
                    <xdr:colOff>1190625</xdr:colOff>
                    <xdr:row>26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R38"/>
  <sheetViews>
    <sheetView zoomScale="75" zoomScaleNormal="75" workbookViewId="0">
      <selection activeCell="B16" sqref="B16"/>
    </sheetView>
  </sheetViews>
  <sheetFormatPr defaultColWidth="9.28515625" defaultRowHeight="15.75"/>
  <cols>
    <col min="1" max="1" width="18.5703125" style="47" bestFit="1" customWidth="1"/>
    <col min="2" max="2" width="45.140625" style="47" bestFit="1" customWidth="1"/>
    <col min="3" max="3" width="3.7109375" style="47" customWidth="1"/>
    <col min="4" max="7" width="9.85546875" style="47" customWidth="1"/>
    <col min="8" max="9" width="11.5703125" style="47" customWidth="1"/>
    <col min="10" max="10" width="10.28515625" style="47" customWidth="1"/>
    <col min="11" max="24" width="9.85546875" style="47" customWidth="1"/>
    <col min="25" max="16384" width="9.28515625" style="47"/>
  </cols>
  <sheetData>
    <row r="2" spans="1:34" ht="18.75">
      <c r="B2" s="96" t="str">
        <f>Assumptions!A3</f>
        <v>PROJECT NAME:</v>
      </c>
    </row>
    <row r="3" spans="1:34" ht="12" customHeight="1">
      <c r="B3" s="27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</row>
    <row r="4" spans="1:34" ht="18.75">
      <c r="B4" s="194" t="s">
        <v>296</v>
      </c>
      <c r="C4" s="75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</row>
    <row r="5" spans="1:34" ht="18.75">
      <c r="B5" s="256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</row>
    <row r="6" spans="1:34">
      <c r="B6" s="160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</row>
    <row r="7" spans="1:34">
      <c r="B7" s="159"/>
      <c r="C7" s="107"/>
      <c r="D7" s="262">
        <f>(Assumptions!H17/12)</f>
        <v>0.66666666666666663</v>
      </c>
      <c r="E7" s="262">
        <f>D7+1</f>
        <v>1.6666666666666665</v>
      </c>
      <c r="F7" s="262">
        <f t="shared" ref="F7:Y7" si="0">E7+1</f>
        <v>2.6666666666666665</v>
      </c>
      <c r="G7" s="262">
        <f t="shared" si="0"/>
        <v>3.6666666666666665</v>
      </c>
      <c r="H7" s="262">
        <f t="shared" si="0"/>
        <v>4.6666666666666661</v>
      </c>
      <c r="I7" s="262">
        <f t="shared" si="0"/>
        <v>5.6666666666666661</v>
      </c>
      <c r="J7" s="262">
        <f t="shared" si="0"/>
        <v>6.6666666666666661</v>
      </c>
      <c r="K7" s="262">
        <f t="shared" si="0"/>
        <v>7.6666666666666661</v>
      </c>
      <c r="L7" s="262">
        <f t="shared" si="0"/>
        <v>8.6666666666666661</v>
      </c>
      <c r="M7" s="262">
        <f t="shared" si="0"/>
        <v>9.6666666666666661</v>
      </c>
      <c r="N7" s="262">
        <f t="shared" si="0"/>
        <v>10.666666666666666</v>
      </c>
      <c r="O7" s="262">
        <f t="shared" si="0"/>
        <v>11.666666666666666</v>
      </c>
      <c r="P7" s="262">
        <f t="shared" si="0"/>
        <v>12.666666666666666</v>
      </c>
      <c r="Q7" s="262">
        <f t="shared" si="0"/>
        <v>13.666666666666666</v>
      </c>
      <c r="R7" s="262">
        <f t="shared" si="0"/>
        <v>14.666666666666666</v>
      </c>
      <c r="S7" s="262">
        <f t="shared" si="0"/>
        <v>15.666666666666666</v>
      </c>
      <c r="T7" s="262">
        <f t="shared" si="0"/>
        <v>16.666666666666664</v>
      </c>
      <c r="U7" s="262">
        <f t="shared" si="0"/>
        <v>17.666666666666664</v>
      </c>
      <c r="V7" s="262">
        <f t="shared" si="0"/>
        <v>18.666666666666664</v>
      </c>
      <c r="W7" s="262">
        <f t="shared" si="0"/>
        <v>19.666666666666664</v>
      </c>
      <c r="X7" s="262">
        <f t="shared" si="0"/>
        <v>20.666666666666664</v>
      </c>
      <c r="Y7" s="262">
        <f t="shared" si="0"/>
        <v>21.666666666666664</v>
      </c>
      <c r="Z7" s="262">
        <f t="shared" ref="Z7:AG7" si="1">Y7+1</f>
        <v>22.666666666666664</v>
      </c>
      <c r="AA7" s="262">
        <f t="shared" si="1"/>
        <v>23.666666666666664</v>
      </c>
      <c r="AB7" s="262">
        <f t="shared" si="1"/>
        <v>24.666666666666664</v>
      </c>
      <c r="AC7" s="262">
        <f t="shared" si="1"/>
        <v>25.666666666666664</v>
      </c>
      <c r="AD7" s="262">
        <f t="shared" si="1"/>
        <v>26.666666666666664</v>
      </c>
      <c r="AE7" s="262">
        <f t="shared" si="1"/>
        <v>27.666666666666664</v>
      </c>
      <c r="AF7" s="262">
        <f t="shared" si="1"/>
        <v>28.666666666666664</v>
      </c>
      <c r="AG7" s="262">
        <f t="shared" si="1"/>
        <v>29.666666666666664</v>
      </c>
      <c r="AH7" s="262">
        <f>AG7+1</f>
        <v>30.666666666666664</v>
      </c>
    </row>
    <row r="8" spans="1:34" ht="16.5" thickBot="1">
      <c r="B8" s="258"/>
      <c r="C8" s="258"/>
      <c r="D8" s="260">
        <f>YEAR(Assumptions!H16)</f>
        <v>2001</v>
      </c>
      <c r="E8" s="260">
        <f t="shared" ref="E8:X8" si="2">D8+1</f>
        <v>2002</v>
      </c>
      <c r="F8" s="260">
        <f t="shared" si="2"/>
        <v>2003</v>
      </c>
      <c r="G8" s="260">
        <f t="shared" si="2"/>
        <v>2004</v>
      </c>
      <c r="H8" s="260">
        <f t="shared" si="2"/>
        <v>2005</v>
      </c>
      <c r="I8" s="260">
        <f t="shared" si="2"/>
        <v>2006</v>
      </c>
      <c r="J8" s="260">
        <f t="shared" si="2"/>
        <v>2007</v>
      </c>
      <c r="K8" s="260">
        <f t="shared" si="2"/>
        <v>2008</v>
      </c>
      <c r="L8" s="260">
        <f t="shared" si="2"/>
        <v>2009</v>
      </c>
      <c r="M8" s="260">
        <f t="shared" si="2"/>
        <v>2010</v>
      </c>
      <c r="N8" s="260">
        <f t="shared" si="2"/>
        <v>2011</v>
      </c>
      <c r="O8" s="260">
        <f t="shared" si="2"/>
        <v>2012</v>
      </c>
      <c r="P8" s="260">
        <f t="shared" si="2"/>
        <v>2013</v>
      </c>
      <c r="Q8" s="260">
        <f t="shared" si="2"/>
        <v>2014</v>
      </c>
      <c r="R8" s="260">
        <f t="shared" si="2"/>
        <v>2015</v>
      </c>
      <c r="S8" s="260">
        <f t="shared" si="2"/>
        <v>2016</v>
      </c>
      <c r="T8" s="260">
        <f t="shared" si="2"/>
        <v>2017</v>
      </c>
      <c r="U8" s="260">
        <f t="shared" si="2"/>
        <v>2018</v>
      </c>
      <c r="V8" s="260">
        <f t="shared" si="2"/>
        <v>2019</v>
      </c>
      <c r="W8" s="260">
        <f t="shared" si="2"/>
        <v>2020</v>
      </c>
      <c r="X8" s="260">
        <f t="shared" si="2"/>
        <v>2021</v>
      </c>
      <c r="Y8" s="260">
        <f>X8+1</f>
        <v>2022</v>
      </c>
      <c r="Z8" s="260">
        <f t="shared" ref="Z8:AG8" si="3">Y8+1</f>
        <v>2023</v>
      </c>
      <c r="AA8" s="260">
        <f t="shared" si="3"/>
        <v>2024</v>
      </c>
      <c r="AB8" s="260">
        <f t="shared" si="3"/>
        <v>2025</v>
      </c>
      <c r="AC8" s="260">
        <f t="shared" si="3"/>
        <v>2026</v>
      </c>
      <c r="AD8" s="260">
        <f t="shared" si="3"/>
        <v>2027</v>
      </c>
      <c r="AE8" s="260">
        <f t="shared" si="3"/>
        <v>2028</v>
      </c>
      <c r="AF8" s="260">
        <f t="shared" si="3"/>
        <v>2029</v>
      </c>
      <c r="AG8" s="260">
        <f t="shared" si="3"/>
        <v>2030</v>
      </c>
      <c r="AH8" s="260">
        <f>AG8+1</f>
        <v>2031</v>
      </c>
    </row>
    <row r="9" spans="1:34">
      <c r="B9" s="107"/>
      <c r="C9" s="107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</row>
    <row r="10" spans="1:34" ht="19.5">
      <c r="B10" s="380" t="s">
        <v>297</v>
      </c>
      <c r="C10" s="107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</row>
    <row r="11" spans="1:34" ht="19.5">
      <c r="B11" s="380"/>
      <c r="C11" s="107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</row>
    <row r="12" spans="1:34">
      <c r="B12" s="107" t="s">
        <v>410</v>
      </c>
      <c r="C12" s="107"/>
      <c r="D12" s="328">
        <f>Assumptions!$H$53</f>
        <v>4.75</v>
      </c>
      <c r="E12" s="328">
        <f>Assumptions!$H$53</f>
        <v>4.75</v>
      </c>
      <c r="F12" s="328">
        <f>Assumptions!$H$53</f>
        <v>4.75</v>
      </c>
      <c r="G12" s="328">
        <f>Assumptions!$H$53</f>
        <v>4.75</v>
      </c>
      <c r="H12" s="328">
        <f>Assumptions!$H$53</f>
        <v>4.75</v>
      </c>
      <c r="I12" s="328">
        <f>Assumptions!$H$53</f>
        <v>4.75</v>
      </c>
      <c r="J12" s="328">
        <f>Assumptions!$H$53</f>
        <v>4.75</v>
      </c>
      <c r="K12" s="328">
        <f>Assumptions!$H$53</f>
        <v>4.75</v>
      </c>
      <c r="L12" s="328">
        <f>Assumptions!$H$53</f>
        <v>4.75</v>
      </c>
      <c r="M12" s="328">
        <f>Assumptions!$H$53</f>
        <v>4.75</v>
      </c>
      <c r="N12" s="328">
        <f>Assumptions!$H$53</f>
        <v>4.75</v>
      </c>
      <c r="O12" s="328">
        <f>Assumptions!$H$53</f>
        <v>4.75</v>
      </c>
      <c r="P12" s="328">
        <f>Assumptions!$H$53</f>
        <v>4.75</v>
      </c>
      <c r="Q12" s="328">
        <f>Assumptions!$H$53</f>
        <v>4.75</v>
      </c>
      <c r="R12" s="328">
        <f>Assumptions!$H$53</f>
        <v>4.75</v>
      </c>
      <c r="S12" s="328">
        <f>Assumptions!$H$53</f>
        <v>4.75</v>
      </c>
      <c r="T12" s="328">
        <f>Assumptions!$H$53</f>
        <v>4.75</v>
      </c>
      <c r="U12" s="328">
        <f>Assumptions!$H$53</f>
        <v>4.75</v>
      </c>
      <c r="V12" s="328">
        <f>Assumptions!$H$53</f>
        <v>4.75</v>
      </c>
      <c r="W12" s="328">
        <f>Assumptions!$H$53</f>
        <v>4.75</v>
      </c>
      <c r="X12" s="328">
        <f>Assumptions!$H$53</f>
        <v>4.75</v>
      </c>
      <c r="Y12" s="328">
        <f>Assumptions!$H$53</f>
        <v>4.75</v>
      </c>
      <c r="Z12" s="328">
        <f>Assumptions!$H$53</f>
        <v>4.75</v>
      </c>
      <c r="AA12" s="328">
        <f>Assumptions!$H$53</f>
        <v>4.75</v>
      </c>
      <c r="AB12" s="328">
        <f>Assumptions!$H$53</f>
        <v>4.75</v>
      </c>
      <c r="AC12" s="328">
        <f>Assumptions!$H$53</f>
        <v>4.75</v>
      </c>
      <c r="AD12" s="328">
        <f>Assumptions!$H$53</f>
        <v>4.75</v>
      </c>
      <c r="AE12" s="328">
        <f>Assumptions!$H$53</f>
        <v>4.75</v>
      </c>
      <c r="AF12" s="328">
        <f>Assumptions!$H$53</f>
        <v>4.75</v>
      </c>
      <c r="AG12" s="328">
        <f>Assumptions!$H$53</f>
        <v>4.75</v>
      </c>
      <c r="AH12" s="328">
        <f>Assumptions!$H$53</f>
        <v>4.75</v>
      </c>
    </row>
    <row r="13" spans="1:34">
      <c r="B13" s="119"/>
      <c r="C13" s="107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</row>
    <row r="14" spans="1:34">
      <c r="B14" s="119" t="s">
        <v>424</v>
      </c>
      <c r="C14" s="107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</row>
    <row r="15" spans="1:34">
      <c r="A15" s="107">
        <v>1</v>
      </c>
      <c r="B15" s="107" t="s">
        <v>102</v>
      </c>
      <c r="D15" s="338">
        <v>5.4933333333333332</v>
      </c>
      <c r="E15" s="338">
        <v>5.6581333333333328</v>
      </c>
      <c r="F15" s="338">
        <v>5.6457561666666676</v>
      </c>
      <c r="G15" s="338">
        <v>5.7213364508333333</v>
      </c>
      <c r="H15" s="338">
        <v>5.6997641986416658</v>
      </c>
      <c r="I15" s="338">
        <v>5.7712527665568336</v>
      </c>
      <c r="J15" s="338">
        <v>5.8419008607681322</v>
      </c>
      <c r="K15" s="338">
        <v>5.9115937131422074</v>
      </c>
      <c r="L15" s="338">
        <v>6.088941524536474</v>
      </c>
      <c r="M15" s="338">
        <v>6.1596167386605574</v>
      </c>
      <c r="N15" s="338">
        <v>6.3444052408203753</v>
      </c>
      <c r="O15" s="338">
        <v>6.4159239908078041</v>
      </c>
      <c r="P15" s="338">
        <v>6.6084017105320383</v>
      </c>
      <c r="Q15" s="338">
        <v>6.680604618110074</v>
      </c>
      <c r="R15" s="338">
        <v>6.7511921386033125</v>
      </c>
      <c r="S15" s="338">
        <v>6.8200023661698452</v>
      </c>
      <c r="T15" s="338">
        <v>6.8868651344656273</v>
      </c>
      <c r="U15" s="338">
        <v>6.951601666729605</v>
      </c>
      <c r="V15" s="338">
        <v>7.014024212308402</v>
      </c>
      <c r="W15" s="338">
        <v>7.0739356691218687</v>
      </c>
      <c r="X15" s="338">
        <v>7.1311291915530655</v>
      </c>
      <c r="Y15" s="338">
        <v>7.1853877832279265</v>
      </c>
      <c r="Z15" s="338">
        <v>7.2396463749027831</v>
      </c>
      <c r="AA15" s="338">
        <v>7.2939049665776494</v>
      </c>
      <c r="AB15" s="338">
        <v>7.3481635582525087</v>
      </c>
      <c r="AC15" s="338">
        <v>7.402422149927367</v>
      </c>
      <c r="AD15" s="338">
        <v>7.4566807416022245</v>
      </c>
      <c r="AE15" s="338">
        <v>7.5109393332770908</v>
      </c>
      <c r="AF15" s="338">
        <v>7.5651979249519501</v>
      </c>
      <c r="AG15" s="338">
        <v>7.6194565166268085</v>
      </c>
      <c r="AH15" s="338">
        <v>7.6737151083016668</v>
      </c>
    </row>
    <row r="16" spans="1:34">
      <c r="A16" s="107">
        <v>2</v>
      </c>
      <c r="B16" s="107" t="s">
        <v>103</v>
      </c>
      <c r="D16" s="338">
        <v>4.3775000000000004</v>
      </c>
      <c r="E16" s="338">
        <v>4.5088249999999999</v>
      </c>
      <c r="F16" s="338">
        <v>4.7351503333333334</v>
      </c>
      <c r="G16" s="338">
        <v>4.8772048433333328</v>
      </c>
      <c r="H16" s="338">
        <v>5.023520988633333</v>
      </c>
      <c r="I16" s="338">
        <v>5.1742266182923329</v>
      </c>
      <c r="J16" s="338">
        <v>5.3294534168411039</v>
      </c>
      <c r="K16" s="338">
        <v>5.2782086724483994</v>
      </c>
      <c r="L16" s="338">
        <v>5.2190927353169778</v>
      </c>
      <c r="M16" s="338">
        <v>5.0396864225404565</v>
      </c>
      <c r="N16" s="338">
        <v>4.9601713700959298</v>
      </c>
      <c r="O16" s="338">
        <v>4.8713496967244438</v>
      </c>
      <c r="P16" s="338">
        <v>4.8951123781718797</v>
      </c>
      <c r="Q16" s="338">
        <v>4.9159166057791106</v>
      </c>
      <c r="R16" s="338">
        <v>4.8037328678523572</v>
      </c>
      <c r="S16" s="338">
        <v>4.8141193172963614</v>
      </c>
      <c r="T16" s="338">
        <v>4.8208055941259396</v>
      </c>
      <c r="U16" s="338">
        <v>4.9654297619497179</v>
      </c>
      <c r="V16" s="338">
        <v>5.114392654808209</v>
      </c>
      <c r="W16" s="338">
        <v>5.117315164896671</v>
      </c>
      <c r="X16" s="338">
        <v>5.27083461984357</v>
      </c>
      <c r="Y16" s="338">
        <v>5.4289596584388775</v>
      </c>
      <c r="Z16" s="338">
        <v>5.5870846970341832</v>
      </c>
      <c r="AA16" s="338">
        <v>5.7452097356294916</v>
      </c>
      <c r="AB16" s="338">
        <v>5.9033347742247999</v>
      </c>
      <c r="AC16" s="338">
        <v>6.0614598128201083</v>
      </c>
      <c r="AD16" s="338">
        <v>6.2195848514154086</v>
      </c>
      <c r="AE16" s="338">
        <v>6.377709890010717</v>
      </c>
      <c r="AF16" s="338">
        <v>6.5358349286060253</v>
      </c>
      <c r="AG16" s="338">
        <v>6.6939599672013337</v>
      </c>
      <c r="AH16" s="338">
        <v>6.852085005796642</v>
      </c>
    </row>
    <row r="17" spans="1:44">
      <c r="A17" s="107">
        <v>3</v>
      </c>
      <c r="B17" s="107" t="s">
        <v>306</v>
      </c>
      <c r="D17" s="328">
        <v>0</v>
      </c>
      <c r="E17" s="328">
        <v>0</v>
      </c>
      <c r="F17" s="328">
        <v>0</v>
      </c>
      <c r="G17" s="328">
        <v>0</v>
      </c>
      <c r="H17" s="328">
        <v>0</v>
      </c>
      <c r="I17" s="328">
        <v>0</v>
      </c>
      <c r="J17" s="328">
        <v>0</v>
      </c>
      <c r="K17" s="328">
        <v>0</v>
      </c>
      <c r="L17" s="328">
        <v>0</v>
      </c>
      <c r="M17" s="328">
        <v>0</v>
      </c>
      <c r="N17" s="328">
        <v>0</v>
      </c>
      <c r="O17" s="328">
        <v>0</v>
      </c>
      <c r="P17" s="328">
        <v>0</v>
      </c>
      <c r="Q17" s="328">
        <v>0</v>
      </c>
      <c r="R17" s="328">
        <v>0</v>
      </c>
      <c r="S17" s="328">
        <v>0</v>
      </c>
      <c r="T17" s="328">
        <v>0</v>
      </c>
      <c r="U17" s="328">
        <v>0</v>
      </c>
      <c r="V17" s="328">
        <v>0</v>
      </c>
      <c r="W17" s="328">
        <v>0</v>
      </c>
      <c r="X17" s="328">
        <v>0</v>
      </c>
      <c r="Y17" s="328">
        <v>0</v>
      </c>
      <c r="Z17" s="328">
        <v>0</v>
      </c>
      <c r="AA17" s="328">
        <v>0</v>
      </c>
      <c r="AB17" s="328">
        <v>0</v>
      </c>
      <c r="AC17" s="328">
        <v>0</v>
      </c>
      <c r="AD17" s="328">
        <v>0</v>
      </c>
      <c r="AE17" s="328">
        <v>0</v>
      </c>
      <c r="AF17" s="328">
        <v>0</v>
      </c>
      <c r="AG17" s="328">
        <v>0</v>
      </c>
      <c r="AH17" s="328">
        <v>0</v>
      </c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</row>
    <row r="18" spans="1:44">
      <c r="A18" s="107">
        <v>4</v>
      </c>
      <c r="B18" s="107" t="s">
        <v>40</v>
      </c>
      <c r="D18" s="453">
        <v>0</v>
      </c>
      <c r="E18" s="453">
        <v>0</v>
      </c>
      <c r="F18" s="453">
        <v>0</v>
      </c>
      <c r="G18" s="453">
        <v>0</v>
      </c>
      <c r="H18" s="453">
        <v>0</v>
      </c>
      <c r="I18" s="453">
        <v>0</v>
      </c>
      <c r="J18" s="453">
        <v>0</v>
      </c>
      <c r="K18" s="453">
        <v>0</v>
      </c>
      <c r="L18" s="453">
        <v>0</v>
      </c>
      <c r="M18" s="453">
        <v>0</v>
      </c>
      <c r="N18" s="453">
        <v>0</v>
      </c>
      <c r="O18" s="453">
        <v>0</v>
      </c>
      <c r="P18" s="453">
        <v>0</v>
      </c>
      <c r="Q18" s="453">
        <v>0</v>
      </c>
      <c r="R18" s="453">
        <v>0</v>
      </c>
      <c r="S18" s="453">
        <v>0</v>
      </c>
      <c r="T18" s="453">
        <v>0</v>
      </c>
      <c r="U18" s="453">
        <v>0</v>
      </c>
      <c r="V18" s="453">
        <v>0</v>
      </c>
      <c r="W18" s="453">
        <v>0</v>
      </c>
      <c r="X18" s="453">
        <v>0</v>
      </c>
      <c r="Y18" s="453">
        <v>0</v>
      </c>
      <c r="Z18" s="453">
        <v>0</v>
      </c>
      <c r="AA18" s="453">
        <v>0</v>
      </c>
      <c r="AB18" s="453">
        <v>0</v>
      </c>
      <c r="AC18" s="453">
        <v>0</v>
      </c>
      <c r="AD18" s="453">
        <v>0</v>
      </c>
      <c r="AE18" s="453">
        <v>0</v>
      </c>
      <c r="AF18" s="453">
        <v>0</v>
      </c>
      <c r="AG18" s="453">
        <v>0</v>
      </c>
      <c r="AH18" s="453">
        <v>0</v>
      </c>
    </row>
    <row r="19" spans="1:44">
      <c r="A19" s="372">
        <f>Assumptions!V13</f>
        <v>1</v>
      </c>
      <c r="B19" s="107" t="s">
        <v>140</v>
      </c>
      <c r="C19" s="146"/>
      <c r="D19" s="452">
        <f t="shared" ref="D19:AH19" si="4">CHOOSE($A$19,D15,D16,D17,D18)</f>
        <v>5.4933333333333332</v>
      </c>
      <c r="E19" s="452">
        <f t="shared" si="4"/>
        <v>5.6581333333333328</v>
      </c>
      <c r="F19" s="452">
        <f t="shared" si="4"/>
        <v>5.6457561666666676</v>
      </c>
      <c r="G19" s="452">
        <f t="shared" si="4"/>
        <v>5.7213364508333333</v>
      </c>
      <c r="H19" s="452">
        <f t="shared" si="4"/>
        <v>5.6997641986416658</v>
      </c>
      <c r="I19" s="452">
        <f t="shared" si="4"/>
        <v>5.7712527665568336</v>
      </c>
      <c r="J19" s="452">
        <f t="shared" si="4"/>
        <v>5.8419008607681322</v>
      </c>
      <c r="K19" s="452">
        <f t="shared" si="4"/>
        <v>5.9115937131422074</v>
      </c>
      <c r="L19" s="452">
        <f t="shared" si="4"/>
        <v>6.088941524536474</v>
      </c>
      <c r="M19" s="452">
        <f t="shared" si="4"/>
        <v>6.1596167386605574</v>
      </c>
      <c r="N19" s="452">
        <f t="shared" si="4"/>
        <v>6.3444052408203753</v>
      </c>
      <c r="O19" s="452">
        <f t="shared" si="4"/>
        <v>6.4159239908078041</v>
      </c>
      <c r="P19" s="452">
        <f t="shared" si="4"/>
        <v>6.6084017105320383</v>
      </c>
      <c r="Q19" s="452">
        <f t="shared" si="4"/>
        <v>6.680604618110074</v>
      </c>
      <c r="R19" s="452">
        <f t="shared" si="4"/>
        <v>6.7511921386033125</v>
      </c>
      <c r="S19" s="452">
        <f t="shared" si="4"/>
        <v>6.8200023661698452</v>
      </c>
      <c r="T19" s="452">
        <f t="shared" si="4"/>
        <v>6.8868651344656273</v>
      </c>
      <c r="U19" s="452">
        <f t="shared" si="4"/>
        <v>6.951601666729605</v>
      </c>
      <c r="V19" s="452">
        <f t="shared" si="4"/>
        <v>7.014024212308402</v>
      </c>
      <c r="W19" s="452">
        <f t="shared" si="4"/>
        <v>7.0739356691218687</v>
      </c>
      <c r="X19" s="452">
        <f t="shared" si="4"/>
        <v>7.1311291915530655</v>
      </c>
      <c r="Y19" s="452">
        <f t="shared" si="4"/>
        <v>7.1853877832279265</v>
      </c>
      <c r="Z19" s="452">
        <f t="shared" si="4"/>
        <v>7.2396463749027831</v>
      </c>
      <c r="AA19" s="452">
        <f t="shared" si="4"/>
        <v>7.2939049665776494</v>
      </c>
      <c r="AB19" s="452">
        <f t="shared" si="4"/>
        <v>7.3481635582525087</v>
      </c>
      <c r="AC19" s="452">
        <f t="shared" si="4"/>
        <v>7.402422149927367</v>
      </c>
      <c r="AD19" s="452">
        <f t="shared" si="4"/>
        <v>7.4566807416022245</v>
      </c>
      <c r="AE19" s="452">
        <f t="shared" si="4"/>
        <v>7.5109393332770908</v>
      </c>
      <c r="AF19" s="452">
        <f t="shared" si="4"/>
        <v>7.5651979249519501</v>
      </c>
      <c r="AG19" s="452">
        <f t="shared" si="4"/>
        <v>7.6194565166268085</v>
      </c>
      <c r="AH19" s="452">
        <f t="shared" si="4"/>
        <v>7.6737151083016668</v>
      </c>
    </row>
    <row r="20" spans="1:44">
      <c r="C20" s="146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3"/>
      <c r="Z20" s="148"/>
      <c r="AA20" s="148"/>
    </row>
    <row r="21" spans="1:44">
      <c r="B21" s="27" t="s">
        <v>414</v>
      </c>
      <c r="C21" s="146"/>
      <c r="D21" s="471">
        <f>IF(AND(C7&lt;$D$7+Assumptions!$H$52,D7&lt;$D$7+Assumptions!$H$52),D12,IF(AND(C7&lt;$D$7+Assumptions!$H$52,D7&gt;=$D$7+Assumptions!$H$52),D12*(1-$D$7)+D19*$D$7,D19))</f>
        <v>4.75</v>
      </c>
      <c r="E21" s="472">
        <f>IF(AND(D7&lt;$D$7+Assumptions!$H$52,E7&lt;$D$7+Assumptions!$H$52),E12,IF(AND(D7&lt;$D$7+Assumptions!$H$52,E7&gt;=$D$7+Assumptions!$H$52),E12*(1-$D$7)+E19*$D$7,E19))</f>
        <v>4.75</v>
      </c>
      <c r="F21" s="472">
        <f>IF(AND(E7&lt;$D$7+Assumptions!$H$52,F7&lt;$D$7+Assumptions!$H$52),F12,IF(AND(E7&lt;$D$7+Assumptions!$H$52,F7&gt;=$D$7+Assumptions!$H$52),F12*(1-$D$7)+F19*$D$7,F19))</f>
        <v>4.75</v>
      </c>
      <c r="G21" s="472">
        <f>IF(AND(F7&lt;$D$7+Assumptions!$H$52,G7&lt;$D$7+Assumptions!$H$52),G12,IF(AND(F7&lt;$D$7+Assumptions!$H$52,G7&gt;=$D$7+Assumptions!$H$52),G12*(1-$D$7)+G19*$D$7,G19))</f>
        <v>5.3975576338888889</v>
      </c>
      <c r="H21" s="472">
        <f>IF(AND(G7&lt;$D$7+Assumptions!$H$52,H7&lt;$D$7+Assumptions!$H$52),H12,IF(AND(G7&lt;$D$7+Assumptions!$H$52,H7&gt;=$D$7+Assumptions!$H$52),H12*(1-$D$7)+H19*$D$7,H19))</f>
        <v>5.6997641986416658</v>
      </c>
      <c r="I21" s="472">
        <f>IF(AND(H7&lt;$D$7+Assumptions!$H$52,I7&lt;$D$7+Assumptions!$H$52),I12,IF(AND(H7&lt;$D$7+Assumptions!$H$52,I7&gt;=$D$7+Assumptions!$H$52),I12*(1-$D$7)+I19*$D$7,I19))</f>
        <v>5.7712527665568336</v>
      </c>
      <c r="J21" s="472">
        <f>IF(AND(I7&lt;$D$7+Assumptions!$H$52,J7&lt;$D$7+Assumptions!$H$52),J12,IF(AND(I7&lt;$D$7+Assumptions!$H$52,J7&gt;=$D$7+Assumptions!$H$52),J12*(1-$D$7)+J19*$D$7,J19))</f>
        <v>5.8419008607681322</v>
      </c>
      <c r="K21" s="472">
        <f>IF(AND(J7&lt;$D$7+Assumptions!$H$52,K7&lt;$D$7+Assumptions!$H$52),K12,IF(AND(J7&lt;$D$7+Assumptions!$H$52,K7&gt;=$D$7+Assumptions!$H$52),K12*(1-$D$7)+K19*$D$7,K19))</f>
        <v>5.9115937131422074</v>
      </c>
      <c r="L21" s="472">
        <f>IF(AND(K7&lt;$D$7+Assumptions!$H$52,L7&lt;$D$7+Assumptions!$H$52),L12,IF(AND(K7&lt;$D$7+Assumptions!$H$52,L7&gt;=$D$7+Assumptions!$H$52),L12*(1-$D$7)+L19*$D$7,L19))</f>
        <v>6.088941524536474</v>
      </c>
      <c r="M21" s="472">
        <f>IF(AND(L7&lt;$D$7+Assumptions!$H$52,M7&lt;$D$7+Assumptions!$H$52),M12,IF(AND(L7&lt;$D$7+Assumptions!$H$52,M7&gt;=$D$7+Assumptions!$H$52),M12*(1-$D$7)+M19*$D$7,M19))</f>
        <v>6.1596167386605574</v>
      </c>
      <c r="N21" s="472">
        <f>IF(AND(M7&lt;$D$7+Assumptions!$H$52,N7&lt;$D$7+Assumptions!$H$52),N12,IF(AND(M7&lt;$D$7+Assumptions!$H$52,N7&gt;=$D$7+Assumptions!$H$52),N12*(1-$D$7)+N19*$D$7,N19))</f>
        <v>6.3444052408203753</v>
      </c>
      <c r="O21" s="472">
        <f>IF(AND(N7&lt;$D$7+Assumptions!$H$52,O7&lt;$D$7+Assumptions!$H$52),O12,IF(AND(N7&lt;$D$7+Assumptions!$H$52,O7&gt;=$D$7+Assumptions!$H$52),O12*(1-$D$7)+O19*$D$7,O19))</f>
        <v>6.4159239908078041</v>
      </c>
      <c r="P21" s="472">
        <f>IF(AND(O7&lt;$D$7+Assumptions!$H$52,P7&lt;$D$7+Assumptions!$H$52),P12,IF(AND(O7&lt;$D$7+Assumptions!$H$52,P7&gt;=$D$7+Assumptions!$H$52),P12*(1-$D$7)+P19*$D$7,P19))</f>
        <v>6.6084017105320383</v>
      </c>
      <c r="Q21" s="473">
        <f>IF(AND(P7&lt;$D$7+Assumptions!$H$52,Q7&lt;$D$7+Assumptions!$H$52),Q12,IF(AND(P7&lt;$D$7+Assumptions!$H$52,Q7&gt;=$D$7+Assumptions!$H$52),Q12*(1-$D$7)+Q19*$D$7,Q19))</f>
        <v>6.680604618110074</v>
      </c>
      <c r="R21" s="472">
        <f>IF(AND(Q7&lt;$D$7+Assumptions!$H$52,R7&lt;$D$7+Assumptions!$H$52),R12,IF(AND(Q7&lt;$D$7+Assumptions!$H$52,R7&gt;=$D$7+Assumptions!$H$52),R12*(1-$D$7)+R19*$D$7,R19))</f>
        <v>6.7511921386033125</v>
      </c>
      <c r="S21" s="472">
        <f>IF(AND(R7&lt;$D$7+Assumptions!$H$52,S7&lt;$D$7+Assumptions!$H$52),S12,IF(AND(R7&lt;$D$7+Assumptions!$H$52,S7&gt;=$D$7+Assumptions!$H$52),S12*(1-$D$7)+S19*$D$7,S19))</f>
        <v>6.8200023661698452</v>
      </c>
      <c r="T21" s="472">
        <f>IF(AND(S7&lt;$D$7+Assumptions!$H$52,T7&lt;$D$7+Assumptions!$H$52),T12,IF(AND(S7&lt;$D$7+Assumptions!$H$52,T7&gt;=$D$7+Assumptions!$H$52),T12*(1-$D$7)+T19*$D$7,T19))</f>
        <v>6.8868651344656273</v>
      </c>
      <c r="U21" s="472">
        <f>IF(AND(T7&lt;$D$7+Assumptions!$H$52,U7&lt;$D$7+Assumptions!$H$52),U12,IF(AND(T7&lt;$D$7+Assumptions!$H$52,U7&gt;=$D$7+Assumptions!$H$52),U12*(1-$D$7)+U19*$D$7,U19))</f>
        <v>6.951601666729605</v>
      </c>
      <c r="V21" s="472">
        <f>IF(AND(U7&lt;$D$7+Assumptions!$H$52,V7&lt;$D$7+Assumptions!$H$52),V12,IF(AND(U7&lt;$D$7+Assumptions!$H$52,V7&gt;=$D$7+Assumptions!$H$52),V12*(1-$D$7)+V19*$D$7,V19))</f>
        <v>7.014024212308402</v>
      </c>
      <c r="W21" s="472">
        <f>IF(AND(V7&lt;$D$7+Assumptions!$H$52,W7&lt;$D$7+Assumptions!$H$52),W12,IF(AND(V7&lt;$D$7+Assumptions!$H$52,W7&gt;=$D$7+Assumptions!$H$52),W12*(1-$D$7)+W19*$D$7,W19))</f>
        <v>7.0739356691218687</v>
      </c>
      <c r="X21" s="472">
        <f>IF(AND(W7&lt;$D$7+Assumptions!$H$52,X7&lt;$D$7+Assumptions!$H$52),X12,IF(AND(W7&lt;$D$7+Assumptions!$H$52,X7&gt;=$D$7+Assumptions!$H$52),X12*(1-$D$7)+X19*$D$7,X19))</f>
        <v>7.1311291915530655</v>
      </c>
      <c r="Y21" s="472">
        <f>IF(AND(X7&lt;$D$7+Assumptions!$H$52,Y7&lt;$D$7+Assumptions!$H$52),Y12,IF(AND(X7&lt;$D$7+Assumptions!$H$52,Y7&gt;=$D$7+Assumptions!$H$52),Y12*(1-$D$7)+Y19*$D$7,Y19))</f>
        <v>7.1853877832279265</v>
      </c>
      <c r="Z21" s="472">
        <f>IF(AND(Y7&lt;$D$7+Assumptions!$H$52,Z7&lt;$D$7+Assumptions!$H$52),Z12,IF(AND(Y7&lt;$D$7+Assumptions!$H$52,Z7&gt;=$D$7+Assumptions!$H$52),Z12*(1-$D$7)+Z19*$D$7,Z19))</f>
        <v>7.2396463749027831</v>
      </c>
      <c r="AA21" s="472">
        <f>IF(AND(Z7&lt;$D$7+Assumptions!$H$52,AA7&lt;$D$7+Assumptions!$H$52),AA12,IF(AND(Z7&lt;$D$7+Assumptions!$H$52,AA7&gt;=$D$7+Assumptions!$H$52),AA12*(1-$D$7)+AA19*$D$7,AA19))</f>
        <v>7.2939049665776494</v>
      </c>
      <c r="AB21" s="472">
        <f>IF(AND(AA7&lt;$D$7+Assumptions!$H$52,AB7&lt;$D$7+Assumptions!$H$52),AB12,IF(AND(AA7&lt;$D$7+Assumptions!$H$52,AB7&gt;=$D$7+Assumptions!$H$52),AB12*(1-$D$7)+AB19*$D$7,AB19))</f>
        <v>7.3481635582525087</v>
      </c>
      <c r="AC21" s="472">
        <f>IF(AND(AB7&lt;$D$7+Assumptions!$H$52,AC7&lt;$D$7+Assumptions!$H$52),AC12,IF(AND(AB7&lt;$D$7+Assumptions!$H$52,AC7&gt;=$D$7+Assumptions!$H$52),AC12*(1-$D$7)+AC19*$D$7,AC19))</f>
        <v>7.402422149927367</v>
      </c>
      <c r="AD21" s="472">
        <f>IF(AND(AC7&lt;$D$7+Assumptions!$H$52,AD7&lt;$D$7+Assumptions!$H$52),AD12,IF(AND(AC7&lt;$D$7+Assumptions!$H$52,AD7&gt;=$D$7+Assumptions!$H$52),AD12*(1-$D$7)+AD19*$D$7,AD19))</f>
        <v>7.4566807416022245</v>
      </c>
      <c r="AE21" s="472">
        <f>IF(AND(AD7&lt;$D$7+Assumptions!$H$52,AE7&lt;$D$7+Assumptions!$H$52),AE12,IF(AND(AD7&lt;$D$7+Assumptions!$H$52,AE7&gt;=$D$7+Assumptions!$H$52),AE12*(1-$D$7)+AE19*$D$7,AE19))</f>
        <v>7.5109393332770908</v>
      </c>
      <c r="AF21" s="472">
        <f>IF(AND(AE7&lt;$D$7+Assumptions!$H$52,AF7&lt;$D$7+Assumptions!$H$52),AF12,IF(AND(AE7&lt;$D$7+Assumptions!$H$52,AF7&gt;=$D$7+Assumptions!$H$52),AF12*(1-$D$7)+AF19*$D$7,AF19))</f>
        <v>7.5651979249519501</v>
      </c>
      <c r="AG21" s="472">
        <f>IF(AND(AF7&lt;$D$7+Assumptions!$H$52,AG7&lt;$D$7+Assumptions!$H$52),AG12,IF(AND(AF7&lt;$D$7+Assumptions!$H$52,AG7&gt;=$D$7+Assumptions!$H$52),AG12*(1-$D$7)+AG19*$D$7,AG19))</f>
        <v>7.6194565166268085</v>
      </c>
      <c r="AH21" s="473">
        <f>IF(AND(AG7&lt;$D$7+Assumptions!$H$52,AH7&lt;$D$7+Assumptions!$H$52),AH12,IF(AND(AG7&lt;$D$7+Assumptions!$H$52,AH7&gt;=$D$7+Assumptions!$H$52),AH12*(1-$D$7)+AH19*$D$7,AH19))</f>
        <v>7.6737151083016668</v>
      </c>
    </row>
    <row r="22" spans="1:44">
      <c r="C22" s="146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3"/>
      <c r="Z22" s="148"/>
      <c r="AA22" s="148"/>
    </row>
    <row r="23" spans="1:44">
      <c r="B23" s="107"/>
      <c r="C23" s="146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44" ht="19.5">
      <c r="B24" s="380" t="s">
        <v>298</v>
      </c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</row>
    <row r="25" spans="1:44">
      <c r="A25" s="107">
        <v>1</v>
      </c>
      <c r="B25" s="107" t="s">
        <v>307</v>
      </c>
      <c r="C25" s="142"/>
      <c r="D25" s="328">
        <v>2.2000000000000002</v>
      </c>
      <c r="E25" s="328">
        <v>2.2000000000000002</v>
      </c>
      <c r="F25" s="328">
        <v>2.2000000000000002</v>
      </c>
      <c r="G25" s="328">
        <v>2.2000000000000002</v>
      </c>
      <c r="H25" s="328">
        <v>2.2000000000000002</v>
      </c>
      <c r="I25" s="328">
        <v>2.2000000000000002</v>
      </c>
      <c r="J25" s="328">
        <v>2.2000000000000002</v>
      </c>
      <c r="K25" s="328">
        <v>2.2000000000000002</v>
      </c>
      <c r="L25" s="328">
        <v>2.2000000000000002</v>
      </c>
      <c r="M25" s="328">
        <v>2.2000000000000002</v>
      </c>
      <c r="N25" s="328">
        <v>2.2000000000000002</v>
      </c>
      <c r="O25" s="328">
        <v>2.2000000000000002</v>
      </c>
      <c r="P25" s="328">
        <v>2.2000000000000002</v>
      </c>
      <c r="Q25" s="328">
        <v>2.2000000000000002</v>
      </c>
      <c r="R25" s="328">
        <v>2.2000000000000002</v>
      </c>
      <c r="S25" s="328">
        <v>2.2000000000000002</v>
      </c>
      <c r="T25" s="328">
        <v>2.2000000000000002</v>
      </c>
      <c r="U25" s="328">
        <v>2.2000000000000002</v>
      </c>
      <c r="V25" s="328">
        <v>2.2000000000000002</v>
      </c>
      <c r="W25" s="328">
        <v>2.2000000000000002</v>
      </c>
      <c r="X25" s="328">
        <v>2.2000000000000002</v>
      </c>
      <c r="Y25" s="328">
        <v>2.2000000000000002</v>
      </c>
      <c r="Z25" s="328">
        <v>2.2000000000000002</v>
      </c>
      <c r="AA25" s="328">
        <v>2.2000000000000002</v>
      </c>
      <c r="AB25" s="328">
        <v>2.2000000000000002</v>
      </c>
      <c r="AC25" s="328">
        <v>2.2000000000000002</v>
      </c>
      <c r="AD25" s="328">
        <v>2.2000000000000002</v>
      </c>
      <c r="AE25" s="328">
        <v>2.2000000000000002</v>
      </c>
      <c r="AF25" s="328">
        <v>2.2000000000000002</v>
      </c>
      <c r="AG25" s="328">
        <v>2.2000000000000002</v>
      </c>
      <c r="AH25" s="328">
        <v>2.2000000000000002</v>
      </c>
    </row>
    <row r="26" spans="1:44">
      <c r="A26" s="107">
        <v>2</v>
      </c>
      <c r="B26" s="107" t="s">
        <v>302</v>
      </c>
      <c r="C26" s="107"/>
      <c r="D26" s="328">
        <v>2.5</v>
      </c>
      <c r="E26" s="328">
        <v>2.5</v>
      </c>
      <c r="F26" s="328">
        <v>2.5</v>
      </c>
      <c r="G26" s="328">
        <v>2.5</v>
      </c>
      <c r="H26" s="328">
        <v>2.5</v>
      </c>
      <c r="I26" s="328">
        <v>2.5</v>
      </c>
      <c r="J26" s="328">
        <v>2.5</v>
      </c>
      <c r="K26" s="328">
        <v>2.5</v>
      </c>
      <c r="L26" s="328">
        <v>2.5</v>
      </c>
      <c r="M26" s="328">
        <v>2.5</v>
      </c>
      <c r="N26" s="328">
        <v>2.5</v>
      </c>
      <c r="O26" s="328">
        <v>2.5</v>
      </c>
      <c r="P26" s="328">
        <v>2.5</v>
      </c>
      <c r="Q26" s="328">
        <v>2.5</v>
      </c>
      <c r="R26" s="328">
        <v>2.5</v>
      </c>
      <c r="S26" s="328">
        <v>2.5</v>
      </c>
      <c r="T26" s="328">
        <v>2.5</v>
      </c>
      <c r="U26" s="328">
        <v>2.5</v>
      </c>
      <c r="V26" s="328">
        <v>2.5</v>
      </c>
      <c r="W26" s="328">
        <v>2.5</v>
      </c>
      <c r="X26" s="328">
        <v>2.5</v>
      </c>
      <c r="Y26" s="328">
        <v>2.5</v>
      </c>
      <c r="Z26" s="328">
        <v>2.5</v>
      </c>
      <c r="AA26" s="328">
        <v>2.5</v>
      </c>
      <c r="AB26" s="328">
        <v>2.5</v>
      </c>
      <c r="AC26" s="328">
        <v>2.5</v>
      </c>
      <c r="AD26" s="328">
        <v>2.5</v>
      </c>
      <c r="AE26" s="328">
        <v>2.5</v>
      </c>
      <c r="AF26" s="328">
        <v>2.5</v>
      </c>
      <c r="AG26" s="328">
        <v>2.5</v>
      </c>
      <c r="AH26" s="328">
        <v>2.5</v>
      </c>
    </row>
    <row r="27" spans="1:44">
      <c r="A27" s="107">
        <v>3</v>
      </c>
      <c r="B27" s="107" t="s">
        <v>303</v>
      </c>
      <c r="C27" s="107"/>
      <c r="D27" s="333">
        <v>1.5</v>
      </c>
      <c r="E27" s="333">
        <v>1.5</v>
      </c>
      <c r="F27" s="333">
        <v>1.5</v>
      </c>
      <c r="G27" s="333">
        <v>1.5</v>
      </c>
      <c r="H27" s="333">
        <v>1.5</v>
      </c>
      <c r="I27" s="333">
        <v>1.5</v>
      </c>
      <c r="J27" s="333">
        <v>1.5</v>
      </c>
      <c r="K27" s="333">
        <v>1.5</v>
      </c>
      <c r="L27" s="333">
        <v>1.5</v>
      </c>
      <c r="M27" s="333">
        <v>1.5</v>
      </c>
      <c r="N27" s="333">
        <v>1.5</v>
      </c>
      <c r="O27" s="333">
        <v>1.5</v>
      </c>
      <c r="P27" s="333">
        <v>1.5</v>
      </c>
      <c r="Q27" s="333">
        <v>1.5</v>
      </c>
      <c r="R27" s="333">
        <v>1.5</v>
      </c>
      <c r="S27" s="333">
        <v>1.5</v>
      </c>
      <c r="T27" s="333">
        <v>1.5</v>
      </c>
      <c r="U27" s="333">
        <v>1.5</v>
      </c>
      <c r="V27" s="333">
        <v>1.5</v>
      </c>
      <c r="W27" s="333">
        <v>1.5</v>
      </c>
      <c r="X27" s="333">
        <v>1.5</v>
      </c>
      <c r="Y27" s="333">
        <v>1.5</v>
      </c>
      <c r="Z27" s="333">
        <v>1.5</v>
      </c>
      <c r="AA27" s="333">
        <v>1.5</v>
      </c>
      <c r="AB27" s="333">
        <v>1.5</v>
      </c>
      <c r="AC27" s="333">
        <v>1.5</v>
      </c>
      <c r="AD27" s="333">
        <v>1.5</v>
      </c>
      <c r="AE27" s="333">
        <v>1.5</v>
      </c>
      <c r="AF27" s="333">
        <v>1.5</v>
      </c>
      <c r="AG27" s="333">
        <v>1.5</v>
      </c>
      <c r="AH27" s="333">
        <v>1.5</v>
      </c>
    </row>
    <row r="28" spans="1:44">
      <c r="B28" s="107" t="s">
        <v>304</v>
      </c>
      <c r="C28" s="107"/>
      <c r="D28" s="371">
        <f>Assumptions!$N$63</f>
        <v>1.4999999999999999E-2</v>
      </c>
      <c r="E28" s="371">
        <f>Assumptions!$N$63</f>
        <v>1.4999999999999999E-2</v>
      </c>
      <c r="F28" s="371">
        <f>Assumptions!$N$63</f>
        <v>1.4999999999999999E-2</v>
      </c>
      <c r="G28" s="371">
        <f>Assumptions!$N$63</f>
        <v>1.4999999999999999E-2</v>
      </c>
      <c r="H28" s="371">
        <f>Assumptions!$N$63</f>
        <v>1.4999999999999999E-2</v>
      </c>
      <c r="I28" s="371">
        <f>Assumptions!$N$63</f>
        <v>1.4999999999999999E-2</v>
      </c>
      <c r="J28" s="371">
        <f>Assumptions!$N$63</f>
        <v>1.4999999999999999E-2</v>
      </c>
      <c r="K28" s="371">
        <f>Assumptions!$N$63</f>
        <v>1.4999999999999999E-2</v>
      </c>
      <c r="L28" s="371">
        <f>Assumptions!$N$63</f>
        <v>1.4999999999999999E-2</v>
      </c>
      <c r="M28" s="371">
        <f>Assumptions!$N$63</f>
        <v>1.4999999999999999E-2</v>
      </c>
      <c r="N28" s="371">
        <f>Assumptions!$N$63</f>
        <v>1.4999999999999999E-2</v>
      </c>
      <c r="O28" s="371">
        <f>Assumptions!$N$63</f>
        <v>1.4999999999999999E-2</v>
      </c>
      <c r="P28" s="371">
        <f>Assumptions!$N$63</f>
        <v>1.4999999999999999E-2</v>
      </c>
      <c r="Q28" s="371">
        <f>Assumptions!$N$63</f>
        <v>1.4999999999999999E-2</v>
      </c>
      <c r="R28" s="371">
        <f>Assumptions!$N$63</f>
        <v>1.4999999999999999E-2</v>
      </c>
      <c r="S28" s="371">
        <f>Assumptions!$N$63</f>
        <v>1.4999999999999999E-2</v>
      </c>
      <c r="T28" s="371">
        <f>Assumptions!$N$63</f>
        <v>1.4999999999999999E-2</v>
      </c>
      <c r="U28" s="371">
        <f>Assumptions!$N$63</f>
        <v>1.4999999999999999E-2</v>
      </c>
      <c r="V28" s="371">
        <f>Assumptions!$N$63</f>
        <v>1.4999999999999999E-2</v>
      </c>
      <c r="W28" s="371">
        <f>Assumptions!$N$63</f>
        <v>1.4999999999999999E-2</v>
      </c>
      <c r="X28" s="371">
        <f>Assumptions!$N$63</f>
        <v>1.4999999999999999E-2</v>
      </c>
      <c r="Y28" s="371">
        <f>Assumptions!$N$63</f>
        <v>1.4999999999999999E-2</v>
      </c>
      <c r="Z28" s="371">
        <f>Assumptions!$N$63</f>
        <v>1.4999999999999999E-2</v>
      </c>
      <c r="AA28" s="371">
        <f>Assumptions!$N$63</f>
        <v>1.4999999999999999E-2</v>
      </c>
      <c r="AB28" s="371">
        <f>Assumptions!$N$63</f>
        <v>1.4999999999999999E-2</v>
      </c>
      <c r="AC28" s="371">
        <f>Assumptions!$N$63</f>
        <v>1.4999999999999999E-2</v>
      </c>
      <c r="AD28" s="371">
        <f>Assumptions!$N$63</f>
        <v>1.4999999999999999E-2</v>
      </c>
      <c r="AE28" s="371">
        <f>Assumptions!$N$63</f>
        <v>1.4999999999999999E-2</v>
      </c>
      <c r="AF28" s="371">
        <f>Assumptions!$N$63</f>
        <v>1.4999999999999999E-2</v>
      </c>
      <c r="AG28" s="371">
        <f>Assumptions!$N$63</f>
        <v>1.4999999999999999E-2</v>
      </c>
      <c r="AH28" s="371">
        <f>Assumptions!$N$63</f>
        <v>1.4999999999999999E-2</v>
      </c>
    </row>
    <row r="29" spans="1:44">
      <c r="B29" s="107"/>
      <c r="C29" s="107"/>
    </row>
    <row r="30" spans="1:44">
      <c r="A30" s="372">
        <v>1</v>
      </c>
      <c r="B30" s="145" t="s">
        <v>299</v>
      </c>
      <c r="D30" s="377">
        <f>IF(Assumptions!$U$14="Index",'Price Assumption'!D25*(1+'Price Assumption'!D28),IF(Assumptions!$U$14="Fixed",'Price Assumption'!D26*(1+'Price Assumption'!D28),'Price Assumption'!D27*(1+'Price Assumption'!D28)))</f>
        <v>1.5225</v>
      </c>
      <c r="E30" s="378">
        <f>IF(Assumptions!$U$14="Index",'Price Assumption'!E25*(1+'Price Assumption'!E28),IF(Assumptions!$U$14="Fixed",'Price Assumption'!E26*(1+'Price Assumption'!E28),'Price Assumption'!E27*(1+'Price Assumption'!E28)))</f>
        <v>1.5225</v>
      </c>
      <c r="F30" s="378">
        <f>IF(Assumptions!$U$14="Index",'Price Assumption'!F25*(1+'Price Assumption'!F28),IF(Assumptions!$U$14="Fixed",'Price Assumption'!F26*(1+'Price Assumption'!F28),'Price Assumption'!F27*(1+'Price Assumption'!F28)))</f>
        <v>1.5225</v>
      </c>
      <c r="G30" s="378">
        <f>IF(Assumptions!$U$14="Index",'Price Assumption'!G25*(1+'Price Assumption'!G28),IF(Assumptions!$U$14="Fixed",'Price Assumption'!G26*(1+'Price Assumption'!G28),'Price Assumption'!G27*(1+'Price Assumption'!G28)))</f>
        <v>1.5225</v>
      </c>
      <c r="H30" s="378">
        <f>IF(Assumptions!$U$14="Index",'Price Assumption'!H25*(1+'Price Assumption'!H28),IF(Assumptions!$U$14="Fixed",'Price Assumption'!H26*(1+'Price Assumption'!H28),'Price Assumption'!H27*(1+'Price Assumption'!H28)))</f>
        <v>1.5225</v>
      </c>
      <c r="I30" s="378">
        <f>IF(Assumptions!$U$14="Index",'Price Assumption'!I25*(1+'Price Assumption'!I28),IF(Assumptions!$U$14="Fixed",'Price Assumption'!I26*(1+'Price Assumption'!I28),'Price Assumption'!I27*(1+'Price Assumption'!I28)))</f>
        <v>1.5225</v>
      </c>
      <c r="J30" s="378">
        <f>IF(Assumptions!$U$14="Index",'Price Assumption'!J25*(1+'Price Assumption'!J28),IF(Assumptions!$U$14="Fixed",'Price Assumption'!J26*(1+'Price Assumption'!J28),'Price Assumption'!J27*(1+'Price Assumption'!J28)))</f>
        <v>1.5225</v>
      </c>
      <c r="K30" s="378">
        <f>IF(Assumptions!$U$14="Index",'Price Assumption'!K25*(1+'Price Assumption'!K28),IF(Assumptions!$U$14="Fixed",'Price Assumption'!K26*(1+'Price Assumption'!K28),'Price Assumption'!K27*(1+'Price Assumption'!K28)))</f>
        <v>1.5225</v>
      </c>
      <c r="L30" s="378">
        <f>IF(Assumptions!$U$14="Index",'Price Assumption'!L25*(1+'Price Assumption'!L28),IF(Assumptions!$U$14="Fixed",'Price Assumption'!L26*(1+'Price Assumption'!L28),'Price Assumption'!L27*(1+'Price Assumption'!L28)))</f>
        <v>1.5225</v>
      </c>
      <c r="M30" s="378">
        <f>IF(Assumptions!$U$14="Index",'Price Assumption'!M25*(1+'Price Assumption'!M28),IF(Assumptions!$U$14="Fixed",'Price Assumption'!M26*(1+'Price Assumption'!M28),'Price Assumption'!M27*(1+'Price Assumption'!M28)))</f>
        <v>1.5225</v>
      </c>
      <c r="N30" s="378">
        <f>IF(Assumptions!$U$14="Index",'Price Assumption'!N25*(1+'Price Assumption'!N28),IF(Assumptions!$U$14="Fixed",'Price Assumption'!N26*(1+'Price Assumption'!N28),'Price Assumption'!N27*(1+'Price Assumption'!N28)))</f>
        <v>1.5225</v>
      </c>
      <c r="O30" s="378">
        <f>IF(Assumptions!$U$14="Index",'Price Assumption'!O25*(1+'Price Assumption'!O28),IF(Assumptions!$U$14="Fixed",'Price Assumption'!O26*(1+'Price Assumption'!O28),'Price Assumption'!O27*(1+'Price Assumption'!O28)))</f>
        <v>1.5225</v>
      </c>
      <c r="P30" s="378">
        <f>IF(Assumptions!$U$14="Index",'Price Assumption'!P25*(1+'Price Assumption'!P28),IF(Assumptions!$U$14="Fixed",'Price Assumption'!P26*(1+'Price Assumption'!P28),'Price Assumption'!P27*(1+'Price Assumption'!P28)))</f>
        <v>1.5225</v>
      </c>
      <c r="Q30" s="379">
        <f>IF(Assumptions!$U$14="Index",'Price Assumption'!Q25*(1+'Price Assumption'!Q28),IF(Assumptions!$U$14="Fixed",'Price Assumption'!Q26*(1+'Price Assumption'!Q28),'Price Assumption'!Q27*(1+'Price Assumption'!Q28)))</f>
        <v>1.5225</v>
      </c>
      <c r="R30" s="378">
        <f>IF(Assumptions!$U$14="Index",'Price Assumption'!R25*(1+'Price Assumption'!R28),IF(Assumptions!$U$14="Fixed",'Price Assumption'!R26*(1+'Price Assumption'!R28),'Price Assumption'!R27*(1+'Price Assumption'!R28)))</f>
        <v>1.5225</v>
      </c>
      <c r="S30" s="378">
        <f>IF(Assumptions!$U$14="Index",'Price Assumption'!S25*(1+'Price Assumption'!S28),IF(Assumptions!$U$14="Fixed",'Price Assumption'!S26*(1+'Price Assumption'!S28),'Price Assumption'!S27*(1+'Price Assumption'!S28)))</f>
        <v>1.5225</v>
      </c>
      <c r="T30" s="378">
        <f>IF(Assumptions!$U$14="Index",'Price Assumption'!T25*(1+'Price Assumption'!T28),IF(Assumptions!$U$14="Fixed",'Price Assumption'!T26*(1+'Price Assumption'!T28),'Price Assumption'!T27*(1+'Price Assumption'!T28)))</f>
        <v>1.5225</v>
      </c>
      <c r="U30" s="378">
        <f>IF(Assumptions!$U$14="Index",'Price Assumption'!U25*(1+'Price Assumption'!U28),IF(Assumptions!$U$14="Fixed",'Price Assumption'!U26*(1+'Price Assumption'!U28),'Price Assumption'!U27*(1+'Price Assumption'!U28)))</f>
        <v>1.5225</v>
      </c>
      <c r="V30" s="378">
        <f>IF(Assumptions!$U$14="Index",'Price Assumption'!V25*(1+'Price Assumption'!V28),IF(Assumptions!$U$14="Fixed",'Price Assumption'!V26*(1+'Price Assumption'!V28),'Price Assumption'!V27*(1+'Price Assumption'!V28)))</f>
        <v>1.5225</v>
      </c>
      <c r="W30" s="378">
        <f>IF(Assumptions!$U$14="Index",'Price Assumption'!W25*(1+'Price Assumption'!W28),IF(Assumptions!$U$14="Fixed",'Price Assumption'!W26*(1+'Price Assumption'!W28),'Price Assumption'!W27*(1+'Price Assumption'!W28)))</f>
        <v>1.5225</v>
      </c>
      <c r="X30" s="378">
        <f>IF(Assumptions!$U$14="Index",'Price Assumption'!X25*(1+'Price Assumption'!X28),IF(Assumptions!$U$14="Fixed",'Price Assumption'!X26*(1+'Price Assumption'!X28),'Price Assumption'!X27*(1+'Price Assumption'!X28)))</f>
        <v>1.5225</v>
      </c>
      <c r="Y30" s="378">
        <f>IF(Assumptions!$U$14="Index",'Price Assumption'!Y25*(1+'Price Assumption'!Y28),IF(Assumptions!$U$14="Fixed",'Price Assumption'!Y26*(1+'Price Assumption'!Y28),'Price Assumption'!Y27*(1+'Price Assumption'!Y28)))</f>
        <v>1.5225</v>
      </c>
      <c r="Z30" s="378">
        <f>IF(Assumptions!$U$14="Index",'Price Assumption'!Z25*(1+'Price Assumption'!Z28),IF(Assumptions!$U$14="Fixed",'Price Assumption'!Z26*(1+'Price Assumption'!Z28),'Price Assumption'!Z27*(1+'Price Assumption'!Z28)))</f>
        <v>1.5225</v>
      </c>
      <c r="AA30" s="378">
        <f>IF(Assumptions!$U$14="Index",'Price Assumption'!AA25*(1+'Price Assumption'!AA28),IF(Assumptions!$U$14="Fixed",'Price Assumption'!AA26*(1+'Price Assumption'!AA28),'Price Assumption'!AA27*(1+'Price Assumption'!AA28)))</f>
        <v>1.5225</v>
      </c>
      <c r="AB30" s="378">
        <f>IF(Assumptions!$U$14="Index",'Price Assumption'!AB25*(1+'Price Assumption'!AB28),IF(Assumptions!$U$14="Fixed",'Price Assumption'!AB26*(1+'Price Assumption'!AB28),'Price Assumption'!AB27*(1+'Price Assumption'!AB28)))</f>
        <v>1.5225</v>
      </c>
      <c r="AC30" s="378">
        <f>IF(Assumptions!$U$14="Index",'Price Assumption'!AC25*(1+'Price Assumption'!AC28),IF(Assumptions!$U$14="Fixed",'Price Assumption'!AC26*(1+'Price Assumption'!AC28),'Price Assumption'!AC27*(1+'Price Assumption'!AC28)))</f>
        <v>1.5225</v>
      </c>
      <c r="AD30" s="378">
        <f>IF(Assumptions!$U$14="Index",'Price Assumption'!AD25*(1+'Price Assumption'!AD28),IF(Assumptions!$U$14="Fixed",'Price Assumption'!AD26*(1+'Price Assumption'!AD28),'Price Assumption'!AD27*(1+'Price Assumption'!AD28)))</f>
        <v>1.5225</v>
      </c>
      <c r="AE30" s="378">
        <f>IF(Assumptions!$U$14="Index",'Price Assumption'!AE25*(1+'Price Assumption'!AE28),IF(Assumptions!$U$14="Fixed",'Price Assumption'!AE26*(1+'Price Assumption'!AE28),'Price Assumption'!AE27*(1+'Price Assumption'!AE28)))</f>
        <v>1.5225</v>
      </c>
      <c r="AF30" s="378">
        <f>IF(Assumptions!$U$14="Index",'Price Assumption'!AF25*(1+'Price Assumption'!AF28),IF(Assumptions!$U$14="Fixed",'Price Assumption'!AF26*(1+'Price Assumption'!AF28),'Price Assumption'!AF27*(1+'Price Assumption'!AF28)))</f>
        <v>1.5225</v>
      </c>
      <c r="AG30" s="378">
        <f>IF(Assumptions!$U$14="Index",'Price Assumption'!AG25*(1+'Price Assumption'!AG28),IF(Assumptions!$U$14="Fixed",'Price Assumption'!AG26*(1+'Price Assumption'!AG28),'Price Assumption'!AG27*(1+'Price Assumption'!AG28)))</f>
        <v>1.5225</v>
      </c>
      <c r="AH30" s="379">
        <f>IF(Assumptions!$U$14="Index",'Price Assumption'!AH25*(1+'Price Assumption'!AH28),IF(Assumptions!$U$14="Fixed",'Price Assumption'!AH26*(1+'Price Assumption'!AH28),'Price Assumption'!AH27*(1+'Price Assumption'!AH28)))</f>
        <v>1.5225</v>
      </c>
    </row>
    <row r="33" spans="1:36" ht="19.5">
      <c r="B33" s="380" t="s">
        <v>311</v>
      </c>
      <c r="C33" s="107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</row>
    <row r="34" spans="1:36">
      <c r="A34" s="107"/>
      <c r="B34" s="107" t="s">
        <v>312</v>
      </c>
      <c r="D34" s="144">
        <f>Assumptions!$H$14*'Price Assumption'!D30/1000</f>
        <v>15.713047168716752</v>
      </c>
      <c r="E34" s="144">
        <f>Assumptions!$H$14*'Price Assumption'!E30/1000</f>
        <v>15.713047168716752</v>
      </c>
      <c r="F34" s="144">
        <f>Assumptions!$H$14*'Price Assumption'!F30/1000</f>
        <v>15.713047168716752</v>
      </c>
      <c r="G34" s="144">
        <f>Assumptions!$H$14*'Price Assumption'!G30/1000</f>
        <v>15.713047168716752</v>
      </c>
      <c r="H34" s="144">
        <f>Assumptions!$H$14*'Price Assumption'!H30/1000</f>
        <v>15.713047168716752</v>
      </c>
      <c r="I34" s="144">
        <f>Assumptions!$H$14*'Price Assumption'!I30/1000</f>
        <v>15.713047168716752</v>
      </c>
      <c r="J34" s="144">
        <f>Assumptions!$H$14*'Price Assumption'!J30/1000</f>
        <v>15.713047168716752</v>
      </c>
      <c r="K34" s="144">
        <f>Assumptions!$H$14*'Price Assumption'!K30/1000</f>
        <v>15.713047168716752</v>
      </c>
      <c r="L34" s="144">
        <f>Assumptions!$H$14*'Price Assumption'!L30/1000</f>
        <v>15.713047168716752</v>
      </c>
      <c r="M34" s="144">
        <f>Assumptions!$H$14*'Price Assumption'!M30/1000</f>
        <v>15.713047168716752</v>
      </c>
      <c r="N34" s="144">
        <f>Assumptions!$H$14*'Price Assumption'!N30/1000</f>
        <v>15.713047168716752</v>
      </c>
      <c r="O34" s="144">
        <f>Assumptions!$H$14*'Price Assumption'!O30/1000</f>
        <v>15.713047168716752</v>
      </c>
      <c r="P34" s="144">
        <f>Assumptions!$H$14*'Price Assumption'!P30/1000</f>
        <v>15.713047168716752</v>
      </c>
      <c r="Q34" s="144">
        <f>Assumptions!$H$14*'Price Assumption'!Q30/1000</f>
        <v>15.713047168716752</v>
      </c>
      <c r="R34" s="144">
        <f>Assumptions!$H$14*'Price Assumption'!R30/1000</f>
        <v>15.713047168716752</v>
      </c>
      <c r="S34" s="144">
        <f>Assumptions!$H$14*'Price Assumption'!S30/1000</f>
        <v>15.713047168716752</v>
      </c>
      <c r="T34" s="144">
        <f>Assumptions!$H$14*'Price Assumption'!T30/1000</f>
        <v>15.713047168716752</v>
      </c>
      <c r="U34" s="144">
        <f>Assumptions!$H$14*'Price Assumption'!U30/1000</f>
        <v>15.713047168716752</v>
      </c>
      <c r="V34" s="144">
        <f>Assumptions!$H$14*'Price Assumption'!V30/1000</f>
        <v>15.713047168716752</v>
      </c>
      <c r="W34" s="144">
        <f>Assumptions!$H$14*'Price Assumption'!W30/1000</f>
        <v>15.713047168716752</v>
      </c>
      <c r="X34" s="144">
        <f>Assumptions!$H$14*'Price Assumption'!X30/1000</f>
        <v>15.713047168716752</v>
      </c>
      <c r="Y34" s="144">
        <f>Assumptions!$H$14*'Price Assumption'!Y30/1000</f>
        <v>15.713047168716752</v>
      </c>
      <c r="Z34" s="144">
        <f>Assumptions!$H$14*'Price Assumption'!Z30/1000</f>
        <v>15.713047168716752</v>
      </c>
      <c r="AA34" s="144">
        <f>Assumptions!$H$14*'Price Assumption'!AA30/1000</f>
        <v>15.713047168716752</v>
      </c>
      <c r="AB34" s="144">
        <f>Assumptions!$H$14*'Price Assumption'!AB30/1000</f>
        <v>15.713047168716752</v>
      </c>
      <c r="AC34" s="144">
        <f>Assumptions!$H$14*'Price Assumption'!AC30/1000</f>
        <v>15.713047168716752</v>
      </c>
      <c r="AD34" s="144">
        <f>Assumptions!$H$14*'Price Assumption'!AD30/1000</f>
        <v>15.713047168716752</v>
      </c>
      <c r="AE34" s="144">
        <f>Assumptions!$H$14*'Price Assumption'!AE30/1000</f>
        <v>15.713047168716752</v>
      </c>
      <c r="AF34" s="144">
        <f>Assumptions!$H$14*'Price Assumption'!AF30/1000</f>
        <v>15.713047168716752</v>
      </c>
      <c r="AG34" s="144">
        <f>Assumptions!$H$14*'Price Assumption'!AG30/1000</f>
        <v>15.713047168716752</v>
      </c>
      <c r="AH34" s="144">
        <f>Assumptions!$H$14*'Price Assumption'!AH30/1000</f>
        <v>15.713047168716752</v>
      </c>
    </row>
    <row r="35" spans="1:36">
      <c r="A35" s="107"/>
      <c r="B35" s="119" t="s">
        <v>313</v>
      </c>
      <c r="C35" s="382"/>
      <c r="D35" s="383">
        <f>Assumptions!$H$59*(1+Assumptions!$N$20)^(D7)</f>
        <v>2.0907976864364017</v>
      </c>
      <c r="E35" s="383">
        <f>Assumptions!$H$59*(1+Assumptions!$N$20)^(E7)</f>
        <v>2.1535216170294933</v>
      </c>
      <c r="F35" s="383">
        <f>Assumptions!$H$59*(1+Assumptions!$N$20)^(F7)</f>
        <v>2.2181272655403785</v>
      </c>
      <c r="G35" s="383">
        <f>Assumptions!$H$59*(1+Assumptions!$N$20)^(G7)</f>
        <v>2.28467108350659</v>
      </c>
      <c r="H35" s="383">
        <f>Assumptions!$H$59*(1+Assumptions!$N$20)^(H7)</f>
        <v>2.3532112160117875</v>
      </c>
      <c r="I35" s="383">
        <f>Assumptions!$H$59*(1+Assumptions!$N$20)^(I7)</f>
        <v>2.4238075524921414</v>
      </c>
      <c r="J35" s="383">
        <f>Assumptions!$H$59*(1+Assumptions!$N$20)^(J7)</f>
        <v>2.4965217790669056</v>
      </c>
      <c r="K35" s="383">
        <f>Assumptions!$H$59*(1+Assumptions!$N$20)^(K7)</f>
        <v>2.571417432438913</v>
      </c>
      <c r="L35" s="383">
        <f>Assumptions!$H$59*(1+Assumptions!$N$20)^(L7)</f>
        <v>2.6485599554120802</v>
      </c>
      <c r="M35" s="383">
        <f>Assumptions!$H$59*(1+Assumptions!$N$20)^(M7)</f>
        <v>2.7280167540744427</v>
      </c>
      <c r="N35" s="383">
        <f>Assumptions!$H$59*(1+Assumptions!$N$20)^(N7)</f>
        <v>2.809857256696676</v>
      </c>
      <c r="O35" s="383">
        <f>Assumptions!$H$59*(1+Assumptions!$N$20)^(O7)</f>
        <v>2.8941529743975765</v>
      </c>
      <c r="P35" s="383">
        <f>Assumptions!$H$59*(1+Assumptions!$N$20)^(P7)</f>
        <v>2.9809775636295042</v>
      </c>
      <c r="Q35" s="383">
        <f>Assumptions!$H$59*(1+Assumptions!$N$20)^(Q7)</f>
        <v>3.070406890538389</v>
      </c>
      <c r="R35" s="383">
        <f>Assumptions!$H$59*(1+Assumptions!$N$20)^(R7)</f>
        <v>3.1625190972545409</v>
      </c>
      <c r="S35" s="383">
        <f>Assumptions!$H$59*(1+Assumptions!$N$20)^(S7)</f>
        <v>3.257394670172177</v>
      </c>
      <c r="T35" s="383">
        <f>Assumptions!$H$59*(1+Assumptions!$N$20)^(T7)</f>
        <v>3.3551165102773424</v>
      </c>
      <c r="U35" s="383">
        <f>Assumptions!$H$59*(1+Assumptions!$N$20)^(U7)</f>
        <v>3.4557700055856624</v>
      </c>
      <c r="V35" s="383">
        <f>Assumptions!$H$59*(1+Assumptions!$N$20)^(V7)</f>
        <v>3.5594431057532328</v>
      </c>
      <c r="W35" s="383">
        <f>Assumptions!$H$59*(1+Assumptions!$N$20)^(W7)</f>
        <v>3.6662263989258297</v>
      </c>
      <c r="X35" s="383">
        <f>Assumptions!$H$59*(1+Assumptions!$N$20)^(X7)</f>
        <v>3.7762131908936043</v>
      </c>
      <c r="Y35" s="383">
        <f>Assumptions!$H$59*(1+Assumptions!$N$20)^(Y7)</f>
        <v>3.889499586620413</v>
      </c>
      <c r="Z35" s="383">
        <f>Assumptions!$H$59*(1+Assumptions!$N$20)^(Z7)</f>
        <v>4.0061845742190254</v>
      </c>
      <c r="AA35" s="383">
        <f>Assumptions!$H$59*(1+Assumptions!$N$20)^(AA7)</f>
        <v>4.1263701114455973</v>
      </c>
      <c r="AB35" s="383">
        <f>Assumptions!$H$59*(1+Assumptions!$N$20)^(AB7)</f>
        <v>4.2501612147889647</v>
      </c>
      <c r="AC35" s="383">
        <f>Assumptions!$H$59*(1+Assumptions!$N$20)^(AC7)</f>
        <v>4.3776660512326337</v>
      </c>
      <c r="AD35" s="383">
        <f>Assumptions!$H$59*(1+Assumptions!$N$20)^(AD7)</f>
        <v>4.5089960327696135</v>
      </c>
      <c r="AE35" s="383">
        <f>Assumptions!$H$59*(1+Assumptions!$N$20)^(AE7)</f>
        <v>4.6442659137527009</v>
      </c>
      <c r="AF35" s="383">
        <f>Assumptions!$H$59*(1+Assumptions!$N$20)^(AF7)</f>
        <v>4.7835938911652818</v>
      </c>
      <c r="AG35" s="383">
        <f>Assumptions!$H$59*(1+Assumptions!$N$20)^(AG7)</f>
        <v>4.9271017079002419</v>
      </c>
      <c r="AH35" s="383">
        <f>Assumptions!$H$59*(1+Assumptions!$N$20)^(AH7)</f>
        <v>5.0749147591372479</v>
      </c>
    </row>
    <row r="36" spans="1:36">
      <c r="A36" s="107"/>
      <c r="B36" s="107" t="s">
        <v>315</v>
      </c>
      <c r="D36" s="381">
        <f>SUM(D34:D35)</f>
        <v>17.803844855153155</v>
      </c>
      <c r="E36" s="381">
        <f t="shared" ref="E36:AH36" si="5">SUM(E34:E35)</f>
        <v>17.866568785746246</v>
      </c>
      <c r="F36" s="381">
        <f t="shared" si="5"/>
        <v>17.93117443425713</v>
      </c>
      <c r="G36" s="381">
        <f t="shared" si="5"/>
        <v>17.997718252223343</v>
      </c>
      <c r="H36" s="381">
        <f t="shared" si="5"/>
        <v>18.066258384728538</v>
      </c>
      <c r="I36" s="381">
        <f t="shared" si="5"/>
        <v>18.136854721208895</v>
      </c>
      <c r="J36" s="381">
        <f t="shared" si="5"/>
        <v>18.209568947783659</v>
      </c>
      <c r="K36" s="381">
        <f t="shared" si="5"/>
        <v>18.284464601155666</v>
      </c>
      <c r="L36" s="381">
        <f t="shared" si="5"/>
        <v>18.361607124128831</v>
      </c>
      <c r="M36" s="381">
        <f t="shared" si="5"/>
        <v>18.441063922791194</v>
      </c>
      <c r="N36" s="381">
        <f t="shared" si="5"/>
        <v>18.522904425413429</v>
      </c>
      <c r="O36" s="381">
        <f t="shared" si="5"/>
        <v>18.60720014311433</v>
      </c>
      <c r="P36" s="381">
        <f t="shared" si="5"/>
        <v>18.694024732346257</v>
      </c>
      <c r="Q36" s="381">
        <f t="shared" si="5"/>
        <v>18.783454059255142</v>
      </c>
      <c r="R36" s="381">
        <f t="shared" si="5"/>
        <v>18.875566265971294</v>
      </c>
      <c r="S36" s="381">
        <f t="shared" si="5"/>
        <v>18.970441838888931</v>
      </c>
      <c r="T36" s="381">
        <f t="shared" si="5"/>
        <v>19.068163678994093</v>
      </c>
      <c r="U36" s="381">
        <f t="shared" si="5"/>
        <v>19.168817174302415</v>
      </c>
      <c r="V36" s="381">
        <f t="shared" si="5"/>
        <v>19.272490274469984</v>
      </c>
      <c r="W36" s="381">
        <f t="shared" si="5"/>
        <v>19.379273567642581</v>
      </c>
      <c r="X36" s="381">
        <f t="shared" si="5"/>
        <v>19.489260359610356</v>
      </c>
      <c r="Y36" s="381">
        <f t="shared" si="5"/>
        <v>19.602546755337166</v>
      </c>
      <c r="Z36" s="381">
        <f t="shared" si="5"/>
        <v>19.719231742935776</v>
      </c>
      <c r="AA36" s="381">
        <f t="shared" si="5"/>
        <v>19.839417280162351</v>
      </c>
      <c r="AB36" s="381">
        <f t="shared" si="5"/>
        <v>19.963208383505716</v>
      </c>
      <c r="AC36" s="381">
        <f t="shared" si="5"/>
        <v>20.090713219949386</v>
      </c>
      <c r="AD36" s="381">
        <f t="shared" si="5"/>
        <v>20.222043201486365</v>
      </c>
      <c r="AE36" s="381">
        <f t="shared" si="5"/>
        <v>20.357313082469453</v>
      </c>
      <c r="AF36" s="381">
        <f t="shared" si="5"/>
        <v>20.496641059882034</v>
      </c>
      <c r="AG36" s="381">
        <f t="shared" si="5"/>
        <v>20.640148876616994</v>
      </c>
      <c r="AH36" s="381">
        <f t="shared" si="5"/>
        <v>20.787961927853999</v>
      </c>
      <c r="AI36" s="144"/>
      <c r="AJ36" s="144"/>
    </row>
    <row r="37" spans="1:36">
      <c r="B37" s="107"/>
      <c r="C37" s="107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</row>
    <row r="38" spans="1:36">
      <c r="A38" s="372" t="str">
        <f>Assumptions!W14</f>
        <v>Pass-through</v>
      </c>
      <c r="B38" s="145" t="s">
        <v>316</v>
      </c>
      <c r="D38" s="377">
        <f>IF($A$38="Pass-through",D36,D34)</f>
        <v>17.803844855153155</v>
      </c>
      <c r="E38" s="378">
        <f t="shared" ref="E38:AH38" si="6">IF($A$38="Pass-through",E36,E34)</f>
        <v>17.866568785746246</v>
      </c>
      <c r="F38" s="378">
        <f t="shared" si="6"/>
        <v>17.93117443425713</v>
      </c>
      <c r="G38" s="378">
        <f t="shared" si="6"/>
        <v>17.997718252223343</v>
      </c>
      <c r="H38" s="378">
        <f t="shared" si="6"/>
        <v>18.066258384728538</v>
      </c>
      <c r="I38" s="378">
        <f t="shared" si="6"/>
        <v>18.136854721208895</v>
      </c>
      <c r="J38" s="378">
        <f t="shared" si="6"/>
        <v>18.209568947783659</v>
      </c>
      <c r="K38" s="378">
        <f t="shared" si="6"/>
        <v>18.284464601155666</v>
      </c>
      <c r="L38" s="378">
        <f t="shared" si="6"/>
        <v>18.361607124128831</v>
      </c>
      <c r="M38" s="378">
        <f t="shared" si="6"/>
        <v>18.441063922791194</v>
      </c>
      <c r="N38" s="378">
        <f t="shared" si="6"/>
        <v>18.522904425413429</v>
      </c>
      <c r="O38" s="378">
        <f t="shared" si="6"/>
        <v>18.60720014311433</v>
      </c>
      <c r="P38" s="378">
        <f t="shared" si="6"/>
        <v>18.694024732346257</v>
      </c>
      <c r="Q38" s="379">
        <f t="shared" si="6"/>
        <v>18.783454059255142</v>
      </c>
      <c r="R38" s="378">
        <f t="shared" si="6"/>
        <v>18.875566265971294</v>
      </c>
      <c r="S38" s="378">
        <f t="shared" si="6"/>
        <v>18.970441838888931</v>
      </c>
      <c r="T38" s="378">
        <f t="shared" si="6"/>
        <v>19.068163678994093</v>
      </c>
      <c r="U38" s="378">
        <f t="shared" si="6"/>
        <v>19.168817174302415</v>
      </c>
      <c r="V38" s="378">
        <f t="shared" si="6"/>
        <v>19.272490274469984</v>
      </c>
      <c r="W38" s="378">
        <f t="shared" si="6"/>
        <v>19.379273567642581</v>
      </c>
      <c r="X38" s="378">
        <f t="shared" si="6"/>
        <v>19.489260359610356</v>
      </c>
      <c r="Y38" s="378">
        <f t="shared" si="6"/>
        <v>19.602546755337166</v>
      </c>
      <c r="Z38" s="378">
        <f t="shared" si="6"/>
        <v>19.719231742935776</v>
      </c>
      <c r="AA38" s="378">
        <f t="shared" si="6"/>
        <v>19.839417280162351</v>
      </c>
      <c r="AB38" s="378">
        <f t="shared" si="6"/>
        <v>19.963208383505716</v>
      </c>
      <c r="AC38" s="378">
        <f t="shared" si="6"/>
        <v>20.090713219949386</v>
      </c>
      <c r="AD38" s="378">
        <f t="shared" si="6"/>
        <v>20.222043201486365</v>
      </c>
      <c r="AE38" s="378">
        <f t="shared" si="6"/>
        <v>20.357313082469453</v>
      </c>
      <c r="AF38" s="378">
        <f t="shared" si="6"/>
        <v>20.496641059882034</v>
      </c>
      <c r="AG38" s="378">
        <f t="shared" si="6"/>
        <v>20.640148876616994</v>
      </c>
      <c r="AH38" s="379">
        <f t="shared" si="6"/>
        <v>20.787961927853999</v>
      </c>
    </row>
  </sheetData>
  <pageMargins left="0.45" right="0.45" top="0.5" bottom="0.5" header="0.25" footer="0.25"/>
  <pageSetup scale="46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5"/>
  <sheetViews>
    <sheetView topLeftCell="A3" zoomScale="75" zoomScaleNormal="75" workbookViewId="0">
      <selection activeCell="C27" sqref="C27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96" t="str">
        <f>Assumptions!A3</f>
        <v>PROJECT NAME:</v>
      </c>
    </row>
    <row r="4" spans="1:33" ht="18.75">
      <c r="A4" s="67" t="s">
        <v>106</v>
      </c>
      <c r="B4" s="5"/>
    </row>
    <row r="6" spans="1:33">
      <c r="C6" s="262">
        <f>'Price Assumption'!D7</f>
        <v>0.66666666666666663</v>
      </c>
      <c r="D6" s="262">
        <f>'Price Assumption'!E7</f>
        <v>1.6666666666666665</v>
      </c>
      <c r="E6" s="262">
        <f>'Price Assumption'!F7</f>
        <v>2.6666666666666665</v>
      </c>
      <c r="F6" s="262">
        <f>'Price Assumption'!G7</f>
        <v>3.6666666666666665</v>
      </c>
      <c r="G6" s="262">
        <f>'Price Assumption'!H7</f>
        <v>4.6666666666666661</v>
      </c>
      <c r="H6" s="262">
        <f>'Price Assumption'!I7</f>
        <v>5.6666666666666661</v>
      </c>
      <c r="I6" s="262">
        <f>'Price Assumption'!J7</f>
        <v>6.6666666666666661</v>
      </c>
      <c r="J6" s="262">
        <f>'Price Assumption'!K7</f>
        <v>7.6666666666666661</v>
      </c>
      <c r="K6" s="262">
        <f>'Price Assumption'!L7</f>
        <v>8.6666666666666661</v>
      </c>
      <c r="L6" s="262">
        <f>'Price Assumption'!M7</f>
        <v>9.6666666666666661</v>
      </c>
      <c r="M6" s="262">
        <f>'Price Assumption'!N7</f>
        <v>10.666666666666666</v>
      </c>
      <c r="N6" s="262">
        <f>'Price Assumption'!O7</f>
        <v>11.666666666666666</v>
      </c>
      <c r="O6" s="262">
        <f>'Price Assumption'!P7</f>
        <v>12.666666666666666</v>
      </c>
      <c r="P6" s="262">
        <f>'Price Assumption'!Q7</f>
        <v>13.666666666666666</v>
      </c>
      <c r="Q6" s="262">
        <f>'Price Assumption'!R7</f>
        <v>14.666666666666666</v>
      </c>
      <c r="R6" s="262">
        <f>'Price Assumption'!S7</f>
        <v>15.666666666666666</v>
      </c>
      <c r="S6" s="262">
        <f>'Price Assumption'!T7</f>
        <v>16.666666666666664</v>
      </c>
      <c r="T6" s="262">
        <f>'Price Assumption'!U7</f>
        <v>17.666666666666664</v>
      </c>
      <c r="U6" s="262">
        <f>'Price Assumption'!V7</f>
        <v>18.666666666666664</v>
      </c>
      <c r="V6" s="262">
        <f>'Price Assumption'!W7</f>
        <v>19.666666666666664</v>
      </c>
      <c r="W6" s="262">
        <f>'Price Assumption'!X7</f>
        <v>20.666666666666664</v>
      </c>
      <c r="X6" s="262">
        <f>'Price Assumption'!Y7</f>
        <v>21.666666666666664</v>
      </c>
      <c r="Y6" s="262">
        <f>'Price Assumption'!Z7</f>
        <v>22.666666666666664</v>
      </c>
      <c r="Z6" s="262">
        <f>'Price Assumption'!AA7</f>
        <v>23.666666666666664</v>
      </c>
      <c r="AA6" s="262">
        <f>'Price Assumption'!AB7</f>
        <v>24.666666666666664</v>
      </c>
      <c r="AB6" s="262">
        <f>'Price Assumption'!AC7</f>
        <v>25.666666666666664</v>
      </c>
      <c r="AC6" s="262">
        <f>'Price Assumption'!AD7</f>
        <v>26.666666666666664</v>
      </c>
      <c r="AD6" s="262">
        <f>'Price Assumption'!AE7</f>
        <v>27.666666666666664</v>
      </c>
      <c r="AE6" s="262">
        <f>'Price Assumption'!AF7</f>
        <v>28.666666666666664</v>
      </c>
      <c r="AF6" s="262">
        <f>'Price Assumption'!AG7</f>
        <v>29.666666666666664</v>
      </c>
      <c r="AG6" s="262">
        <f>'Price Assumption'!AH7</f>
        <v>30.666666666666664</v>
      </c>
    </row>
    <row r="7" spans="1:33" s="6" customFormat="1" ht="13.5" thickBot="1">
      <c r="A7" s="135" t="s">
        <v>41</v>
      </c>
      <c r="B7" s="7"/>
      <c r="C7" s="7">
        <f>'Price Assumption'!D8</f>
        <v>2001</v>
      </c>
      <c r="D7" s="7">
        <f>'Price Assumption'!E8</f>
        <v>2002</v>
      </c>
      <c r="E7" s="7">
        <f>'Price Assumption'!F8</f>
        <v>2003</v>
      </c>
      <c r="F7" s="7">
        <f>'Price Assumption'!G8</f>
        <v>2004</v>
      </c>
      <c r="G7" s="7">
        <f>'Price Assumption'!H8</f>
        <v>2005</v>
      </c>
      <c r="H7" s="7">
        <f>'Price Assumption'!I8</f>
        <v>2006</v>
      </c>
      <c r="I7" s="7">
        <f>'Price Assumption'!J8</f>
        <v>2007</v>
      </c>
      <c r="J7" s="7">
        <f>'Price Assumption'!K8</f>
        <v>2008</v>
      </c>
      <c r="K7" s="7">
        <f>'Price Assumption'!L8</f>
        <v>2009</v>
      </c>
      <c r="L7" s="7">
        <f>'Price Assumption'!M8</f>
        <v>2010</v>
      </c>
      <c r="M7" s="7">
        <f>'Price Assumption'!N8</f>
        <v>2011</v>
      </c>
      <c r="N7" s="7">
        <f>'Price Assumption'!O8</f>
        <v>2012</v>
      </c>
      <c r="O7" s="7">
        <f>'Price Assumption'!P8</f>
        <v>2013</v>
      </c>
      <c r="P7" s="7">
        <f>'Price Assumption'!Q8</f>
        <v>2014</v>
      </c>
      <c r="Q7" s="7">
        <f>'Price Assumption'!R8</f>
        <v>2015</v>
      </c>
      <c r="R7" s="7">
        <f>'Price Assumption'!S8</f>
        <v>2016</v>
      </c>
      <c r="S7" s="7">
        <f>'Price Assumption'!T8</f>
        <v>2017</v>
      </c>
      <c r="T7" s="7">
        <f>'Price Assumption'!U8</f>
        <v>2018</v>
      </c>
      <c r="U7" s="7">
        <f>'Price Assumption'!V8</f>
        <v>2019</v>
      </c>
      <c r="V7" s="7">
        <f>'Price Assumption'!W8</f>
        <v>2020</v>
      </c>
      <c r="W7" s="7">
        <f>'Price Assumption'!X8</f>
        <v>2021</v>
      </c>
      <c r="X7" s="7">
        <f>'Price Assumption'!Y8</f>
        <v>2022</v>
      </c>
      <c r="Y7" s="7">
        <f>'Price Assumption'!Z8</f>
        <v>2023</v>
      </c>
      <c r="Z7" s="7">
        <f>'Price Assumption'!AA8</f>
        <v>2024</v>
      </c>
      <c r="AA7" s="7">
        <f>'Price Assumption'!AB8</f>
        <v>2025</v>
      </c>
      <c r="AB7" s="7">
        <f>'Price Assumption'!AC8</f>
        <v>2026</v>
      </c>
      <c r="AC7" s="7">
        <f>'Price Assumption'!AD8</f>
        <v>2027</v>
      </c>
      <c r="AD7" s="7">
        <f>'Price Assumption'!AE8</f>
        <v>2028</v>
      </c>
      <c r="AE7" s="7">
        <f>'Price Assumption'!AF8</f>
        <v>2029</v>
      </c>
      <c r="AF7" s="7">
        <f>'Price Assumption'!AG8</f>
        <v>2030</v>
      </c>
      <c r="AG7" s="7">
        <f>'Price Assumption'!AH8</f>
        <v>2031</v>
      </c>
    </row>
    <row r="8" spans="1:33">
      <c r="A8" s="2"/>
      <c r="C8" s="486">
        <f>Assumptions!H16+365.25*Assumptions!H17/12</f>
        <v>37255.5</v>
      </c>
      <c r="D8" s="486">
        <f>C8+365.25</f>
        <v>37620.75</v>
      </c>
      <c r="E8" s="486">
        <f t="shared" ref="E8:X8" si="0">D8+365.25</f>
        <v>37986</v>
      </c>
      <c r="F8" s="486">
        <f t="shared" si="0"/>
        <v>38351.25</v>
      </c>
      <c r="G8" s="486">
        <f t="shared" si="0"/>
        <v>38716.5</v>
      </c>
      <c r="H8" s="486">
        <f t="shared" si="0"/>
        <v>39081.75</v>
      </c>
      <c r="I8" s="486">
        <f t="shared" si="0"/>
        <v>39447</v>
      </c>
      <c r="J8" s="486">
        <f t="shared" si="0"/>
        <v>39812.25</v>
      </c>
      <c r="K8" s="486">
        <f t="shared" si="0"/>
        <v>40177.5</v>
      </c>
      <c r="L8" s="486">
        <f t="shared" si="0"/>
        <v>40542.75</v>
      </c>
      <c r="M8" s="486">
        <f t="shared" si="0"/>
        <v>40908</v>
      </c>
      <c r="N8" s="486">
        <f t="shared" si="0"/>
        <v>41273.25</v>
      </c>
      <c r="O8" s="486">
        <f t="shared" si="0"/>
        <v>41638.5</v>
      </c>
      <c r="P8" s="486">
        <f t="shared" si="0"/>
        <v>42003.75</v>
      </c>
      <c r="Q8" s="486">
        <f t="shared" si="0"/>
        <v>42369</v>
      </c>
      <c r="R8" s="486">
        <f t="shared" si="0"/>
        <v>42734.25</v>
      </c>
      <c r="S8" s="486">
        <f t="shared" si="0"/>
        <v>43099.5</v>
      </c>
      <c r="T8" s="486">
        <f t="shared" si="0"/>
        <v>43464.75</v>
      </c>
      <c r="U8" s="486">
        <f t="shared" si="0"/>
        <v>43830</v>
      </c>
      <c r="V8" s="486">
        <f t="shared" si="0"/>
        <v>44195.25</v>
      </c>
      <c r="W8" s="486">
        <f t="shared" si="0"/>
        <v>44560.5</v>
      </c>
      <c r="X8" s="486">
        <f t="shared" si="0"/>
        <v>44925.75</v>
      </c>
      <c r="Y8" s="486">
        <f t="shared" ref="Y8:AG8" si="1">X8+365.25</f>
        <v>45291</v>
      </c>
      <c r="Z8" s="486">
        <f t="shared" si="1"/>
        <v>45656.25</v>
      </c>
      <c r="AA8" s="486">
        <f t="shared" si="1"/>
        <v>46021.5</v>
      </c>
      <c r="AB8" s="486">
        <f t="shared" si="1"/>
        <v>46386.75</v>
      </c>
      <c r="AC8" s="486">
        <f t="shared" si="1"/>
        <v>46752</v>
      </c>
      <c r="AD8" s="486">
        <f t="shared" si="1"/>
        <v>47117.25</v>
      </c>
      <c r="AE8" s="486">
        <f t="shared" si="1"/>
        <v>47482.5</v>
      </c>
      <c r="AF8" s="486">
        <f t="shared" si="1"/>
        <v>47847.75</v>
      </c>
      <c r="AG8" s="486">
        <f t="shared" si="1"/>
        <v>48213</v>
      </c>
    </row>
    <row r="9" spans="1:33">
      <c r="A9" s="1" t="s">
        <v>42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</row>
    <row r="10" spans="1:33">
      <c r="A10" s="22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</row>
    <row r="11" spans="1:33">
      <c r="A11" s="3" t="s">
        <v>137</v>
      </c>
      <c r="C11" s="82">
        <f>IF(C6&lt;Assumptions!$H$18,C6*12*'Price Assumption'!D21*Assumptions!$N$12,IF(AND(B6&lt;Assumptions!$H$18,C6&gt;Assumptions!$H$18),(1-$C$6)*12*'Price Assumption'!D21*Assumptions!$N$12,0))</f>
        <v>5168.7044538817318</v>
      </c>
      <c r="D11" s="82">
        <f>IF(D6&lt;Assumptions!$H$18,12*'Price Assumption'!E21*Assumptions!$N$12,IF(AND(C6&lt;Assumptions!$H$18,D6&gt;Assumptions!$H$18),(1-$C$6)*12*'Price Assumption'!E21*Assumptions!$N$12,0))</f>
        <v>7753.0566808225976</v>
      </c>
      <c r="E11" s="82">
        <f>IF(E6&lt;Assumptions!$H$18,12*'Price Assumption'!F21*Assumptions!$N$12,IF(AND(D6&lt;Assumptions!$H$18,E6&gt;Assumptions!$H$18),(1-$C$6)*12*'Price Assumption'!F21*Assumptions!$N$12,0))</f>
        <v>7753.0566808225976</v>
      </c>
      <c r="F11" s="82">
        <f>IF(F6&lt;Assumptions!$H$18,12*'Price Assumption'!G21*Assumptions!$N$12,IF(AND(E6&lt;Assumptions!$H$18,F6&gt;Assumptions!$H$18),(1-$C$6)*12*'Price Assumption'!G21*Assumptions!$N$12,0))</f>
        <v>8810.0147944310029</v>
      </c>
      <c r="G11" s="82">
        <f>IF(G6&lt;Assumptions!$H$18,12*'Price Assumption'!H21*Assumptions!$N$12,IF(AND(F6&lt;Assumptions!$H$18,G6&gt;Assumptions!$H$18),(1-$C$6)*12*'Price Assumption'!H21*Assumptions!$N$12,0))</f>
        <v>9303.2831367141534</v>
      </c>
      <c r="H11" s="82">
        <f>IF(H6&lt;Assumptions!$H$18,12*'Price Assumption'!I21*Assumptions!$N$12,IF(AND(G6&lt;Assumptions!$H$18,H6&gt;Assumptions!$H$18),(1-$C$6)*12*'Price Assumption'!I21*Assumptions!$N$12,0))</f>
        <v>9419.9683828356538</v>
      </c>
      <c r="I11" s="82">
        <f>IF(I6&lt;Assumptions!$H$18,12*'Price Assumption'!J21*Assumptions!$N$12,IF(AND(H6&lt;Assumptions!$H$18,I6&gt;Assumptions!$H$18),(1-$C$6)*12*'Price Assumption'!J21*Assumptions!$N$12,0))</f>
        <v>9535.2817889014004</v>
      </c>
      <c r="J11" s="82">
        <f>IF(J6&lt;Assumptions!$H$18,12*'Price Assumption'!K21*Assumptions!$N$12,IF(AND(I6&lt;Assumptions!$H$18,J6&gt;Assumptions!$H$18),(1-$C$6)*12*'Price Assumption'!K21*Assumptions!$N$12,0))</f>
        <v>9649.0360277865384</v>
      </c>
      <c r="K11" s="82">
        <f>IF(K6&lt;Assumptions!$H$18,12*'Price Assumption'!L21*Assumptions!$N$12,IF(AND(J6&lt;Assumptions!$H$18,K6&gt;Assumptions!$H$18),(1-$C$6)*12*'Price Assumption'!L21*Assumptions!$N$12,0))</f>
        <v>9938.5071086201351</v>
      </c>
      <c r="L11" s="82">
        <f>IF(L6&lt;Assumptions!$H$18,12*'Price Assumption'!M21*Assumptions!$N$12,IF(AND(K6&lt;Assumptions!$H$18,L6&gt;Assumptions!$H$18),(1-$C$6)*12*'Price Assumption'!M21*Assumptions!$N$12,0))</f>
        <v>10053.864780416618</v>
      </c>
      <c r="M11" s="82">
        <f>IF(M6&lt;Assumptions!$H$18,12*'Price Assumption'!N21*Assumptions!$N$12,IF(AND(L6&lt;Assumptions!$H$18,M6&gt;Assumptions!$H$18),(1-$C$6)*12*'Price Assumption'!N21*Assumptions!$N$12,0))</f>
        <v>10355.480723829118</v>
      </c>
      <c r="N11" s="82">
        <f>IF(N6&lt;Assumptions!$H$18,12*'Price Assumption'!O21*Assumptions!$N$12,IF(AND(M6&lt;Assumptions!$H$18,N6&gt;Assumptions!$H$18),(1-$C$6)*12*'Price Assumption'!O21*Assumptions!$N$12,0))</f>
        <v>10472.215233806826</v>
      </c>
      <c r="O11" s="82">
        <f>IF(O6&lt;Assumptions!$H$18,12*'Price Assumption'!P21*Assumptions!$N$12,IF(AND(N6&lt;Assumptions!$H$18,O6&gt;Assumptions!$H$18),(1-$C$6)*12*'Price Assumption'!P21*Assumptions!$N$12,0))</f>
        <v>10786.381690821032</v>
      </c>
      <c r="P11" s="82">
        <f>IF(P6&lt;Assumptions!$H$18,12*'Price Assumption'!Q21*Assumptions!$N$12,IF(AND(O6&lt;Assumptions!$H$18,P6&gt;Assumptions!$H$18),(1-$C$6)*12*'Price Assumption'!Q21*Assumptions!$N$12,0))</f>
        <v>10904.232898183707</v>
      </c>
      <c r="Q11" s="82">
        <f>IF(Q6&lt;Assumptions!$H$18,12*'Price Assumption'!R21*Assumptions!$N$12,IF(AND(P6&lt;Assumptions!$H$18,Q6&gt;Assumptions!$H$18),(1-$C$6)*12*'Price Assumption'!R21*Assumptions!$N$12,0))</f>
        <v>11019.447434466403</v>
      </c>
      <c r="R11" s="82">
        <f>IF(R6&lt;Assumptions!$H$18,12*'Price Assumption'!S21*Assumptions!$N$12,IF(AND(Q6&lt;Assumptions!$H$18,R6&gt;Assumptions!$H$18),(1-$C$6)*12*'Price Assumption'!S21*Assumptions!$N$12,0))</f>
        <v>11131.761033317693</v>
      </c>
      <c r="S11" s="82">
        <f>IF(S6&lt;Assumptions!$H$18,12*'Price Assumption'!T21*Assumptions!$N$12,IF(AND(R6&lt;Assumptions!$H$18,S6&gt;Assumptions!$H$18),(1-$C$6)*12*'Price Assumption'!T21*Assumptions!$N$12,0))</f>
        <v>11240.895945409042</v>
      </c>
      <c r="T11" s="82">
        <f>IF(T6&lt;Assumptions!$H$18,12*'Price Assumption'!U21*Assumptions!$N$12,IF(AND(S6&lt;Assumptions!$H$18,T6&gt;Assumptions!$H$18),(1-$C$6)*12*'Price Assumption'!U21*Assumptions!$N$12,0))</f>
        <v>11346.560367295888</v>
      </c>
      <c r="U11" s="82">
        <f>IF(U6&lt;Assumptions!$H$18,12*'Price Assumption'!V21*Assumptions!$N$12,IF(AND(T6&lt;Assumptions!$H$18,U6&gt;Assumptions!$H$18),(1-$C$6)*12*'Price Assumption'!V21*Assumptions!$N$12,0))</f>
        <v>11448.447848145077</v>
      </c>
      <c r="V11" s="82">
        <f>IF(V6&lt;Assumptions!$H$18,12*'Price Assumption'!W21*Assumptions!$N$12,IF(AND(U6&lt;Assumptions!$H$18,V6&gt;Assumptions!$H$18),(1-$C$6)*12*'Price Assumption'!W21*Assumptions!$N$12,0))</f>
        <v>11546.236673514648</v>
      </c>
      <c r="W11" s="82">
        <f>IF(W6&lt;Assumptions!$H$18,12*'Price Assumption'!X21*Assumptions!$N$12,IF(AND(V6&lt;Assumptions!$H$18,W6&gt;Assumptions!$H$18),(1-$C$6)*12*'Price Assumption'!X21*Assumptions!$N$12,0))</f>
        <v>11639.589225343063</v>
      </c>
      <c r="X11" s="82">
        <f>IF(X6&lt;Assumptions!$H$18,12*'Price Assumption'!Y21*Assumptions!$N$12,IF(AND(W6&lt;Assumptions!$H$18,X6&gt;Assumptions!$H$18),(1-$C$6)*12*'Price Assumption'!Y21*Assumptions!$N$12,0))</f>
        <v>11728.15131727502</v>
      </c>
      <c r="Y11" s="82">
        <f>IF(Y6&lt;Assumptions!$H$18,12*'Price Assumption'!Z21*Assumptions!$N$12,IF(AND(X6&lt;Assumptions!$H$18,Y6&gt;Assumptions!$H$18),(1-$C$6)*12*'Price Assumption'!Z21*Assumptions!$N$12,0))</f>
        <v>11816.713409206974</v>
      </c>
      <c r="Z11" s="82">
        <f>IF(Z6&lt;Assumptions!$H$18,12*'Price Assumption'!AA21*Assumptions!$N$12,IF(AND(Y6&lt;Assumptions!$H$18,Z6&gt;Assumptions!$H$18),(1-$C$6)*12*'Price Assumption'!AA21*Assumptions!$N$12,0))</f>
        <v>11905.275501138942</v>
      </c>
      <c r="AA11" s="82">
        <f>IF(AA6&lt;Assumptions!$H$18,12*'Price Assumption'!AB21*Assumptions!$N$12,IF(AND(Z6&lt;Assumptions!$H$18,AA6&gt;Assumptions!$H$18),(1-$C$6)*12*'Price Assumption'!AB21*Assumptions!$N$12,0))</f>
        <v>11993.837593070897</v>
      </c>
      <c r="AB11" s="82">
        <f>IF(AB6&lt;Assumptions!$H$18,12*'Price Assumption'!AC21*Assumptions!$N$12,IF(AND(AA6&lt;Assumptions!$H$18,AB6&gt;Assumptions!$H$18),(1-$C$6)*12*'Price Assumption'!AC21*Assumptions!$N$12,0))</f>
        <v>12082.399685002852</v>
      </c>
      <c r="AC11" s="82">
        <f>IF(AC6&lt;Assumptions!$H$18,12*'Price Assumption'!AD21*Assumptions!$N$12,IF(AND(AB6&lt;Assumptions!$H$18,AC6&gt;Assumptions!$H$18),(1-$C$6)*12*'Price Assumption'!AD21*Assumptions!$N$12,0))</f>
        <v>12170.961776934806</v>
      </c>
      <c r="AD11" s="82">
        <f>IF(AD6&lt;Assumptions!$H$18,12*'Price Assumption'!AE21*Assumptions!$N$12,IF(AND(AC6&lt;Assumptions!$H$18,AD6&gt;Assumptions!$H$18),(1-$C$6)*12*'Price Assumption'!AE21*Assumptions!$N$12,0))</f>
        <v>12259.523868866774</v>
      </c>
      <c r="AE11" s="82">
        <f>IF(AE6&lt;Assumptions!$H$18,12*'Price Assumption'!AF21*Assumptions!$N$12,IF(AND(AD6&lt;Assumptions!$H$18,AE6&gt;Assumptions!$H$18),(1-$C$6)*12*'Price Assumption'!AF21*Assumptions!$N$12,0))</f>
        <v>12348.085960798731</v>
      </c>
      <c r="AF11" s="82">
        <f>IF(AF6&lt;Assumptions!$H$18,12*'Price Assumption'!AG21*Assumptions!$N$12,IF(AND(AE6&lt;Assumptions!$H$18,AF6&gt;Assumptions!$H$18),(1-$C$6)*12*'Price Assumption'!AG21*Assumptions!$N$12,0))</f>
        <v>12436.648052730685</v>
      </c>
      <c r="AG11" s="82">
        <f>IF(AG6&lt;Assumptions!$H$18,12*'Price Assumption'!AH21*Assumptions!$N$12,IF(AND(AF6&lt;Assumptions!$H$18,AG6&gt;Assumptions!$H$18),(1-$C$6)*12*'Price Assumption'!AH21*Assumptions!$N$12,0))</f>
        <v>4175.0700482208804</v>
      </c>
    </row>
    <row r="12" spans="1:33">
      <c r="A12" s="3" t="s">
        <v>138</v>
      </c>
      <c r="C12" s="82">
        <f>'Price Assumption'!D38*Assumptions!$H$61/1000</f>
        <v>3390.3141336491908</v>
      </c>
      <c r="D12" s="82">
        <f>'Price Assumption'!E38*Assumptions!$H$61/1000</f>
        <v>3402.2583979436663</v>
      </c>
      <c r="E12" s="82">
        <f>'Price Assumption'!F38*Assumptions!$H$61/1000</f>
        <v>3414.5609901669759</v>
      </c>
      <c r="F12" s="82">
        <f>'Price Assumption'!G38*Assumptions!$H$61/1000</f>
        <v>3427.2326601569857</v>
      </c>
      <c r="G12" s="82">
        <f>'Price Assumption'!H38*Assumptions!$H$61/1000</f>
        <v>3440.2844802466948</v>
      </c>
      <c r="H12" s="82">
        <f>'Price Assumption'!I38*Assumptions!$H$61/1000</f>
        <v>3453.7278549390962</v>
      </c>
      <c r="I12" s="82">
        <f>'Price Assumption'!J38*Assumptions!$H$61/1000</f>
        <v>3467.574530872269</v>
      </c>
      <c r="J12" s="82">
        <f>'Price Assumption'!K38*Assumptions!$H$61/1000</f>
        <v>3481.8366070834372</v>
      </c>
      <c r="K12" s="82">
        <f>'Price Assumption'!L38*Assumptions!$H$61/1000</f>
        <v>3496.5265455809399</v>
      </c>
      <c r="L12" s="82">
        <f>'Price Assumption'!M38*Assumptions!$H$61/1000</f>
        <v>3511.6571822333681</v>
      </c>
      <c r="M12" s="82">
        <f>'Price Assumption'!N38*Assumptions!$H$61/1000</f>
        <v>3527.2417379853691</v>
      </c>
      <c r="N12" s="82">
        <f>'Price Assumption'!O38*Assumptions!$H$61/1000</f>
        <v>3543.2938304099307</v>
      </c>
      <c r="O12" s="82">
        <f>'Price Assumption'!P38*Assumptions!$H$61/1000</f>
        <v>3559.827485607228</v>
      </c>
      <c r="P12" s="82">
        <f>'Price Assumption'!Q38*Assumptions!$H$61/1000</f>
        <v>3576.8571504604452</v>
      </c>
      <c r="Q12" s="82">
        <f>'Price Assumption'!R38*Assumptions!$H$61/1000</f>
        <v>3594.3977052592586</v>
      </c>
      <c r="R12" s="82">
        <f>'Price Assumption'!S38*Assumptions!$H$61/1000</f>
        <v>3612.4644767020363</v>
      </c>
      <c r="S12" s="82">
        <f>'Price Assumption'!T38*Assumptions!$H$61/1000</f>
        <v>3631.0732512880968</v>
      </c>
      <c r="T12" s="82">
        <f>'Price Assumption'!U38*Assumptions!$H$61/1000</f>
        <v>3650.2402891117399</v>
      </c>
      <c r="U12" s="82">
        <f>'Price Assumption'!V38*Assumptions!$H$61/1000</f>
        <v>3669.9823380700923</v>
      </c>
      <c r="V12" s="82">
        <f>'Price Assumption'!W38*Assumptions!$H$61/1000</f>
        <v>3690.3166484971948</v>
      </c>
      <c r="W12" s="82">
        <f>'Price Assumption'!X38*Assumptions!$H$61/1000</f>
        <v>3711.2609882371107</v>
      </c>
      <c r="X12" s="82">
        <f>'Price Assumption'!Y38*Assumptions!$H$61/1000</f>
        <v>3732.8336581692242</v>
      </c>
      <c r="Y12" s="82">
        <f>'Price Assumption'!Z38*Assumptions!$H$61/1000</f>
        <v>3755.0535081993007</v>
      </c>
      <c r="Z12" s="82">
        <f>'Price Assumption'!AA38*Assumptions!$H$61/1000</f>
        <v>3777.9399537302806</v>
      </c>
      <c r="AA12" s="82">
        <f>'Price Assumption'!AB38*Assumptions!$H$61/1000</f>
        <v>3801.5129926271884</v>
      </c>
      <c r="AB12" s="82">
        <f>'Price Assumption'!AC38*Assumptions!$H$61/1000</f>
        <v>3825.7932226910043</v>
      </c>
      <c r="AC12" s="82">
        <f>'Price Assumption'!AD38*Assumptions!$H$61/1000</f>
        <v>3850.8018596567345</v>
      </c>
      <c r="AD12" s="82">
        <f>'Price Assumption'!AE38*Assumptions!$H$61/1000</f>
        <v>3876.5607557314365</v>
      </c>
      <c r="AE12" s="82">
        <f>'Price Assumption'!AF38*Assumptions!$H$61/1000</f>
        <v>3903.0924186883794</v>
      </c>
      <c r="AF12" s="82">
        <f>'Price Assumption'!AG38*Assumptions!$H$61/1000</f>
        <v>3930.4200315340308</v>
      </c>
      <c r="AG12" s="82">
        <f>'Price Assumption'!AH38*Assumptions!$H$61/1000</f>
        <v>3958.5674727650517</v>
      </c>
    </row>
    <row r="13" spans="1:33">
      <c r="A13" s="257" t="s">
        <v>139</v>
      </c>
      <c r="C13" s="487">
        <v>0</v>
      </c>
      <c r="D13" s="487">
        <v>0</v>
      </c>
      <c r="E13" s="487">
        <v>0</v>
      </c>
      <c r="F13" s="487">
        <v>0</v>
      </c>
      <c r="G13" s="487">
        <v>0</v>
      </c>
      <c r="H13" s="487">
        <v>0</v>
      </c>
      <c r="I13" s="487">
        <v>0</v>
      </c>
      <c r="J13" s="487">
        <v>0</v>
      </c>
      <c r="K13" s="487">
        <v>0</v>
      </c>
      <c r="L13" s="487">
        <v>0</v>
      </c>
      <c r="M13" s="487">
        <v>0</v>
      </c>
      <c r="N13" s="487">
        <v>0</v>
      </c>
      <c r="O13" s="487">
        <v>0</v>
      </c>
      <c r="P13" s="487">
        <v>0</v>
      </c>
      <c r="Q13" s="487">
        <v>0</v>
      </c>
      <c r="R13" s="487">
        <v>0</v>
      </c>
      <c r="S13" s="487">
        <v>0</v>
      </c>
      <c r="T13" s="487">
        <v>0</v>
      </c>
      <c r="U13" s="487">
        <v>0</v>
      </c>
      <c r="V13" s="487">
        <v>0</v>
      </c>
      <c r="W13" s="487">
        <v>0</v>
      </c>
      <c r="X13" s="487">
        <v>0</v>
      </c>
      <c r="Y13" s="487">
        <v>0</v>
      </c>
      <c r="Z13" s="487">
        <v>0</v>
      </c>
      <c r="AA13" s="487">
        <v>0</v>
      </c>
      <c r="AB13" s="487">
        <v>0</v>
      </c>
      <c r="AC13" s="487">
        <v>0</v>
      </c>
      <c r="AD13" s="487">
        <v>0</v>
      </c>
      <c r="AE13" s="487">
        <v>0</v>
      </c>
      <c r="AF13" s="487">
        <v>0</v>
      </c>
      <c r="AG13" s="487">
        <v>0</v>
      </c>
    </row>
    <row r="14" spans="1:33">
      <c r="A14" s="201" t="s">
        <v>43</v>
      </c>
      <c r="C14" s="73">
        <f t="shared" ref="C14:AG14" si="2">SUM(C11:C13)</f>
        <v>8559.0185875309216</v>
      </c>
      <c r="D14" s="73">
        <f t="shared" si="2"/>
        <v>11155.315078766263</v>
      </c>
      <c r="E14" s="73">
        <f t="shared" si="2"/>
        <v>11167.617670989574</v>
      </c>
      <c r="F14" s="73">
        <f t="shared" si="2"/>
        <v>12237.247454587989</v>
      </c>
      <c r="G14" s="73">
        <f t="shared" si="2"/>
        <v>12743.567616960849</v>
      </c>
      <c r="H14" s="73">
        <f t="shared" si="2"/>
        <v>12873.69623777475</v>
      </c>
      <c r="I14" s="73">
        <f t="shared" si="2"/>
        <v>13002.856319773669</v>
      </c>
      <c r="J14" s="73">
        <f t="shared" si="2"/>
        <v>13130.872634869975</v>
      </c>
      <c r="K14" s="73">
        <f t="shared" si="2"/>
        <v>13435.033654201075</v>
      </c>
      <c r="L14" s="73">
        <f t="shared" si="2"/>
        <v>13565.521962649986</v>
      </c>
      <c r="M14" s="73">
        <f t="shared" si="2"/>
        <v>13882.722461814486</v>
      </c>
      <c r="N14" s="73">
        <f t="shared" si="2"/>
        <v>14015.509064216756</v>
      </c>
      <c r="O14" s="73">
        <f t="shared" si="2"/>
        <v>14346.20917642826</v>
      </c>
      <c r="P14" s="73">
        <f t="shared" si="2"/>
        <v>14481.090048644153</v>
      </c>
      <c r="Q14" s="73">
        <f t="shared" si="2"/>
        <v>14613.845139725661</v>
      </c>
      <c r="R14" s="73">
        <f t="shared" si="2"/>
        <v>14744.225510019729</v>
      </c>
      <c r="S14" s="73">
        <f t="shared" si="2"/>
        <v>14871.969196697139</v>
      </c>
      <c r="T14" s="73">
        <f t="shared" si="2"/>
        <v>14996.800656407628</v>
      </c>
      <c r="U14" s="73">
        <f t="shared" si="2"/>
        <v>15118.43018621517</v>
      </c>
      <c r="V14" s="73">
        <f t="shared" si="2"/>
        <v>15236.553322011843</v>
      </c>
      <c r="W14" s="73">
        <f t="shared" si="2"/>
        <v>15350.850213580174</v>
      </c>
      <c r="X14" s="73">
        <f t="shared" si="2"/>
        <v>15460.984975444244</v>
      </c>
      <c r="Y14" s="73">
        <f t="shared" si="2"/>
        <v>15571.766917406274</v>
      </c>
      <c r="Z14" s="73">
        <f t="shared" si="2"/>
        <v>15683.215454869223</v>
      </c>
      <c r="AA14" s="73">
        <f t="shared" si="2"/>
        <v>15795.350585698085</v>
      </c>
      <c r="AB14" s="73">
        <f t="shared" si="2"/>
        <v>15908.192907693858</v>
      </c>
      <c r="AC14" s="73">
        <f t="shared" si="2"/>
        <v>16021.76363659154</v>
      </c>
      <c r="AD14" s="73">
        <f t="shared" si="2"/>
        <v>16136.08462459821</v>
      </c>
      <c r="AE14" s="73">
        <f t="shared" si="2"/>
        <v>16251.178379487112</v>
      </c>
      <c r="AF14" s="73">
        <f t="shared" si="2"/>
        <v>16367.068084264716</v>
      </c>
      <c r="AG14" s="73">
        <f t="shared" si="2"/>
        <v>8133.6375209859325</v>
      </c>
    </row>
    <row r="15" spans="1:33">
      <c r="A15" s="6"/>
      <c r="Y15" s="12"/>
      <c r="Z15" s="12"/>
    </row>
    <row r="16" spans="1:33">
      <c r="A16" s="1" t="s">
        <v>44</v>
      </c>
      <c r="Y16" s="12"/>
      <c r="Z16" s="12"/>
    </row>
    <row r="17" spans="1:47">
      <c r="A17" s="3" t="s">
        <v>45</v>
      </c>
      <c r="C17" s="272">
        <f>Assumptions!$H$61*'Price Assumption'!D30*Assumptions!$H$14/1000000</f>
        <v>2992.1719905000004</v>
      </c>
      <c r="D17" s="272">
        <f>Assumptions!$H$61*'Price Assumption'!E30*Assumptions!$H$14/1000000</f>
        <v>2992.1719905000004</v>
      </c>
      <c r="E17" s="272">
        <f>Assumptions!$H$61*'Price Assumption'!F30*Assumptions!$H$14/1000000</f>
        <v>2992.1719905000004</v>
      </c>
      <c r="F17" s="272">
        <f>Assumptions!$H$61*'Price Assumption'!G30*Assumptions!$H$14/1000000</f>
        <v>2992.1719905000004</v>
      </c>
      <c r="G17" s="272">
        <f>Assumptions!$H$61*'Price Assumption'!H30*Assumptions!$H$14/1000000</f>
        <v>2992.1719905000004</v>
      </c>
      <c r="H17" s="272">
        <f>Assumptions!$H$61*'Price Assumption'!I30*Assumptions!$H$14/1000000</f>
        <v>2992.1719905000004</v>
      </c>
      <c r="I17" s="272">
        <f>Assumptions!$H$61*'Price Assumption'!J30*Assumptions!$H$14/1000000</f>
        <v>2992.1719905000004</v>
      </c>
      <c r="J17" s="272">
        <f>Assumptions!$H$61*'Price Assumption'!K30*Assumptions!$H$14/1000000</f>
        <v>2992.1719905000004</v>
      </c>
      <c r="K17" s="272">
        <f>Assumptions!$H$61*'Price Assumption'!L30*Assumptions!$H$14/1000000</f>
        <v>2992.1719905000004</v>
      </c>
      <c r="L17" s="272">
        <f>Assumptions!$H$61*'Price Assumption'!M30*Assumptions!$H$14/1000000</f>
        <v>2992.1719905000004</v>
      </c>
      <c r="M17" s="272">
        <f>Assumptions!$H$61*'Price Assumption'!N30*Assumptions!$H$14/1000000</f>
        <v>2992.1719905000004</v>
      </c>
      <c r="N17" s="272">
        <f>Assumptions!$H$61*'Price Assumption'!O30*Assumptions!$H$14/1000000</f>
        <v>2992.1719905000004</v>
      </c>
      <c r="O17" s="272">
        <f>Assumptions!$H$61*'Price Assumption'!P30*Assumptions!$H$14/1000000</f>
        <v>2992.1719905000004</v>
      </c>
      <c r="P17" s="272">
        <f>Assumptions!$H$61*'Price Assumption'!Q30*Assumptions!$H$14/1000000</f>
        <v>2992.1719905000004</v>
      </c>
      <c r="Q17" s="272">
        <f>Assumptions!$H$61*'Price Assumption'!R30*Assumptions!$H$14/1000000</f>
        <v>2992.1719905000004</v>
      </c>
      <c r="R17" s="272">
        <f>Assumptions!$H$61*'Price Assumption'!S30*Assumptions!$H$14/1000000</f>
        <v>2992.1719905000004</v>
      </c>
      <c r="S17" s="272">
        <f>Assumptions!$H$61*'Price Assumption'!T30*Assumptions!$H$14/1000000</f>
        <v>2992.1719905000004</v>
      </c>
      <c r="T17" s="272">
        <f>Assumptions!$H$61*'Price Assumption'!U30*Assumptions!$H$14/1000000</f>
        <v>2992.1719905000004</v>
      </c>
      <c r="U17" s="272">
        <f>Assumptions!$H$61*'Price Assumption'!V30*Assumptions!$H$14/1000000</f>
        <v>2992.1719905000004</v>
      </c>
      <c r="V17" s="272">
        <f>Assumptions!$H$61*'Price Assumption'!W30*Assumptions!$H$14/1000000</f>
        <v>2992.1719905000004</v>
      </c>
      <c r="W17" s="272">
        <f>Assumptions!$H$61*'Price Assumption'!X30*Assumptions!$H$14/1000000</f>
        <v>2992.1719905000004</v>
      </c>
      <c r="X17" s="272">
        <f>Assumptions!$H$61*'Price Assumption'!Y30*Assumptions!$H$14/1000000</f>
        <v>2992.1719905000004</v>
      </c>
      <c r="Y17" s="272">
        <f>Assumptions!$H$61*'Price Assumption'!Z30*Assumptions!$H$14/1000000</f>
        <v>2992.1719905000004</v>
      </c>
      <c r="Z17" s="272">
        <f>Assumptions!$H$61*'Price Assumption'!AA30*Assumptions!$H$14/1000000</f>
        <v>2992.1719905000004</v>
      </c>
      <c r="AA17" s="272">
        <f>Assumptions!$H$61*'Price Assumption'!AB30*Assumptions!$H$14/1000000</f>
        <v>2992.1719905000004</v>
      </c>
      <c r="AB17" s="272">
        <f>Assumptions!$H$61*'Price Assumption'!AC30*Assumptions!$H$14/1000000</f>
        <v>2992.1719905000004</v>
      </c>
      <c r="AC17" s="272">
        <f>Assumptions!$H$61*'Price Assumption'!AD30*Assumptions!$H$14/1000000</f>
        <v>2992.1719905000004</v>
      </c>
      <c r="AD17" s="272">
        <f>Assumptions!$H$61*'Price Assumption'!AE30*Assumptions!$H$14/1000000</f>
        <v>2992.1719905000004</v>
      </c>
      <c r="AE17" s="272">
        <f>Assumptions!$H$61*'Price Assumption'!AF30*Assumptions!$H$14/1000000</f>
        <v>2992.1719905000004</v>
      </c>
      <c r="AF17" s="272">
        <f>Assumptions!$H$61*'Price Assumption'!AG30*Assumptions!$H$14/1000000</f>
        <v>2992.1719905000004</v>
      </c>
      <c r="AG17" s="272">
        <f>Assumptions!$H$61*'Price Assumption'!AH30*Assumptions!$H$14/1000000</f>
        <v>2992.1719905000004</v>
      </c>
    </row>
    <row r="18" spans="1:47">
      <c r="A18" s="3" t="s">
        <v>247</v>
      </c>
      <c r="C18" s="82">
        <f>Assumptions!$N28*C6</f>
        <v>366.66666666666663</v>
      </c>
      <c r="D18" s="82">
        <f>Assumptions!$N28*(1+Assumptions!$N$20)</f>
        <v>566.5</v>
      </c>
      <c r="E18" s="82">
        <f>D18*(1+Assumptions!$N$20)</f>
        <v>583.495</v>
      </c>
      <c r="F18" s="82">
        <f>E18*(1+Assumptions!$N$20)</f>
        <v>600.99985000000004</v>
      </c>
      <c r="G18" s="82">
        <f>F18*(1+Assumptions!$N$20)</f>
        <v>619.02984550000008</v>
      </c>
      <c r="H18" s="82">
        <f>G18*(1+Assumptions!$N$20)</f>
        <v>637.60074086500015</v>
      </c>
      <c r="I18" s="82">
        <f>H18*(1+Assumptions!$N$20)</f>
        <v>656.72876309095022</v>
      </c>
      <c r="J18" s="82">
        <f>I18*(1+Assumptions!$N$20)</f>
        <v>676.43062598367874</v>
      </c>
      <c r="K18" s="82">
        <f>J18*(1+Assumptions!$N$20)</f>
        <v>696.72354476318912</v>
      </c>
      <c r="L18" s="82">
        <f>K18*(1+Assumptions!$N$20)</f>
        <v>717.62525110608476</v>
      </c>
      <c r="M18" s="82">
        <f>L18*(1+Assumptions!$N$20)</f>
        <v>739.15400863926732</v>
      </c>
      <c r="N18" s="82">
        <f>M18*(1+Assumptions!$N$20)</f>
        <v>761.32862889844534</v>
      </c>
      <c r="O18" s="82">
        <f>N18*(1+Assumptions!$N$20)</f>
        <v>784.16848776539871</v>
      </c>
      <c r="P18" s="82">
        <f>O18*(1+Assumptions!$N$20)</f>
        <v>807.69354239836071</v>
      </c>
      <c r="Q18" s="82">
        <f>P18*(1+Assumptions!$N$20)</f>
        <v>831.92434867031159</v>
      </c>
      <c r="R18" s="82">
        <f>Q18*(1+Assumptions!$N$20)</f>
        <v>856.88207913042095</v>
      </c>
      <c r="S18" s="82">
        <f>R18*(1+Assumptions!$N$20)</f>
        <v>882.58854150433365</v>
      </c>
      <c r="T18" s="82">
        <f>S18*(1+Assumptions!$N$20)</f>
        <v>909.06619774946364</v>
      </c>
      <c r="U18" s="82">
        <f>T18*(1+Assumptions!$N$20)</f>
        <v>936.33818368194761</v>
      </c>
      <c r="V18" s="82">
        <f>U18*(1+Assumptions!$N$20)</f>
        <v>964.42832919240607</v>
      </c>
      <c r="W18" s="82">
        <f>V18*(1+Assumptions!$N$20)</f>
        <v>993.36117906817833</v>
      </c>
      <c r="X18" s="82">
        <f>W18*(1+Assumptions!$N$20)</f>
        <v>1023.1620144402237</v>
      </c>
      <c r="Y18" s="82">
        <f>X18*(1+Assumptions!$N$20)</f>
        <v>1053.8568748734306</v>
      </c>
      <c r="Z18" s="82">
        <f>Y18*(1+Assumptions!$N$20)</f>
        <v>1085.4725811196336</v>
      </c>
      <c r="AA18" s="82">
        <f>Z18*(1+Assumptions!$N$20)</f>
        <v>1118.0367585532226</v>
      </c>
      <c r="AB18" s="82">
        <f>AA18*(1+Assumptions!$N$20)</f>
        <v>1151.5778613098194</v>
      </c>
      <c r="AC18" s="82">
        <f>AB18*(1+Assumptions!$N$20)</f>
        <v>1186.125197149114</v>
      </c>
      <c r="AD18" s="82">
        <f>AC18*(1+Assumptions!$N$20)</f>
        <v>1221.7089530635874</v>
      </c>
      <c r="AE18" s="82">
        <f>AD18*(1+Assumptions!$N$20)</f>
        <v>1258.360221655495</v>
      </c>
      <c r="AF18" s="82">
        <f>AE18*(1+Assumptions!$N$20)</f>
        <v>1296.1110283051598</v>
      </c>
      <c r="AG18" s="82">
        <f>AF18*(1+Assumptions!$N$20)</f>
        <v>1334.9943591543147</v>
      </c>
    </row>
    <row r="19" spans="1:47">
      <c r="A19" s="3" t="s">
        <v>320</v>
      </c>
      <c r="C19" s="272">
        <f>+(Assumptions!$P$24*Assumptions!$H$61)/1000*(1+Assumptions!$N$20)^IS!C6</f>
        <v>97.107839792485436</v>
      </c>
      <c r="D19" s="82">
        <f>C19*(1+Assumptions!$N$20)</f>
        <v>100.02107498626</v>
      </c>
      <c r="E19" s="82">
        <f>D19*(1+Assumptions!$N$20)</f>
        <v>103.02170723584781</v>
      </c>
      <c r="F19" s="82">
        <f>E19*(1+Assumptions!$N$20)</f>
        <v>106.11235845292325</v>
      </c>
      <c r="G19" s="82">
        <f>F19*(1+Assumptions!$N$20)</f>
        <v>109.29572920651094</v>
      </c>
      <c r="H19" s="82">
        <f>G19*(1+Assumptions!$N$20)</f>
        <v>112.57460108270627</v>
      </c>
      <c r="I19" s="82">
        <f>H19*(1+Assumptions!$N$20)</f>
        <v>115.95183911518745</v>
      </c>
      <c r="J19" s="82">
        <f>I19*(1+Assumptions!$N$20)</f>
        <v>119.43039428864309</v>
      </c>
      <c r="K19" s="82">
        <f>J19*(1+Assumptions!$N$20)</f>
        <v>123.01330611730238</v>
      </c>
      <c r="L19" s="82">
        <f>K19*(1+Assumptions!$N$20)</f>
        <v>126.70370530082145</v>
      </c>
      <c r="M19" s="82">
        <f>L19*(1+Assumptions!$N$20)</f>
        <v>130.5048164598461</v>
      </c>
      <c r="N19" s="82">
        <f>M19*(1+Assumptions!$N$20)</f>
        <v>134.41996095364149</v>
      </c>
      <c r="O19" s="82">
        <f>N19*(1+Assumptions!$N$20)</f>
        <v>138.45255978225075</v>
      </c>
      <c r="P19" s="82">
        <f>O19*(1+Assumptions!$N$20)</f>
        <v>142.60613657571827</v>
      </c>
      <c r="Q19" s="82">
        <f>P19*(1+Assumptions!$N$20)</f>
        <v>146.88432067298982</v>
      </c>
      <c r="R19" s="82">
        <f>Q19*(1+Assumptions!$N$20)</f>
        <v>151.29085029317952</v>
      </c>
      <c r="S19" s="82">
        <f>R19*(1+Assumptions!$N$20)</f>
        <v>155.8295758019749</v>
      </c>
      <c r="T19" s="82">
        <f>S19*(1+Assumptions!$N$20)</f>
        <v>160.50446307603414</v>
      </c>
      <c r="U19" s="82">
        <f>T19*(1+Assumptions!$N$20)</f>
        <v>165.31959696831518</v>
      </c>
      <c r="V19" s="82">
        <f>U19*(1+Assumptions!$N$20)</f>
        <v>170.27918487736463</v>
      </c>
      <c r="W19" s="82">
        <f>V19*(1+Assumptions!$N$20)</f>
        <v>175.38756042368558</v>
      </c>
      <c r="X19" s="82">
        <f>W19*(1+Assumptions!$N$20)</f>
        <v>180.64918723639616</v>
      </c>
      <c r="Y19" s="82">
        <f>X19*(1+Assumptions!$N$20)</f>
        <v>186.06866285348804</v>
      </c>
      <c r="Z19" s="82">
        <f>Y19*(1+Assumptions!$N$20)</f>
        <v>191.65072273909269</v>
      </c>
      <c r="AA19" s="82">
        <f>Z19*(1+Assumptions!$N$20)</f>
        <v>197.40024442126548</v>
      </c>
      <c r="AB19" s="82">
        <f>AA19*(1+Assumptions!$N$20)</f>
        <v>203.32225175390346</v>
      </c>
      <c r="AC19" s="82">
        <f>AB19*(1+Assumptions!$N$20)</f>
        <v>209.42191930652058</v>
      </c>
      <c r="AD19" s="82">
        <f>AC19*(1+Assumptions!$N$20)</f>
        <v>215.70457688571619</v>
      </c>
      <c r="AE19" s="82">
        <f>AD19*(1+Assumptions!$N$20)</f>
        <v>222.17571419228767</v>
      </c>
      <c r="AF19" s="82">
        <f>AE19*(1+Assumptions!$N$20)</f>
        <v>228.84098561805629</v>
      </c>
      <c r="AG19" s="82">
        <f>AF19*(1+Assumptions!$N$20)</f>
        <v>235.706215186598</v>
      </c>
    </row>
    <row r="20" spans="1:47">
      <c r="A20" s="3" t="s">
        <v>321</v>
      </c>
      <c r="C20" s="82">
        <f>Assumptions!$P$25*Assumptions!$H$61/1000*(1+Assumptions!$N$20)^IS!C6</f>
        <v>301.03430335670487</v>
      </c>
      <c r="D20" s="82">
        <f>C20*(1+Assumptions!$N$20)</f>
        <v>310.06533245740604</v>
      </c>
      <c r="E20" s="82">
        <f>D20*(1+Assumptions!$N$20)</f>
        <v>319.36729243112825</v>
      </c>
      <c r="F20" s="82">
        <f>E20*(1+Assumptions!$N$20)</f>
        <v>328.94831120406212</v>
      </c>
      <c r="G20" s="82">
        <f>F20*(1+Assumptions!$N$20)</f>
        <v>338.81676054018402</v>
      </c>
      <c r="H20" s="82">
        <f>G20*(1+Assumptions!$N$20)</f>
        <v>348.98126335638955</v>
      </c>
      <c r="I20" s="82">
        <f>H20*(1+Assumptions!$N$20)</f>
        <v>359.45070125708122</v>
      </c>
      <c r="J20" s="82">
        <f>I20*(1+Assumptions!$N$20)</f>
        <v>370.23422229479365</v>
      </c>
      <c r="K20" s="82">
        <f>J20*(1+Assumptions!$N$20)</f>
        <v>381.3412489636375</v>
      </c>
      <c r="L20" s="82">
        <f>K20*(1+Assumptions!$N$20)</f>
        <v>392.78148643254661</v>
      </c>
      <c r="M20" s="82">
        <f>L20*(1+Assumptions!$N$20)</f>
        <v>404.56493102552304</v>
      </c>
      <c r="N20" s="82">
        <f>M20*(1+Assumptions!$N$20)</f>
        <v>416.70187895628874</v>
      </c>
      <c r="O20" s="82">
        <f>N20*(1+Assumptions!$N$20)</f>
        <v>429.20293532497743</v>
      </c>
      <c r="P20" s="82">
        <f>O20*(1+Assumptions!$N$20)</f>
        <v>442.07902338472678</v>
      </c>
      <c r="Q20" s="82">
        <f>P20*(1+Assumptions!$N$20)</f>
        <v>455.34139408626862</v>
      </c>
      <c r="R20" s="82">
        <f>Q20*(1+Assumptions!$N$20)</f>
        <v>469.00163590885671</v>
      </c>
      <c r="S20" s="82">
        <f>R20*(1+Assumptions!$N$20)</f>
        <v>483.07168498612242</v>
      </c>
      <c r="T20" s="82">
        <f>S20*(1+Assumptions!$N$20)</f>
        <v>497.56383553570612</v>
      </c>
      <c r="U20" s="82">
        <f>T20*(1+Assumptions!$N$20)</f>
        <v>512.49075060177734</v>
      </c>
      <c r="V20" s="82">
        <f>U20*(1+Assumptions!$N$20)</f>
        <v>527.86547311983065</v>
      </c>
      <c r="W20" s="82">
        <f>V20*(1+Assumptions!$N$20)</f>
        <v>543.70143731342557</v>
      </c>
      <c r="X20" s="82">
        <f>W20*(1+Assumptions!$N$20)</f>
        <v>560.0124804328284</v>
      </c>
      <c r="Y20" s="82">
        <f>X20*(1+Assumptions!$N$20)</f>
        <v>576.81285484581326</v>
      </c>
      <c r="Z20" s="82">
        <f>Y20*(1+Assumptions!$N$20)</f>
        <v>594.11724049118766</v>
      </c>
      <c r="AA20" s="82">
        <f>Z20*(1+Assumptions!$N$20)</f>
        <v>611.94075770592326</v>
      </c>
      <c r="AB20" s="82">
        <f>AA20*(1+Assumptions!$N$20)</f>
        <v>630.29898043710102</v>
      </c>
      <c r="AC20" s="82">
        <f>AB20*(1+Assumptions!$N$20)</f>
        <v>649.20794985021405</v>
      </c>
      <c r="AD20" s="82">
        <f>AC20*(1+Assumptions!$N$20)</f>
        <v>668.68418834572049</v>
      </c>
      <c r="AE20" s="82">
        <f>AD20*(1+Assumptions!$N$20)</f>
        <v>688.74471399609217</v>
      </c>
      <c r="AF20" s="82">
        <f>AE20*(1+Assumptions!$N$20)</f>
        <v>709.40705541597492</v>
      </c>
      <c r="AG20" s="82">
        <f>AF20*(1+Assumptions!$N$20)</f>
        <v>730.68926707845424</v>
      </c>
    </row>
    <row r="21" spans="1:47">
      <c r="A21" s="3" t="s">
        <v>35</v>
      </c>
      <c r="C21" s="82">
        <f>Assumptions!$N29*Assumptions!H17/12</f>
        <v>0</v>
      </c>
      <c r="D21" s="82">
        <f>Assumptions!$N29*(1+Assumptions!$N$20)</f>
        <v>0</v>
      </c>
      <c r="E21" s="82">
        <f>D21*(1+Assumptions!$N$20)</f>
        <v>0</v>
      </c>
      <c r="F21" s="82">
        <f>E21*(1+Assumptions!$N$20)</f>
        <v>0</v>
      </c>
      <c r="G21" s="82">
        <f>F21*(1+Assumptions!$N$20)</f>
        <v>0</v>
      </c>
      <c r="H21" s="82">
        <f>G21*(1+Assumptions!$N$20)</f>
        <v>0</v>
      </c>
      <c r="I21" s="82">
        <f>H21*(1+Assumptions!$N$20)</f>
        <v>0</v>
      </c>
      <c r="J21" s="82">
        <f>I21*(1+Assumptions!$N$20)</f>
        <v>0</v>
      </c>
      <c r="K21" s="82">
        <f>J21*(1+Assumptions!$N$20)</f>
        <v>0</v>
      </c>
      <c r="L21" s="82">
        <f>K21*(1+Assumptions!$N$20)</f>
        <v>0</v>
      </c>
      <c r="M21" s="82">
        <f>L21*(1+Assumptions!$N$20)</f>
        <v>0</v>
      </c>
      <c r="N21" s="82">
        <f>M21*(1+Assumptions!$N$20)</f>
        <v>0</v>
      </c>
      <c r="O21" s="82">
        <f>N21*(1+Assumptions!$N$20)</f>
        <v>0</v>
      </c>
      <c r="P21" s="82">
        <f>O21*(1+Assumptions!$N$20)</f>
        <v>0</v>
      </c>
      <c r="Q21" s="82">
        <f>P21*(1+Assumptions!$N$20)</f>
        <v>0</v>
      </c>
      <c r="R21" s="82">
        <f>Q21*(1+Assumptions!$N$20)</f>
        <v>0</v>
      </c>
      <c r="S21" s="82">
        <f>R21*(1+Assumptions!$N$20)</f>
        <v>0</v>
      </c>
      <c r="T21" s="82">
        <f>S21*(1+Assumptions!$N$20)</f>
        <v>0</v>
      </c>
      <c r="U21" s="82">
        <f>T21*(1+Assumptions!$N$20)</f>
        <v>0</v>
      </c>
      <c r="V21" s="82">
        <f>U21*(1+Assumptions!$N$20)</f>
        <v>0</v>
      </c>
      <c r="W21" s="82">
        <f>V21*(1+Assumptions!$N$20)</f>
        <v>0</v>
      </c>
      <c r="X21" s="82">
        <f>W21*(1+Assumptions!$N$20)</f>
        <v>0</v>
      </c>
      <c r="Y21" s="82">
        <f>X21*(1+Assumptions!$N$20)</f>
        <v>0</v>
      </c>
      <c r="Z21" s="82">
        <f>Y21*(1+Assumptions!$N$20)</f>
        <v>0</v>
      </c>
      <c r="AA21" s="82">
        <f>Z21*(1+Assumptions!$N$20)</f>
        <v>0</v>
      </c>
      <c r="AB21" s="82">
        <f>AA21*(1+Assumptions!$N$20)</f>
        <v>0</v>
      </c>
      <c r="AC21" s="82">
        <f>AB21*(1+Assumptions!$N$20)</f>
        <v>0</v>
      </c>
      <c r="AD21" s="82">
        <f>AC21*(1+Assumptions!$N$20)</f>
        <v>0</v>
      </c>
      <c r="AE21" s="82">
        <f>AD21*(1+Assumptions!$N$20)</f>
        <v>0</v>
      </c>
      <c r="AF21" s="82">
        <f>AE21*(1+Assumptions!$N$20)</f>
        <v>0</v>
      </c>
      <c r="AG21" s="82">
        <f>AF21*(1+Assumptions!$N$20)</f>
        <v>0</v>
      </c>
    </row>
    <row r="22" spans="1:47">
      <c r="A22" s="3" t="s">
        <v>36</v>
      </c>
      <c r="C22" s="82">
        <f>Assumptions!$N30*Assumptions!H17/12</f>
        <v>0</v>
      </c>
      <c r="D22" s="82">
        <f>(Assumptions!$N30)*(1+Assumptions!$N$20)</f>
        <v>0</v>
      </c>
      <c r="E22" s="82">
        <f>D22*(1+Assumptions!$N$20)</f>
        <v>0</v>
      </c>
      <c r="F22" s="82">
        <f>E22*(1+Assumptions!$N$20)</f>
        <v>0</v>
      </c>
      <c r="G22" s="82">
        <f>F22*(1+Assumptions!$N$20)</f>
        <v>0</v>
      </c>
      <c r="H22" s="82">
        <f>G22*(1+Assumptions!$N$20)</f>
        <v>0</v>
      </c>
      <c r="I22" s="82">
        <f>H22*(1+Assumptions!$N$20)</f>
        <v>0</v>
      </c>
      <c r="J22" s="82">
        <f>I22*(1+Assumptions!$N$20)</f>
        <v>0</v>
      </c>
      <c r="K22" s="82">
        <f>J22*(1+Assumptions!$N$20)</f>
        <v>0</v>
      </c>
      <c r="L22" s="82">
        <f>K22*(1+Assumptions!$N$20)</f>
        <v>0</v>
      </c>
      <c r="M22" s="82">
        <f>L22*(1+Assumptions!$N$20)</f>
        <v>0</v>
      </c>
      <c r="N22" s="82">
        <f>M22*(1+Assumptions!$N$20)</f>
        <v>0</v>
      </c>
      <c r="O22" s="82">
        <f>N22*(1+Assumptions!$N$20)</f>
        <v>0</v>
      </c>
      <c r="P22" s="82">
        <f>O22*(1+Assumptions!$N$20)</f>
        <v>0</v>
      </c>
      <c r="Q22" s="82">
        <f>P22*(1+Assumptions!$N$20)</f>
        <v>0</v>
      </c>
      <c r="R22" s="82">
        <f>Q22*(1+Assumptions!$N$20)</f>
        <v>0</v>
      </c>
      <c r="S22" s="82">
        <f>R22*(1+Assumptions!$N$20)</f>
        <v>0</v>
      </c>
      <c r="T22" s="82">
        <f>S22*(1+Assumptions!$N$20)</f>
        <v>0</v>
      </c>
      <c r="U22" s="82">
        <f>T22*(1+Assumptions!$N$20)</f>
        <v>0</v>
      </c>
      <c r="V22" s="82">
        <f>U22*(1+Assumptions!$N$20)</f>
        <v>0</v>
      </c>
      <c r="W22" s="82">
        <f>V22*(1+Assumptions!$N$20)</f>
        <v>0</v>
      </c>
      <c r="X22" s="82">
        <f>W22*(1+Assumptions!$N$20)</f>
        <v>0</v>
      </c>
      <c r="Y22" s="82">
        <f>X22*(1+Assumptions!$N$20)</f>
        <v>0</v>
      </c>
      <c r="Z22" s="82">
        <f>Y22*(1+Assumptions!$N$20)</f>
        <v>0</v>
      </c>
      <c r="AA22" s="82">
        <f>Z22*(1+Assumptions!$N$20)</f>
        <v>0</v>
      </c>
      <c r="AB22" s="82">
        <f>AA22*(1+Assumptions!$N$20)</f>
        <v>0</v>
      </c>
      <c r="AC22" s="82">
        <f>AB22*(1+Assumptions!$N$20)</f>
        <v>0</v>
      </c>
      <c r="AD22" s="82">
        <f>AC22*(1+Assumptions!$N$20)</f>
        <v>0</v>
      </c>
      <c r="AE22" s="82">
        <f>AD22*(1+Assumptions!$N$20)</f>
        <v>0</v>
      </c>
      <c r="AF22" s="82">
        <f>AE22*(1+Assumptions!$N$20)</f>
        <v>0</v>
      </c>
      <c r="AG22" s="82">
        <f>AF22*(1+Assumptions!$N$20)</f>
        <v>0</v>
      </c>
    </row>
    <row r="23" spans="1:47">
      <c r="A23" s="3" t="s">
        <v>46</v>
      </c>
      <c r="C23" s="82">
        <f>+Assumptions!N31*Assumptions!H17/12</f>
        <v>0</v>
      </c>
      <c r="D23" s="82">
        <f>+Assumptions!N31*(1+Assumptions!$N$20)</f>
        <v>0</v>
      </c>
      <c r="E23" s="82">
        <f>D23*(1+Assumptions!$N$20)</f>
        <v>0</v>
      </c>
      <c r="F23" s="82">
        <f>E23*(1+Assumptions!$N$20)</f>
        <v>0</v>
      </c>
      <c r="G23" s="82">
        <f>F23*(1+Assumptions!$N$20)</f>
        <v>0</v>
      </c>
      <c r="H23" s="82">
        <f>G23*(1+Assumptions!$N$20)</f>
        <v>0</v>
      </c>
      <c r="I23" s="82">
        <f>H23*(1+Assumptions!$N$20)</f>
        <v>0</v>
      </c>
      <c r="J23" s="82">
        <f>I23*(1+Assumptions!$N$20)</f>
        <v>0</v>
      </c>
      <c r="K23" s="82">
        <f>J23*(1+Assumptions!$N$20)</f>
        <v>0</v>
      </c>
      <c r="L23" s="82">
        <f>K23*(1+Assumptions!$N$20)</f>
        <v>0</v>
      </c>
      <c r="M23" s="82">
        <f>L23*(1+Assumptions!$N$20)</f>
        <v>0</v>
      </c>
      <c r="N23" s="82">
        <f>M23*(1+Assumptions!$N$20)</f>
        <v>0</v>
      </c>
      <c r="O23" s="82">
        <f>N23*(1+Assumptions!$N$20)</f>
        <v>0</v>
      </c>
      <c r="P23" s="82">
        <f>O23*(1+Assumptions!$N$20)</f>
        <v>0</v>
      </c>
      <c r="Q23" s="82">
        <f>P23*(1+Assumptions!$N$20)</f>
        <v>0</v>
      </c>
      <c r="R23" s="82">
        <f>Q23*(1+Assumptions!$N$20)</f>
        <v>0</v>
      </c>
      <c r="S23" s="82">
        <f>R23*(1+Assumptions!$N$20)</f>
        <v>0</v>
      </c>
      <c r="T23" s="82">
        <f>S23*(1+Assumptions!$N$20)</f>
        <v>0</v>
      </c>
      <c r="U23" s="82">
        <f>T23*(1+Assumptions!$N$20)</f>
        <v>0</v>
      </c>
      <c r="V23" s="82">
        <f>U23*(1+Assumptions!$N$20)</f>
        <v>0</v>
      </c>
      <c r="W23" s="82">
        <f>V23*(1+Assumptions!$N$20)</f>
        <v>0</v>
      </c>
      <c r="X23" s="82">
        <f>W23*(1+Assumptions!$N$20)</f>
        <v>0</v>
      </c>
      <c r="Y23" s="82">
        <f>X23*(1+Assumptions!$N$20)</f>
        <v>0</v>
      </c>
      <c r="Z23" s="82">
        <f>Y23*(1+Assumptions!$N$20)</f>
        <v>0</v>
      </c>
      <c r="AA23" s="82">
        <f>Z23*(1+Assumptions!$N$20)</f>
        <v>0</v>
      </c>
      <c r="AB23" s="82">
        <f>AA23*(1+Assumptions!$N$20)</f>
        <v>0</v>
      </c>
      <c r="AC23" s="82">
        <f>AB23*(1+Assumptions!$N$20)</f>
        <v>0</v>
      </c>
      <c r="AD23" s="82">
        <f>AC23*(1+Assumptions!$N$20)</f>
        <v>0</v>
      </c>
      <c r="AE23" s="82">
        <f>AD23*(1+Assumptions!$N$20)</f>
        <v>0</v>
      </c>
      <c r="AF23" s="82">
        <f>AE23*(1+Assumptions!$N$20)</f>
        <v>0</v>
      </c>
      <c r="AG23" s="82">
        <f>AF23*(1+Assumptions!$N$20)</f>
        <v>0</v>
      </c>
    </row>
    <row r="24" spans="1:47" ht="14.25" customHeight="1">
      <c r="A24" s="3" t="s">
        <v>264</v>
      </c>
      <c r="C24" s="82">
        <f>Assumptions!$N$39</f>
        <v>0</v>
      </c>
      <c r="D24" s="82">
        <f>Assumptions!$N$39</f>
        <v>0</v>
      </c>
      <c r="E24" s="82">
        <f>Assumptions!$N$39</f>
        <v>0</v>
      </c>
      <c r="F24" s="82">
        <f>Assumptions!$N$39</f>
        <v>0</v>
      </c>
      <c r="G24" s="82">
        <f>Assumptions!$N$39</f>
        <v>0</v>
      </c>
      <c r="H24" s="82">
        <f>Assumptions!$N$39</f>
        <v>0</v>
      </c>
      <c r="I24" s="82">
        <f>Assumptions!$N$39</f>
        <v>0</v>
      </c>
      <c r="J24" s="82">
        <f>Assumptions!$N$39</f>
        <v>0</v>
      </c>
      <c r="K24" s="82">
        <f>Assumptions!$N$39</f>
        <v>0</v>
      </c>
      <c r="L24" s="82">
        <f>Assumptions!$N$39</f>
        <v>0</v>
      </c>
      <c r="M24" s="82">
        <f>Assumptions!$N$39</f>
        <v>0</v>
      </c>
      <c r="N24" s="82">
        <f>Assumptions!$N$39</f>
        <v>0</v>
      </c>
      <c r="O24" s="82">
        <f>Assumptions!$N$39</f>
        <v>0</v>
      </c>
      <c r="P24" s="82">
        <f>Assumptions!$N$39</f>
        <v>0</v>
      </c>
      <c r="Q24" s="82">
        <f>Assumptions!$N$39</f>
        <v>0</v>
      </c>
      <c r="R24" s="82">
        <f>Assumptions!$N$39</f>
        <v>0</v>
      </c>
      <c r="S24" s="82">
        <f>Assumptions!$N$39</f>
        <v>0</v>
      </c>
      <c r="T24" s="82">
        <f>Assumptions!$N$39</f>
        <v>0</v>
      </c>
      <c r="U24" s="82">
        <f>Assumptions!$N$39</f>
        <v>0</v>
      </c>
      <c r="V24" s="82">
        <f>Assumptions!$N$39</f>
        <v>0</v>
      </c>
      <c r="W24" s="82">
        <f>Assumptions!$N$39</f>
        <v>0</v>
      </c>
      <c r="X24" s="82">
        <f>Assumptions!$N$39</f>
        <v>0</v>
      </c>
      <c r="Y24" s="82">
        <f>Assumptions!$N$39</f>
        <v>0</v>
      </c>
      <c r="Z24" s="82">
        <f>Assumptions!$N$39</f>
        <v>0</v>
      </c>
      <c r="AA24" s="82">
        <f>Assumptions!$N$39</f>
        <v>0</v>
      </c>
      <c r="AB24" s="82">
        <f>Assumptions!$N$39</f>
        <v>0</v>
      </c>
      <c r="AC24" s="82">
        <f>Assumptions!$N$39</f>
        <v>0</v>
      </c>
      <c r="AD24" s="82">
        <f>Assumptions!$N$39</f>
        <v>0</v>
      </c>
      <c r="AE24" s="82">
        <f>Assumptions!$N$39</f>
        <v>0</v>
      </c>
      <c r="AF24" s="82">
        <f>Assumptions!$N$39</f>
        <v>0</v>
      </c>
      <c r="AG24" s="82">
        <f>Assumptions!$N$39</f>
        <v>0</v>
      </c>
    </row>
    <row r="25" spans="1:47">
      <c r="A25" s="5" t="s">
        <v>253</v>
      </c>
      <c r="C25" s="82">
        <f>Assumptions!$N$61*Depreciation!D50*Assumptions!H17/12</f>
        <v>128.57489117785761</v>
      </c>
      <c r="D25" s="82">
        <f>Assumptions!$N$61*Depreciation!E50</f>
        <v>185.49253666168073</v>
      </c>
      <c r="E25" s="82">
        <f>Assumptions!$N$61*Depreciation!F50</f>
        <v>178.12273655657501</v>
      </c>
      <c r="F25" s="82">
        <f>Assumptions!$N$61*Depreciation!G50</f>
        <v>170.75293645146928</v>
      </c>
      <c r="G25" s="82">
        <f>Assumptions!$N$61*Depreciation!H50</f>
        <v>163.38313634636359</v>
      </c>
      <c r="H25" s="82">
        <f>Assumptions!$N$61*Depreciation!I50</f>
        <v>157.14002957459118</v>
      </c>
      <c r="I25" s="82">
        <f>Assumptions!$N$61*Depreciation!J50</f>
        <v>151.4602694694855</v>
      </c>
      <c r="J25" s="82">
        <f>Assumptions!$N$61*Depreciation!K50</f>
        <v>145.78050936437978</v>
      </c>
      <c r="K25" s="82">
        <f>Assumptions!$N$61*Depreciation!L50</f>
        <v>140.10074925927407</v>
      </c>
      <c r="L25" s="82">
        <f>Assumptions!$N$61*Depreciation!M50</f>
        <v>134.42098915416835</v>
      </c>
      <c r="M25" s="82">
        <f>Assumptions!$N$61*Depreciation!N50</f>
        <v>128.74122904906267</v>
      </c>
      <c r="N25" s="82">
        <f>Assumptions!$N$61*Depreciation!O50</f>
        <v>123.06146894395695</v>
      </c>
      <c r="O25" s="82">
        <f>Assumptions!$N$61*Depreciation!P50</f>
        <v>117.38170883885125</v>
      </c>
      <c r="P25" s="82">
        <f>Assumptions!$N$61*Depreciation!Q50</f>
        <v>111.70194873374554</v>
      </c>
      <c r="Q25" s="82">
        <f>Assumptions!$N$61*Depreciation!R50</f>
        <v>106.02218862863984</v>
      </c>
      <c r="R25" s="82">
        <f>Assumptions!$N$61*Depreciation!S50</f>
        <v>100.34242852353412</v>
      </c>
      <c r="S25" s="82">
        <f>Assumptions!$N$61*Depreciation!T50</f>
        <v>94.662668418428424</v>
      </c>
      <c r="T25" s="82">
        <f>Assumptions!$N$61*Depreciation!U50</f>
        <v>88.98290831332271</v>
      </c>
      <c r="U25" s="82">
        <f>Assumptions!$N$61*Depreciation!V50</f>
        <v>83.30314820821701</v>
      </c>
      <c r="V25" s="82">
        <f>Assumptions!$N$61*Depreciation!W50</f>
        <v>77.62338810311131</v>
      </c>
      <c r="W25" s="82">
        <f>Assumptions!$N$61*Depreciation!X50</f>
        <v>71.943627998005596</v>
      </c>
      <c r="X25" s="82">
        <f>Assumptions!$N$61*Depreciation!Y50</f>
        <v>66.263867892899896</v>
      </c>
      <c r="Y25" s="82">
        <f>Assumptions!$N$61*Depreciation!Z50</f>
        <v>60.584107787794181</v>
      </c>
      <c r="Z25" s="82">
        <f>Assumptions!$N$61*Depreciation!AA50</f>
        <v>54.904347682688474</v>
      </c>
      <c r="AA25" s="82">
        <f>Assumptions!$N$61*Depreciation!AB50</f>
        <v>49.224587577582774</v>
      </c>
      <c r="AB25" s="82">
        <f>Assumptions!$N$61*Depreciation!AC50</f>
        <v>43.544827472477067</v>
      </c>
      <c r="AC25" s="82">
        <f>Assumptions!$N$61*Depreciation!AD50</f>
        <v>37.86506736737136</v>
      </c>
      <c r="AD25" s="82">
        <f>Assumptions!$N$61*Depreciation!AE50</f>
        <v>32.185307262265653</v>
      </c>
      <c r="AE25" s="82">
        <f>Assumptions!$N$61*Depreciation!AF50</f>
        <v>26.505547157159945</v>
      </c>
      <c r="AF25" s="82">
        <f>Assumptions!$N$61*Depreciation!AG50</f>
        <v>20.825787052054238</v>
      </c>
      <c r="AG25" s="82">
        <f>Assumptions!$N$61*Depreciation!AH50</f>
        <v>18.932533683685669</v>
      </c>
    </row>
    <row r="26" spans="1:47">
      <c r="A26" s="5" t="s">
        <v>258</v>
      </c>
      <c r="C26" s="241">
        <v>0</v>
      </c>
      <c r="D26" s="241">
        <v>0</v>
      </c>
      <c r="E26" s="241">
        <v>0</v>
      </c>
      <c r="F26" s="241">
        <v>0</v>
      </c>
      <c r="G26" s="241">
        <v>0</v>
      </c>
      <c r="H26" s="241">
        <v>0</v>
      </c>
      <c r="I26" s="241">
        <v>0</v>
      </c>
      <c r="J26" s="241">
        <v>0</v>
      </c>
      <c r="K26" s="241">
        <v>0</v>
      </c>
      <c r="L26" s="241">
        <v>0</v>
      </c>
      <c r="M26" s="241">
        <v>0</v>
      </c>
      <c r="N26" s="241">
        <v>0</v>
      </c>
      <c r="O26" s="241">
        <v>0</v>
      </c>
      <c r="P26" s="241">
        <v>0</v>
      </c>
      <c r="Q26" s="241">
        <v>0</v>
      </c>
      <c r="R26" s="241">
        <v>0</v>
      </c>
      <c r="S26" s="241">
        <v>0</v>
      </c>
      <c r="T26" s="241">
        <v>0</v>
      </c>
      <c r="U26" s="241">
        <v>0</v>
      </c>
      <c r="V26" s="241">
        <v>0</v>
      </c>
      <c r="W26" s="241">
        <v>0</v>
      </c>
      <c r="X26" s="241">
        <v>0</v>
      </c>
      <c r="Y26" s="241">
        <v>0</v>
      </c>
      <c r="Z26" s="241">
        <v>0</v>
      </c>
      <c r="AA26" s="241">
        <v>0</v>
      </c>
      <c r="AB26" s="241">
        <v>0</v>
      </c>
      <c r="AC26" s="241">
        <v>0</v>
      </c>
      <c r="AD26" s="241">
        <v>0</v>
      </c>
      <c r="AE26" s="241">
        <v>0</v>
      </c>
      <c r="AF26" s="241">
        <v>0</v>
      </c>
      <c r="AG26" s="241">
        <v>0</v>
      </c>
    </row>
    <row r="27" spans="1:47">
      <c r="A27" s="13" t="s">
        <v>20</v>
      </c>
      <c r="C27" s="82">
        <f>IF(C8&lt;Assumptions!$G$33,Assumptions!$G$41*Assumptions!$G$40*C6,0)</f>
        <v>53.715484244963946</v>
      </c>
      <c r="D27" s="82">
        <f>IF(D8&lt;Assumptions!$G$33,Assumptions!$G$41*Assumptions!$G$40,IF(AND(D8&gt;Assumptions!$G$33,C8&lt;Assumptions!$G$33),Assumptions!$G$41*Assumptions!$G$40*(1-$C$6),0))</f>
        <v>80.573226367445926</v>
      </c>
      <c r="E27" s="82">
        <f>IF(E8&lt;Assumptions!$G$33,Assumptions!$G$41*Assumptions!$G$40,IF(AND(E8&gt;Assumptions!$G$33,D8&lt;Assumptions!$G$33),Assumptions!$G$41*Assumptions!$G$40*(1-$C$6),0))</f>
        <v>80.573226367445926</v>
      </c>
      <c r="F27" s="82">
        <f>IF(F8&lt;Assumptions!$G$33,Assumptions!$G$41*Assumptions!$G$40,IF(AND(F8&gt;Assumptions!$G$33,E8&lt;Assumptions!$G$33),Assumptions!$G$41*Assumptions!$G$40*(1-$C$6),0))</f>
        <v>80.573226367445926</v>
      </c>
      <c r="G27" s="82">
        <f>IF(G8&lt;Assumptions!$G$33,Assumptions!$G$41*Assumptions!$G$40,IF(AND(G8&gt;Assumptions!$G$33,F8&lt;Assumptions!$G$33),Assumptions!$G$41*Assumptions!$G$40*(1-$C$6),0))</f>
        <v>80.573226367445926</v>
      </c>
      <c r="H27" s="82">
        <f>IF(H8&lt;Assumptions!$G$33,Assumptions!$G$41*Assumptions!$G$40,IF(AND(H8&gt;Assumptions!$G$33,G8&lt;Assumptions!$G$33),Assumptions!$G$41*Assumptions!$G$40*(1-$C$6),0))</f>
        <v>80.573226367445926</v>
      </c>
      <c r="I27" s="82">
        <f>IF(I8&lt;Assumptions!$G$33,Assumptions!$G$41*Assumptions!$G$40,IF(AND(I8&gt;Assumptions!$G$33,H8&lt;Assumptions!$G$33),Assumptions!$G$41*Assumptions!$G$40*(1-$C$6),0))</f>
        <v>80.573226367445926</v>
      </c>
      <c r="J27" s="82">
        <f>IF(J8&lt;Assumptions!$G$33,Assumptions!$G$41*Assumptions!$G$40,IF(AND(J8&gt;Assumptions!$G$33,I8&lt;Assumptions!$G$33),Assumptions!$G$41*Assumptions!$G$40*(1-$C$6),0))</f>
        <v>80.573226367445926</v>
      </c>
      <c r="K27" s="82">
        <f>IF(K8&lt;Assumptions!$G$33,Assumptions!$G$41*Assumptions!$G$40,IF(AND(K8&gt;Assumptions!$G$33,J8&lt;Assumptions!$G$33),Assumptions!$G$41*Assumptions!$G$40*(1-$C$6),0))</f>
        <v>80.573226367445926</v>
      </c>
      <c r="L27" s="82">
        <f>IF(L8&lt;Assumptions!$G$33,Assumptions!$G$41*Assumptions!$G$40,IF(AND(L8&gt;Assumptions!$G$33,K8&lt;Assumptions!$G$33),Assumptions!$G$41*Assumptions!$G$40*(1-$C$6),0))</f>
        <v>80.573226367445926</v>
      </c>
      <c r="M27" s="82">
        <f>IF(M8&lt;Assumptions!$G$33,Assumptions!$G$41*Assumptions!$G$40,IF(AND(M8&gt;Assumptions!$G$33,L8&lt;Assumptions!$G$33),Assumptions!$G$41*Assumptions!$G$40*(1-$C$6),0))</f>
        <v>80.573226367445926</v>
      </c>
      <c r="N27" s="82">
        <f>IF(N8&lt;Assumptions!$G$33,Assumptions!$G$41*Assumptions!$G$40,IF(AND(N8&gt;Assumptions!$G$33,M8&lt;Assumptions!$G$33),Assumptions!$G$41*Assumptions!$G$40*(1-$C$6),0))</f>
        <v>80.573226367445926</v>
      </c>
      <c r="O27" s="82">
        <f>IF(O8&lt;Assumptions!$G$33,Assumptions!$G$41*Assumptions!$G$40,IF(AND(O8&gt;Assumptions!$G$33,N8&lt;Assumptions!$G$33),Assumptions!$G$41*Assumptions!$G$40*(1-$C$6),0))</f>
        <v>80.573226367445926</v>
      </c>
      <c r="P27" s="82">
        <f>IF(P8&lt;Assumptions!$G$33,Assumptions!$G$41*Assumptions!$G$40,IF(AND(P8&gt;Assumptions!$G$33,O8&lt;Assumptions!$G$33),Assumptions!$G$41*Assumptions!$G$40*(1-$C$6),0))</f>
        <v>80.573226367445926</v>
      </c>
      <c r="Q27" s="82">
        <f>IF(Q8&lt;Assumptions!$G$33,Assumptions!$G$41*Assumptions!$G$40,IF(AND(Q8&gt;Assumptions!$G$33,P8&lt;Assumptions!$G$33),Assumptions!$G$41*Assumptions!$G$40*(1-$C$6),0))</f>
        <v>80.573226367445926</v>
      </c>
      <c r="R27" s="82">
        <f>IF(R8&lt;Assumptions!$G$33,Assumptions!$G$41*Assumptions!$G$40,IF(AND(R8&gt;Assumptions!$G$33,Q8&lt;Assumptions!$G$33),Assumptions!$G$41*Assumptions!$G$40*(1-$C$6),0))</f>
        <v>80.573226367445926</v>
      </c>
      <c r="S27" s="82">
        <f>IF(S8&lt;Assumptions!$G$33,Assumptions!$G$41*Assumptions!$G$40,IF(AND(S8&gt;Assumptions!$G$33,R8&lt;Assumptions!$G$33),Assumptions!$G$41*Assumptions!$G$40*(1-$C$6),0))</f>
        <v>26.85774212248198</v>
      </c>
      <c r="T27" s="82">
        <f>IF(T8&lt;Assumptions!$G$33,Assumptions!$G$41*Assumptions!$G$40,IF(AND(T8&gt;Assumptions!$G$33,S8&lt;Assumptions!$G$33),Assumptions!$G$41*Assumptions!$G$40*(1-$C$6),0))</f>
        <v>0</v>
      </c>
      <c r="U27" s="82">
        <f>IF(U8&lt;Assumptions!$G$33,Assumptions!$G$41*Assumptions!$G$40,IF(AND(U8&gt;Assumptions!$G$33,T8&lt;Assumptions!$G$33),Assumptions!$G$41*Assumptions!$G$40*(1-$C$6),0))</f>
        <v>0</v>
      </c>
      <c r="V27" s="82">
        <f>IF(V8&lt;Assumptions!$G$33,Assumptions!$G$41*Assumptions!$G$40,IF(AND(V8&gt;Assumptions!$G$33,U8&lt;Assumptions!$G$33),Assumptions!$G$41*Assumptions!$G$40*(1-$C$6),0))</f>
        <v>0</v>
      </c>
      <c r="W27" s="82">
        <f>IF(W8&lt;Assumptions!$G$33,Assumptions!$G$41*Assumptions!$G$40,IF(AND(W8&gt;Assumptions!$G$33,V8&lt;Assumptions!$G$33),Assumptions!$G$41*Assumptions!$G$40*(1-$C$6),0))</f>
        <v>0</v>
      </c>
      <c r="X27" s="82">
        <f>IF(X8&lt;Assumptions!$G$33,Assumptions!$G$41*Assumptions!$G$40,IF(AND(X8&gt;Assumptions!$G$33,W8&lt;Assumptions!$G$33),Assumptions!$G$41*Assumptions!$G$40*(1-$C$6),0))</f>
        <v>0</v>
      </c>
      <c r="Y27" s="82">
        <f>IF(Y8&lt;Assumptions!$G$33,Assumptions!$G$41*Assumptions!$G$40,IF(AND(Y8&gt;Assumptions!$G$33,X8&lt;Assumptions!$G$33),Assumptions!$G$41*Assumptions!$G$40*(1-$C$6),0))</f>
        <v>0</v>
      </c>
      <c r="Z27" s="82">
        <f>IF(Z8&lt;Assumptions!$G$33,Assumptions!$G$41*Assumptions!$G$40,IF(AND(Z8&gt;Assumptions!$G$33,Y8&lt;Assumptions!$G$33),Assumptions!$G$41*Assumptions!$G$40*(1-$C$6),0))</f>
        <v>0</v>
      </c>
      <c r="AA27" s="82">
        <f>IF(AA8&lt;Assumptions!$G$33,Assumptions!$G$41*Assumptions!$G$40,IF(AND(AA8&gt;Assumptions!$G$33,Z8&lt;Assumptions!$G$33),Assumptions!$G$41*Assumptions!$G$40*(1-$C$6),0))</f>
        <v>0</v>
      </c>
      <c r="AB27" s="82">
        <f>IF(AB8&lt;Assumptions!$G$33,Assumptions!$G$41*Assumptions!$G$40,IF(AND(AB8&gt;Assumptions!$G$33,AA8&lt;Assumptions!$G$33),Assumptions!$G$41*Assumptions!$G$40*(1-$C$6),0))</f>
        <v>0</v>
      </c>
      <c r="AC27" s="82">
        <f>IF(AC8&lt;Assumptions!$G$33,Assumptions!$G$41*Assumptions!$G$40,IF(AND(AC8&gt;Assumptions!$G$33,AB8&lt;Assumptions!$G$33),Assumptions!$G$41*Assumptions!$G$40*(1-$C$6),0))</f>
        <v>0</v>
      </c>
      <c r="AD27" s="82">
        <f>IF(AD8&lt;Assumptions!$G$33,Assumptions!$G$41*Assumptions!$G$40,IF(AND(AD8&gt;Assumptions!$G$33,AC8&lt;Assumptions!$G$33),Assumptions!$G$41*Assumptions!$G$40*(1-$C$6),0))</f>
        <v>0</v>
      </c>
      <c r="AE27" s="82">
        <f>IF(AE8&lt;Assumptions!$G$33,Assumptions!$G$41*Assumptions!$G$40,IF(AND(AE8&gt;Assumptions!$G$33,AD8&lt;Assumptions!$G$33),Assumptions!$G$41*Assumptions!$G$40*(1-$C$6),0))</f>
        <v>0</v>
      </c>
      <c r="AF27" s="82">
        <f>IF(AF8&lt;Assumptions!$G$33,Assumptions!$G$41*Assumptions!$G$40,IF(AND(AF8&gt;Assumptions!$G$33,AE8&lt;Assumptions!$G$33),Assumptions!$G$41*Assumptions!$G$40*(1-$C$6),0))</f>
        <v>0</v>
      </c>
      <c r="AG27" s="82">
        <f>IF(AG8&lt;Assumptions!$G$33,Assumptions!$G$41*Assumptions!$G$40,IF(AND(AG8&gt;Assumptions!$G$33,AF8&lt;Assumptions!$G$33),Assumptions!$G$41*Assumptions!$G$40*(1-$C$6),0))</f>
        <v>0</v>
      </c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</row>
    <row r="28" spans="1:47">
      <c r="A28" s="13" t="s">
        <v>47</v>
      </c>
      <c r="C28" s="82">
        <f>Assumptions!$O$32*Assumptions!$N$12*Assumptions!H17/12</f>
        <v>0</v>
      </c>
      <c r="D28" s="82">
        <f>Assumptions!$O$32*Assumptions!$N$12*(1+Assumptions!$N$20)</f>
        <v>0</v>
      </c>
      <c r="E28" s="82">
        <f>Assumptions!$O$32*Assumptions!$N$12*(1+Assumptions!$N$20)</f>
        <v>0</v>
      </c>
      <c r="F28" s="82">
        <f>Assumptions!$O$32*Assumptions!$N$12*(1+Assumptions!$N$20)</f>
        <v>0</v>
      </c>
      <c r="G28" s="82">
        <f>Assumptions!$O$32*Assumptions!$N$12*(1+Assumptions!$N$20)</f>
        <v>0</v>
      </c>
      <c r="H28" s="82">
        <f>Assumptions!$O$32*Assumptions!$N$12*(1+Assumptions!$N$20)</f>
        <v>0</v>
      </c>
      <c r="I28" s="82">
        <f>Assumptions!$O$32*Assumptions!$N$12*(1+Assumptions!$N$20)</f>
        <v>0</v>
      </c>
      <c r="J28" s="82">
        <f>Assumptions!$O$32*Assumptions!$N$12*(1+Assumptions!$N$20)</f>
        <v>0</v>
      </c>
      <c r="K28" s="82">
        <f>Assumptions!$O$32*Assumptions!$N$12*(1+Assumptions!$N$20)</f>
        <v>0</v>
      </c>
      <c r="L28" s="82">
        <f>Assumptions!$O$32*Assumptions!$N$12*(1+Assumptions!$N$20)</f>
        <v>0</v>
      </c>
      <c r="M28" s="82">
        <f>Assumptions!$O$32*Assumptions!$N$12*(1+Assumptions!$N$20)</f>
        <v>0</v>
      </c>
      <c r="N28" s="82">
        <f>Assumptions!$O$32*Assumptions!$N$12*(1+Assumptions!$N$20)</f>
        <v>0</v>
      </c>
      <c r="O28" s="82">
        <f>Assumptions!$O$32*Assumptions!$N$12*(1+Assumptions!$N$20)</f>
        <v>0</v>
      </c>
      <c r="P28" s="82">
        <f>Assumptions!$O$32*Assumptions!$N$12*(1+Assumptions!$N$20)</f>
        <v>0</v>
      </c>
      <c r="Q28" s="82">
        <f>Assumptions!$O$32*Assumptions!$N$12*(1+Assumptions!$N$20)</f>
        <v>0</v>
      </c>
      <c r="R28" s="82">
        <f>Assumptions!$O$32*Assumptions!$N$12*(1+Assumptions!$N$20)</f>
        <v>0</v>
      </c>
      <c r="S28" s="82">
        <f>Assumptions!$O$32*Assumptions!$N$12*(1+Assumptions!$N$20)</f>
        <v>0</v>
      </c>
      <c r="T28" s="82">
        <f>Assumptions!$O$32*Assumptions!$N$12*(1+Assumptions!$N$20)</f>
        <v>0</v>
      </c>
      <c r="U28" s="82">
        <f>Assumptions!$O$32*Assumptions!$N$12*(1+Assumptions!$N$20)</f>
        <v>0</v>
      </c>
      <c r="V28" s="82">
        <f>Assumptions!$O$32*Assumptions!$N$12*(1+Assumptions!$N$20)</f>
        <v>0</v>
      </c>
      <c r="W28" s="82">
        <f>Assumptions!$O$32*Assumptions!$N$12*(1+Assumptions!$N$20)</f>
        <v>0</v>
      </c>
      <c r="X28" s="82">
        <f>Assumptions!$O$32*Assumptions!$N$12*(1+Assumptions!$N$20)</f>
        <v>0</v>
      </c>
      <c r="Y28" s="82">
        <f>Assumptions!$O$32*Assumptions!$N$12*(1+Assumptions!$N$20)</f>
        <v>0</v>
      </c>
      <c r="Z28" s="82">
        <f>Assumptions!$O$32*Assumptions!$N$12*(1+Assumptions!$N$20)</f>
        <v>0</v>
      </c>
      <c r="AA28" s="82">
        <f>Assumptions!$O$32*Assumptions!$N$12*(1+Assumptions!$N$20)</f>
        <v>0</v>
      </c>
      <c r="AB28" s="82">
        <f>Assumptions!$O$32*Assumptions!$N$12*(1+Assumptions!$N$20)</f>
        <v>0</v>
      </c>
      <c r="AC28" s="82">
        <f>Assumptions!$O$32*Assumptions!$N$12*(1+Assumptions!$N$20)</f>
        <v>0</v>
      </c>
      <c r="AD28" s="82">
        <f>Assumptions!$O$32*Assumptions!$N$12*(1+Assumptions!$N$20)</f>
        <v>0</v>
      </c>
      <c r="AE28" s="82">
        <f>Assumptions!$O$32*Assumptions!$N$12*(1+Assumptions!$N$20)</f>
        <v>0</v>
      </c>
      <c r="AF28" s="82">
        <f>Assumptions!$O$32*Assumptions!$N$12*(1+Assumptions!$N$20)</f>
        <v>0</v>
      </c>
      <c r="AG28" s="82">
        <f>Assumptions!$O$32*Assumptions!$N$12*(1+Assumptions!$N$20)</f>
        <v>0</v>
      </c>
    </row>
    <row r="29" spans="1:47">
      <c r="A29" s="3" t="s">
        <v>48</v>
      </c>
      <c r="C29" s="82">
        <f>Assumptions!$N33*Assumptions!H17/12</f>
        <v>0</v>
      </c>
      <c r="D29" s="82">
        <f>Assumptions!$N33*(1+Assumptions!$N$20)</f>
        <v>0</v>
      </c>
      <c r="E29" s="82">
        <f>D29*(1+Assumptions!$N$20)</f>
        <v>0</v>
      </c>
      <c r="F29" s="82">
        <f>E29*(1+Assumptions!$N$20)</f>
        <v>0</v>
      </c>
      <c r="G29" s="82">
        <f>F29*(1+Assumptions!$N$20)</f>
        <v>0</v>
      </c>
      <c r="H29" s="82">
        <f>G29*(1+Assumptions!$N$20)</f>
        <v>0</v>
      </c>
      <c r="I29" s="82">
        <f>H29*(1+Assumptions!$N$20)</f>
        <v>0</v>
      </c>
      <c r="J29" s="82">
        <f>I29*(1+Assumptions!$N$20)</f>
        <v>0</v>
      </c>
      <c r="K29" s="82">
        <f>J29*(1+Assumptions!$N$20)</f>
        <v>0</v>
      </c>
      <c r="L29" s="82">
        <f>K29*(1+Assumptions!$N$20)</f>
        <v>0</v>
      </c>
      <c r="M29" s="82">
        <f>L29*(1+Assumptions!$N$20)</f>
        <v>0</v>
      </c>
      <c r="N29" s="82">
        <f>M29*(1+Assumptions!$N$20)</f>
        <v>0</v>
      </c>
      <c r="O29" s="82">
        <f>N29*(1+Assumptions!$N$20)</f>
        <v>0</v>
      </c>
      <c r="P29" s="82">
        <f>O29*(1+Assumptions!$N$20)</f>
        <v>0</v>
      </c>
      <c r="Q29" s="82">
        <f>P29*(1+Assumptions!$N$20)</f>
        <v>0</v>
      </c>
      <c r="R29" s="82">
        <f>Q29*(1+Assumptions!$N$20)</f>
        <v>0</v>
      </c>
      <c r="S29" s="82">
        <f>R29*(1+Assumptions!$N$20)</f>
        <v>0</v>
      </c>
      <c r="T29" s="82">
        <f>S29*(1+Assumptions!$N$20)</f>
        <v>0</v>
      </c>
      <c r="U29" s="82">
        <f>T29*(1+Assumptions!$N$20)</f>
        <v>0</v>
      </c>
      <c r="V29" s="82">
        <f>U29*(1+Assumptions!$N$20)</f>
        <v>0</v>
      </c>
      <c r="W29" s="82">
        <f>V29*(1+Assumptions!$N$20)</f>
        <v>0</v>
      </c>
      <c r="X29" s="82">
        <f>W29*(1+Assumptions!$N$20)</f>
        <v>0</v>
      </c>
      <c r="Y29" s="82">
        <f>X29*(1+Assumptions!$N$20)</f>
        <v>0</v>
      </c>
      <c r="Z29" s="82">
        <f>Y29*(1+Assumptions!$N$20)</f>
        <v>0</v>
      </c>
      <c r="AA29" s="82">
        <f>Z29*(1+Assumptions!$N$20)</f>
        <v>0</v>
      </c>
      <c r="AB29" s="82">
        <f>AA29*(1+Assumptions!$N$20)</f>
        <v>0</v>
      </c>
      <c r="AC29" s="82">
        <f>AB29*(1+Assumptions!$N$20)</f>
        <v>0</v>
      </c>
      <c r="AD29" s="82">
        <f>AC29*(1+Assumptions!$N$20)</f>
        <v>0</v>
      </c>
      <c r="AE29" s="82">
        <f>AD29*(1+Assumptions!$N$20)</f>
        <v>0</v>
      </c>
      <c r="AF29" s="82">
        <f>AE29*(1+Assumptions!$N$20)</f>
        <v>0</v>
      </c>
      <c r="AG29" s="82">
        <f>AF29*(1+Assumptions!$N$20)</f>
        <v>0</v>
      </c>
    </row>
    <row r="30" spans="1:47">
      <c r="A30" s="3" t="s">
        <v>49</v>
      </c>
      <c r="C30" s="83">
        <f>Assumptions!$N34*Assumptions!H17/12</f>
        <v>0</v>
      </c>
      <c r="D30" s="83">
        <f>Assumptions!$N34*(1+Assumptions!$N$20)</f>
        <v>0</v>
      </c>
      <c r="E30" s="83">
        <f>D30*(1+Assumptions!$N$20)</f>
        <v>0</v>
      </c>
      <c r="F30" s="83">
        <f>E30*(1+Assumptions!$N$20)</f>
        <v>0</v>
      </c>
      <c r="G30" s="83">
        <f>F30*(1+Assumptions!$N$20)</f>
        <v>0</v>
      </c>
      <c r="H30" s="83">
        <f>G30*(1+Assumptions!$N$20)</f>
        <v>0</v>
      </c>
      <c r="I30" s="83">
        <f>H30*(1+Assumptions!$N$20)</f>
        <v>0</v>
      </c>
      <c r="J30" s="83">
        <f>I30*(1+Assumptions!$N$20)</f>
        <v>0</v>
      </c>
      <c r="K30" s="83">
        <f>J30*(1+Assumptions!$N$20)</f>
        <v>0</v>
      </c>
      <c r="L30" s="83">
        <f>K30*(1+Assumptions!$N$20)</f>
        <v>0</v>
      </c>
      <c r="M30" s="83">
        <f>L30*(1+Assumptions!$N$20)</f>
        <v>0</v>
      </c>
      <c r="N30" s="83">
        <f>M30*(1+Assumptions!$N$20)</f>
        <v>0</v>
      </c>
      <c r="O30" s="83">
        <f>N30*(1+Assumptions!$N$20)</f>
        <v>0</v>
      </c>
      <c r="P30" s="83">
        <f>O30*(1+Assumptions!$N$20)</f>
        <v>0</v>
      </c>
      <c r="Q30" s="83">
        <f>P30*(1+Assumptions!$N$20)</f>
        <v>0</v>
      </c>
      <c r="R30" s="83">
        <f>Q30*(1+Assumptions!$N$20)</f>
        <v>0</v>
      </c>
      <c r="S30" s="83">
        <f>R30*(1+Assumptions!$N$20)</f>
        <v>0</v>
      </c>
      <c r="T30" s="83">
        <f>S30*(1+Assumptions!$N$20)</f>
        <v>0</v>
      </c>
      <c r="U30" s="83">
        <f>T30*(1+Assumptions!$N$20)</f>
        <v>0</v>
      </c>
      <c r="V30" s="83">
        <f>U30*(1+Assumptions!$N$20)</f>
        <v>0</v>
      </c>
      <c r="W30" s="83">
        <f>V30*(1+Assumptions!$N$20)</f>
        <v>0</v>
      </c>
      <c r="X30" s="83">
        <f>W30*(1+Assumptions!$N$20)</f>
        <v>0</v>
      </c>
      <c r="Y30" s="83">
        <f>X30*(1+Assumptions!$N$20)</f>
        <v>0</v>
      </c>
      <c r="Z30" s="83">
        <f>Y30*(1+Assumptions!$N$20)</f>
        <v>0</v>
      </c>
      <c r="AA30" s="83">
        <f>Z30*(1+Assumptions!$N$20)</f>
        <v>0</v>
      </c>
      <c r="AB30" s="83">
        <f>AA30*(1+Assumptions!$N$20)</f>
        <v>0</v>
      </c>
      <c r="AC30" s="83">
        <f>AB30*(1+Assumptions!$N$20)</f>
        <v>0</v>
      </c>
      <c r="AD30" s="83">
        <f>AC30*(1+Assumptions!$N$20)</f>
        <v>0</v>
      </c>
      <c r="AE30" s="83">
        <f>AD30*(1+Assumptions!$N$20)</f>
        <v>0</v>
      </c>
      <c r="AF30" s="83">
        <f>AE30*(1+Assumptions!$N$20)</f>
        <v>0</v>
      </c>
      <c r="AG30" s="83">
        <f>AF30*(1+Assumptions!$N$20)</f>
        <v>0</v>
      </c>
    </row>
    <row r="31" spans="1:47">
      <c r="A31" s="3" t="s">
        <v>50</v>
      </c>
      <c r="C31" s="73">
        <f t="shared" ref="C31:X31" si="3">SUM(C17:C30)</f>
        <v>3939.2711757386787</v>
      </c>
      <c r="D31" s="73">
        <f t="shared" si="3"/>
        <v>4234.8241609727929</v>
      </c>
      <c r="E31" s="73">
        <f t="shared" si="3"/>
        <v>4256.7519530909976</v>
      </c>
      <c r="F31" s="73">
        <f t="shared" si="3"/>
        <v>4279.5586729759016</v>
      </c>
      <c r="G31" s="73">
        <f t="shared" si="3"/>
        <v>4303.270688460505</v>
      </c>
      <c r="H31" s="73">
        <f t="shared" si="3"/>
        <v>4329.0418517461339</v>
      </c>
      <c r="I31" s="73">
        <f t="shared" si="3"/>
        <v>4356.3367898001516</v>
      </c>
      <c r="J31" s="73">
        <f t="shared" si="3"/>
        <v>4384.6209687989422</v>
      </c>
      <c r="K31" s="73">
        <f t="shared" si="3"/>
        <v>4413.9240659708503</v>
      </c>
      <c r="L31" s="73">
        <f t="shared" si="3"/>
        <v>4444.2766488610687</v>
      </c>
      <c r="M31" s="73">
        <f t="shared" si="3"/>
        <v>4475.7102020411467</v>
      </c>
      <c r="N31" s="73">
        <f t="shared" si="3"/>
        <v>4508.2571546197796</v>
      </c>
      <c r="O31" s="73">
        <f t="shared" si="3"/>
        <v>4541.950908578925</v>
      </c>
      <c r="P31" s="73">
        <f t="shared" si="3"/>
        <v>4576.8258679599985</v>
      </c>
      <c r="Q31" s="73">
        <f t="shared" si="3"/>
        <v>4612.917468925657</v>
      </c>
      <c r="R31" s="73">
        <f t="shared" si="3"/>
        <v>4650.2622107234383</v>
      </c>
      <c r="S31" s="73">
        <f t="shared" si="3"/>
        <v>4635.1822033333419</v>
      </c>
      <c r="T31" s="73">
        <f t="shared" si="3"/>
        <v>4648.2893951745273</v>
      </c>
      <c r="U31" s="73">
        <f t="shared" si="3"/>
        <v>4689.6236699602578</v>
      </c>
      <c r="V31" s="73">
        <f t="shared" si="3"/>
        <v>4732.3683657927131</v>
      </c>
      <c r="W31" s="73">
        <f t="shared" si="3"/>
        <v>4776.5657953032951</v>
      </c>
      <c r="X31" s="73">
        <f t="shared" si="3"/>
        <v>4822.2595405023476</v>
      </c>
      <c r="Y31" s="73">
        <f t="shared" ref="Y31:AG31" si="4">SUM(Y17:Y30)</f>
        <v>4869.4944908605266</v>
      </c>
      <c r="Z31" s="73">
        <f t="shared" si="4"/>
        <v>4918.3168825326029</v>
      </c>
      <c r="AA31" s="73">
        <f t="shared" si="4"/>
        <v>4968.774338757994</v>
      </c>
      <c r="AB31" s="73">
        <f t="shared" si="4"/>
        <v>5020.9159114733011</v>
      </c>
      <c r="AC31" s="73">
        <f t="shared" si="4"/>
        <v>5074.7921241732211</v>
      </c>
      <c r="AD31" s="73">
        <f t="shared" si="4"/>
        <v>5130.455016057289</v>
      </c>
      <c r="AE31" s="73">
        <f t="shared" si="4"/>
        <v>5187.9581875010354</v>
      </c>
      <c r="AF31" s="73">
        <f t="shared" si="4"/>
        <v>5247.3568468912454</v>
      </c>
      <c r="AG31" s="73">
        <f t="shared" si="4"/>
        <v>5312.4943656030528</v>
      </c>
    </row>
    <row r="32" spans="1:47">
      <c r="A32" s="4"/>
      <c r="C32" s="488"/>
      <c r="D32" s="488"/>
      <c r="E32" s="488"/>
      <c r="F32" s="488"/>
      <c r="G32" s="488"/>
      <c r="H32" s="488"/>
      <c r="I32" s="488"/>
      <c r="J32" s="488"/>
      <c r="K32" s="488"/>
      <c r="L32" s="488"/>
      <c r="M32" s="488"/>
      <c r="N32" s="488"/>
      <c r="O32" s="488"/>
      <c r="P32" s="488"/>
      <c r="Q32" s="488"/>
      <c r="R32" s="488"/>
      <c r="S32" s="488"/>
      <c r="T32" s="488"/>
      <c r="U32" s="488"/>
      <c r="V32" s="488"/>
      <c r="W32" s="488"/>
      <c r="X32" s="488"/>
      <c r="Y32" s="488"/>
      <c r="Z32" s="488"/>
      <c r="AA32" s="488"/>
      <c r="AB32" s="488"/>
      <c r="AC32" s="488"/>
      <c r="AD32" s="488"/>
      <c r="AE32" s="488"/>
      <c r="AF32" s="488"/>
      <c r="AG32" s="488"/>
    </row>
    <row r="33" spans="1:33">
      <c r="A33" s="1" t="s">
        <v>51</v>
      </c>
      <c r="C33" s="136">
        <f t="shared" ref="C33:X33" si="5">C14-C31</f>
        <v>4619.7474117922429</v>
      </c>
      <c r="D33" s="136">
        <f t="shared" si="5"/>
        <v>6920.4909177934705</v>
      </c>
      <c r="E33" s="136">
        <f t="shared" si="5"/>
        <v>6910.8657178985759</v>
      </c>
      <c r="F33" s="136">
        <f t="shared" si="5"/>
        <v>7957.688781612087</v>
      </c>
      <c r="G33" s="136">
        <f t="shared" si="5"/>
        <v>8440.2969285003437</v>
      </c>
      <c r="H33" s="136">
        <f t="shared" si="5"/>
        <v>8544.6543860286147</v>
      </c>
      <c r="I33" s="136">
        <f t="shared" si="5"/>
        <v>8646.5195299735169</v>
      </c>
      <c r="J33" s="136">
        <f t="shared" si="5"/>
        <v>8746.2516660710317</v>
      </c>
      <c r="K33" s="136">
        <f t="shared" si="5"/>
        <v>9021.1095882302252</v>
      </c>
      <c r="L33" s="136">
        <f t="shared" si="5"/>
        <v>9121.245313788917</v>
      </c>
      <c r="M33" s="136">
        <f t="shared" si="5"/>
        <v>9407.0122597733389</v>
      </c>
      <c r="N33" s="136">
        <f t="shared" si="5"/>
        <v>9507.2519095969765</v>
      </c>
      <c r="O33" s="136">
        <f t="shared" si="5"/>
        <v>9804.2582678493345</v>
      </c>
      <c r="P33" s="136">
        <f t="shared" si="5"/>
        <v>9904.2641806841548</v>
      </c>
      <c r="Q33" s="136">
        <f t="shared" si="5"/>
        <v>10000.927670800003</v>
      </c>
      <c r="R33" s="136">
        <f t="shared" si="5"/>
        <v>10093.963299296291</v>
      </c>
      <c r="S33" s="136">
        <f t="shared" si="5"/>
        <v>10236.786993363796</v>
      </c>
      <c r="T33" s="136">
        <f t="shared" si="5"/>
        <v>10348.5112612331</v>
      </c>
      <c r="U33" s="136">
        <f t="shared" si="5"/>
        <v>10428.806516254912</v>
      </c>
      <c r="V33" s="136">
        <f t="shared" si="5"/>
        <v>10504.184956219131</v>
      </c>
      <c r="W33" s="136">
        <f t="shared" si="5"/>
        <v>10574.284418276879</v>
      </c>
      <c r="X33" s="136">
        <f t="shared" si="5"/>
        <v>10638.725434941896</v>
      </c>
      <c r="Y33" s="136">
        <f t="shared" ref="Y33:AG33" si="6">Y14-Y31</f>
        <v>10702.272426545747</v>
      </c>
      <c r="Z33" s="136">
        <f t="shared" si="6"/>
        <v>10764.89857233662</v>
      </c>
      <c r="AA33" s="136">
        <f t="shared" si="6"/>
        <v>10826.576246940091</v>
      </c>
      <c r="AB33" s="136">
        <f t="shared" si="6"/>
        <v>10887.276996220557</v>
      </c>
      <c r="AC33" s="136">
        <f t="shared" si="6"/>
        <v>10946.97151241832</v>
      </c>
      <c r="AD33" s="136">
        <f t="shared" si="6"/>
        <v>11005.629608540921</v>
      </c>
      <c r="AE33" s="136">
        <f t="shared" si="6"/>
        <v>11063.220191986076</v>
      </c>
      <c r="AF33" s="136">
        <f t="shared" si="6"/>
        <v>11119.711237373471</v>
      </c>
      <c r="AG33" s="136">
        <f t="shared" si="6"/>
        <v>2821.1431553828797</v>
      </c>
    </row>
    <row r="34" spans="1:33">
      <c r="A34" s="1"/>
      <c r="C34" s="488"/>
      <c r="D34" s="488"/>
      <c r="E34" s="488"/>
      <c r="F34" s="488"/>
      <c r="G34" s="488"/>
      <c r="H34" s="488"/>
      <c r="I34" s="488"/>
      <c r="J34" s="488"/>
      <c r="K34" s="488"/>
      <c r="L34" s="488"/>
      <c r="M34" s="488"/>
      <c r="N34" s="488"/>
      <c r="O34" s="488"/>
      <c r="P34" s="488"/>
      <c r="Q34" s="488"/>
      <c r="R34" s="488"/>
      <c r="S34" s="488"/>
      <c r="T34" s="488"/>
      <c r="U34" s="488"/>
      <c r="V34" s="488"/>
      <c r="W34" s="488"/>
      <c r="X34" s="488"/>
      <c r="Y34" s="488"/>
      <c r="Z34" s="488"/>
      <c r="AA34" s="488"/>
      <c r="AB34" s="488"/>
      <c r="AC34" s="488"/>
      <c r="AD34" s="488"/>
      <c r="AE34" s="488"/>
      <c r="AF34" s="488"/>
      <c r="AG34" s="488"/>
    </row>
    <row r="35" spans="1:33">
      <c r="A35" s="3" t="s">
        <v>52</v>
      </c>
      <c r="C35" s="73">
        <f>Depreciation!D48</f>
        <v>1965.2800280281883</v>
      </c>
      <c r="D35" s="73">
        <f>Depreciation!E48</f>
        <v>2947.9200420422831</v>
      </c>
      <c r="E35" s="73">
        <f>Depreciation!F48</f>
        <v>2947.9200420422831</v>
      </c>
      <c r="F35" s="73">
        <f>Depreciation!G48</f>
        <v>2947.9200420422831</v>
      </c>
      <c r="G35" s="73">
        <f>Depreciation!H48</f>
        <v>2947.9200420422831</v>
      </c>
      <c r="H35" s="73">
        <f>Depreciation!I48</f>
        <v>2497.2427087089495</v>
      </c>
      <c r="I35" s="73">
        <f>Depreciation!J48</f>
        <v>2271.904042042283</v>
      </c>
      <c r="J35" s="73">
        <f>Depreciation!K48</f>
        <v>2271.904042042283</v>
      </c>
      <c r="K35" s="73">
        <f>Depreciation!L48</f>
        <v>2271.904042042283</v>
      </c>
      <c r="L35" s="73">
        <f>Depreciation!M48</f>
        <v>2271.904042042283</v>
      </c>
      <c r="M35" s="73">
        <f>Depreciation!N48</f>
        <v>2271.904042042283</v>
      </c>
      <c r="N35" s="73">
        <f>Depreciation!O48</f>
        <v>2271.904042042283</v>
      </c>
      <c r="O35" s="73">
        <f>Depreciation!P48</f>
        <v>2271.904042042283</v>
      </c>
      <c r="P35" s="73">
        <f>Depreciation!Q48</f>
        <v>2271.904042042283</v>
      </c>
      <c r="Q35" s="73">
        <f>Depreciation!R48</f>
        <v>2271.904042042283</v>
      </c>
      <c r="R35" s="73">
        <f>Depreciation!S48</f>
        <v>2271.904042042283</v>
      </c>
      <c r="S35" s="73">
        <f>Depreciation!T48</f>
        <v>2271.904042042283</v>
      </c>
      <c r="T35" s="73">
        <f>Depreciation!U48</f>
        <v>2271.904042042283</v>
      </c>
      <c r="U35" s="73">
        <f>Depreciation!V48</f>
        <v>2271.904042042283</v>
      </c>
      <c r="V35" s="73">
        <f>Depreciation!W48</f>
        <v>2271.904042042283</v>
      </c>
      <c r="W35" s="73">
        <f>Depreciation!X48</f>
        <v>2271.904042042283</v>
      </c>
      <c r="X35" s="73">
        <f>Depreciation!Y48</f>
        <v>2271.904042042283</v>
      </c>
      <c r="Y35" s="73">
        <f>Depreciation!Z48</f>
        <v>2271.904042042283</v>
      </c>
      <c r="Z35" s="73">
        <f>Depreciation!AA48</f>
        <v>2271.904042042283</v>
      </c>
      <c r="AA35" s="73">
        <f>Depreciation!AB48</f>
        <v>2271.904042042283</v>
      </c>
      <c r="AB35" s="73">
        <f>Depreciation!AC48</f>
        <v>2271.904042042283</v>
      </c>
      <c r="AC35" s="73">
        <f>Depreciation!AD48</f>
        <v>2271.904042042283</v>
      </c>
      <c r="AD35" s="73">
        <f>Depreciation!AE48</f>
        <v>2271.904042042283</v>
      </c>
      <c r="AE35" s="73">
        <f>Depreciation!AF48</f>
        <v>2271.904042042283</v>
      </c>
      <c r="AF35" s="73">
        <f>Depreciation!AG48</f>
        <v>2271.904042042283</v>
      </c>
      <c r="AG35" s="73">
        <f>Depreciation!AH48</f>
        <v>757.30134734742785</v>
      </c>
    </row>
    <row r="36" spans="1:33">
      <c r="A36" s="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</row>
    <row r="37" spans="1:33">
      <c r="A37" s="1" t="s">
        <v>53</v>
      </c>
      <c r="C37" s="136">
        <f>C33-C35</f>
        <v>2654.4673837640548</v>
      </c>
      <c r="D37" s="136">
        <f t="shared" ref="D37:X37" si="7">D33-D35</f>
        <v>3972.5708757511875</v>
      </c>
      <c r="E37" s="136">
        <f t="shared" si="7"/>
        <v>3962.9456758562928</v>
      </c>
      <c r="F37" s="136">
        <f t="shared" si="7"/>
        <v>5009.768739569804</v>
      </c>
      <c r="G37" s="136">
        <f t="shared" si="7"/>
        <v>5492.3768864580607</v>
      </c>
      <c r="H37" s="136">
        <f t="shared" si="7"/>
        <v>6047.4116773196656</v>
      </c>
      <c r="I37" s="136">
        <f t="shared" si="7"/>
        <v>6374.6154879312344</v>
      </c>
      <c r="J37" s="136">
        <f t="shared" si="7"/>
        <v>6474.3476240287491</v>
      </c>
      <c r="K37" s="136">
        <f t="shared" si="7"/>
        <v>6749.2055461879427</v>
      </c>
      <c r="L37" s="136">
        <f t="shared" si="7"/>
        <v>6849.3412717466344</v>
      </c>
      <c r="M37" s="136">
        <f t="shared" si="7"/>
        <v>7135.1082177310564</v>
      </c>
      <c r="N37" s="136">
        <f t="shared" si="7"/>
        <v>7235.3478675546939</v>
      </c>
      <c r="O37" s="136">
        <f t="shared" si="7"/>
        <v>7532.354225807052</v>
      </c>
      <c r="P37" s="136">
        <f t="shared" si="7"/>
        <v>7632.3601386418723</v>
      </c>
      <c r="Q37" s="136">
        <f t="shared" si="7"/>
        <v>7729.0236287577209</v>
      </c>
      <c r="R37" s="136">
        <f t="shared" si="7"/>
        <v>7822.0592572540081</v>
      </c>
      <c r="S37" s="136">
        <f t="shared" si="7"/>
        <v>7964.8829513215132</v>
      </c>
      <c r="T37" s="136">
        <f t="shared" si="7"/>
        <v>8076.607219190817</v>
      </c>
      <c r="U37" s="136">
        <f t="shared" si="7"/>
        <v>8156.9024742126294</v>
      </c>
      <c r="V37" s="136">
        <f t="shared" si="7"/>
        <v>8232.2809141768485</v>
      </c>
      <c r="W37" s="136">
        <f t="shared" si="7"/>
        <v>8302.380376234596</v>
      </c>
      <c r="X37" s="136">
        <f t="shared" si="7"/>
        <v>8366.8213928996138</v>
      </c>
      <c r="Y37" s="136">
        <f t="shared" ref="Y37:AG37" si="8">Y33-Y35</f>
        <v>8430.3683845034648</v>
      </c>
      <c r="Z37" s="136">
        <f t="shared" si="8"/>
        <v>8492.9945302943379</v>
      </c>
      <c r="AA37" s="136">
        <f t="shared" si="8"/>
        <v>8554.6722048978081</v>
      </c>
      <c r="AB37" s="136">
        <f t="shared" si="8"/>
        <v>8615.3729541782741</v>
      </c>
      <c r="AC37" s="136">
        <f t="shared" si="8"/>
        <v>8675.0674703760378</v>
      </c>
      <c r="AD37" s="136">
        <f t="shared" si="8"/>
        <v>8733.7255664986387</v>
      </c>
      <c r="AE37" s="136">
        <f t="shared" si="8"/>
        <v>8791.3161499437938</v>
      </c>
      <c r="AF37" s="136">
        <f t="shared" si="8"/>
        <v>8847.8071953311883</v>
      </c>
      <c r="AG37" s="136">
        <f t="shared" si="8"/>
        <v>2063.8418080354518</v>
      </c>
    </row>
    <row r="38" spans="1:33">
      <c r="A38" s="1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</row>
    <row r="39" spans="1:33">
      <c r="A39" s="3" t="s">
        <v>173</v>
      </c>
      <c r="C39" s="73">
        <v>0</v>
      </c>
      <c r="D39" s="73">
        <v>0</v>
      </c>
      <c r="E39" s="73">
        <v>0</v>
      </c>
      <c r="F39" s="73">
        <v>0</v>
      </c>
      <c r="G39" s="73">
        <v>0</v>
      </c>
      <c r="H39" s="73">
        <v>0</v>
      </c>
      <c r="I39" s="73">
        <v>0</v>
      </c>
      <c r="J39" s="73">
        <v>0</v>
      </c>
      <c r="K39" s="73">
        <v>0</v>
      </c>
      <c r="L39" s="73">
        <v>0</v>
      </c>
      <c r="M39" s="73">
        <v>0</v>
      </c>
      <c r="N39" s="73">
        <v>0</v>
      </c>
      <c r="O39" s="73">
        <v>0</v>
      </c>
      <c r="P39" s="73">
        <v>0</v>
      </c>
      <c r="Q39" s="73">
        <v>0</v>
      </c>
      <c r="R39" s="73">
        <v>0</v>
      </c>
      <c r="S39" s="73">
        <v>0</v>
      </c>
      <c r="T39" s="73">
        <v>0</v>
      </c>
      <c r="U39" s="73">
        <v>0</v>
      </c>
      <c r="V39" s="73">
        <v>0</v>
      </c>
      <c r="W39" s="73">
        <v>0</v>
      </c>
      <c r="X39" s="73">
        <v>0</v>
      </c>
      <c r="Y39" s="73">
        <v>0</v>
      </c>
      <c r="Z39" s="73">
        <v>0</v>
      </c>
      <c r="AA39" s="73">
        <v>0</v>
      </c>
      <c r="AB39" s="73">
        <v>0</v>
      </c>
      <c r="AC39" s="73">
        <v>0</v>
      </c>
      <c r="AD39" s="73">
        <v>0</v>
      </c>
      <c r="AE39" s="73">
        <v>0</v>
      </c>
      <c r="AF39" s="73">
        <v>0</v>
      </c>
      <c r="AG39" s="73">
        <v>0</v>
      </c>
    </row>
    <row r="40" spans="1:33" ht="12" customHeight="1">
      <c r="A40" s="5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</row>
    <row r="41" spans="1:33">
      <c r="A41" s="1" t="s">
        <v>260</v>
      </c>
      <c r="C41" s="136">
        <f>C37-C39</f>
        <v>2654.4673837640548</v>
      </c>
      <c r="D41" s="136">
        <f t="shared" ref="D41:X41" si="9">D37-D39</f>
        <v>3972.5708757511875</v>
      </c>
      <c r="E41" s="136">
        <f t="shared" si="9"/>
        <v>3962.9456758562928</v>
      </c>
      <c r="F41" s="136">
        <f t="shared" si="9"/>
        <v>5009.768739569804</v>
      </c>
      <c r="G41" s="136">
        <f t="shared" si="9"/>
        <v>5492.3768864580607</v>
      </c>
      <c r="H41" s="136">
        <f t="shared" si="9"/>
        <v>6047.4116773196656</v>
      </c>
      <c r="I41" s="136">
        <f t="shared" si="9"/>
        <v>6374.6154879312344</v>
      </c>
      <c r="J41" s="136">
        <f t="shared" si="9"/>
        <v>6474.3476240287491</v>
      </c>
      <c r="K41" s="136">
        <f t="shared" si="9"/>
        <v>6749.2055461879427</v>
      </c>
      <c r="L41" s="136">
        <f t="shared" si="9"/>
        <v>6849.3412717466344</v>
      </c>
      <c r="M41" s="136">
        <f t="shared" si="9"/>
        <v>7135.1082177310564</v>
      </c>
      <c r="N41" s="136">
        <f t="shared" si="9"/>
        <v>7235.3478675546939</v>
      </c>
      <c r="O41" s="136">
        <f t="shared" si="9"/>
        <v>7532.354225807052</v>
      </c>
      <c r="P41" s="136">
        <f t="shared" si="9"/>
        <v>7632.3601386418723</v>
      </c>
      <c r="Q41" s="136">
        <f t="shared" si="9"/>
        <v>7729.0236287577209</v>
      </c>
      <c r="R41" s="136">
        <f t="shared" si="9"/>
        <v>7822.0592572540081</v>
      </c>
      <c r="S41" s="136">
        <f t="shared" si="9"/>
        <v>7964.8829513215132</v>
      </c>
      <c r="T41" s="136">
        <f t="shared" si="9"/>
        <v>8076.607219190817</v>
      </c>
      <c r="U41" s="136">
        <f t="shared" si="9"/>
        <v>8156.9024742126294</v>
      </c>
      <c r="V41" s="136">
        <f t="shared" si="9"/>
        <v>8232.2809141768485</v>
      </c>
      <c r="W41" s="136">
        <f t="shared" si="9"/>
        <v>8302.380376234596</v>
      </c>
      <c r="X41" s="136">
        <f t="shared" si="9"/>
        <v>8366.8213928996138</v>
      </c>
      <c r="Y41" s="136">
        <f t="shared" ref="Y41:AG41" si="10">Y37-Y39</f>
        <v>8430.3683845034648</v>
      </c>
      <c r="Z41" s="136">
        <f t="shared" si="10"/>
        <v>8492.9945302943379</v>
      </c>
      <c r="AA41" s="136">
        <f t="shared" si="10"/>
        <v>8554.6722048978081</v>
      </c>
      <c r="AB41" s="136">
        <f t="shared" si="10"/>
        <v>8615.3729541782741</v>
      </c>
      <c r="AC41" s="136">
        <f t="shared" si="10"/>
        <v>8675.0674703760378</v>
      </c>
      <c r="AD41" s="136">
        <f t="shared" si="10"/>
        <v>8733.7255664986387</v>
      </c>
      <c r="AE41" s="136">
        <f t="shared" si="10"/>
        <v>8791.3161499437938</v>
      </c>
      <c r="AF41" s="136">
        <f t="shared" si="10"/>
        <v>8847.8071953311883</v>
      </c>
      <c r="AG41" s="136">
        <f t="shared" si="10"/>
        <v>2063.8418080354518</v>
      </c>
    </row>
    <row r="42" spans="1:33">
      <c r="A42" s="1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</row>
    <row r="43" spans="1:33">
      <c r="A43" s="3" t="s">
        <v>54</v>
      </c>
      <c r="B43" s="460">
        <f>Assumptions!N60</f>
        <v>7.0000000000000007E-2</v>
      </c>
      <c r="C43" s="82">
        <f>-C41*$B$43</f>
        <v>-185.81271686348384</v>
      </c>
      <c r="D43" s="82">
        <f t="shared" ref="D43:AG43" si="11">-D41*$B$43</f>
        <v>-278.07996130258317</v>
      </c>
      <c r="E43" s="82">
        <f t="shared" si="11"/>
        <v>-277.40619730994052</v>
      </c>
      <c r="F43" s="82">
        <f t="shared" si="11"/>
        <v>-350.68381176988629</v>
      </c>
      <c r="G43" s="82">
        <f t="shared" si="11"/>
        <v>-384.46638205206426</v>
      </c>
      <c r="H43" s="82">
        <f t="shared" si="11"/>
        <v>-423.31881741237663</v>
      </c>
      <c r="I43" s="82">
        <f t="shared" si="11"/>
        <v>-446.22308415518643</v>
      </c>
      <c r="J43" s="82">
        <f t="shared" si="11"/>
        <v>-453.20433368201248</v>
      </c>
      <c r="K43" s="82">
        <f t="shared" si="11"/>
        <v>-472.44438823315602</v>
      </c>
      <c r="L43" s="82">
        <f t="shared" si="11"/>
        <v>-479.45388902226443</v>
      </c>
      <c r="M43" s="82">
        <f t="shared" si="11"/>
        <v>-499.45757524117397</v>
      </c>
      <c r="N43" s="82">
        <f t="shared" si="11"/>
        <v>-506.4743507288286</v>
      </c>
      <c r="O43" s="82">
        <f t="shared" si="11"/>
        <v>-527.26479580649368</v>
      </c>
      <c r="P43" s="82">
        <f t="shared" si="11"/>
        <v>-534.26520970493107</v>
      </c>
      <c r="Q43" s="82">
        <f t="shared" si="11"/>
        <v>-541.03165401304057</v>
      </c>
      <c r="R43" s="82">
        <f t="shared" si="11"/>
        <v>-547.54414800778056</v>
      </c>
      <c r="S43" s="82">
        <f t="shared" si="11"/>
        <v>-557.54180659250596</v>
      </c>
      <c r="T43" s="82">
        <f t="shared" si="11"/>
        <v>-565.36250534335727</v>
      </c>
      <c r="U43" s="82">
        <f t="shared" si="11"/>
        <v>-570.9831731948841</v>
      </c>
      <c r="V43" s="82">
        <f t="shared" si="11"/>
        <v>-576.2596639923795</v>
      </c>
      <c r="W43" s="82">
        <f t="shared" si="11"/>
        <v>-581.16662633642181</v>
      </c>
      <c r="X43" s="82">
        <f t="shared" si="11"/>
        <v>-585.67749750297298</v>
      </c>
      <c r="Y43" s="82">
        <f t="shared" si="11"/>
        <v>-590.12578691524254</v>
      </c>
      <c r="Z43" s="82">
        <f t="shared" si="11"/>
        <v>-594.50961712060371</v>
      </c>
      <c r="AA43" s="82">
        <f t="shared" si="11"/>
        <v>-598.82705434284662</v>
      </c>
      <c r="AB43" s="82">
        <f t="shared" si="11"/>
        <v>-603.07610679247921</v>
      </c>
      <c r="AC43" s="82">
        <f t="shared" si="11"/>
        <v>-607.25472292632276</v>
      </c>
      <c r="AD43" s="82">
        <f t="shared" si="11"/>
        <v>-611.36078965490481</v>
      </c>
      <c r="AE43" s="82">
        <f t="shared" si="11"/>
        <v>-615.39213049606565</v>
      </c>
      <c r="AF43" s="82">
        <f t="shared" si="11"/>
        <v>-619.34650367318329</v>
      </c>
      <c r="AG43" s="82">
        <f t="shared" si="11"/>
        <v>-144.46892656248164</v>
      </c>
    </row>
    <row r="44" spans="1:33">
      <c r="A44" s="3" t="s">
        <v>55</v>
      </c>
      <c r="B44" s="460">
        <f>Assumptions!N59</f>
        <v>0.35</v>
      </c>
      <c r="C44" s="82">
        <f t="shared" ref="C44:AG44" si="12">(C41+C43)*-$B$44</f>
        <v>-864.02913341519979</v>
      </c>
      <c r="D44" s="82">
        <f t="shared" si="12"/>
        <v>-1293.0718200570113</v>
      </c>
      <c r="E44" s="82">
        <f t="shared" si="12"/>
        <v>-1289.9388174912233</v>
      </c>
      <c r="F44" s="82">
        <f t="shared" si="12"/>
        <v>-1630.6797247299712</v>
      </c>
      <c r="G44" s="82">
        <f t="shared" si="12"/>
        <v>-1787.7686765420985</v>
      </c>
      <c r="H44" s="82">
        <f t="shared" si="12"/>
        <v>-1968.4325009675508</v>
      </c>
      <c r="I44" s="82">
        <f t="shared" si="12"/>
        <v>-2074.9373413216167</v>
      </c>
      <c r="J44" s="82">
        <f t="shared" si="12"/>
        <v>-2107.4001516213575</v>
      </c>
      <c r="K44" s="82">
        <f t="shared" si="12"/>
        <v>-2196.866405284175</v>
      </c>
      <c r="L44" s="82">
        <f t="shared" si="12"/>
        <v>-2229.4605839535293</v>
      </c>
      <c r="M44" s="82">
        <f t="shared" si="12"/>
        <v>-2322.4777248714586</v>
      </c>
      <c r="N44" s="82">
        <f t="shared" si="12"/>
        <v>-2355.1057308890527</v>
      </c>
      <c r="O44" s="82">
        <f t="shared" si="12"/>
        <v>-2451.7813005001954</v>
      </c>
      <c r="P44" s="82">
        <f t="shared" si="12"/>
        <v>-2484.3332251279294</v>
      </c>
      <c r="Q44" s="82">
        <f t="shared" si="12"/>
        <v>-2515.7971911606378</v>
      </c>
      <c r="R44" s="82">
        <f t="shared" si="12"/>
        <v>-2546.0802882361795</v>
      </c>
      <c r="S44" s="82">
        <f t="shared" si="12"/>
        <v>-2592.5694006551525</v>
      </c>
      <c r="T44" s="82">
        <f t="shared" si="12"/>
        <v>-2628.9356498466109</v>
      </c>
      <c r="U44" s="82">
        <f t="shared" si="12"/>
        <v>-2655.0717553562108</v>
      </c>
      <c r="V44" s="82">
        <f t="shared" si="12"/>
        <v>-2679.607437564564</v>
      </c>
      <c r="W44" s="82">
        <f t="shared" si="12"/>
        <v>-2702.4248124643605</v>
      </c>
      <c r="X44" s="82">
        <f t="shared" si="12"/>
        <v>-2723.4003633888242</v>
      </c>
      <c r="Y44" s="82">
        <f t="shared" si="12"/>
        <v>-2744.0849091558775</v>
      </c>
      <c r="Z44" s="82">
        <f t="shared" si="12"/>
        <v>-2764.4697196108068</v>
      </c>
      <c r="AA44" s="82">
        <f t="shared" si="12"/>
        <v>-2784.5458026942365</v>
      </c>
      <c r="AB44" s="82">
        <f t="shared" si="12"/>
        <v>-2804.3038965850278</v>
      </c>
      <c r="AC44" s="82">
        <f t="shared" si="12"/>
        <v>-2823.7344616074001</v>
      </c>
      <c r="AD44" s="82">
        <f t="shared" si="12"/>
        <v>-2842.8276718953066</v>
      </c>
      <c r="AE44" s="82">
        <f t="shared" si="12"/>
        <v>-2861.5734068067045</v>
      </c>
      <c r="AF44" s="82">
        <f t="shared" si="12"/>
        <v>-2879.9612420803014</v>
      </c>
      <c r="AG44" s="82">
        <f t="shared" si="12"/>
        <v>-671.78050851553951</v>
      </c>
    </row>
    <row r="45" spans="1:33">
      <c r="A45" s="5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</row>
    <row r="46" spans="1:33" ht="15.75">
      <c r="A46" s="58" t="s">
        <v>56</v>
      </c>
      <c r="B46" s="47"/>
      <c r="C46" s="489">
        <f t="shared" ref="C46:AG46" si="13">C41+C43+C44</f>
        <v>1604.6255334853713</v>
      </c>
      <c r="D46" s="489">
        <f t="shared" si="13"/>
        <v>2401.4190943915928</v>
      </c>
      <c r="E46" s="489">
        <f t="shared" si="13"/>
        <v>2395.600661055129</v>
      </c>
      <c r="F46" s="489">
        <f t="shared" si="13"/>
        <v>3028.4052030699468</v>
      </c>
      <c r="G46" s="489">
        <f t="shared" si="13"/>
        <v>3320.1418278638976</v>
      </c>
      <c r="H46" s="489">
        <f t="shared" si="13"/>
        <v>3655.6603589397378</v>
      </c>
      <c r="I46" s="489">
        <f t="shared" si="13"/>
        <v>3853.4550624544313</v>
      </c>
      <c r="J46" s="489">
        <f t="shared" si="13"/>
        <v>3913.7431387253791</v>
      </c>
      <c r="K46" s="489">
        <f t="shared" si="13"/>
        <v>4079.8947526706115</v>
      </c>
      <c r="L46" s="489">
        <f t="shared" si="13"/>
        <v>4140.4267987708408</v>
      </c>
      <c r="M46" s="489">
        <f t="shared" si="13"/>
        <v>4313.1729176184235</v>
      </c>
      <c r="N46" s="489">
        <f t="shared" si="13"/>
        <v>4373.7677859368123</v>
      </c>
      <c r="O46" s="489">
        <f t="shared" si="13"/>
        <v>4553.3081295003631</v>
      </c>
      <c r="P46" s="489">
        <f t="shared" si="13"/>
        <v>4613.761703809012</v>
      </c>
      <c r="Q46" s="489">
        <f t="shared" si="13"/>
        <v>4672.1947835840419</v>
      </c>
      <c r="R46" s="489">
        <f t="shared" si="13"/>
        <v>4728.4348210100479</v>
      </c>
      <c r="S46" s="489">
        <f t="shared" si="13"/>
        <v>4814.7717440738543</v>
      </c>
      <c r="T46" s="489">
        <f t="shared" si="13"/>
        <v>4882.3090640008486</v>
      </c>
      <c r="U46" s="489">
        <f t="shared" si="13"/>
        <v>4930.8475456615342</v>
      </c>
      <c r="V46" s="489">
        <f t="shared" si="13"/>
        <v>4976.413812619905</v>
      </c>
      <c r="W46" s="489">
        <f t="shared" si="13"/>
        <v>5018.7889374338138</v>
      </c>
      <c r="X46" s="489">
        <f t="shared" si="13"/>
        <v>5057.7435320078166</v>
      </c>
      <c r="Y46" s="489">
        <f t="shared" si="13"/>
        <v>5096.1576884323449</v>
      </c>
      <c r="Z46" s="489">
        <f t="shared" si="13"/>
        <v>5134.0151935629274</v>
      </c>
      <c r="AA46" s="489">
        <f t="shared" si="13"/>
        <v>5171.2993478607259</v>
      </c>
      <c r="AB46" s="489">
        <f t="shared" si="13"/>
        <v>5207.9929508007663</v>
      </c>
      <c r="AC46" s="489">
        <f t="shared" si="13"/>
        <v>5244.0782858423154</v>
      </c>
      <c r="AD46" s="489">
        <f t="shared" si="13"/>
        <v>5279.5371049484274</v>
      </c>
      <c r="AE46" s="489">
        <f t="shared" si="13"/>
        <v>5314.350612641023</v>
      </c>
      <c r="AF46" s="489">
        <f t="shared" si="13"/>
        <v>5348.4994495777037</v>
      </c>
      <c r="AG46" s="489">
        <f t="shared" si="13"/>
        <v>1247.5923729574306</v>
      </c>
    </row>
    <row r="49" spans="1:33"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</row>
    <row r="50" spans="1:33">
      <c r="A50" s="11" t="s">
        <v>405</v>
      </c>
      <c r="C50" s="490">
        <f>SUM(C18,C21:C29,Debt!C62)/Assumptions!$N$12/Assumptions!H17</f>
        <v>5.3967014987060136</v>
      </c>
      <c r="D50" s="490">
        <f>SUM(D18,D21:D30,Debt!D62)/Assumptions!$N$12/12</f>
        <v>3.7670210214922002</v>
      </c>
      <c r="E50" s="490">
        <f>SUM(E18,E21:E30,Debt!E62)/Assumptions!$N$12/12</f>
        <v>4.2662628410679586</v>
      </c>
      <c r="F50" s="490">
        <f>SUM(F18,F21:F30,Debt!F62)/Assumptions!$N$12/12</f>
        <v>4.4999148679909711</v>
      </c>
      <c r="G50" s="490">
        <f>SUM(G18,G21:G30,Debt!G62)/Assumptions!$N$12/12</f>
        <v>4.5556273489804395</v>
      </c>
      <c r="H50" s="490">
        <f>SUM(H18,H21:H30,Debt!H62)/Assumptions!$N$12/12</f>
        <v>4.611186927346143</v>
      </c>
      <c r="I50" s="490">
        <f>SUM(I18,I21:I30,Debt!I62)/Assumptions!$N$12/12</f>
        <v>4.66642773682302</v>
      </c>
      <c r="J50" s="490">
        <f>SUM(J18,J21:J30,Debt!J62)/Assumptions!$N$12/12</f>
        <v>4.804553071650715</v>
      </c>
      <c r="K50" s="490">
        <f>SUM(K18,K21:K30,Debt!K62)/Assumptions!$N$12/12</f>
        <v>4.8606977713889927</v>
      </c>
      <c r="L50" s="490">
        <f>SUM(L18,L21:L30,Debt!L62)/Assumptions!$N$12/12</f>
        <v>5.0046993886959603</v>
      </c>
      <c r="M50" s="490">
        <f>SUM(M18,M21:M30,Debt!M62)/Assumptions!$N$12/12</f>
        <v>5.0616502165992943</v>
      </c>
      <c r="N50" s="490">
        <f>SUM(N18,N21:N30,Debt!N62)/Assumptions!$N$12/12</f>
        <v>5.2117285887048697</v>
      </c>
      <c r="O50" s="490">
        <f>SUM(O18,O21:O30,Debt!O62)/Assumptions!$N$12/12</f>
        <v>5.2693725228963499</v>
      </c>
      <c r="P50" s="490">
        <f>SUM(P18,P21:P30,Debt!P62)/Assumptions!$N$12/12</f>
        <v>5.3258610394407695</v>
      </c>
      <c r="Q50" s="490">
        <f>SUM(Q18,Q21:Q30,Debt!Q62)/Assumptions!$N$12/12</f>
        <v>5.3810722110168969</v>
      </c>
      <c r="R50" s="490">
        <f>SUM(R18,R21:R30,Debt!R62)/Assumptions!$N$12/12</f>
        <v>5.4601927681966522</v>
      </c>
      <c r="S50" s="490">
        <f>SUM(S18,S21:S30,Debt!S62)/Assumptions!$N$12/12</f>
        <v>3.7160320745229782</v>
      </c>
      <c r="T50" s="490">
        <f>SUM(T18,T21:T30,Debt!T62)/Assumptions!$N$12/12</f>
        <v>0.61146634791469678</v>
      </c>
      <c r="U50" s="490">
        <f>SUM(U18,U21:U30,Debt!U62)/Assumptions!$N$12/12</f>
        <v>0.62469507522862699</v>
      </c>
      <c r="V50" s="490">
        <f>SUM(V18,V21:V30,Debt!V62)/Assumptions!$N$12/12</f>
        <v>0.63842505748694467</v>
      </c>
      <c r="W50" s="490">
        <f>SUM(W18,W21:W30,Debt!W62)/Assumptions!$N$12/12</f>
        <v>0.65267133233798147</v>
      </c>
      <c r="X50" s="490">
        <f>SUM(X18,X21:X30,Debt!X62)/Assumptions!$N$12/12</f>
        <v>0.66744938855951907</v>
      </c>
      <c r="Y50" s="490">
        <f>SUM(Y18,Y21:Y30,Debt!Y62)/Assumptions!$N$12/12</f>
        <v>0.68277517959267231</v>
      </c>
      <c r="Z50" s="490">
        <f>SUM(Z18,Z21:Z30,Debt!Z62)/Assumptions!$N$12/12</f>
        <v>0.69866513748178993</v>
      </c>
      <c r="AA50" s="490">
        <f>SUM(AA18,AA21:AA30,Debt!AA62)/Assumptions!$N$12/12</f>
        <v>0.71513618723255046</v>
      </c>
      <c r="AB50" s="490">
        <f>SUM(AB18,AB21:AB30,Debt!AB62)/Assumptions!$N$12/12</f>
        <v>0.73220576160080342</v>
      </c>
      <c r="AC50" s="490">
        <f>SUM(AC18,AC21:AC30,Debt!AC62)/Assumptions!$N$12/12</f>
        <v>0.74989181632507373</v>
      </c>
      <c r="AD50" s="490">
        <f>SUM(AD18,AD21:AD30,Debt!AD62)/Assumptions!$N$12/12</f>
        <v>0.76821284581604177</v>
      </c>
      <c r="AE50" s="490">
        <f>SUM(AE18,AE21:AE30,Debt!AE62)/Assumptions!$N$12/12</f>
        <v>0.78718789931670818</v>
      </c>
      <c r="AF50" s="490">
        <f>SUM(AF18,AF21:AF30,Debt!AF62)/Assumptions!$N$12/12</f>
        <v>0.80683659754736448</v>
      </c>
      <c r="AG50" s="490">
        <f>SUM(AG18,AG21:AG30,Debt!AG62)/Assumptions!$N$12/12</f>
        <v>0.82949899707145669</v>
      </c>
    </row>
    <row r="51" spans="1:33">
      <c r="A51" s="11"/>
      <c r="C51" s="490"/>
      <c r="D51" s="490"/>
      <c r="E51" s="490"/>
      <c r="F51" s="490"/>
      <c r="G51" s="490"/>
      <c r="H51" s="490"/>
      <c r="I51" s="490"/>
      <c r="J51" s="490"/>
      <c r="K51" s="490"/>
      <c r="L51" s="490"/>
      <c r="M51" s="490"/>
      <c r="N51" s="490"/>
      <c r="O51" s="490"/>
      <c r="P51" s="490"/>
      <c r="Q51" s="490"/>
      <c r="R51" s="490"/>
      <c r="S51" s="490"/>
      <c r="T51" s="490"/>
      <c r="U51" s="490"/>
      <c r="V51" s="490"/>
      <c r="W51" s="490"/>
      <c r="X51" s="490"/>
      <c r="Y51" s="490"/>
      <c r="Z51" s="490"/>
      <c r="AA51" s="490"/>
      <c r="AB51" s="490"/>
      <c r="AC51" s="490"/>
      <c r="AD51" s="490"/>
      <c r="AE51" s="490"/>
      <c r="AF51" s="490"/>
      <c r="AG51" s="490"/>
    </row>
    <row r="52" spans="1:33">
      <c r="C52" s="490"/>
      <c r="D52" s="490"/>
      <c r="E52" s="490"/>
      <c r="F52" s="490"/>
      <c r="G52" s="490"/>
    </row>
    <row r="53" spans="1:33">
      <c r="C53" s="6"/>
      <c r="D53" s="6"/>
      <c r="E53" s="6"/>
      <c r="F53" s="6"/>
      <c r="G53" s="6"/>
    </row>
    <row r="54" spans="1:33">
      <c r="C54" s="490"/>
      <c r="D54" s="490"/>
      <c r="E54" s="490"/>
      <c r="F54" s="490"/>
      <c r="G54" s="490"/>
    </row>
    <row r="55" spans="1:33">
      <c r="C55" s="490"/>
      <c r="D55" s="490"/>
      <c r="E55" s="490"/>
      <c r="F55" s="490"/>
      <c r="G55" s="490"/>
    </row>
    <row r="56" spans="1:33">
      <c r="C56" s="490"/>
      <c r="D56" s="490"/>
      <c r="E56" s="490"/>
      <c r="F56" s="490"/>
      <c r="G56" s="490"/>
    </row>
    <row r="57" spans="1:33">
      <c r="C57" s="490"/>
      <c r="D57" s="490"/>
      <c r="E57" s="490"/>
      <c r="F57" s="490"/>
      <c r="G57" s="490"/>
    </row>
    <row r="58" spans="1:33">
      <c r="C58" s="490"/>
      <c r="D58" s="490"/>
      <c r="E58" s="490"/>
      <c r="F58" s="490"/>
      <c r="G58" s="490"/>
    </row>
    <row r="59" spans="1:33">
      <c r="C59" s="6"/>
      <c r="D59" s="6"/>
      <c r="E59" s="6"/>
      <c r="F59" s="6"/>
      <c r="G59" s="6"/>
    </row>
    <row r="60" spans="1:33">
      <c r="C60" s="6"/>
      <c r="D60" s="6"/>
      <c r="E60" s="6"/>
      <c r="F60" s="6"/>
      <c r="G60" s="6"/>
    </row>
    <row r="61" spans="1:33">
      <c r="C61" s="491"/>
      <c r="D61" s="491"/>
      <c r="E61" s="491"/>
      <c r="F61" s="491"/>
      <c r="G61" s="6"/>
    </row>
    <row r="62" spans="1:33">
      <c r="C62" s="6"/>
      <c r="D62" s="6"/>
      <c r="E62" s="6"/>
      <c r="F62" s="6"/>
      <c r="G62" s="6"/>
    </row>
    <row r="63" spans="1:33">
      <c r="C63" s="491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  <row r="65" spans="3:7">
      <c r="C65" s="6"/>
      <c r="D65" s="6"/>
      <c r="E65" s="6"/>
      <c r="F65" s="6"/>
      <c r="G65" s="6"/>
    </row>
  </sheetData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G65"/>
  <sheetViews>
    <sheetView zoomScale="75" zoomScaleNormal="75" workbookViewId="0">
      <selection activeCell="A26" sqref="A26"/>
    </sheetView>
  </sheetViews>
  <sheetFormatPr defaultRowHeight="12.75" outlineLevelRow="1"/>
  <cols>
    <col min="1" max="1" width="63.5703125" style="12" customWidth="1"/>
    <col min="2" max="24" width="12.85546875" style="12" customWidth="1"/>
    <col min="25" max="26" width="12.85546875" style="6" customWidth="1"/>
    <col min="27" max="33" width="12.85546875" style="12" customWidth="1"/>
    <col min="34" max="35" width="9.85546875" style="12" customWidth="1"/>
    <col min="36" max="37" width="9.140625" style="12"/>
    <col min="38" max="39" width="9.85546875" style="12" customWidth="1"/>
    <col min="40" max="81" width="9.140625" style="12"/>
    <col min="82" max="83" width="9.85546875" style="12" customWidth="1"/>
    <col min="84" max="16384" width="9.140625" style="12"/>
  </cols>
  <sheetData>
    <row r="2" spans="1:33" ht="18.75">
      <c r="A2" s="96" t="str">
        <f>Assumptions!A3</f>
        <v>PROJECT NAME:</v>
      </c>
    </row>
    <row r="4" spans="1:33" ht="18.75">
      <c r="A4" s="67" t="s">
        <v>93</v>
      </c>
    </row>
    <row r="6" spans="1:33">
      <c r="B6" s="262">
        <v>0</v>
      </c>
      <c r="C6" s="262">
        <f>'Price Assumption'!D7</f>
        <v>0.66666666666666663</v>
      </c>
      <c r="D6" s="262">
        <f>'Price Assumption'!E7</f>
        <v>1.6666666666666665</v>
      </c>
      <c r="E6" s="262">
        <f>'Price Assumption'!F7</f>
        <v>2.6666666666666665</v>
      </c>
      <c r="F6" s="262">
        <f>'Price Assumption'!G7</f>
        <v>3.6666666666666665</v>
      </c>
      <c r="G6" s="262">
        <f>'Price Assumption'!H7</f>
        <v>4.6666666666666661</v>
      </c>
      <c r="H6" s="262">
        <f>'Price Assumption'!I7</f>
        <v>5.6666666666666661</v>
      </c>
      <c r="I6" s="262">
        <f>'Price Assumption'!J7</f>
        <v>6.6666666666666661</v>
      </c>
      <c r="J6" s="262">
        <f>'Price Assumption'!K7</f>
        <v>7.6666666666666661</v>
      </c>
      <c r="K6" s="262">
        <f>'Price Assumption'!L7</f>
        <v>8.6666666666666661</v>
      </c>
      <c r="L6" s="262">
        <f>'Price Assumption'!M7</f>
        <v>9.6666666666666661</v>
      </c>
      <c r="M6" s="262">
        <f>'Price Assumption'!N7</f>
        <v>10.666666666666666</v>
      </c>
      <c r="N6" s="262">
        <f>'Price Assumption'!O7</f>
        <v>11.666666666666666</v>
      </c>
      <c r="O6" s="262">
        <f>'Price Assumption'!P7</f>
        <v>12.666666666666666</v>
      </c>
      <c r="P6" s="262">
        <f>'Price Assumption'!Q7</f>
        <v>13.666666666666666</v>
      </c>
      <c r="Q6" s="262">
        <f>'Price Assumption'!R7</f>
        <v>14.666666666666666</v>
      </c>
      <c r="R6" s="262">
        <f>'Price Assumption'!S7</f>
        <v>15.666666666666666</v>
      </c>
      <c r="S6" s="262">
        <f>'Price Assumption'!T7</f>
        <v>16.666666666666664</v>
      </c>
      <c r="T6" s="262">
        <f>'Price Assumption'!U7</f>
        <v>17.666666666666664</v>
      </c>
      <c r="U6" s="262">
        <f>'Price Assumption'!V7</f>
        <v>18.666666666666664</v>
      </c>
      <c r="V6" s="262">
        <f>'Price Assumption'!W7</f>
        <v>19.666666666666664</v>
      </c>
      <c r="W6" s="262">
        <f>'Price Assumption'!X7</f>
        <v>20.666666666666664</v>
      </c>
      <c r="X6" s="262">
        <f>'Price Assumption'!Y7</f>
        <v>21.666666666666664</v>
      </c>
      <c r="Y6" s="262">
        <f>'Price Assumption'!Z7</f>
        <v>22.666666666666664</v>
      </c>
      <c r="Z6" s="262">
        <f>'Price Assumption'!AA7</f>
        <v>23.666666666666664</v>
      </c>
      <c r="AA6" s="262">
        <f>'Price Assumption'!AB7</f>
        <v>24.666666666666664</v>
      </c>
      <c r="AB6" s="262">
        <f>'Price Assumption'!AC7</f>
        <v>25.666666666666664</v>
      </c>
      <c r="AC6" s="262">
        <f>'Price Assumption'!AD7</f>
        <v>26.666666666666664</v>
      </c>
      <c r="AD6" s="262">
        <f>'Price Assumption'!AE7</f>
        <v>27.666666666666664</v>
      </c>
      <c r="AE6" s="262">
        <f>'Price Assumption'!AF7</f>
        <v>28.666666666666664</v>
      </c>
      <c r="AF6" s="262">
        <f>'Price Assumption'!AG7</f>
        <v>29.666666666666664</v>
      </c>
      <c r="AG6" s="262">
        <f>'Price Assumption'!AH7</f>
        <v>30.666666666666664</v>
      </c>
    </row>
    <row r="7" spans="1:33" ht="13.5" outlineLevel="1" thickBot="1">
      <c r="A7" s="135" t="s">
        <v>41</v>
      </c>
      <c r="B7" s="7" t="s">
        <v>325</v>
      </c>
      <c r="C7" s="7">
        <f>'Price Assumption'!D8</f>
        <v>2001</v>
      </c>
      <c r="D7" s="7">
        <f>'Price Assumption'!E8</f>
        <v>2002</v>
      </c>
      <c r="E7" s="7">
        <f>'Price Assumption'!F8</f>
        <v>2003</v>
      </c>
      <c r="F7" s="7">
        <f>'Price Assumption'!G8</f>
        <v>2004</v>
      </c>
      <c r="G7" s="7">
        <f>'Price Assumption'!H8</f>
        <v>2005</v>
      </c>
      <c r="H7" s="7">
        <f>'Price Assumption'!I8</f>
        <v>2006</v>
      </c>
      <c r="I7" s="7">
        <f>'Price Assumption'!J8</f>
        <v>2007</v>
      </c>
      <c r="J7" s="7">
        <f>'Price Assumption'!K8</f>
        <v>2008</v>
      </c>
      <c r="K7" s="7">
        <f>'Price Assumption'!L8</f>
        <v>2009</v>
      </c>
      <c r="L7" s="7">
        <f>'Price Assumption'!M8</f>
        <v>2010</v>
      </c>
      <c r="M7" s="7">
        <f>'Price Assumption'!N8</f>
        <v>2011</v>
      </c>
      <c r="N7" s="7">
        <f>'Price Assumption'!O8</f>
        <v>2012</v>
      </c>
      <c r="O7" s="7">
        <f>'Price Assumption'!P8</f>
        <v>2013</v>
      </c>
      <c r="P7" s="7">
        <f>'Price Assumption'!Q8</f>
        <v>2014</v>
      </c>
      <c r="Q7" s="7">
        <f>'Price Assumption'!R8</f>
        <v>2015</v>
      </c>
      <c r="R7" s="7">
        <f>'Price Assumption'!S8</f>
        <v>2016</v>
      </c>
      <c r="S7" s="7">
        <f>'Price Assumption'!T8</f>
        <v>2017</v>
      </c>
      <c r="T7" s="7">
        <f>'Price Assumption'!U8</f>
        <v>2018</v>
      </c>
      <c r="U7" s="7">
        <f>'Price Assumption'!V8</f>
        <v>2019</v>
      </c>
      <c r="V7" s="7">
        <f>'Price Assumption'!W8</f>
        <v>2020</v>
      </c>
      <c r="W7" s="7">
        <f>'Price Assumption'!X8</f>
        <v>2021</v>
      </c>
      <c r="X7" s="7">
        <f>'Price Assumption'!Y8</f>
        <v>2022</v>
      </c>
      <c r="Y7" s="7">
        <f>'Price Assumption'!Z8</f>
        <v>2023</v>
      </c>
      <c r="Z7" s="7">
        <f>'Price Assumption'!AA8</f>
        <v>2024</v>
      </c>
      <c r="AA7" s="7">
        <f>'Price Assumption'!AB8</f>
        <v>2025</v>
      </c>
      <c r="AB7" s="7">
        <f>'Price Assumption'!AC8</f>
        <v>2026</v>
      </c>
      <c r="AC7" s="7">
        <f>'Price Assumption'!AD8</f>
        <v>2027</v>
      </c>
      <c r="AD7" s="7">
        <f>'Price Assumption'!AE8</f>
        <v>2028</v>
      </c>
      <c r="AE7" s="7">
        <f>'Price Assumption'!AF8</f>
        <v>2029</v>
      </c>
      <c r="AF7" s="7">
        <f>'Price Assumption'!AG8</f>
        <v>2030</v>
      </c>
      <c r="AG7" s="7">
        <f>'Price Assumption'!AH8</f>
        <v>2031</v>
      </c>
    </row>
    <row r="8" spans="1:33" outlineLevel="1">
      <c r="A8" s="149"/>
      <c r="B8" s="171">
        <f>Assumptions!G45</f>
        <v>36739</v>
      </c>
      <c r="C8" s="171">
        <f>BS!D8</f>
        <v>37255.5</v>
      </c>
      <c r="D8" s="171">
        <f>BS!E8</f>
        <v>37620.75</v>
      </c>
      <c r="E8" s="171">
        <f>BS!F8</f>
        <v>37986</v>
      </c>
      <c r="F8" s="171">
        <f>BS!G8</f>
        <v>38351.25</v>
      </c>
      <c r="G8" s="171">
        <f>BS!H8</f>
        <v>38716.5</v>
      </c>
      <c r="H8" s="171">
        <f>BS!I8</f>
        <v>39081.75</v>
      </c>
      <c r="I8" s="171">
        <f>BS!J8</f>
        <v>39447</v>
      </c>
      <c r="J8" s="171">
        <f>BS!K8</f>
        <v>39812.25</v>
      </c>
      <c r="K8" s="171">
        <f>BS!L8</f>
        <v>40177.5</v>
      </c>
      <c r="L8" s="171">
        <f>BS!M8</f>
        <v>40542.75</v>
      </c>
      <c r="M8" s="171">
        <f>BS!N8</f>
        <v>40908</v>
      </c>
      <c r="N8" s="171">
        <f>BS!O8</f>
        <v>41273.25</v>
      </c>
      <c r="O8" s="171">
        <f>BS!P8</f>
        <v>41638.5</v>
      </c>
      <c r="P8" s="171">
        <f>BS!Q8</f>
        <v>42003.75</v>
      </c>
      <c r="Q8" s="171">
        <f>BS!R8</f>
        <v>42369</v>
      </c>
      <c r="R8" s="171">
        <f>BS!S8</f>
        <v>42734.25</v>
      </c>
      <c r="S8" s="171">
        <f>BS!T8</f>
        <v>43099.5</v>
      </c>
      <c r="T8" s="171">
        <f>BS!U8</f>
        <v>43464.75</v>
      </c>
      <c r="U8" s="171">
        <f>BS!V8</f>
        <v>43830</v>
      </c>
      <c r="V8" s="171">
        <f>BS!W8</f>
        <v>44195.25</v>
      </c>
      <c r="W8" s="171">
        <f>BS!X8</f>
        <v>44560.5</v>
      </c>
      <c r="X8" s="171">
        <f>BS!Y8</f>
        <v>44925.75</v>
      </c>
      <c r="Y8" s="171">
        <f>BS!Z8</f>
        <v>45291</v>
      </c>
      <c r="Z8" s="171">
        <f>BS!AA8</f>
        <v>45656.25</v>
      </c>
      <c r="AA8" s="171">
        <f>BS!AB8</f>
        <v>46021.5</v>
      </c>
      <c r="AB8" s="171">
        <f>BS!AC8</f>
        <v>46386.75</v>
      </c>
      <c r="AC8" s="171">
        <f>BS!AD8</f>
        <v>46752</v>
      </c>
      <c r="AD8" s="171">
        <f>BS!AE8</f>
        <v>47117.25</v>
      </c>
      <c r="AE8" s="171">
        <f>BS!AF8</f>
        <v>47482.5</v>
      </c>
      <c r="AF8" s="171">
        <f>BS!AG8</f>
        <v>47847.75</v>
      </c>
      <c r="AG8" s="171">
        <f>BS!AH8</f>
        <v>48213</v>
      </c>
    </row>
    <row r="9" spans="1:33" outlineLevel="1">
      <c r="A9" s="149"/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</row>
    <row r="10" spans="1:33" ht="18.75" outlineLevel="1">
      <c r="A10" s="96" t="s">
        <v>112</v>
      </c>
      <c r="B10" s="2"/>
      <c r="C10" s="9"/>
      <c r="D10" s="9"/>
      <c r="E10" s="9"/>
      <c r="F10" s="9"/>
      <c r="G10" s="9"/>
      <c r="H10" s="9"/>
      <c r="I10" s="186"/>
      <c r="J10" s="186"/>
      <c r="K10" s="187"/>
      <c r="L10" s="187"/>
      <c r="M10" s="186"/>
      <c r="N10" s="186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ht="13.5" customHeight="1" outlineLevel="1">
      <c r="A11" s="96"/>
      <c r="B11" s="2"/>
      <c r="C11" s="9"/>
      <c r="D11" s="9"/>
      <c r="E11" s="9"/>
      <c r="F11" s="9"/>
      <c r="G11" s="9"/>
      <c r="H11" s="9"/>
      <c r="I11" s="186"/>
      <c r="J11" s="186"/>
      <c r="K11" s="187"/>
      <c r="L11" s="187"/>
      <c r="M11" s="186"/>
      <c r="N11" s="186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>
      <c r="A12" s="441" t="s">
        <v>51</v>
      </c>
      <c r="B12" s="66">
        <v>0</v>
      </c>
      <c r="C12" s="66">
        <f>IS!C33</f>
        <v>4619.7474117922429</v>
      </c>
      <c r="D12" s="66">
        <f>IS!D33</f>
        <v>6920.4909177934705</v>
      </c>
      <c r="E12" s="66">
        <f>IS!E33</f>
        <v>6910.8657178985759</v>
      </c>
      <c r="F12" s="66">
        <f>IS!F33</f>
        <v>7957.688781612087</v>
      </c>
      <c r="G12" s="66">
        <f>IS!G33</f>
        <v>8440.2969285003437</v>
      </c>
      <c r="H12" s="66">
        <f>IS!H33</f>
        <v>8544.6543860286147</v>
      </c>
      <c r="I12" s="66">
        <f>IS!I33</f>
        <v>8646.5195299735169</v>
      </c>
      <c r="J12" s="66">
        <f>IS!J33</f>
        <v>8746.2516660710317</v>
      </c>
      <c r="K12" s="66">
        <f>IS!K33</f>
        <v>9021.1095882302252</v>
      </c>
      <c r="L12" s="66">
        <f>IS!L33</f>
        <v>9121.245313788917</v>
      </c>
      <c r="M12" s="66">
        <f>IS!M33</f>
        <v>9407.0122597733389</v>
      </c>
      <c r="N12" s="66">
        <f>IS!N33</f>
        <v>9507.2519095969765</v>
      </c>
      <c r="O12" s="66">
        <f>IS!O33</f>
        <v>9804.2582678493345</v>
      </c>
      <c r="P12" s="66">
        <f>IS!P33</f>
        <v>9904.2641806841548</v>
      </c>
      <c r="Q12" s="66">
        <f>IS!Q33</f>
        <v>10000.927670800003</v>
      </c>
      <c r="R12" s="66">
        <f>IS!R33</f>
        <v>10093.963299296291</v>
      </c>
      <c r="S12" s="66">
        <f>IS!S33</f>
        <v>10236.786993363796</v>
      </c>
      <c r="T12" s="66">
        <f>IS!T33</f>
        <v>10348.5112612331</v>
      </c>
      <c r="U12" s="66">
        <f>IS!U33</f>
        <v>10428.806516254912</v>
      </c>
      <c r="V12" s="66">
        <f>IS!V33</f>
        <v>10504.184956219131</v>
      </c>
      <c r="W12" s="66">
        <f>IS!W33</f>
        <v>10574.284418276879</v>
      </c>
      <c r="X12" s="66">
        <f>IS!X33</f>
        <v>10638.725434941896</v>
      </c>
      <c r="Y12" s="66">
        <f>IS!Y33</f>
        <v>10702.272426545747</v>
      </c>
      <c r="Z12" s="66">
        <f>IS!Z33</f>
        <v>10764.89857233662</v>
      </c>
      <c r="AA12" s="66">
        <f>IS!AA33</f>
        <v>10826.576246940091</v>
      </c>
      <c r="AB12" s="66">
        <f>IS!AB33</f>
        <v>10887.276996220557</v>
      </c>
      <c r="AC12" s="66">
        <f>IS!AC33</f>
        <v>10946.97151241832</v>
      </c>
      <c r="AD12" s="66">
        <f>IS!AD33</f>
        <v>11005.629608540921</v>
      </c>
      <c r="AE12" s="66">
        <f>IS!AE33</f>
        <v>11063.220191986076</v>
      </c>
      <c r="AF12" s="66">
        <f>IS!AF33</f>
        <v>11119.711237373471</v>
      </c>
      <c r="AG12" s="66">
        <f>IS!AG33</f>
        <v>2821.1431553828797</v>
      </c>
    </row>
    <row r="13" spans="1:33">
      <c r="A13" s="1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</row>
    <row r="14" spans="1:33" s="13" customFormat="1">
      <c r="A14" s="442" t="s">
        <v>89</v>
      </c>
      <c r="B14" s="523">
        <v>0</v>
      </c>
      <c r="C14" s="192">
        <f>-Debt!C60</f>
        <v>-533.25993957465107</v>
      </c>
      <c r="D14" s="192">
        <f>-Debt!D60</f>
        <v>-568.3757109800863</v>
      </c>
      <c r="E14" s="192">
        <f>-Debt!E60</f>
        <v>-1437.2498873922814</v>
      </c>
      <c r="F14" s="192">
        <f>-Debt!F60</f>
        <v>-1932.0576859485955</v>
      </c>
      <c r="G14" s="192">
        <f>-Debt!G60</f>
        <v>-2168.8071060801958</v>
      </c>
      <c r="H14" s="192">
        <f>-Debt!H60</f>
        <v>-2422.5432527241646</v>
      </c>
      <c r="I14" s="192">
        <f>-Debt!I60</f>
        <v>-2694.8614923327914</v>
      </c>
      <c r="J14" s="192">
        <f>-Debt!J60</f>
        <v>-3127.0351204666877</v>
      </c>
      <c r="K14" s="192">
        <f>-Debt!K60</f>
        <v>-3456.1220361260348</v>
      </c>
      <c r="L14" s="192">
        <f>-Debt!L60</f>
        <v>-3957.5608437355331</v>
      </c>
      <c r="M14" s="192">
        <f>-Debt!M60</f>
        <v>-4353.1237811592</v>
      </c>
      <c r="N14" s="192">
        <f>-Debt!N60</f>
        <v>-4935.6129892302197</v>
      </c>
      <c r="O14" s="192">
        <f>-Debt!O60</f>
        <v>-5409.3750088464913</v>
      </c>
      <c r="P14" s="192">
        <f>-Debt!P60</f>
        <v>-5918.4231989721011</v>
      </c>
      <c r="Q14" s="192">
        <f>-Debt!Q60</f>
        <v>-6465.2450749072377</v>
      </c>
      <c r="R14" s="192">
        <f>-Debt!R60</f>
        <v>-7095.6871080566179</v>
      </c>
      <c r="S14" s="192">
        <f>-Debt!S60</f>
        <v>-4852.5006700162467</v>
      </c>
      <c r="T14" s="192">
        <f>-Debt!T60</f>
        <v>0</v>
      </c>
      <c r="U14" s="192">
        <f>-Debt!U60</f>
        <v>0</v>
      </c>
      <c r="V14" s="192">
        <f>-Debt!V60</f>
        <v>0</v>
      </c>
      <c r="W14" s="192">
        <f>-Debt!W60</f>
        <v>0</v>
      </c>
      <c r="X14" s="192">
        <f>-Debt!X60</f>
        <v>0</v>
      </c>
      <c r="Y14" s="192">
        <f>-Debt!Y60</f>
        <v>0</v>
      </c>
      <c r="Z14" s="192">
        <f>-Debt!Z60</f>
        <v>0</v>
      </c>
      <c r="AA14" s="192">
        <f>-Debt!AA60</f>
        <v>0</v>
      </c>
      <c r="AB14" s="192">
        <f>-Debt!AB60</f>
        <v>0</v>
      </c>
      <c r="AC14" s="192">
        <f>-Debt!AC60</f>
        <v>0</v>
      </c>
      <c r="AD14" s="192">
        <f>-Debt!AD60</f>
        <v>0</v>
      </c>
      <c r="AE14" s="192">
        <f>-Debt!AE60</f>
        <v>0</v>
      </c>
      <c r="AF14" s="192">
        <f>-Debt!AF60</f>
        <v>0</v>
      </c>
      <c r="AG14" s="192">
        <f>-Debt!AG60</f>
        <v>0</v>
      </c>
    </row>
    <row r="15" spans="1:33" s="13" customFormat="1">
      <c r="A15" s="531" t="s">
        <v>88</v>
      </c>
      <c r="B15" s="83">
        <v>0</v>
      </c>
      <c r="C15" s="83">
        <f>-Debt!C61</f>
        <v>-4790.1946125741742</v>
      </c>
      <c r="D15" s="83">
        <f>-Debt!D61</f>
        <v>-4747.6748412495808</v>
      </c>
      <c r="E15" s="83">
        <f>-Debt!E61</f>
        <v>-4684.0491753862516</v>
      </c>
      <c r="F15" s="83">
        <f>-Debt!F61</f>
        <v>-4560.4784128978235</v>
      </c>
      <c r="G15" s="83">
        <f>-Debt!G61</f>
        <v>-4404.0039600956652</v>
      </c>
      <c r="H15" s="83">
        <f>-Debt!H61</f>
        <v>-4228.625616486238</v>
      </c>
      <c r="I15" s="83">
        <f>-Debt!I61</f>
        <v>-4033.0244046449252</v>
      </c>
      <c r="J15" s="83">
        <f>-Debt!J61</f>
        <v>-3812.2799474027138</v>
      </c>
      <c r="K15" s="83">
        <f>-Debt!K61</f>
        <v>-3560.2205129423592</v>
      </c>
      <c r="L15" s="83">
        <f>-Debt!L61</f>
        <v>-3278.6024330131859</v>
      </c>
      <c r="M15" s="83">
        <f>-Debt!M61</f>
        <v>-2960.1469185307737</v>
      </c>
      <c r="N15" s="83">
        <f>-Debt!N61</f>
        <v>-2606.1241398846523</v>
      </c>
      <c r="O15" s="83">
        <f>-Debt!O61</f>
        <v>-2209.289745525934</v>
      </c>
      <c r="P15" s="83">
        <f>-Debt!P61</f>
        <v>-1774.5980862586723</v>
      </c>
      <c r="Q15" s="83">
        <f>-Debt!Q61</f>
        <v>-1299.342078397603</v>
      </c>
      <c r="R15" s="83">
        <f>-Debt!R61</f>
        <v>-778.76442530014765</v>
      </c>
      <c r="S15" s="83">
        <f>-Debt!S61</f>
        <v>-208.78138878723149</v>
      </c>
      <c r="T15" s="83">
        <f>-Debt!T61</f>
        <v>0</v>
      </c>
      <c r="U15" s="83">
        <f>-Debt!U61</f>
        <v>0</v>
      </c>
      <c r="V15" s="83">
        <f>-Debt!V61</f>
        <v>0</v>
      </c>
      <c r="W15" s="83">
        <f>-Debt!W61</f>
        <v>0</v>
      </c>
      <c r="X15" s="83">
        <f>-Debt!X61</f>
        <v>0</v>
      </c>
      <c r="Y15" s="83">
        <f>-Debt!Y61</f>
        <v>0</v>
      </c>
      <c r="Z15" s="83">
        <f>-Debt!Z61</f>
        <v>0</v>
      </c>
      <c r="AA15" s="83">
        <f>-Debt!AA61</f>
        <v>0</v>
      </c>
      <c r="AB15" s="83">
        <f>-Debt!AB61</f>
        <v>0</v>
      </c>
      <c r="AC15" s="83">
        <f>-Debt!AC61</f>
        <v>0</v>
      </c>
      <c r="AD15" s="83">
        <f>-Debt!AD61</f>
        <v>0</v>
      </c>
      <c r="AE15" s="83">
        <f>-Debt!AE61</f>
        <v>0</v>
      </c>
      <c r="AF15" s="83">
        <f>-Debt!AF61</f>
        <v>0</v>
      </c>
      <c r="AG15" s="83">
        <f>-Debt!AG61</f>
        <v>0</v>
      </c>
    </row>
    <row r="16" spans="1:33">
      <c r="A16" s="442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</row>
    <row r="17" spans="1:33">
      <c r="A17" s="441" t="s">
        <v>57</v>
      </c>
      <c r="B17" s="267">
        <v>0</v>
      </c>
      <c r="C17" s="267">
        <f t="shared" ref="C17:AG17" si="0">SUM(C12:C15)</f>
        <v>-703.70714035658239</v>
      </c>
      <c r="D17" s="136">
        <f t="shared" si="0"/>
        <v>1604.4403655638034</v>
      </c>
      <c r="E17" s="136">
        <f t="shared" si="0"/>
        <v>789.56665512004292</v>
      </c>
      <c r="F17" s="136">
        <f t="shared" si="0"/>
        <v>1465.152682765668</v>
      </c>
      <c r="G17" s="136">
        <f t="shared" si="0"/>
        <v>1867.4858623244827</v>
      </c>
      <c r="H17" s="136">
        <f t="shared" si="0"/>
        <v>1893.4855168182121</v>
      </c>
      <c r="I17" s="136">
        <f t="shared" si="0"/>
        <v>1918.6336329958003</v>
      </c>
      <c r="J17" s="136">
        <f t="shared" si="0"/>
        <v>1806.9365982016302</v>
      </c>
      <c r="K17" s="136">
        <f t="shared" si="0"/>
        <v>2004.7670391618312</v>
      </c>
      <c r="L17" s="136">
        <f t="shared" si="0"/>
        <v>1885.082037040198</v>
      </c>
      <c r="M17" s="136">
        <f t="shared" si="0"/>
        <v>2093.7415600833651</v>
      </c>
      <c r="N17" s="136">
        <f t="shared" si="0"/>
        <v>1965.5147804821045</v>
      </c>
      <c r="O17" s="136">
        <f t="shared" si="0"/>
        <v>2185.5935134769093</v>
      </c>
      <c r="P17" s="136">
        <f t="shared" si="0"/>
        <v>2211.2428954533816</v>
      </c>
      <c r="Q17" s="136">
        <f t="shared" si="0"/>
        <v>2236.3405174951627</v>
      </c>
      <c r="R17" s="136">
        <f t="shared" si="0"/>
        <v>2219.511765939525</v>
      </c>
      <c r="S17" s="136">
        <f t="shared" si="0"/>
        <v>5175.5049345603175</v>
      </c>
      <c r="T17" s="136">
        <f t="shared" si="0"/>
        <v>10348.5112612331</v>
      </c>
      <c r="U17" s="136">
        <f t="shared" si="0"/>
        <v>10428.806516254912</v>
      </c>
      <c r="V17" s="136">
        <f t="shared" si="0"/>
        <v>10504.184956219131</v>
      </c>
      <c r="W17" s="136">
        <f t="shared" si="0"/>
        <v>10574.284418276879</v>
      </c>
      <c r="X17" s="136">
        <f t="shared" si="0"/>
        <v>10638.725434941896</v>
      </c>
      <c r="Y17" s="136">
        <f t="shared" si="0"/>
        <v>10702.272426545747</v>
      </c>
      <c r="Z17" s="136">
        <f t="shared" si="0"/>
        <v>10764.89857233662</v>
      </c>
      <c r="AA17" s="136">
        <f t="shared" si="0"/>
        <v>10826.576246940091</v>
      </c>
      <c r="AB17" s="136">
        <f t="shared" si="0"/>
        <v>10887.276996220557</v>
      </c>
      <c r="AC17" s="136">
        <f t="shared" si="0"/>
        <v>10946.97151241832</v>
      </c>
      <c r="AD17" s="136">
        <f t="shared" si="0"/>
        <v>11005.629608540921</v>
      </c>
      <c r="AE17" s="136">
        <f t="shared" si="0"/>
        <v>11063.220191986076</v>
      </c>
      <c r="AF17" s="136">
        <f t="shared" si="0"/>
        <v>11119.711237373471</v>
      </c>
      <c r="AG17" s="136">
        <f t="shared" si="0"/>
        <v>2821.1431553828797</v>
      </c>
    </row>
    <row r="18" spans="1:33">
      <c r="A18" s="441"/>
      <c r="B18" s="66"/>
      <c r="C18" s="66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</row>
    <row r="19" spans="1:33">
      <c r="A19" s="201" t="s">
        <v>167</v>
      </c>
      <c r="B19" s="66">
        <v>0</v>
      </c>
      <c r="C19" s="73">
        <f>-Taxes!B27</f>
        <v>-26.779433920523999</v>
      </c>
      <c r="D19" s="73">
        <f>-Taxes!C27</f>
        <v>0</v>
      </c>
      <c r="E19" s="73">
        <f>-Taxes!D27</f>
        <v>0</v>
      </c>
      <c r="F19" s="73">
        <f>-Taxes!E27</f>
        <v>-18.234140617550963</v>
      </c>
      <c r="G19" s="73">
        <f>-Taxes!F27</f>
        <v>-176.13278139678695</v>
      </c>
      <c r="H19" s="73">
        <f>-Taxes!G27</f>
        <v>-252.09298277712315</v>
      </c>
      <c r="I19" s="73">
        <f>-Taxes!H27</f>
        <v>-292.49091064365859</v>
      </c>
      <c r="J19" s="73">
        <f>-Taxes!I27</f>
        <v>-298.94204922734144</v>
      </c>
      <c r="K19" s="73">
        <f>-Taxes!J27</f>
        <v>-318.71221472162819</v>
      </c>
      <c r="L19" s="73">
        <f>-Taxes!K27</f>
        <v>-325.1916045675934</v>
      </c>
      <c r="M19" s="73">
        <f>-Taxes!L27</f>
        <v>-345.72540172964614</v>
      </c>
      <c r="N19" s="73">
        <f>-Taxes!M27</f>
        <v>-352.21206627415762</v>
      </c>
      <c r="O19" s="73">
        <f>-Taxes!N27</f>
        <v>-373.53262229496585</v>
      </c>
      <c r="P19" s="73">
        <f>-Taxes!O27</f>
        <v>-380.00292525026009</v>
      </c>
      <c r="Q19" s="73">
        <f>-Taxes!P27</f>
        <v>-387.29948050151268</v>
      </c>
      <c r="R19" s="73">
        <f>-Taxes!Q27</f>
        <v>-550.19470272349656</v>
      </c>
      <c r="S19" s="73">
        <f>-Taxes!R27</f>
        <v>-716.57508953546574</v>
      </c>
      <c r="T19" s="73">
        <f>-Taxes!S27</f>
        <v>-724.39578828631704</v>
      </c>
      <c r="U19" s="73">
        <f>-Taxes!T27</f>
        <v>-730.01645613784387</v>
      </c>
      <c r="V19" s="73">
        <f>-Taxes!U27</f>
        <v>-735.29294693533927</v>
      </c>
      <c r="W19" s="73">
        <f>-Taxes!V27</f>
        <v>-740.19990927938159</v>
      </c>
      <c r="X19" s="73">
        <f>-Taxes!W27</f>
        <v>-744.71078044593287</v>
      </c>
      <c r="Y19" s="73">
        <f>-Taxes!X27</f>
        <v>-749.15906985820243</v>
      </c>
      <c r="Z19" s="73">
        <f>-Taxes!Y27</f>
        <v>-753.54290006356348</v>
      </c>
      <c r="AA19" s="73">
        <f>-Taxes!Z27</f>
        <v>-757.86033728580639</v>
      </c>
      <c r="AB19" s="73">
        <f>-Taxes!AA27</f>
        <v>-762.10938973543898</v>
      </c>
      <c r="AC19" s="73">
        <f>-Taxes!AB27</f>
        <v>-766.28800586928253</v>
      </c>
      <c r="AD19" s="73">
        <f>-Taxes!AC27</f>
        <v>-770.39407259786458</v>
      </c>
      <c r="AE19" s="73">
        <f>-Taxes!AD27</f>
        <v>-774.42541343902542</v>
      </c>
      <c r="AF19" s="73">
        <f>-Taxes!AE27</f>
        <v>-778.37978661614306</v>
      </c>
      <c r="AG19" s="73">
        <f>-Taxes!AF27</f>
        <v>-197.4800208768016</v>
      </c>
    </row>
    <row r="20" spans="1:33">
      <c r="A20" s="201" t="s">
        <v>168</v>
      </c>
      <c r="B20" s="137">
        <v>0</v>
      </c>
      <c r="C20" s="137">
        <f>-Taxes!B44</f>
        <v>-124.52436773043658</v>
      </c>
      <c r="D20" s="137">
        <f>-Taxes!C44</f>
        <v>0</v>
      </c>
      <c r="E20" s="137">
        <f>-Taxes!D44</f>
        <v>0</v>
      </c>
      <c r="F20" s="137">
        <f>-Taxes!E44</f>
        <v>-84.788753871611902</v>
      </c>
      <c r="G20" s="137">
        <f>-Taxes!F44</f>
        <v>-819.01743349505921</v>
      </c>
      <c r="H20" s="137">
        <f>-Taxes!G44</f>
        <v>-1172.2323699136225</v>
      </c>
      <c r="I20" s="137">
        <f>-Taxes!H44</f>
        <v>-1360.0827344930124</v>
      </c>
      <c r="J20" s="137">
        <f>-Taxes!I44</f>
        <v>-1390.0805289071375</v>
      </c>
      <c r="K20" s="137">
        <f>-Taxes!J44</f>
        <v>-1482.0117984555709</v>
      </c>
      <c r="L20" s="137">
        <f>-Taxes!K44</f>
        <v>-1512.1409612393093</v>
      </c>
      <c r="M20" s="137">
        <f>-Taxes!L44</f>
        <v>-1607.6231180428542</v>
      </c>
      <c r="N20" s="137">
        <f>-Taxes!M44</f>
        <v>-1637.7861081748326</v>
      </c>
      <c r="O20" s="137">
        <f>-Taxes!N44</f>
        <v>-1736.9266936715908</v>
      </c>
      <c r="P20" s="137">
        <f>-Taxes!O44</f>
        <v>-1767.0136024137091</v>
      </c>
      <c r="Q20" s="137">
        <f>-Taxes!P44</f>
        <v>-1800.9425843320337</v>
      </c>
      <c r="R20" s="137">
        <f>-Taxes!Q44</f>
        <v>-2558.4053676642588</v>
      </c>
      <c r="S20" s="137">
        <f>-Taxes!R44</f>
        <v>-3332.0741663399158</v>
      </c>
      <c r="T20" s="137">
        <f>-Taxes!S44</f>
        <v>-3368.4404155313732</v>
      </c>
      <c r="U20" s="137">
        <f>-Taxes!T44</f>
        <v>-3394.5765210409736</v>
      </c>
      <c r="V20" s="137">
        <f>-Taxes!U44</f>
        <v>-3419.1122032493272</v>
      </c>
      <c r="W20" s="137">
        <f>-Taxes!V44</f>
        <v>-3441.9295781491237</v>
      </c>
      <c r="X20" s="137">
        <f>-Taxes!W44</f>
        <v>-3462.9051290735874</v>
      </c>
      <c r="Y20" s="137">
        <f>-Taxes!X44</f>
        <v>-3483.5896748406408</v>
      </c>
      <c r="Z20" s="137">
        <f>-Taxes!Y44</f>
        <v>-3503.97448529557</v>
      </c>
      <c r="AA20" s="137">
        <f>-Taxes!Z44</f>
        <v>-3524.0505683789993</v>
      </c>
      <c r="AB20" s="137">
        <f>-Taxes!AA44</f>
        <v>-3543.8086622697911</v>
      </c>
      <c r="AC20" s="137">
        <f>-Taxes!AB44</f>
        <v>-3563.2392272921629</v>
      </c>
      <c r="AD20" s="137">
        <f>-Taxes!AC44</f>
        <v>-3582.3324375800694</v>
      </c>
      <c r="AE20" s="137">
        <f>-Taxes!AD44</f>
        <v>-3601.0781724914677</v>
      </c>
      <c r="AF20" s="137">
        <f>-Taxes!AE44</f>
        <v>-3619.4660077650642</v>
      </c>
      <c r="AG20" s="137">
        <f>-Taxes!AF44</f>
        <v>-918.28209707712733</v>
      </c>
    </row>
    <row r="21" spans="1:33">
      <c r="A21" s="442"/>
      <c r="B21" s="268"/>
      <c r="C21" s="268"/>
      <c r="D21" s="268"/>
      <c r="E21" s="268"/>
      <c r="F21" s="268"/>
      <c r="G21" s="268"/>
      <c r="H21" s="268"/>
      <c r="I21" s="268"/>
      <c r="J21" s="268"/>
      <c r="K21" s="268"/>
      <c r="L21" s="268"/>
      <c r="M21" s="268"/>
      <c r="N21" s="268"/>
      <c r="O21" s="268"/>
      <c r="P21" s="268"/>
      <c r="Q21" s="268"/>
      <c r="R21" s="268"/>
      <c r="S21" s="268"/>
      <c r="T21" s="268"/>
      <c r="U21" s="268"/>
      <c r="V21" s="268"/>
      <c r="W21" s="268"/>
      <c r="X21" s="268"/>
      <c r="Y21" s="268"/>
      <c r="Z21" s="268"/>
      <c r="AA21" s="268"/>
      <c r="AB21" s="268"/>
      <c r="AC21" s="268"/>
      <c r="AD21" s="268"/>
      <c r="AE21" s="268"/>
      <c r="AF21" s="268"/>
      <c r="AG21" s="268"/>
    </row>
    <row r="22" spans="1:33" s="11" customFormat="1">
      <c r="A22" s="441" t="s">
        <v>58</v>
      </c>
      <c r="B22" s="267">
        <v>0</v>
      </c>
      <c r="C22" s="267">
        <f t="shared" ref="C22:AG22" si="1">C17+C20+C19</f>
        <v>-855.01094200754289</v>
      </c>
      <c r="D22" s="267">
        <f t="shared" si="1"/>
        <v>1604.4403655638034</v>
      </c>
      <c r="E22" s="267">
        <f t="shared" si="1"/>
        <v>789.56665512004292</v>
      </c>
      <c r="F22" s="267">
        <f t="shared" si="1"/>
        <v>1362.1297882765052</v>
      </c>
      <c r="G22" s="267">
        <f t="shared" si="1"/>
        <v>872.33564743263639</v>
      </c>
      <c r="H22" s="267">
        <f t="shared" si="1"/>
        <v>469.16016412746643</v>
      </c>
      <c r="I22" s="267">
        <f t="shared" si="1"/>
        <v>266.05998785912936</v>
      </c>
      <c r="J22" s="267">
        <f t="shared" si="1"/>
        <v>117.91402006715128</v>
      </c>
      <c r="K22" s="267">
        <f t="shared" si="1"/>
        <v>204.04302598463215</v>
      </c>
      <c r="L22" s="267">
        <f t="shared" si="1"/>
        <v>47.74947123329531</v>
      </c>
      <c r="M22" s="267">
        <f t="shared" si="1"/>
        <v>140.39304031086476</v>
      </c>
      <c r="N22" s="267">
        <f t="shared" si="1"/>
        <v>-24.483393966885785</v>
      </c>
      <c r="O22" s="267">
        <f t="shared" si="1"/>
        <v>75.134197510352635</v>
      </c>
      <c r="P22" s="267">
        <f t="shared" si="1"/>
        <v>64.226367789412393</v>
      </c>
      <c r="Q22" s="267">
        <f t="shared" si="1"/>
        <v>48.098452661616307</v>
      </c>
      <c r="R22" s="267">
        <f t="shared" si="1"/>
        <v>-889.08830444823036</v>
      </c>
      <c r="S22" s="267">
        <f t="shared" si="1"/>
        <v>1126.8556786849358</v>
      </c>
      <c r="T22" s="267">
        <f t="shared" si="1"/>
        <v>6255.6750574154094</v>
      </c>
      <c r="U22" s="267">
        <f t="shared" si="1"/>
        <v>6304.2135390760941</v>
      </c>
      <c r="V22" s="267">
        <f t="shared" si="1"/>
        <v>6349.7798060344639</v>
      </c>
      <c r="W22" s="267">
        <f t="shared" si="1"/>
        <v>6392.1549308483736</v>
      </c>
      <c r="X22" s="267">
        <f t="shared" si="1"/>
        <v>6431.1095254223756</v>
      </c>
      <c r="Y22" s="267">
        <f t="shared" si="1"/>
        <v>6469.5236818469039</v>
      </c>
      <c r="Z22" s="267">
        <f t="shared" si="1"/>
        <v>6507.3811869774872</v>
      </c>
      <c r="AA22" s="267">
        <f t="shared" si="1"/>
        <v>6544.6653412752848</v>
      </c>
      <c r="AB22" s="267">
        <f t="shared" si="1"/>
        <v>6581.3589442153261</v>
      </c>
      <c r="AC22" s="267">
        <f t="shared" si="1"/>
        <v>6617.4442792568752</v>
      </c>
      <c r="AD22" s="267">
        <f t="shared" si="1"/>
        <v>6652.9030983629873</v>
      </c>
      <c r="AE22" s="267">
        <f t="shared" si="1"/>
        <v>6687.7166060555828</v>
      </c>
      <c r="AF22" s="267">
        <f t="shared" si="1"/>
        <v>6721.8654429922635</v>
      </c>
      <c r="AG22" s="267">
        <f t="shared" si="1"/>
        <v>1705.381037428951</v>
      </c>
    </row>
    <row r="23" spans="1:33">
      <c r="A23" s="442"/>
      <c r="B23" s="66"/>
      <c r="C23" s="66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68"/>
      <c r="Q23" s="268"/>
      <c r="R23" s="268"/>
      <c r="S23" s="268"/>
      <c r="T23" s="268"/>
      <c r="U23" s="268"/>
      <c r="V23" s="268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</row>
    <row r="24" spans="1:33">
      <c r="A24" s="441" t="s">
        <v>326</v>
      </c>
      <c r="B24" s="66">
        <f t="shared" ref="B24:AG24" si="2">B22</f>
        <v>0</v>
      </c>
      <c r="C24" s="66">
        <f t="shared" si="2"/>
        <v>-855.01094200754289</v>
      </c>
      <c r="D24" s="66">
        <f t="shared" si="2"/>
        <v>1604.4403655638034</v>
      </c>
      <c r="E24" s="66">
        <f t="shared" si="2"/>
        <v>789.56665512004292</v>
      </c>
      <c r="F24" s="66">
        <f t="shared" si="2"/>
        <v>1362.1297882765052</v>
      </c>
      <c r="G24" s="66">
        <f t="shared" si="2"/>
        <v>872.33564743263639</v>
      </c>
      <c r="H24" s="66">
        <f t="shared" si="2"/>
        <v>469.16016412746643</v>
      </c>
      <c r="I24" s="66">
        <f t="shared" si="2"/>
        <v>266.05998785912936</v>
      </c>
      <c r="J24" s="66">
        <f t="shared" si="2"/>
        <v>117.91402006715128</v>
      </c>
      <c r="K24" s="66">
        <f t="shared" si="2"/>
        <v>204.04302598463215</v>
      </c>
      <c r="L24" s="66">
        <f t="shared" si="2"/>
        <v>47.74947123329531</v>
      </c>
      <c r="M24" s="66">
        <f t="shared" si="2"/>
        <v>140.39304031086476</v>
      </c>
      <c r="N24" s="66">
        <f t="shared" si="2"/>
        <v>-24.483393966885785</v>
      </c>
      <c r="O24" s="66">
        <f t="shared" si="2"/>
        <v>75.134197510352635</v>
      </c>
      <c r="P24" s="66">
        <f t="shared" si="2"/>
        <v>64.226367789412393</v>
      </c>
      <c r="Q24" s="66">
        <f t="shared" si="2"/>
        <v>48.098452661616307</v>
      </c>
      <c r="R24" s="66">
        <f t="shared" si="2"/>
        <v>-889.08830444823036</v>
      </c>
      <c r="S24" s="66">
        <f t="shared" si="2"/>
        <v>1126.8556786849358</v>
      </c>
      <c r="T24" s="66">
        <f t="shared" si="2"/>
        <v>6255.6750574154094</v>
      </c>
      <c r="U24" s="66">
        <f t="shared" si="2"/>
        <v>6304.2135390760941</v>
      </c>
      <c r="V24" s="66">
        <f t="shared" si="2"/>
        <v>6349.7798060344639</v>
      </c>
      <c r="W24" s="66">
        <f t="shared" si="2"/>
        <v>6392.1549308483736</v>
      </c>
      <c r="X24" s="66">
        <f t="shared" si="2"/>
        <v>6431.1095254223756</v>
      </c>
      <c r="Y24" s="66">
        <f t="shared" si="2"/>
        <v>6469.5236818469039</v>
      </c>
      <c r="Z24" s="66">
        <f t="shared" si="2"/>
        <v>6507.3811869774872</v>
      </c>
      <c r="AA24" s="66">
        <f t="shared" si="2"/>
        <v>6544.6653412752848</v>
      </c>
      <c r="AB24" s="66">
        <f t="shared" si="2"/>
        <v>6581.3589442153261</v>
      </c>
      <c r="AC24" s="66">
        <f t="shared" si="2"/>
        <v>6617.4442792568752</v>
      </c>
      <c r="AD24" s="66">
        <f t="shared" si="2"/>
        <v>6652.9030983629873</v>
      </c>
      <c r="AE24" s="66">
        <f t="shared" si="2"/>
        <v>6687.7166060555828</v>
      </c>
      <c r="AF24" s="66">
        <f t="shared" si="2"/>
        <v>6721.8654429922635</v>
      </c>
      <c r="AG24" s="66">
        <f t="shared" si="2"/>
        <v>1705.381037428951</v>
      </c>
    </row>
    <row r="25" spans="1:33">
      <c r="A25" s="44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</row>
    <row r="26" spans="1:33">
      <c r="A26" s="44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</row>
    <row r="27" spans="1:33">
      <c r="A27" s="13"/>
    </row>
    <row r="28" spans="1:33">
      <c r="Y28" s="12"/>
      <c r="Z28" s="12"/>
    </row>
    <row r="29" spans="1:33">
      <c r="Y29" s="12"/>
      <c r="Z29" s="12"/>
    </row>
    <row r="30" spans="1:33">
      <c r="Y30" s="12"/>
      <c r="Z30" s="12"/>
    </row>
    <row r="31" spans="1:33">
      <c r="Y31" s="12"/>
      <c r="Z31" s="12"/>
    </row>
    <row r="32" spans="1:33">
      <c r="Y32" s="12"/>
      <c r="Z32" s="12"/>
    </row>
    <row r="33" s="12" customFormat="1"/>
    <row r="34" s="12" customFormat="1"/>
    <row r="35" s="12" customFormat="1"/>
    <row r="36" s="12" customFormat="1"/>
    <row r="37" s="12" customFormat="1"/>
    <row r="38" s="12" customFormat="1"/>
    <row r="39" s="12" customFormat="1"/>
    <row r="40" s="12" customFormat="1"/>
    <row r="41" s="12" customFormat="1"/>
    <row r="42" s="12" customFormat="1"/>
    <row r="43" s="12" customFormat="1"/>
    <row r="44" s="12" customFormat="1"/>
    <row r="45" s="12" customFormat="1"/>
    <row r="46" s="73" customFormat="1"/>
    <row r="47" s="73" customFormat="1"/>
    <row r="48" s="73" customFormat="1"/>
    <row r="49" spans="1:26" s="73" customFormat="1"/>
    <row r="50" spans="1:26" s="73" customFormat="1"/>
    <row r="51" spans="1:26">
      <c r="Y51" s="12"/>
      <c r="Z51" s="12"/>
    </row>
    <row r="52" spans="1:26">
      <c r="Y52" s="12"/>
      <c r="Z52" s="12"/>
    </row>
    <row r="53" spans="1:26">
      <c r="Y53" s="12"/>
      <c r="Z53" s="12"/>
    </row>
    <row r="54" spans="1:26">
      <c r="Y54" s="12"/>
      <c r="Z54" s="12"/>
    </row>
    <row r="55" spans="1:26">
      <c r="Y55" s="12"/>
      <c r="Z55" s="12"/>
    </row>
    <row r="56" spans="1:26">
      <c r="Y56" s="12"/>
      <c r="Z56" s="12"/>
    </row>
    <row r="57" spans="1:26">
      <c r="Y57" s="12"/>
      <c r="Z57" s="12"/>
    </row>
    <row r="58" spans="1:26">
      <c r="Y58" s="12"/>
      <c r="Z58" s="12"/>
    </row>
    <row r="59" spans="1:26">
      <c r="Y59" s="12"/>
      <c r="Z59" s="12"/>
    </row>
    <row r="60" spans="1:26">
      <c r="A60" s="13"/>
    </row>
    <row r="61" spans="1:26">
      <c r="A61" s="13"/>
    </row>
    <row r="62" spans="1:26">
      <c r="A62" s="13"/>
    </row>
    <row r="63" spans="1:26">
      <c r="A63" s="13"/>
    </row>
    <row r="64" spans="1:26">
      <c r="A64" s="13"/>
    </row>
    <row r="65" spans="1:1">
      <c r="A65" s="13"/>
    </row>
  </sheetData>
  <pageMargins left="0.45" right="0.45" top="0.5" bottom="0.5" header="0.25" footer="0.25"/>
  <pageSetup scale="39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79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97" customWidth="1"/>
    <col min="28" max="34" width="13.28515625" customWidth="1"/>
  </cols>
  <sheetData>
    <row r="2" spans="1:60" ht="18.75">
      <c r="A2" s="96" t="str">
        <f>Assumptions!A3</f>
        <v>PROJECT NAME:</v>
      </c>
    </row>
    <row r="4" spans="1:60" ht="18.75">
      <c r="A4" s="67" t="s">
        <v>175</v>
      </c>
      <c r="B4" s="8"/>
      <c r="C4" s="8"/>
    </row>
    <row r="6" spans="1:60">
      <c r="C6" s="404">
        <v>0</v>
      </c>
      <c r="D6" s="259">
        <f>'Price Assumption'!D7</f>
        <v>0.66666666666666663</v>
      </c>
      <c r="E6" s="259">
        <f>'Price Assumption'!E7</f>
        <v>1.6666666666666665</v>
      </c>
      <c r="F6" s="259">
        <f>'Price Assumption'!F7</f>
        <v>2.6666666666666665</v>
      </c>
      <c r="G6" s="259">
        <f>'Price Assumption'!G7</f>
        <v>3.6666666666666665</v>
      </c>
      <c r="H6" s="259">
        <f>'Price Assumption'!H7</f>
        <v>4.6666666666666661</v>
      </c>
      <c r="I6" s="259">
        <f>'Price Assumption'!I7</f>
        <v>5.6666666666666661</v>
      </c>
      <c r="J6" s="259">
        <f>'Price Assumption'!J7</f>
        <v>6.6666666666666661</v>
      </c>
      <c r="K6" s="259">
        <f>'Price Assumption'!K7</f>
        <v>7.6666666666666661</v>
      </c>
      <c r="L6" s="259">
        <f>'Price Assumption'!L7</f>
        <v>8.6666666666666661</v>
      </c>
      <c r="M6" s="259">
        <f>'Price Assumption'!M7</f>
        <v>9.6666666666666661</v>
      </c>
      <c r="N6" s="259">
        <f>'Price Assumption'!N7</f>
        <v>10.666666666666666</v>
      </c>
      <c r="O6" s="259">
        <f>'Price Assumption'!O7</f>
        <v>11.666666666666666</v>
      </c>
      <c r="P6" s="259">
        <f>'Price Assumption'!P7</f>
        <v>12.666666666666666</v>
      </c>
      <c r="Q6" s="259">
        <f>'Price Assumption'!Q7</f>
        <v>13.666666666666666</v>
      </c>
      <c r="R6" s="259">
        <f>'Price Assumption'!R7</f>
        <v>14.666666666666666</v>
      </c>
      <c r="S6" s="259">
        <f>'Price Assumption'!S7</f>
        <v>15.666666666666666</v>
      </c>
      <c r="T6" s="259">
        <f>'Price Assumption'!T7</f>
        <v>16.666666666666664</v>
      </c>
      <c r="U6" s="259">
        <f>'Price Assumption'!U7</f>
        <v>17.666666666666664</v>
      </c>
      <c r="V6" s="259">
        <f>'Price Assumption'!V7</f>
        <v>18.666666666666664</v>
      </c>
      <c r="W6" s="259">
        <f>'Price Assumption'!W7</f>
        <v>19.666666666666664</v>
      </c>
      <c r="X6" s="259">
        <f>'Price Assumption'!X7</f>
        <v>20.666666666666664</v>
      </c>
      <c r="Y6" s="259">
        <f>'Price Assumption'!Y7</f>
        <v>21.666666666666664</v>
      </c>
      <c r="Z6" s="259">
        <f>'Price Assumption'!Z7</f>
        <v>22.666666666666664</v>
      </c>
      <c r="AA6" s="259">
        <f>'Price Assumption'!AA7</f>
        <v>23.666666666666664</v>
      </c>
      <c r="AB6" s="259">
        <f>'Price Assumption'!AB7</f>
        <v>24.666666666666664</v>
      </c>
      <c r="AC6" s="259">
        <f>'Price Assumption'!AC7</f>
        <v>25.666666666666664</v>
      </c>
      <c r="AD6" s="259">
        <f>'Price Assumption'!AD7</f>
        <v>26.666666666666664</v>
      </c>
      <c r="AE6" s="259">
        <f>'Price Assumption'!AE7</f>
        <v>27.666666666666664</v>
      </c>
      <c r="AF6" s="259">
        <f>'Price Assumption'!AF7</f>
        <v>28.666666666666664</v>
      </c>
      <c r="AG6" s="259">
        <f>'Price Assumption'!AG7</f>
        <v>29.666666666666664</v>
      </c>
      <c r="AH6" s="259">
        <f>'Price Assumption'!AH7</f>
        <v>30.666666666666664</v>
      </c>
    </row>
    <row r="7" spans="1:60" s="6" customFormat="1" ht="13.5" thickBot="1">
      <c r="A7" s="135" t="s">
        <v>41</v>
      </c>
      <c r="B7" s="7"/>
      <c r="C7" s="405" t="s">
        <v>325</v>
      </c>
      <c r="D7" s="7">
        <f>'Price Assumption'!D8</f>
        <v>2001</v>
      </c>
      <c r="E7" s="7">
        <f>'Price Assumption'!E8</f>
        <v>2002</v>
      </c>
      <c r="F7" s="7">
        <f>'Price Assumption'!F8</f>
        <v>2003</v>
      </c>
      <c r="G7" s="7">
        <f>'Price Assumption'!G8</f>
        <v>2004</v>
      </c>
      <c r="H7" s="7">
        <f>'Price Assumption'!H8</f>
        <v>2005</v>
      </c>
      <c r="I7" s="7">
        <f>'Price Assumption'!I8</f>
        <v>2006</v>
      </c>
      <c r="J7" s="7">
        <f>'Price Assumption'!J8</f>
        <v>2007</v>
      </c>
      <c r="K7" s="7">
        <f>'Price Assumption'!K8</f>
        <v>2008</v>
      </c>
      <c r="L7" s="7">
        <f>'Price Assumption'!L8</f>
        <v>2009</v>
      </c>
      <c r="M7" s="7">
        <f>'Price Assumption'!M8</f>
        <v>2010</v>
      </c>
      <c r="N7" s="7">
        <f>'Price Assumption'!N8</f>
        <v>2011</v>
      </c>
      <c r="O7" s="7">
        <f>'Price Assumption'!O8</f>
        <v>2012</v>
      </c>
      <c r="P7" s="7">
        <f>'Price Assumption'!P8</f>
        <v>2013</v>
      </c>
      <c r="Q7" s="7">
        <f>'Price Assumption'!Q8</f>
        <v>2014</v>
      </c>
      <c r="R7" s="7">
        <f>'Price Assumption'!R8</f>
        <v>2015</v>
      </c>
      <c r="S7" s="7">
        <f>'Price Assumption'!S8</f>
        <v>2016</v>
      </c>
      <c r="T7" s="7">
        <f>'Price Assumption'!T8</f>
        <v>2017</v>
      </c>
      <c r="U7" s="7">
        <f>'Price Assumption'!U8</f>
        <v>2018</v>
      </c>
      <c r="V7" s="7">
        <f>'Price Assumption'!V8</f>
        <v>2019</v>
      </c>
      <c r="W7" s="7">
        <f>'Price Assumption'!W8</f>
        <v>2020</v>
      </c>
      <c r="X7" s="7">
        <f>'Price Assumption'!X8</f>
        <v>2021</v>
      </c>
      <c r="Y7" s="7">
        <f>'Price Assumption'!Y8</f>
        <v>2022</v>
      </c>
      <c r="Z7" s="7">
        <f>'Price Assumption'!Z8</f>
        <v>2023</v>
      </c>
      <c r="AA7" s="7">
        <f>'Price Assumption'!AA8</f>
        <v>2024</v>
      </c>
      <c r="AB7" s="7">
        <f>'Price Assumption'!AB8</f>
        <v>2025</v>
      </c>
      <c r="AC7" s="7">
        <f>'Price Assumption'!AC8</f>
        <v>2026</v>
      </c>
      <c r="AD7" s="7">
        <f>'Price Assumption'!AD8</f>
        <v>2027</v>
      </c>
      <c r="AE7" s="7">
        <f>'Price Assumption'!AE8</f>
        <v>2028</v>
      </c>
      <c r="AF7" s="7">
        <f>'Price Assumption'!AF8</f>
        <v>2029</v>
      </c>
      <c r="AG7" s="7">
        <f>'Price Assumption'!AG8</f>
        <v>2030</v>
      </c>
      <c r="AH7" s="7">
        <f>'Price Assumption'!AH8</f>
        <v>2031</v>
      </c>
    </row>
    <row r="8" spans="1:60">
      <c r="A8" s="2"/>
      <c r="C8" s="406"/>
      <c r="D8" s="261">
        <f>Assumptions!H16+365.25*Assumptions!H17/12</f>
        <v>37255.5</v>
      </c>
      <c r="E8" s="261">
        <f t="shared" ref="E8:AH8" si="0">D8+365.25</f>
        <v>37620.75</v>
      </c>
      <c r="F8" s="261">
        <f t="shared" si="0"/>
        <v>37986</v>
      </c>
      <c r="G8" s="261">
        <f t="shared" si="0"/>
        <v>38351.25</v>
      </c>
      <c r="H8" s="261">
        <f t="shared" si="0"/>
        <v>38716.5</v>
      </c>
      <c r="I8" s="261">
        <f t="shared" si="0"/>
        <v>39081.75</v>
      </c>
      <c r="J8" s="261">
        <f t="shared" si="0"/>
        <v>39447</v>
      </c>
      <c r="K8" s="261">
        <f t="shared" si="0"/>
        <v>39812.25</v>
      </c>
      <c r="L8" s="261">
        <f t="shared" si="0"/>
        <v>40177.5</v>
      </c>
      <c r="M8" s="261">
        <f t="shared" si="0"/>
        <v>40542.75</v>
      </c>
      <c r="N8" s="261">
        <f t="shared" si="0"/>
        <v>40908</v>
      </c>
      <c r="O8" s="261">
        <f t="shared" si="0"/>
        <v>41273.25</v>
      </c>
      <c r="P8" s="261">
        <f t="shared" si="0"/>
        <v>41638.5</v>
      </c>
      <c r="Q8" s="261">
        <f t="shared" si="0"/>
        <v>42003.75</v>
      </c>
      <c r="R8" s="261">
        <f t="shared" si="0"/>
        <v>42369</v>
      </c>
      <c r="S8" s="261">
        <f t="shared" si="0"/>
        <v>42734.25</v>
      </c>
      <c r="T8" s="261">
        <f t="shared" si="0"/>
        <v>43099.5</v>
      </c>
      <c r="U8" s="261">
        <f t="shared" si="0"/>
        <v>43464.75</v>
      </c>
      <c r="V8" s="261">
        <f t="shared" si="0"/>
        <v>43830</v>
      </c>
      <c r="W8" s="261">
        <f t="shared" si="0"/>
        <v>44195.25</v>
      </c>
      <c r="X8" s="261">
        <f t="shared" si="0"/>
        <v>44560.5</v>
      </c>
      <c r="Y8" s="261">
        <f t="shared" si="0"/>
        <v>44925.75</v>
      </c>
      <c r="Z8" s="261">
        <f t="shared" si="0"/>
        <v>45291</v>
      </c>
      <c r="AA8" s="261">
        <f t="shared" si="0"/>
        <v>45656.25</v>
      </c>
      <c r="AB8" s="261">
        <f t="shared" si="0"/>
        <v>46021.5</v>
      </c>
      <c r="AC8" s="261">
        <f t="shared" si="0"/>
        <v>46386.75</v>
      </c>
      <c r="AD8" s="261">
        <f t="shared" si="0"/>
        <v>46752</v>
      </c>
      <c r="AE8" s="261">
        <f t="shared" si="0"/>
        <v>47117.25</v>
      </c>
      <c r="AF8" s="261">
        <f t="shared" si="0"/>
        <v>47482.5</v>
      </c>
      <c r="AG8" s="261">
        <f t="shared" si="0"/>
        <v>47847.75</v>
      </c>
      <c r="AH8" s="261">
        <f t="shared" si="0"/>
        <v>48213</v>
      </c>
    </row>
    <row r="9" spans="1:60">
      <c r="A9" s="1" t="s">
        <v>176</v>
      </c>
      <c r="B9" s="12"/>
      <c r="C9" s="407"/>
      <c r="D9" s="73"/>
      <c r="E9" s="73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</row>
    <row r="10" spans="1:60">
      <c r="A10" s="1"/>
      <c r="B10" s="12"/>
      <c r="C10" s="407"/>
      <c r="D10" s="73"/>
      <c r="E10" s="73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</row>
    <row r="11" spans="1:60">
      <c r="A11" s="24" t="s">
        <v>177</v>
      </c>
      <c r="B11" s="12"/>
      <c r="C11" s="40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97"/>
      <c r="AJ11" s="397"/>
      <c r="AK11" s="397"/>
      <c r="AL11" s="397"/>
      <c r="AM11" s="397"/>
      <c r="AN11" s="397"/>
      <c r="AO11" s="397"/>
      <c r="AP11" s="397"/>
      <c r="AQ11" s="397"/>
      <c r="AR11" s="397"/>
      <c r="AS11" s="397"/>
      <c r="AT11" s="397"/>
      <c r="AU11" s="397"/>
      <c r="AV11" s="397"/>
      <c r="AW11" s="397"/>
      <c r="AX11" s="397"/>
      <c r="AY11" s="397"/>
      <c r="AZ11" s="397"/>
      <c r="BA11" s="397"/>
      <c r="BB11" s="397"/>
      <c r="BC11" s="397"/>
      <c r="BD11" s="397"/>
      <c r="BE11" s="397"/>
      <c r="BF11" s="397"/>
      <c r="BG11" s="397"/>
      <c r="BH11" s="397"/>
    </row>
    <row r="12" spans="1:60">
      <c r="A12" s="24" t="s">
        <v>178</v>
      </c>
      <c r="B12" s="12"/>
      <c r="C12" s="40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97"/>
      <c r="AJ12" s="397"/>
      <c r="AK12" s="397"/>
      <c r="AL12" s="397"/>
      <c r="AM12" s="397"/>
      <c r="AN12" s="397"/>
      <c r="AO12" s="397"/>
      <c r="AP12" s="397"/>
      <c r="AQ12" s="397"/>
      <c r="AR12" s="397"/>
      <c r="AS12" s="397"/>
      <c r="AT12" s="397"/>
      <c r="AU12" s="397"/>
      <c r="AV12" s="397"/>
      <c r="AW12" s="397"/>
      <c r="AX12" s="397"/>
      <c r="AY12" s="397"/>
      <c r="AZ12" s="397"/>
      <c r="BA12" s="397"/>
      <c r="BB12" s="397"/>
      <c r="BC12" s="397"/>
      <c r="BD12" s="397"/>
      <c r="BE12" s="397"/>
      <c r="BF12" s="397"/>
      <c r="BG12" s="397"/>
      <c r="BH12" s="397"/>
    </row>
    <row r="13" spans="1:60">
      <c r="A13" s="24" t="s">
        <v>179</v>
      </c>
      <c r="B13" s="12"/>
      <c r="C13" s="40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97"/>
      <c r="AJ13" s="397"/>
      <c r="AK13" s="397"/>
      <c r="AL13" s="397"/>
      <c r="AM13" s="397"/>
      <c r="AN13" s="397"/>
      <c r="AO13" s="397"/>
      <c r="AP13" s="397"/>
      <c r="AQ13" s="397"/>
      <c r="AR13" s="397"/>
      <c r="AS13" s="397"/>
      <c r="AT13" s="397"/>
      <c r="AU13" s="397"/>
      <c r="AV13" s="397"/>
      <c r="AW13" s="397"/>
      <c r="AX13" s="397"/>
      <c r="AY13" s="397"/>
      <c r="AZ13" s="397"/>
      <c r="BA13" s="397"/>
      <c r="BB13" s="397"/>
      <c r="BC13" s="397"/>
      <c r="BD13" s="397"/>
      <c r="BE13" s="397"/>
      <c r="BF13" s="397"/>
      <c r="BG13" s="397"/>
      <c r="BH13" s="397"/>
    </row>
    <row r="14" spans="1:60">
      <c r="A14" s="24" t="s">
        <v>180</v>
      </c>
      <c r="B14" s="12"/>
      <c r="C14" s="40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97"/>
      <c r="AJ14" s="397"/>
      <c r="AK14" s="397"/>
      <c r="AL14" s="397"/>
      <c r="AM14" s="397"/>
      <c r="AN14" s="397"/>
      <c r="AO14" s="397"/>
      <c r="AP14" s="397"/>
      <c r="AQ14" s="397"/>
      <c r="AR14" s="397"/>
      <c r="AS14" s="397"/>
      <c r="AT14" s="397"/>
      <c r="AU14" s="397"/>
      <c r="AV14" s="397"/>
      <c r="AW14" s="397"/>
      <c r="AX14" s="397"/>
      <c r="AY14" s="397"/>
      <c r="AZ14" s="397"/>
      <c r="BA14" s="397"/>
      <c r="BB14" s="397"/>
      <c r="BC14" s="397"/>
      <c r="BD14" s="397"/>
      <c r="BE14" s="397"/>
      <c r="BF14" s="397"/>
      <c r="BG14" s="397"/>
      <c r="BH14" s="397"/>
    </row>
    <row r="15" spans="1:60">
      <c r="A15" s="396" t="s">
        <v>181</v>
      </c>
      <c r="B15" s="64"/>
      <c r="C15" s="409">
        <v>0</v>
      </c>
      <c r="D15" s="396">
        <v>0</v>
      </c>
      <c r="E15" s="396">
        <v>0</v>
      </c>
      <c r="F15" s="396">
        <v>0</v>
      </c>
      <c r="G15" s="396">
        <v>0</v>
      </c>
      <c r="H15" s="396">
        <v>0</v>
      </c>
      <c r="I15" s="396">
        <v>0</v>
      </c>
      <c r="J15" s="396">
        <v>0</v>
      </c>
      <c r="K15" s="396">
        <v>0</v>
      </c>
      <c r="L15" s="396">
        <v>0</v>
      </c>
      <c r="M15" s="396">
        <v>0</v>
      </c>
      <c r="N15" s="396">
        <v>0</v>
      </c>
      <c r="O15" s="396">
        <v>0</v>
      </c>
      <c r="P15" s="396">
        <v>0</v>
      </c>
      <c r="Q15" s="396">
        <v>0</v>
      </c>
      <c r="R15" s="396">
        <v>0</v>
      </c>
      <c r="S15" s="396">
        <v>0</v>
      </c>
      <c r="T15" s="396">
        <v>0</v>
      </c>
      <c r="U15" s="396">
        <v>0</v>
      </c>
      <c r="V15" s="396">
        <v>0</v>
      </c>
      <c r="W15" s="396">
        <v>0</v>
      </c>
      <c r="X15" s="396">
        <v>0</v>
      </c>
      <c r="Y15" s="396">
        <v>0</v>
      </c>
      <c r="Z15" s="396">
        <v>0</v>
      </c>
      <c r="AA15" s="396">
        <v>0</v>
      </c>
      <c r="AB15" s="396">
        <v>0</v>
      </c>
      <c r="AC15" s="396">
        <v>0</v>
      </c>
      <c r="AD15" s="396">
        <v>0</v>
      </c>
      <c r="AE15" s="396">
        <v>0</v>
      </c>
      <c r="AF15" s="396">
        <v>0</v>
      </c>
      <c r="AG15" s="396">
        <v>0</v>
      </c>
      <c r="AH15" s="396">
        <v>0</v>
      </c>
      <c r="AI15" s="397"/>
      <c r="AJ15" s="397"/>
      <c r="AK15" s="397"/>
      <c r="AL15" s="397"/>
      <c r="AM15" s="397"/>
      <c r="AN15" s="397"/>
      <c r="AO15" s="397"/>
      <c r="AP15" s="397"/>
      <c r="AQ15" s="397"/>
      <c r="AR15" s="397"/>
      <c r="AS15" s="397"/>
      <c r="AT15" s="397"/>
      <c r="AU15" s="397"/>
      <c r="AV15" s="397"/>
      <c r="AW15" s="397"/>
      <c r="AX15" s="397"/>
      <c r="AY15" s="397"/>
      <c r="AZ15" s="397"/>
      <c r="BA15" s="397"/>
      <c r="BB15" s="397"/>
      <c r="BC15" s="397"/>
      <c r="BD15" s="397"/>
      <c r="BE15" s="397"/>
      <c r="BF15" s="397"/>
      <c r="BG15" s="397"/>
      <c r="BH15" s="397"/>
    </row>
    <row r="16" spans="1:60">
      <c r="A16" s="24" t="s">
        <v>182</v>
      </c>
      <c r="B16" s="12"/>
      <c r="C16" s="40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97"/>
      <c r="AJ16" s="397"/>
      <c r="AK16" s="397"/>
      <c r="AL16" s="397"/>
      <c r="AM16" s="397"/>
      <c r="AN16" s="397"/>
      <c r="AO16" s="397"/>
      <c r="AP16" s="397"/>
      <c r="AQ16" s="397"/>
      <c r="AR16" s="397"/>
      <c r="AS16" s="397"/>
      <c r="AT16" s="397"/>
      <c r="AU16" s="397"/>
      <c r="AV16" s="397"/>
      <c r="AW16" s="397"/>
      <c r="AX16" s="397"/>
      <c r="AY16" s="397"/>
      <c r="AZ16" s="397"/>
      <c r="BA16" s="397"/>
      <c r="BB16" s="397"/>
      <c r="BC16" s="397"/>
      <c r="BD16" s="397"/>
      <c r="BE16" s="397"/>
      <c r="BF16" s="397"/>
      <c r="BG16" s="397"/>
      <c r="BH16" s="397"/>
    </row>
    <row r="17" spans="1:60">
      <c r="A17" s="13"/>
      <c r="B17" s="12"/>
      <c r="C17" s="408"/>
      <c r="D17" s="18"/>
      <c r="E17" s="18"/>
      <c r="F17" s="397"/>
      <c r="G17" s="397"/>
      <c r="H17" s="397"/>
      <c r="I17" s="397"/>
      <c r="J17" s="397"/>
      <c r="K17" s="397"/>
      <c r="L17" s="397"/>
      <c r="M17" s="397"/>
      <c r="N17" s="397"/>
      <c r="O17" s="397"/>
      <c r="P17" s="397"/>
      <c r="Q17" s="397"/>
      <c r="R17" s="397"/>
      <c r="S17" s="397"/>
      <c r="T17" s="397"/>
      <c r="U17" s="397"/>
      <c r="V17" s="397"/>
      <c r="W17" s="397"/>
      <c r="X17" s="397"/>
      <c r="Y17" s="397"/>
      <c r="Z17" s="172"/>
      <c r="AA17" s="172"/>
      <c r="AB17" s="397"/>
      <c r="AC17" s="397"/>
      <c r="AD17" s="397"/>
      <c r="AE17" s="397"/>
      <c r="AF17" s="397"/>
      <c r="AG17" s="397"/>
      <c r="AH17" s="397"/>
      <c r="AI17" s="397"/>
      <c r="AJ17" s="397"/>
      <c r="AK17" s="397"/>
      <c r="AL17" s="397"/>
      <c r="AM17" s="397"/>
      <c r="AN17" s="397"/>
      <c r="AO17" s="397"/>
      <c r="AP17" s="397"/>
      <c r="AQ17" s="397"/>
      <c r="AR17" s="397"/>
      <c r="AS17" s="397"/>
      <c r="AT17" s="397"/>
      <c r="AU17" s="397"/>
      <c r="AV17" s="397"/>
      <c r="AW17" s="397"/>
      <c r="AX17" s="397"/>
      <c r="AY17" s="397"/>
      <c r="AZ17" s="397"/>
      <c r="BA17" s="397"/>
      <c r="BB17" s="397"/>
      <c r="BC17" s="397"/>
      <c r="BD17" s="397"/>
      <c r="BE17" s="397"/>
      <c r="BF17" s="397"/>
      <c r="BG17" s="397"/>
      <c r="BH17" s="397"/>
    </row>
    <row r="18" spans="1:60">
      <c r="A18" s="24" t="s">
        <v>183</v>
      </c>
      <c r="B18" s="12"/>
      <c r="C18" s="408">
        <f>Assumptions!C58</f>
        <v>79110.214734742767</v>
      </c>
      <c r="D18" s="18">
        <f>Depreciation!$B$48</f>
        <v>79110.214734742767</v>
      </c>
      <c r="E18" s="18">
        <f>Depreciation!$B$48</f>
        <v>79110.214734742767</v>
      </c>
      <c r="F18" s="18">
        <f>Depreciation!$B$48</f>
        <v>79110.214734742767</v>
      </c>
      <c r="G18" s="18">
        <f>Depreciation!$B$48</f>
        <v>79110.214734742767</v>
      </c>
      <c r="H18" s="18">
        <f>Depreciation!$B$48</f>
        <v>79110.214734742767</v>
      </c>
      <c r="I18" s="18">
        <f>Depreciation!$B$48</f>
        <v>79110.214734742767</v>
      </c>
      <c r="J18" s="18">
        <f>Depreciation!$B$48</f>
        <v>79110.214734742767</v>
      </c>
      <c r="K18" s="18">
        <f>Depreciation!$B$48</f>
        <v>79110.214734742767</v>
      </c>
      <c r="L18" s="18">
        <f>Depreciation!$B$48</f>
        <v>79110.214734742767</v>
      </c>
      <c r="M18" s="18">
        <f>Depreciation!$B$48</f>
        <v>79110.214734742767</v>
      </c>
      <c r="N18" s="18">
        <f>Depreciation!$B$48</f>
        <v>79110.214734742767</v>
      </c>
      <c r="O18" s="18">
        <f>Depreciation!$B$48</f>
        <v>79110.214734742767</v>
      </c>
      <c r="P18" s="18">
        <f>Depreciation!$B$48</f>
        <v>79110.214734742767</v>
      </c>
      <c r="Q18" s="18">
        <f>Depreciation!$B$48</f>
        <v>79110.214734742767</v>
      </c>
      <c r="R18" s="18">
        <f>Depreciation!$B$48</f>
        <v>79110.214734742767</v>
      </c>
      <c r="S18" s="18">
        <f>Depreciation!$B$48</f>
        <v>79110.214734742767</v>
      </c>
      <c r="T18" s="18">
        <f>Depreciation!$B$48</f>
        <v>79110.214734742767</v>
      </c>
      <c r="U18" s="18">
        <f>Depreciation!$B$48</f>
        <v>79110.214734742767</v>
      </c>
      <c r="V18" s="18">
        <f>Depreciation!$B$48</f>
        <v>79110.214734742767</v>
      </c>
      <c r="W18" s="18">
        <f>Depreciation!$B$48</f>
        <v>79110.214734742767</v>
      </c>
      <c r="X18" s="18">
        <f>Depreciation!$B$48</f>
        <v>79110.214734742767</v>
      </c>
      <c r="Y18" s="18">
        <f>Depreciation!$B$48</f>
        <v>79110.214734742767</v>
      </c>
      <c r="Z18" s="18">
        <f>Depreciation!$B$48</f>
        <v>79110.214734742767</v>
      </c>
      <c r="AA18" s="18">
        <f>Depreciation!$B$48</f>
        <v>79110.214734742767</v>
      </c>
      <c r="AB18" s="18">
        <f>Depreciation!$B$48</f>
        <v>79110.214734742767</v>
      </c>
      <c r="AC18" s="18">
        <f>Depreciation!$B$48</f>
        <v>79110.214734742767</v>
      </c>
      <c r="AD18" s="18">
        <f>Depreciation!$B$48</f>
        <v>79110.214734742767</v>
      </c>
      <c r="AE18" s="18">
        <f>Depreciation!$B$48</f>
        <v>79110.214734742767</v>
      </c>
      <c r="AF18" s="18">
        <f>Depreciation!$B$48</f>
        <v>79110.214734742767</v>
      </c>
      <c r="AG18" s="18">
        <f>Depreciation!$B$48</f>
        <v>79110.214734742767</v>
      </c>
      <c r="AH18" s="18">
        <f>Depreciation!$B$48</f>
        <v>79110.214734742767</v>
      </c>
      <c r="AI18" s="397"/>
      <c r="AJ18" s="397"/>
      <c r="AK18" s="397"/>
      <c r="AL18" s="397"/>
      <c r="AM18" s="397"/>
      <c r="AN18" s="397"/>
      <c r="AO18" s="397"/>
      <c r="AP18" s="397"/>
      <c r="AQ18" s="397"/>
      <c r="AR18" s="397"/>
      <c r="AS18" s="397"/>
      <c r="AT18" s="397"/>
      <c r="AU18" s="397"/>
      <c r="AV18" s="397"/>
      <c r="AW18" s="397"/>
      <c r="AX18" s="397"/>
      <c r="AY18" s="397"/>
      <c r="AZ18" s="397"/>
      <c r="BA18" s="397"/>
      <c r="BB18" s="397"/>
      <c r="BC18" s="397"/>
      <c r="BD18" s="397"/>
      <c r="BE18" s="397"/>
      <c r="BF18" s="397"/>
      <c r="BG18" s="397"/>
      <c r="BH18" s="397"/>
    </row>
    <row r="19" spans="1:60">
      <c r="A19" s="24" t="s">
        <v>184</v>
      </c>
      <c r="B19" s="13"/>
      <c r="C19" s="410">
        <v>0</v>
      </c>
      <c r="D19" s="398">
        <f>SUM(Depreciation!$D$48:D48)</f>
        <v>1965.2800280281883</v>
      </c>
      <c r="E19" s="398">
        <f>SUM(Depreciation!$D$48:E48)</f>
        <v>4913.2000700704712</v>
      </c>
      <c r="F19" s="398">
        <f>SUM(Depreciation!$D$48:F48)</f>
        <v>7861.1201121127542</v>
      </c>
      <c r="G19" s="398">
        <f>SUM(Depreciation!$D$48:G48)</f>
        <v>10809.040154155038</v>
      </c>
      <c r="H19" s="398">
        <f>SUM(Depreciation!$D$48:H48)</f>
        <v>13756.96019619732</v>
      </c>
      <c r="I19" s="398">
        <f>SUM(Depreciation!$D$48:I48)</f>
        <v>16254.202904906269</v>
      </c>
      <c r="J19" s="398">
        <f>SUM(Depreciation!$D$48:J48)</f>
        <v>18526.106946948552</v>
      </c>
      <c r="K19" s="398">
        <f>SUM(Depreciation!$D$48:K48)</f>
        <v>20798.010988990834</v>
      </c>
      <c r="L19" s="398">
        <f>SUM(Depreciation!$D$48:L48)</f>
        <v>23069.915031033117</v>
      </c>
      <c r="M19" s="398">
        <f>SUM(Depreciation!$D$48:M48)</f>
        <v>25341.8190730754</v>
      </c>
      <c r="N19" s="398">
        <f>SUM(Depreciation!$D$48:N48)</f>
        <v>27613.723115117682</v>
      </c>
      <c r="O19" s="398">
        <f>SUM(Depreciation!$D$48:O48)</f>
        <v>29885.627157159965</v>
      </c>
      <c r="P19" s="398">
        <f>SUM(Depreciation!$D$48:P48)</f>
        <v>32157.531199202247</v>
      </c>
      <c r="Q19" s="398">
        <f>SUM(Depreciation!$D$48:Q48)</f>
        <v>34429.43524124453</v>
      </c>
      <c r="R19" s="398">
        <f>SUM(Depreciation!$D$48:R48)</f>
        <v>36701.339283286812</v>
      </c>
      <c r="S19" s="398">
        <f>SUM(Depreciation!$D$48:S48)</f>
        <v>38973.243325329095</v>
      </c>
      <c r="T19" s="398">
        <f>SUM(Depreciation!$D$48:T48)</f>
        <v>41245.147367371377</v>
      </c>
      <c r="U19" s="398">
        <f>SUM(Depreciation!$D$48:U48)</f>
        <v>43517.05140941366</v>
      </c>
      <c r="V19" s="398">
        <f>SUM(Depreciation!$D$48:V48)</f>
        <v>45788.955451455942</v>
      </c>
      <c r="W19" s="398">
        <f>SUM(Depreciation!$D$48:W48)</f>
        <v>48060.859493498225</v>
      </c>
      <c r="X19" s="398">
        <f>SUM(Depreciation!$D$48:X48)</f>
        <v>50332.763535540507</v>
      </c>
      <c r="Y19" s="398">
        <f>SUM(Depreciation!$D$48:Y48)</f>
        <v>52604.66757758279</v>
      </c>
      <c r="Z19" s="398">
        <f>SUM(Depreciation!$D$48:Z48)</f>
        <v>54876.571619625072</v>
      </c>
      <c r="AA19" s="398">
        <f>SUM(Depreciation!$D$48:AA48)</f>
        <v>57148.475661667355</v>
      </c>
      <c r="AB19" s="398">
        <f>SUM(Depreciation!$D$48:AB48)</f>
        <v>59420.379703709637</v>
      </c>
      <c r="AC19" s="398">
        <f>SUM(Depreciation!$D$48:AC48)</f>
        <v>61692.28374575192</v>
      </c>
      <c r="AD19" s="398">
        <f>SUM(Depreciation!$D$48:AD48)</f>
        <v>63964.187787794202</v>
      </c>
      <c r="AE19" s="398">
        <f>SUM(Depreciation!$D$48:AE48)</f>
        <v>66236.091829836485</v>
      </c>
      <c r="AF19" s="398">
        <f>SUM(Depreciation!$D$48:AF48)</f>
        <v>68507.995871878768</v>
      </c>
      <c r="AG19" s="398">
        <f>SUM(Depreciation!$D$48:AG48)</f>
        <v>70779.89991392105</v>
      </c>
      <c r="AH19" s="398">
        <f>SUM(Depreciation!$D$48:AH48)</f>
        <v>71537.201261268478</v>
      </c>
      <c r="AI19" s="397"/>
      <c r="AJ19" s="397"/>
      <c r="AK19" s="397"/>
      <c r="AL19" s="397"/>
      <c r="AM19" s="397"/>
      <c r="AN19" s="397"/>
      <c r="AO19" s="397"/>
      <c r="AP19" s="397"/>
      <c r="AQ19" s="397"/>
      <c r="AR19" s="397"/>
      <c r="AS19" s="397"/>
      <c r="AT19" s="397"/>
      <c r="AU19" s="397"/>
      <c r="AV19" s="397"/>
      <c r="AW19" s="397"/>
      <c r="AX19" s="397"/>
      <c r="AY19" s="397"/>
      <c r="AZ19" s="397"/>
      <c r="BA19" s="397"/>
      <c r="BB19" s="397"/>
      <c r="BC19" s="397"/>
      <c r="BD19" s="397"/>
      <c r="BE19" s="397"/>
      <c r="BF19" s="397"/>
      <c r="BG19" s="397"/>
      <c r="BH19" s="397"/>
    </row>
    <row r="20" spans="1:60">
      <c r="A20" s="24" t="s">
        <v>185</v>
      </c>
      <c r="B20" s="13"/>
      <c r="C20" s="411">
        <f>C18-C19</f>
        <v>79110.214734742767</v>
      </c>
      <c r="D20" s="24">
        <f>D18-D19</f>
        <v>77144.934706714572</v>
      </c>
      <c r="E20" s="24">
        <f t="shared" ref="E20:AH20" si="2">E18-E19</f>
        <v>74197.014664672301</v>
      </c>
      <c r="F20" s="24">
        <f t="shared" si="2"/>
        <v>71249.094622630015</v>
      </c>
      <c r="G20" s="24">
        <f t="shared" si="2"/>
        <v>68301.174580587729</v>
      </c>
      <c r="H20" s="24">
        <f t="shared" si="2"/>
        <v>65353.254538545443</v>
      </c>
      <c r="I20" s="24">
        <f t="shared" si="2"/>
        <v>62856.011829836498</v>
      </c>
      <c r="J20" s="24">
        <f t="shared" si="2"/>
        <v>60584.107787794215</v>
      </c>
      <c r="K20" s="24">
        <f t="shared" si="2"/>
        <v>58312.203745751933</v>
      </c>
      <c r="L20" s="24">
        <f t="shared" si="2"/>
        <v>56040.29970370965</v>
      </c>
      <c r="M20" s="24">
        <f t="shared" si="2"/>
        <v>53768.395661667368</v>
      </c>
      <c r="N20" s="24">
        <f t="shared" si="2"/>
        <v>51496.491619625085</v>
      </c>
      <c r="O20" s="24">
        <f t="shared" si="2"/>
        <v>49224.587577582803</v>
      </c>
      <c r="P20" s="24">
        <f t="shared" si="2"/>
        <v>46952.68353554052</v>
      </c>
      <c r="Q20" s="24">
        <f t="shared" si="2"/>
        <v>44680.779493498238</v>
      </c>
      <c r="R20" s="24">
        <f t="shared" si="2"/>
        <v>42408.875451455955</v>
      </c>
      <c r="S20" s="24">
        <f t="shared" si="2"/>
        <v>40136.971409413673</v>
      </c>
      <c r="T20" s="24">
        <f t="shared" si="2"/>
        <v>37865.06736737139</v>
      </c>
      <c r="U20" s="24">
        <f t="shared" si="2"/>
        <v>35593.163325329107</v>
      </c>
      <c r="V20" s="24">
        <f t="shared" si="2"/>
        <v>33321.259283286825</v>
      </c>
      <c r="W20" s="24">
        <f t="shared" si="2"/>
        <v>31049.355241244542</v>
      </c>
      <c r="X20" s="24">
        <f t="shared" si="2"/>
        <v>28777.45119920226</v>
      </c>
      <c r="Y20" s="24">
        <f t="shared" si="2"/>
        <v>26505.547157159977</v>
      </c>
      <c r="Z20" s="24">
        <f t="shared" si="2"/>
        <v>24233.643115117695</v>
      </c>
      <c r="AA20" s="24">
        <f t="shared" si="2"/>
        <v>21961.739073075412</v>
      </c>
      <c r="AB20" s="24">
        <f t="shared" si="2"/>
        <v>19689.83503103313</v>
      </c>
      <c r="AC20" s="24">
        <f t="shared" si="2"/>
        <v>17417.930988990847</v>
      </c>
      <c r="AD20" s="24">
        <f t="shared" si="2"/>
        <v>15146.026946948565</v>
      </c>
      <c r="AE20" s="24">
        <f t="shared" si="2"/>
        <v>12874.122904906282</v>
      </c>
      <c r="AF20" s="24">
        <f t="shared" si="2"/>
        <v>10602.218862864</v>
      </c>
      <c r="AG20" s="24">
        <f t="shared" si="2"/>
        <v>8330.3148208217171</v>
      </c>
      <c r="AH20" s="24">
        <f t="shared" si="2"/>
        <v>7573.0134734742896</v>
      </c>
      <c r="AI20" s="397"/>
      <c r="AJ20" s="397"/>
      <c r="AK20" s="397"/>
      <c r="AL20" s="397"/>
      <c r="AM20" s="397"/>
      <c r="AN20" s="397"/>
      <c r="AO20" s="397"/>
      <c r="AP20" s="397"/>
      <c r="AQ20" s="397"/>
      <c r="AR20" s="397"/>
      <c r="AS20" s="397"/>
      <c r="AT20" s="397"/>
      <c r="AU20" s="397"/>
      <c r="AV20" s="397"/>
      <c r="AW20" s="397"/>
      <c r="AX20" s="397"/>
      <c r="AY20" s="397"/>
      <c r="AZ20" s="397"/>
      <c r="BA20" s="397"/>
      <c r="BB20" s="397"/>
      <c r="BC20" s="397"/>
      <c r="BD20" s="397"/>
      <c r="BE20" s="397"/>
      <c r="BF20" s="397"/>
      <c r="BG20" s="397"/>
      <c r="BH20" s="397"/>
    </row>
    <row r="21" spans="1:60">
      <c r="A21" s="24"/>
      <c r="B21" s="13"/>
      <c r="C21" s="411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397"/>
      <c r="AJ21" s="397"/>
      <c r="AK21" s="397"/>
      <c r="AL21" s="397"/>
      <c r="AM21" s="397"/>
      <c r="AN21" s="397"/>
      <c r="AO21" s="397"/>
      <c r="AP21" s="397"/>
      <c r="AQ21" s="397"/>
      <c r="AR21" s="397"/>
      <c r="AS21" s="397"/>
      <c r="AT21" s="397"/>
      <c r="AU21" s="397"/>
      <c r="AV21" s="397"/>
      <c r="AW21" s="397"/>
      <c r="AX21" s="397"/>
      <c r="AY21" s="397"/>
      <c r="AZ21" s="397"/>
      <c r="BA21" s="397"/>
      <c r="BB21" s="397"/>
      <c r="BC21" s="397"/>
      <c r="BD21" s="397"/>
      <c r="BE21" s="397"/>
      <c r="BF21" s="397"/>
      <c r="BG21" s="397"/>
      <c r="BH21" s="397"/>
    </row>
    <row r="22" spans="1:60">
      <c r="A22" s="24" t="s">
        <v>186</v>
      </c>
      <c r="B22" s="13"/>
      <c r="C22" s="408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97"/>
      <c r="AJ22" s="397"/>
      <c r="AK22" s="397"/>
      <c r="AL22" s="397"/>
      <c r="AM22" s="397"/>
      <c r="AN22" s="397"/>
      <c r="AO22" s="397"/>
      <c r="AP22" s="397"/>
      <c r="AQ22" s="397"/>
      <c r="AR22" s="397"/>
      <c r="AS22" s="397"/>
      <c r="AT22" s="397"/>
      <c r="AU22" s="397"/>
      <c r="AV22" s="397"/>
      <c r="AW22" s="397"/>
      <c r="AX22" s="397"/>
      <c r="AY22" s="397"/>
      <c r="AZ22" s="397"/>
      <c r="BA22" s="397"/>
      <c r="BB22" s="397"/>
      <c r="BC22" s="397"/>
      <c r="BD22" s="397"/>
      <c r="BE22" s="397"/>
      <c r="BF22" s="397"/>
      <c r="BG22" s="397"/>
      <c r="BH22" s="397"/>
    </row>
    <row r="23" spans="1:60">
      <c r="A23" s="24" t="s">
        <v>187</v>
      </c>
      <c r="B23" s="13"/>
      <c r="C23" s="412">
        <v>0</v>
      </c>
      <c r="D23" s="399">
        <v>0</v>
      </c>
      <c r="E23" s="399">
        <v>0</v>
      </c>
      <c r="F23" s="399">
        <v>0</v>
      </c>
      <c r="G23" s="399">
        <v>0</v>
      </c>
      <c r="H23" s="399">
        <v>0</v>
      </c>
      <c r="I23" s="399">
        <v>0</v>
      </c>
      <c r="J23" s="399">
        <v>0</v>
      </c>
      <c r="K23" s="399">
        <v>0</v>
      </c>
      <c r="L23" s="399">
        <v>0</v>
      </c>
      <c r="M23" s="399">
        <v>0</v>
      </c>
      <c r="N23" s="399">
        <v>0</v>
      </c>
      <c r="O23" s="399">
        <v>0</v>
      </c>
      <c r="P23" s="399">
        <v>0</v>
      </c>
      <c r="Q23" s="399">
        <v>0</v>
      </c>
      <c r="R23" s="399">
        <v>0</v>
      </c>
      <c r="S23" s="399">
        <v>0</v>
      </c>
      <c r="T23" s="399">
        <v>0</v>
      </c>
      <c r="U23" s="399">
        <v>0</v>
      </c>
      <c r="V23" s="399">
        <v>0</v>
      </c>
      <c r="W23" s="399">
        <v>0</v>
      </c>
      <c r="X23" s="399">
        <v>0</v>
      </c>
      <c r="Y23" s="399">
        <v>0</v>
      </c>
      <c r="Z23" s="399">
        <v>0</v>
      </c>
      <c r="AA23" s="399">
        <v>0</v>
      </c>
      <c r="AB23" s="399">
        <v>0</v>
      </c>
      <c r="AC23" s="399">
        <v>0</v>
      </c>
      <c r="AD23" s="399">
        <v>0</v>
      </c>
      <c r="AE23" s="399">
        <v>0</v>
      </c>
      <c r="AF23" s="399">
        <v>0</v>
      </c>
      <c r="AG23" s="399">
        <v>0</v>
      </c>
      <c r="AH23" s="399">
        <v>0</v>
      </c>
      <c r="AI23" s="397"/>
      <c r="AJ23" s="397"/>
      <c r="AK23" s="397"/>
      <c r="AL23" s="397"/>
      <c r="AM23" s="397"/>
      <c r="AN23" s="397"/>
      <c r="AO23" s="397"/>
      <c r="AP23" s="397"/>
      <c r="AQ23" s="397"/>
      <c r="AR23" s="397"/>
      <c r="AS23" s="397"/>
      <c r="AT23" s="397"/>
      <c r="AU23" s="397"/>
      <c r="AV23" s="397"/>
      <c r="AW23" s="397"/>
      <c r="AX23" s="397"/>
      <c r="AY23" s="397"/>
      <c r="AZ23" s="397"/>
      <c r="BA23" s="397"/>
      <c r="BB23" s="397"/>
      <c r="BC23" s="397"/>
      <c r="BD23" s="397"/>
      <c r="BE23" s="397"/>
      <c r="BF23" s="397"/>
      <c r="BG23" s="397"/>
      <c r="BH23" s="397"/>
    </row>
    <row r="24" spans="1:60">
      <c r="A24" s="13"/>
      <c r="B24" s="13"/>
      <c r="C24" s="411"/>
      <c r="D24" s="24"/>
      <c r="E24" s="24"/>
      <c r="F24" s="400"/>
      <c r="G24" s="397"/>
      <c r="H24" s="397"/>
      <c r="I24" s="397"/>
      <c r="J24" s="397"/>
      <c r="K24" s="397"/>
      <c r="L24" s="397"/>
      <c r="M24" s="397"/>
      <c r="N24" s="397"/>
      <c r="O24" s="397"/>
      <c r="P24" s="397"/>
      <c r="Q24" s="397"/>
      <c r="R24" s="397"/>
      <c r="S24" s="397"/>
      <c r="T24" s="397"/>
      <c r="U24" s="397"/>
      <c r="V24" s="397"/>
      <c r="W24" s="397"/>
      <c r="X24" s="397"/>
      <c r="Y24" s="397"/>
      <c r="Z24" s="172"/>
      <c r="AA24" s="172"/>
      <c r="AB24" s="397"/>
      <c r="AC24" s="397"/>
      <c r="AD24" s="397"/>
      <c r="AE24" s="397"/>
      <c r="AF24" s="397"/>
      <c r="AG24" s="397"/>
      <c r="AH24" s="397"/>
      <c r="AI24" s="397"/>
      <c r="AJ24" s="397"/>
      <c r="AK24" s="397"/>
      <c r="AL24" s="397"/>
      <c r="AM24" s="397"/>
      <c r="AN24" s="397"/>
      <c r="AO24" s="397"/>
      <c r="AP24" s="397"/>
      <c r="AQ24" s="397"/>
      <c r="AR24" s="397"/>
      <c r="AS24" s="397"/>
      <c r="AT24" s="397"/>
      <c r="AU24" s="397"/>
      <c r="AV24" s="397"/>
      <c r="AW24" s="397"/>
      <c r="AX24" s="397"/>
      <c r="AY24" s="397"/>
      <c r="AZ24" s="397"/>
      <c r="BA24" s="397"/>
      <c r="BB24" s="397"/>
      <c r="BC24" s="397"/>
      <c r="BD24" s="397"/>
      <c r="BE24" s="397"/>
      <c r="BF24" s="397"/>
      <c r="BG24" s="397"/>
      <c r="BH24" s="397"/>
    </row>
    <row r="25" spans="1:60">
      <c r="A25" s="155" t="s">
        <v>188</v>
      </c>
      <c r="B25" s="13"/>
      <c r="C25" s="411">
        <f>SUM(C16,C20,C22,C23)</f>
        <v>79110.214734742767</v>
      </c>
      <c r="D25" s="24">
        <f>SUM(D16,D20,D22,D23)</f>
        <v>77144.934706714572</v>
      </c>
      <c r="E25" s="24">
        <f t="shared" ref="E25:AH25" si="3">SUM(E16,E20,E22,E23)</f>
        <v>74197.014664672301</v>
      </c>
      <c r="F25" s="24">
        <f t="shared" si="3"/>
        <v>71249.094622630015</v>
      </c>
      <c r="G25" s="24">
        <f t="shared" si="3"/>
        <v>68301.174580587729</v>
      </c>
      <c r="H25" s="24">
        <f t="shared" si="3"/>
        <v>65353.254538545443</v>
      </c>
      <c r="I25" s="24">
        <f t="shared" si="3"/>
        <v>62856.011829836498</v>
      </c>
      <c r="J25" s="24">
        <f t="shared" si="3"/>
        <v>60584.107787794215</v>
      </c>
      <c r="K25" s="24">
        <f t="shared" si="3"/>
        <v>58312.203745751933</v>
      </c>
      <c r="L25" s="24">
        <f t="shared" si="3"/>
        <v>56040.29970370965</v>
      </c>
      <c r="M25" s="24">
        <f t="shared" si="3"/>
        <v>53768.395661667368</v>
      </c>
      <c r="N25" s="24">
        <f t="shared" si="3"/>
        <v>51496.491619625085</v>
      </c>
      <c r="O25" s="24">
        <f t="shared" si="3"/>
        <v>49224.587577582803</v>
      </c>
      <c r="P25" s="24">
        <f t="shared" si="3"/>
        <v>46952.68353554052</v>
      </c>
      <c r="Q25" s="24">
        <f t="shared" si="3"/>
        <v>44680.779493498238</v>
      </c>
      <c r="R25" s="24">
        <f t="shared" si="3"/>
        <v>42408.875451455955</v>
      </c>
      <c r="S25" s="24">
        <f t="shared" si="3"/>
        <v>40136.971409413673</v>
      </c>
      <c r="T25" s="24">
        <f t="shared" si="3"/>
        <v>37865.06736737139</v>
      </c>
      <c r="U25" s="24">
        <f t="shared" si="3"/>
        <v>35593.163325329107</v>
      </c>
      <c r="V25" s="24">
        <f t="shared" si="3"/>
        <v>33321.259283286825</v>
      </c>
      <c r="W25" s="24">
        <f t="shared" si="3"/>
        <v>31049.355241244542</v>
      </c>
      <c r="X25" s="24">
        <f t="shared" si="3"/>
        <v>28777.45119920226</v>
      </c>
      <c r="Y25" s="24">
        <f t="shared" si="3"/>
        <v>26505.547157159977</v>
      </c>
      <c r="Z25" s="24">
        <f t="shared" si="3"/>
        <v>24233.643115117695</v>
      </c>
      <c r="AA25" s="24">
        <f t="shared" si="3"/>
        <v>21961.739073075412</v>
      </c>
      <c r="AB25" s="24">
        <f t="shared" si="3"/>
        <v>19689.83503103313</v>
      </c>
      <c r="AC25" s="24">
        <f t="shared" si="3"/>
        <v>17417.930988990847</v>
      </c>
      <c r="AD25" s="24">
        <f t="shared" si="3"/>
        <v>15146.026946948565</v>
      </c>
      <c r="AE25" s="24">
        <f t="shared" si="3"/>
        <v>12874.122904906282</v>
      </c>
      <c r="AF25" s="24">
        <f t="shared" si="3"/>
        <v>10602.218862864</v>
      </c>
      <c r="AG25" s="24">
        <f t="shared" si="3"/>
        <v>8330.3148208217171</v>
      </c>
      <c r="AH25" s="24">
        <f t="shared" si="3"/>
        <v>7573.0134734742896</v>
      </c>
      <c r="AI25" s="397"/>
      <c r="AJ25" s="397"/>
      <c r="AK25" s="397"/>
      <c r="AL25" s="397"/>
      <c r="AM25" s="397"/>
      <c r="AN25" s="397"/>
      <c r="AO25" s="397"/>
      <c r="AP25" s="397"/>
      <c r="AQ25" s="397"/>
      <c r="AR25" s="397"/>
      <c r="AS25" s="397"/>
      <c r="AT25" s="397"/>
      <c r="AU25" s="397"/>
      <c r="AV25" s="397"/>
      <c r="AW25" s="397"/>
      <c r="AX25" s="397"/>
      <c r="AY25" s="397"/>
      <c r="AZ25" s="397"/>
      <c r="BA25" s="397"/>
      <c r="BB25" s="397"/>
      <c r="BC25" s="397"/>
      <c r="BD25" s="397"/>
      <c r="BE25" s="397"/>
      <c r="BF25" s="397"/>
      <c r="BG25" s="397"/>
      <c r="BH25" s="397"/>
    </row>
    <row r="26" spans="1:60">
      <c r="A26" s="13"/>
      <c r="B26" s="13"/>
      <c r="C26" s="411"/>
      <c r="D26" s="24"/>
      <c r="E26" s="24"/>
      <c r="F26" s="400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172"/>
      <c r="AA26" s="172"/>
      <c r="AB26" s="397"/>
      <c r="AC26" s="397"/>
      <c r="AD26" s="397"/>
      <c r="AE26" s="397"/>
      <c r="AF26" s="397"/>
      <c r="AG26" s="397"/>
      <c r="AH26" s="397"/>
      <c r="AI26" s="397"/>
      <c r="AJ26" s="397"/>
      <c r="AK26" s="397"/>
      <c r="AL26" s="397"/>
      <c r="AM26" s="397"/>
      <c r="AN26" s="397"/>
      <c r="AO26" s="397"/>
      <c r="AP26" s="397"/>
      <c r="AQ26" s="397"/>
      <c r="AR26" s="397"/>
      <c r="AS26" s="397"/>
      <c r="AT26" s="397"/>
      <c r="AU26" s="397"/>
      <c r="AV26" s="397"/>
      <c r="AW26" s="397"/>
      <c r="AX26" s="397"/>
      <c r="AY26" s="397"/>
      <c r="AZ26" s="397"/>
      <c r="BA26" s="397"/>
      <c r="BB26" s="397"/>
      <c r="BC26" s="397"/>
      <c r="BD26" s="397"/>
      <c r="BE26" s="397"/>
      <c r="BF26" s="397"/>
      <c r="BG26" s="397"/>
      <c r="BH26" s="397"/>
    </row>
    <row r="27" spans="1:60">
      <c r="A27" s="13"/>
      <c r="B27" s="13"/>
      <c r="C27" s="411"/>
      <c r="D27" s="24"/>
      <c r="E27" s="24"/>
      <c r="F27" s="400"/>
      <c r="G27" s="397"/>
      <c r="H27" s="397"/>
      <c r="I27" s="397"/>
      <c r="J27" s="397"/>
      <c r="K27" s="397"/>
      <c r="L27" s="397"/>
      <c r="M27" s="397"/>
      <c r="N27" s="397"/>
      <c r="O27" s="397"/>
      <c r="P27" s="397"/>
      <c r="Q27" s="397"/>
      <c r="R27" s="397"/>
      <c r="S27" s="397"/>
      <c r="T27" s="397"/>
      <c r="U27" s="397"/>
      <c r="V27" s="397"/>
      <c r="W27" s="397"/>
      <c r="X27" s="397"/>
      <c r="Y27" s="397"/>
      <c r="Z27" s="172"/>
      <c r="AA27" s="172"/>
      <c r="AB27" s="397"/>
      <c r="AC27" s="397"/>
      <c r="AD27" s="397"/>
      <c r="AE27" s="397"/>
      <c r="AF27" s="397"/>
      <c r="AG27" s="397"/>
      <c r="AH27" s="397"/>
      <c r="AI27" s="397"/>
      <c r="AJ27" s="397"/>
      <c r="AK27" s="397"/>
      <c r="AL27" s="397"/>
      <c r="AM27" s="397"/>
      <c r="AN27" s="397"/>
      <c r="AO27" s="397"/>
      <c r="AP27" s="397"/>
      <c r="AQ27" s="397"/>
      <c r="AR27" s="397"/>
      <c r="AS27" s="397"/>
      <c r="AT27" s="397"/>
      <c r="AU27" s="397"/>
      <c r="AV27" s="397"/>
      <c r="AW27" s="397"/>
      <c r="AX27" s="397"/>
      <c r="AY27" s="397"/>
      <c r="AZ27" s="397"/>
      <c r="BA27" s="397"/>
      <c r="BB27" s="397"/>
      <c r="BC27" s="397"/>
      <c r="BD27" s="397"/>
      <c r="BE27" s="397"/>
      <c r="BF27" s="397"/>
      <c r="BG27" s="397"/>
      <c r="BH27" s="397"/>
    </row>
    <row r="28" spans="1:60">
      <c r="A28" s="155" t="s">
        <v>189</v>
      </c>
      <c r="B28" s="13"/>
      <c r="C28" s="411"/>
      <c r="D28" s="24"/>
      <c r="E28" s="24"/>
      <c r="F28" s="400"/>
      <c r="G28" s="397"/>
      <c r="H28" s="397"/>
      <c r="I28" s="397"/>
      <c r="J28" s="397"/>
      <c r="K28" s="397"/>
      <c r="L28" s="397"/>
      <c r="M28" s="397"/>
      <c r="N28" s="397"/>
      <c r="O28" s="397"/>
      <c r="P28" s="397"/>
      <c r="Q28" s="397"/>
      <c r="R28" s="397"/>
      <c r="S28" s="397"/>
      <c r="T28" s="397"/>
      <c r="U28" s="397"/>
      <c r="V28" s="397"/>
      <c r="W28" s="397"/>
      <c r="X28" s="397"/>
      <c r="Y28" s="397"/>
      <c r="Z28" s="172"/>
      <c r="AA28" s="172"/>
      <c r="AB28" s="397"/>
      <c r="AC28" s="397"/>
      <c r="AD28" s="397"/>
      <c r="AE28" s="397"/>
      <c r="AF28" s="397"/>
      <c r="AG28" s="397"/>
      <c r="AH28" s="397"/>
      <c r="AI28" s="397"/>
      <c r="AJ28" s="397"/>
      <c r="AK28" s="397"/>
      <c r="AL28" s="397"/>
      <c r="AM28" s="397"/>
      <c r="AN28" s="397"/>
      <c r="AO28" s="397"/>
      <c r="AP28" s="397"/>
      <c r="AQ28" s="397"/>
      <c r="AR28" s="397"/>
      <c r="AS28" s="397"/>
      <c r="AT28" s="397"/>
      <c r="AU28" s="397"/>
      <c r="AV28" s="397"/>
      <c r="AW28" s="397"/>
      <c r="AX28" s="397"/>
      <c r="AY28" s="397"/>
      <c r="AZ28" s="397"/>
      <c r="BA28" s="397"/>
      <c r="BB28" s="397"/>
      <c r="BC28" s="397"/>
      <c r="BD28" s="397"/>
      <c r="BE28" s="397"/>
      <c r="BF28" s="397"/>
      <c r="BG28" s="397"/>
      <c r="BH28" s="397"/>
    </row>
    <row r="29" spans="1:60">
      <c r="A29" s="155"/>
      <c r="B29" s="13"/>
      <c r="C29" s="411"/>
      <c r="D29" s="24"/>
      <c r="E29" s="24"/>
      <c r="F29" s="400"/>
      <c r="G29" s="397"/>
      <c r="H29" s="397"/>
      <c r="I29" s="397"/>
      <c r="J29" s="397"/>
      <c r="K29" s="397"/>
      <c r="L29" s="397"/>
      <c r="M29" s="397"/>
      <c r="N29" s="397"/>
      <c r="O29" s="397"/>
      <c r="P29" s="397"/>
      <c r="Q29" s="397"/>
      <c r="R29" s="397"/>
      <c r="S29" s="397"/>
      <c r="T29" s="397"/>
      <c r="U29" s="397"/>
      <c r="V29" s="397"/>
      <c r="W29" s="397"/>
      <c r="X29" s="397"/>
      <c r="Y29" s="397"/>
      <c r="Z29" s="172"/>
      <c r="AA29" s="172"/>
      <c r="AB29" s="397"/>
      <c r="AC29" s="397"/>
      <c r="AD29" s="397"/>
      <c r="AE29" s="397"/>
      <c r="AF29" s="397"/>
      <c r="AG29" s="397"/>
      <c r="AH29" s="397"/>
      <c r="AI29" s="397"/>
      <c r="AJ29" s="397"/>
      <c r="AK29" s="397"/>
      <c r="AL29" s="397"/>
      <c r="AM29" s="397"/>
      <c r="AN29" s="397"/>
      <c r="AO29" s="397"/>
      <c r="AP29" s="397"/>
      <c r="AQ29" s="397"/>
      <c r="AR29" s="397"/>
      <c r="AS29" s="397"/>
      <c r="AT29" s="397"/>
      <c r="AU29" s="397"/>
      <c r="AV29" s="397"/>
      <c r="AW29" s="397"/>
      <c r="AX29" s="397"/>
      <c r="AY29" s="397"/>
      <c r="AZ29" s="397"/>
      <c r="BA29" s="397"/>
      <c r="BB29" s="397"/>
      <c r="BC29" s="397"/>
      <c r="BD29" s="397"/>
      <c r="BE29" s="397"/>
      <c r="BF29" s="397"/>
      <c r="BG29" s="397"/>
      <c r="BH29" s="397"/>
    </row>
    <row r="30" spans="1:60">
      <c r="A30" s="24" t="s">
        <v>190</v>
      </c>
      <c r="C30" s="40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97"/>
      <c r="AJ30" s="397"/>
      <c r="AK30" s="397"/>
      <c r="AL30" s="397"/>
      <c r="AM30" s="397"/>
      <c r="AN30" s="397"/>
      <c r="AO30" s="397"/>
      <c r="AP30" s="397"/>
      <c r="AQ30" s="397"/>
      <c r="AR30" s="397"/>
      <c r="AS30" s="397"/>
      <c r="AT30" s="397"/>
      <c r="AU30" s="397"/>
      <c r="AV30" s="397"/>
      <c r="AW30" s="397"/>
      <c r="AX30" s="397"/>
      <c r="AY30" s="397"/>
      <c r="AZ30" s="397"/>
      <c r="BA30" s="397"/>
      <c r="BB30" s="397"/>
      <c r="BC30" s="397"/>
      <c r="BD30" s="397"/>
      <c r="BE30" s="397"/>
      <c r="BF30" s="397"/>
      <c r="BG30" s="397"/>
      <c r="BH30" s="397"/>
    </row>
    <row r="31" spans="1:60">
      <c r="A31" s="24" t="s">
        <v>191</v>
      </c>
      <c r="C31" s="40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97"/>
      <c r="AJ31" s="397"/>
      <c r="AK31" s="397"/>
      <c r="AL31" s="397"/>
      <c r="AM31" s="397"/>
      <c r="AN31" s="397"/>
      <c r="AO31" s="397"/>
      <c r="AP31" s="397"/>
      <c r="AQ31" s="397"/>
      <c r="AR31" s="397"/>
      <c r="AS31" s="397"/>
      <c r="AT31" s="397"/>
      <c r="AU31" s="397"/>
      <c r="AV31" s="397"/>
      <c r="AW31" s="397"/>
      <c r="AX31" s="397"/>
      <c r="AY31" s="397"/>
      <c r="AZ31" s="397"/>
      <c r="BA31" s="397"/>
      <c r="BB31" s="397"/>
      <c r="BC31" s="397"/>
      <c r="BD31" s="397"/>
      <c r="BE31" s="397"/>
      <c r="BF31" s="397"/>
      <c r="BG31" s="397"/>
      <c r="BH31" s="397"/>
    </row>
    <row r="32" spans="1:60">
      <c r="A32" s="24" t="s">
        <v>192</v>
      </c>
      <c r="C32" s="411">
        <v>0</v>
      </c>
      <c r="D32" s="24">
        <f>C32+(CF!C19+CF!C20)+(IS!C43+IS!C44)</f>
        <v>-1201.1456519296441</v>
      </c>
      <c r="E32" s="24">
        <f>D32+(CF!D19+CF!D20)+(IS!D43+IS!D44)</f>
        <v>-2772.2974332892386</v>
      </c>
      <c r="F32" s="24">
        <f>E32+(CF!E19+CF!E20)+(IS!E43+IS!E44)</f>
        <v>-4339.6424480904025</v>
      </c>
      <c r="G32" s="24">
        <f>F32+(CF!F19+CF!F20)+(IS!F43+IS!F44)</f>
        <v>-6424.0288790794229</v>
      </c>
      <c r="H32" s="24">
        <f>G32+(CF!G19+CF!G20)+(IS!G43+IS!G44)</f>
        <v>-9591.4141525654322</v>
      </c>
      <c r="I32" s="24">
        <f>H32+(CF!H19+CF!H20)+(IS!H43+IS!H44)</f>
        <v>-13407.490823636104</v>
      </c>
      <c r="J32" s="24">
        <f>I32+(CF!I19+CF!I20)+(IS!I43+IS!I44)</f>
        <v>-17581.224894249579</v>
      </c>
      <c r="K32" s="24">
        <f>J32+(CF!J19+CF!J20)+(IS!J43+IS!J44)</f>
        <v>-21830.851957687428</v>
      </c>
      <c r="L32" s="24">
        <f>K32+(CF!K19+CF!K20)+(IS!K43+IS!K44)</f>
        <v>-26300.886764381958</v>
      </c>
      <c r="M32" s="24">
        <f>L32+(CF!L19+CF!L20)+(IS!L43+IS!L44)</f>
        <v>-30847.133803164656</v>
      </c>
      <c r="N32" s="24">
        <f>M32+(CF!M19+CF!M20)+(IS!M43+IS!M44)</f>
        <v>-35622.417623049783</v>
      </c>
      <c r="O32" s="24">
        <f>N32+(CF!N19+CF!N20)+(IS!N43+IS!N44)</f>
        <v>-40473.995879116657</v>
      </c>
      <c r="P32" s="24">
        <f>O32+(CF!O19+CF!O20)+(IS!O43+IS!O44)</f>
        <v>-45563.501291389897</v>
      </c>
      <c r="Q32" s="24">
        <f>P32+(CF!P19+CF!P20)+(IS!P43+IS!P44)</f>
        <v>-50729.116253886721</v>
      </c>
      <c r="R32" s="24">
        <f>Q32+(CF!Q19+CF!Q20)+(IS!Q43+IS!Q44)</f>
        <v>-55974.187163893948</v>
      </c>
      <c r="S32" s="24">
        <f>R32+(CF!R19+CF!R20)+(IS!R43+IS!R44)</f>
        <v>-62176.411670525667</v>
      </c>
      <c r="T32" s="24">
        <f>S32+(CF!S19+CF!S20)+(IS!S43+IS!S44)</f>
        <v>-69375.17213364871</v>
      </c>
      <c r="U32" s="24">
        <f>T32+(CF!T19+CF!T20)+(IS!T43+IS!T44)</f>
        <v>-76662.306492656367</v>
      </c>
      <c r="V32" s="24">
        <f>U32+(CF!U19+CF!U20)+(IS!U43+IS!U44)</f>
        <v>-84012.954398386282</v>
      </c>
      <c r="W32" s="24">
        <f>V32+(CF!V19+CF!V20)+(IS!V43+IS!V44)</f>
        <v>-91423.226650127894</v>
      </c>
      <c r="X32" s="24">
        <f>W32+(CF!W19+CF!W20)+(IS!W43+IS!W44)</f>
        <v>-98888.947576357183</v>
      </c>
      <c r="Y32" s="24">
        <f>X32+(CF!X19+CF!X20)+(IS!X43+IS!X44)</f>
        <v>-106405.64134676851</v>
      </c>
      <c r="Z32" s="24">
        <f>Y32+(CF!Y19+CF!Y20)+(IS!Y43+IS!Y44)</f>
        <v>-113972.60078753847</v>
      </c>
      <c r="AA32" s="24">
        <f>Z32+(CF!Z19+CF!Z20)+(IS!Z43+IS!Z44)</f>
        <v>-121589.09750962902</v>
      </c>
      <c r="AB32" s="24">
        <f>AA32+(CF!AA19+CF!AA20)+(IS!AA43+IS!AA44)</f>
        <v>-129254.38127233091</v>
      </c>
      <c r="AC32" s="24">
        <f>AB32+(CF!AB19+CF!AB20)+(IS!AB43+IS!AB44)</f>
        <v>-136967.67932771365</v>
      </c>
      <c r="AD32" s="24">
        <f>AC32+(CF!AC19+CF!AC20)+(IS!AC43+IS!AC44)</f>
        <v>-144728.1957454088</v>
      </c>
      <c r="AE32" s="24">
        <f>AD32+(CF!AD19+CF!AD20)+(IS!AD43+IS!AD44)</f>
        <v>-152535.11071713694</v>
      </c>
      <c r="AF32" s="24">
        <f>AE32+(CF!AE19+CF!AE20)+(IS!AE43+IS!AE44)</f>
        <v>-160387.57984037022</v>
      </c>
      <c r="AG32" s="24">
        <f>AF32+(CF!AF19+CF!AF20)+(IS!AF43+IS!AF44)</f>
        <v>-168284.73338050491</v>
      </c>
      <c r="AH32" s="24">
        <f>AG32+(CF!AG19+CF!AG20)+(IS!AG43+IS!AG44)</f>
        <v>-170216.74493353689</v>
      </c>
      <c r="AI32" s="397"/>
      <c r="AJ32" s="397"/>
      <c r="AK32" s="397"/>
      <c r="AL32" s="397"/>
      <c r="AM32" s="397"/>
      <c r="AN32" s="397"/>
      <c r="AO32" s="397"/>
      <c r="AP32" s="397"/>
      <c r="AQ32" s="397"/>
      <c r="AR32" s="397"/>
      <c r="AS32" s="397"/>
      <c r="AT32" s="397"/>
      <c r="AU32" s="397"/>
      <c r="AV32" s="397"/>
      <c r="AW32" s="397"/>
      <c r="AX32" s="397"/>
      <c r="AY32" s="397"/>
      <c r="AZ32" s="397"/>
      <c r="BA32" s="397"/>
      <c r="BB32" s="397"/>
      <c r="BC32" s="397"/>
      <c r="BD32" s="397"/>
      <c r="BE32" s="397"/>
      <c r="BF32" s="397"/>
      <c r="BG32" s="397"/>
      <c r="BH32" s="397"/>
    </row>
    <row r="33" spans="1:60">
      <c r="A33" s="24" t="s">
        <v>193</v>
      </c>
      <c r="C33" s="408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97"/>
      <c r="AJ33" s="397"/>
      <c r="AK33" s="397"/>
      <c r="AL33" s="397"/>
      <c r="AM33" s="397"/>
      <c r="AN33" s="397"/>
      <c r="AO33" s="397"/>
      <c r="AP33" s="397"/>
      <c r="AQ33" s="397"/>
      <c r="AR33" s="397"/>
      <c r="AS33" s="397"/>
      <c r="AT33" s="397"/>
      <c r="AU33" s="397"/>
      <c r="AV33" s="397"/>
      <c r="AW33" s="397"/>
      <c r="AX33" s="397"/>
      <c r="AY33" s="397"/>
      <c r="AZ33" s="397"/>
      <c r="BA33" s="397"/>
      <c r="BB33" s="397"/>
      <c r="BC33" s="397"/>
      <c r="BD33" s="397"/>
      <c r="BE33" s="397"/>
      <c r="BF33" s="397"/>
      <c r="BG33" s="397"/>
      <c r="BH33" s="397"/>
    </row>
    <row r="34" spans="1:60">
      <c r="A34" s="24" t="s">
        <v>194</v>
      </c>
      <c r="C34" s="411">
        <f>Assumptions!C12</f>
        <v>61666.602594810392</v>
      </c>
      <c r="D34" s="24" t="e">
        <f>Debt!#REF!+Debt!#REF!+Debt!#REF!</f>
        <v>#REF!</v>
      </c>
      <c r="E34" s="24" t="e">
        <f>Debt!#REF!+Debt!#REF!+Debt!#REF!</f>
        <v>#REF!</v>
      </c>
      <c r="F34" s="24" t="e">
        <f>Debt!#REF!+Debt!#REF!+Debt!#REF!</f>
        <v>#REF!</v>
      </c>
      <c r="G34" s="24" t="e">
        <f>Debt!#REF!+Debt!#REF!+Debt!#REF!</f>
        <v>#REF!</v>
      </c>
      <c r="H34" s="24" t="e">
        <f>Debt!#REF!+Debt!#REF!+Debt!#REF!</f>
        <v>#REF!</v>
      </c>
      <c r="I34" s="24" t="e">
        <f>Debt!#REF!+Debt!#REF!+Debt!#REF!</f>
        <v>#REF!</v>
      </c>
      <c r="J34" s="24" t="e">
        <f>Debt!#REF!+Debt!#REF!+Debt!#REF!</f>
        <v>#REF!</v>
      </c>
      <c r="K34" s="24" t="e">
        <f>Debt!#REF!+Debt!#REF!+Debt!#REF!</f>
        <v>#REF!</v>
      </c>
      <c r="L34" s="24" t="e">
        <f>Debt!#REF!+Debt!#REF!+Debt!#REF!</f>
        <v>#REF!</v>
      </c>
      <c r="M34" s="24" t="e">
        <f>Debt!#REF!+Debt!#REF!+Debt!#REF!</f>
        <v>#REF!</v>
      </c>
      <c r="N34" s="24" t="e">
        <f>Debt!#REF!+Debt!#REF!+Debt!#REF!</f>
        <v>#REF!</v>
      </c>
      <c r="O34" s="24" t="e">
        <f>Debt!#REF!+Debt!#REF!+Debt!#REF!</f>
        <v>#REF!</v>
      </c>
      <c r="P34" s="24" t="e">
        <f>Debt!#REF!+Debt!#REF!+Debt!#REF!</f>
        <v>#REF!</v>
      </c>
      <c r="Q34" s="24" t="e">
        <f>Debt!#REF!+Debt!#REF!+Debt!#REF!</f>
        <v>#REF!</v>
      </c>
      <c r="R34" s="24" t="e">
        <f>Debt!#REF!+Debt!#REF!+Debt!#REF!</f>
        <v>#REF!</v>
      </c>
      <c r="S34" s="24" t="e">
        <f>Debt!#REF!+Debt!#REF!+Debt!#REF!</f>
        <v>#REF!</v>
      </c>
      <c r="T34" s="24" t="e">
        <f>Debt!#REF!+Debt!#REF!+Debt!#REF!</f>
        <v>#REF!</v>
      </c>
      <c r="U34" s="24" t="e">
        <f>Debt!#REF!+Debt!#REF!+Debt!#REF!</f>
        <v>#REF!</v>
      </c>
      <c r="V34" s="24" t="e">
        <f>Debt!#REF!+Debt!#REF!+Debt!#REF!</f>
        <v>#REF!</v>
      </c>
      <c r="W34" s="24" t="e">
        <f>Debt!#REF!+Debt!#REF!+Debt!#REF!</f>
        <v>#REF!</v>
      </c>
      <c r="X34" s="24" t="e">
        <f>Debt!#REF!+Debt!#REF!+Debt!#REF!</f>
        <v>#REF!</v>
      </c>
      <c r="Y34" s="24" t="e">
        <f>Debt!#REF!+Debt!#REF!+Debt!#REF!</f>
        <v>#REF!</v>
      </c>
      <c r="Z34" s="24" t="e">
        <f>Debt!#REF!+Debt!#REF!+Debt!#REF!</f>
        <v>#REF!</v>
      </c>
      <c r="AA34" s="24" t="e">
        <f>Debt!#REF!+Debt!#REF!+Debt!#REF!</f>
        <v>#REF!</v>
      </c>
      <c r="AB34" s="24" t="e">
        <f>Debt!#REF!+Debt!#REF!+Debt!#REF!</f>
        <v>#REF!</v>
      </c>
      <c r="AC34" s="24" t="e">
        <f>Debt!#REF!+Debt!#REF!+Debt!#REF!</f>
        <v>#REF!</v>
      </c>
      <c r="AD34" s="24" t="e">
        <f>Debt!#REF!+Debt!#REF!+Debt!#REF!</f>
        <v>#REF!</v>
      </c>
      <c r="AE34" s="24" t="e">
        <f>Debt!#REF!+Debt!#REF!+Debt!#REF!</f>
        <v>#REF!</v>
      </c>
      <c r="AF34" s="24" t="e">
        <f>Debt!#REF!+Debt!#REF!+Debt!#REF!</f>
        <v>#REF!</v>
      </c>
      <c r="AG34" s="24" t="e">
        <f>Debt!#REF!+Debt!#REF!+Debt!#REF!</f>
        <v>#REF!</v>
      </c>
      <c r="AH34" s="24" t="e">
        <f>Debt!#REF!+Debt!#REF!+Debt!#REF!</f>
        <v>#REF!</v>
      </c>
      <c r="AI34" s="397"/>
      <c r="AJ34" s="397"/>
      <c r="AK34" s="397"/>
      <c r="AL34" s="397"/>
      <c r="AM34" s="397"/>
      <c r="AN34" s="397"/>
      <c r="AO34" s="397"/>
      <c r="AP34" s="397"/>
      <c r="AQ34" s="397"/>
      <c r="AR34" s="397"/>
      <c r="AS34" s="397"/>
      <c r="AT34" s="397"/>
      <c r="AU34" s="397"/>
      <c r="AV34" s="397"/>
      <c r="AW34" s="397"/>
      <c r="AX34" s="397"/>
      <c r="AY34" s="397"/>
      <c r="AZ34" s="397"/>
      <c r="BA34" s="397"/>
      <c r="BB34" s="397"/>
      <c r="BC34" s="397"/>
      <c r="BD34" s="397"/>
      <c r="BE34" s="397"/>
      <c r="BF34" s="397"/>
      <c r="BG34" s="397"/>
      <c r="BH34" s="397"/>
    </row>
    <row r="35" spans="1:60">
      <c r="A35" s="24" t="s">
        <v>195</v>
      </c>
      <c r="C35" s="410">
        <v>0</v>
      </c>
      <c r="D35" s="398">
        <v>0</v>
      </c>
      <c r="E35" s="398">
        <v>0</v>
      </c>
      <c r="F35" s="401">
        <v>0</v>
      </c>
      <c r="G35" s="402">
        <v>0</v>
      </c>
      <c r="H35" s="402">
        <v>0</v>
      </c>
      <c r="I35" s="402">
        <v>0</v>
      </c>
      <c r="J35" s="402">
        <v>0</v>
      </c>
      <c r="K35" s="402">
        <v>0</v>
      </c>
      <c r="L35" s="402">
        <v>0</v>
      </c>
      <c r="M35" s="402">
        <v>0</v>
      </c>
      <c r="N35" s="402">
        <v>0</v>
      </c>
      <c r="O35" s="402">
        <v>0</v>
      </c>
      <c r="P35" s="402">
        <v>0</v>
      </c>
      <c r="Q35" s="402">
        <v>0</v>
      </c>
      <c r="R35" s="402">
        <v>0</v>
      </c>
      <c r="S35" s="402">
        <v>0</v>
      </c>
      <c r="T35" s="402">
        <v>0</v>
      </c>
      <c r="U35" s="402">
        <v>0</v>
      </c>
      <c r="V35" s="402">
        <v>0</v>
      </c>
      <c r="W35" s="402">
        <v>0</v>
      </c>
      <c r="X35" s="402">
        <v>0</v>
      </c>
      <c r="Y35" s="402">
        <v>0</v>
      </c>
      <c r="Z35" s="403">
        <v>0</v>
      </c>
      <c r="AA35" s="403">
        <v>0</v>
      </c>
      <c r="AB35" s="402">
        <v>0</v>
      </c>
      <c r="AC35" s="402">
        <v>0</v>
      </c>
      <c r="AD35" s="402">
        <v>0</v>
      </c>
      <c r="AE35" s="402">
        <v>0</v>
      </c>
      <c r="AF35" s="402">
        <v>0</v>
      </c>
      <c r="AG35" s="402">
        <v>0</v>
      </c>
      <c r="AH35" s="402">
        <v>0</v>
      </c>
      <c r="AI35" s="397"/>
      <c r="AJ35" s="397"/>
      <c r="AK35" s="397"/>
      <c r="AL35" s="397"/>
      <c r="AM35" s="397"/>
      <c r="AN35" s="397"/>
      <c r="AO35" s="397"/>
      <c r="AP35" s="397"/>
      <c r="AQ35" s="397"/>
      <c r="AR35" s="397"/>
      <c r="AS35" s="397"/>
      <c r="AT35" s="397"/>
      <c r="AU35" s="397"/>
      <c r="AV35" s="397"/>
      <c r="AW35" s="397"/>
      <c r="AX35" s="397"/>
      <c r="AY35" s="397"/>
      <c r="AZ35" s="397"/>
      <c r="BA35" s="397"/>
      <c r="BB35" s="397"/>
      <c r="BC35" s="397"/>
      <c r="BD35" s="397"/>
      <c r="BE35" s="397"/>
      <c r="BF35" s="397"/>
      <c r="BG35" s="397"/>
      <c r="BH35" s="397"/>
    </row>
    <row r="36" spans="1:60">
      <c r="A36" s="24"/>
      <c r="C36" s="411"/>
      <c r="D36" s="24"/>
      <c r="E36" s="24"/>
      <c r="F36" s="400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172"/>
      <c r="AA36" s="172"/>
      <c r="AB36" s="397"/>
      <c r="AC36" s="397"/>
      <c r="AD36" s="397"/>
      <c r="AE36" s="397"/>
      <c r="AF36" s="397"/>
      <c r="AG36" s="397"/>
      <c r="AH36" s="397"/>
      <c r="AI36" s="397"/>
      <c r="AJ36" s="397"/>
      <c r="AK36" s="397"/>
      <c r="AL36" s="397"/>
      <c r="AM36" s="397"/>
      <c r="AN36" s="397"/>
      <c r="AO36" s="397"/>
      <c r="AP36" s="397"/>
      <c r="AQ36" s="397"/>
      <c r="AR36" s="397"/>
      <c r="AS36" s="397"/>
      <c r="AT36" s="397"/>
      <c r="AU36" s="397"/>
      <c r="AV36" s="397"/>
      <c r="AW36" s="397"/>
      <c r="AX36" s="397"/>
      <c r="AY36" s="397"/>
      <c r="AZ36" s="397"/>
      <c r="BA36" s="397"/>
      <c r="BB36" s="397"/>
      <c r="BC36" s="397"/>
      <c r="BD36" s="397"/>
      <c r="BE36" s="397"/>
      <c r="BF36" s="397"/>
      <c r="BG36" s="397"/>
      <c r="BH36" s="397"/>
    </row>
    <row r="37" spans="1:60">
      <c r="A37" s="155" t="s">
        <v>196</v>
      </c>
      <c r="B37" s="13"/>
      <c r="C37" s="411">
        <f>SUM(C30:C35)</f>
        <v>61666.602594810392</v>
      </c>
      <c r="D37" s="24" t="e">
        <f>SUM(D30:D35)</f>
        <v>#REF!</v>
      </c>
      <c r="E37" s="24" t="e">
        <f t="shared" ref="E37:AH37" si="4">SUM(E30:E35)</f>
        <v>#REF!</v>
      </c>
      <c r="F37" s="24" t="e">
        <f t="shared" si="4"/>
        <v>#REF!</v>
      </c>
      <c r="G37" s="24" t="e">
        <f t="shared" si="4"/>
        <v>#REF!</v>
      </c>
      <c r="H37" s="24" t="e">
        <f t="shared" si="4"/>
        <v>#REF!</v>
      </c>
      <c r="I37" s="24" t="e">
        <f t="shared" si="4"/>
        <v>#REF!</v>
      </c>
      <c r="J37" s="24" t="e">
        <f t="shared" si="4"/>
        <v>#REF!</v>
      </c>
      <c r="K37" s="24" t="e">
        <f t="shared" si="4"/>
        <v>#REF!</v>
      </c>
      <c r="L37" s="24" t="e">
        <f t="shared" si="4"/>
        <v>#REF!</v>
      </c>
      <c r="M37" s="24" t="e">
        <f t="shared" si="4"/>
        <v>#REF!</v>
      </c>
      <c r="N37" s="24" t="e">
        <f t="shared" si="4"/>
        <v>#REF!</v>
      </c>
      <c r="O37" s="24" t="e">
        <f t="shared" si="4"/>
        <v>#REF!</v>
      </c>
      <c r="P37" s="24" t="e">
        <f t="shared" si="4"/>
        <v>#REF!</v>
      </c>
      <c r="Q37" s="24" t="e">
        <f t="shared" si="4"/>
        <v>#REF!</v>
      </c>
      <c r="R37" s="24" t="e">
        <f t="shared" si="4"/>
        <v>#REF!</v>
      </c>
      <c r="S37" s="24" t="e">
        <f t="shared" si="4"/>
        <v>#REF!</v>
      </c>
      <c r="T37" s="24" t="e">
        <f t="shared" si="4"/>
        <v>#REF!</v>
      </c>
      <c r="U37" s="24" t="e">
        <f t="shared" si="4"/>
        <v>#REF!</v>
      </c>
      <c r="V37" s="24" t="e">
        <f t="shared" si="4"/>
        <v>#REF!</v>
      </c>
      <c r="W37" s="24" t="e">
        <f t="shared" si="4"/>
        <v>#REF!</v>
      </c>
      <c r="X37" s="24" t="e">
        <f t="shared" si="4"/>
        <v>#REF!</v>
      </c>
      <c r="Y37" s="24" t="e">
        <f t="shared" si="4"/>
        <v>#REF!</v>
      </c>
      <c r="Z37" s="24" t="e">
        <f t="shared" si="4"/>
        <v>#REF!</v>
      </c>
      <c r="AA37" s="24" t="e">
        <f t="shared" si="4"/>
        <v>#REF!</v>
      </c>
      <c r="AB37" s="24" t="e">
        <f t="shared" si="4"/>
        <v>#REF!</v>
      </c>
      <c r="AC37" s="24" t="e">
        <f t="shared" si="4"/>
        <v>#REF!</v>
      </c>
      <c r="AD37" s="24" t="e">
        <f t="shared" si="4"/>
        <v>#REF!</v>
      </c>
      <c r="AE37" s="24" t="e">
        <f t="shared" si="4"/>
        <v>#REF!</v>
      </c>
      <c r="AF37" s="24" t="e">
        <f t="shared" si="4"/>
        <v>#REF!</v>
      </c>
      <c r="AG37" s="24" t="e">
        <f t="shared" si="4"/>
        <v>#REF!</v>
      </c>
      <c r="AH37" s="24" t="e">
        <f t="shared" si="4"/>
        <v>#REF!</v>
      </c>
      <c r="AI37" s="397"/>
      <c r="AJ37" s="397"/>
      <c r="AK37" s="397"/>
      <c r="AL37" s="397"/>
      <c r="AM37" s="397"/>
      <c r="AN37" s="397"/>
      <c r="AO37" s="397"/>
      <c r="AP37" s="397"/>
      <c r="AQ37" s="397"/>
      <c r="AR37" s="397"/>
      <c r="AS37" s="397"/>
      <c r="AT37" s="397"/>
      <c r="AU37" s="397"/>
      <c r="AV37" s="397"/>
      <c r="AW37" s="397"/>
      <c r="AX37" s="397"/>
      <c r="AY37" s="397"/>
      <c r="AZ37" s="397"/>
      <c r="BA37" s="397"/>
      <c r="BB37" s="397"/>
      <c r="BC37" s="397"/>
      <c r="BD37" s="397"/>
      <c r="BE37" s="397"/>
      <c r="BF37" s="397"/>
      <c r="BG37" s="397"/>
      <c r="BH37" s="397"/>
    </row>
    <row r="38" spans="1:60">
      <c r="A38" s="24"/>
      <c r="B38" s="13"/>
      <c r="C38" s="411"/>
      <c r="D38" s="24"/>
      <c r="E38" s="24"/>
      <c r="F38" s="400"/>
      <c r="G38" s="397"/>
      <c r="H38" s="397"/>
      <c r="I38" s="397"/>
      <c r="J38" s="397"/>
      <c r="K38" s="397"/>
      <c r="L38" s="397"/>
      <c r="M38" s="397"/>
      <c r="N38" s="397"/>
      <c r="O38" s="397"/>
      <c r="P38" s="397"/>
      <c r="Q38" s="397"/>
      <c r="R38" s="397"/>
      <c r="S38" s="397"/>
      <c r="T38" s="397"/>
      <c r="U38" s="397"/>
      <c r="V38" s="397"/>
      <c r="W38" s="397"/>
      <c r="X38" s="397"/>
      <c r="Y38" s="397"/>
      <c r="Z38" s="172"/>
      <c r="AA38" s="172"/>
      <c r="AB38" s="397"/>
      <c r="AC38" s="397"/>
      <c r="AD38" s="397"/>
      <c r="AE38" s="397"/>
      <c r="AF38" s="397"/>
      <c r="AG38" s="397"/>
      <c r="AH38" s="397"/>
      <c r="AI38" s="397"/>
      <c r="AJ38" s="397"/>
      <c r="AK38" s="397"/>
      <c r="AL38" s="397"/>
      <c r="AM38" s="397"/>
      <c r="AN38" s="397"/>
      <c r="AO38" s="397"/>
      <c r="AP38" s="397"/>
      <c r="AQ38" s="397"/>
      <c r="AR38" s="397"/>
      <c r="AS38" s="397"/>
      <c r="AT38" s="397"/>
      <c r="AU38" s="397"/>
      <c r="AV38" s="397"/>
      <c r="AW38" s="397"/>
      <c r="AX38" s="397"/>
      <c r="AY38" s="397"/>
      <c r="AZ38" s="397"/>
      <c r="BA38" s="397"/>
      <c r="BB38" s="397"/>
      <c r="BC38" s="397"/>
      <c r="BD38" s="397"/>
      <c r="BE38" s="397"/>
      <c r="BF38" s="397"/>
      <c r="BG38" s="397"/>
      <c r="BH38" s="397"/>
    </row>
    <row r="39" spans="1:60">
      <c r="A39" s="155" t="s">
        <v>197</v>
      </c>
      <c r="B39" s="13"/>
      <c r="C39" s="411"/>
      <c r="D39" s="24"/>
      <c r="E39" s="24"/>
      <c r="F39" s="400"/>
      <c r="G39" s="397"/>
      <c r="H39" s="397"/>
      <c r="I39" s="397"/>
      <c r="J39" s="397"/>
      <c r="K39" s="397"/>
      <c r="L39" s="397"/>
      <c r="M39" s="397"/>
      <c r="N39" s="397"/>
      <c r="O39" s="397"/>
      <c r="P39" s="397"/>
      <c r="Q39" s="397"/>
      <c r="R39" s="397"/>
      <c r="S39" s="397"/>
      <c r="T39" s="397"/>
      <c r="U39" s="397"/>
      <c r="V39" s="397"/>
      <c r="W39" s="397"/>
      <c r="X39" s="397"/>
      <c r="Y39" s="397"/>
      <c r="Z39" s="172"/>
      <c r="AA39" s="172"/>
      <c r="AB39" s="397"/>
      <c r="AC39" s="397"/>
      <c r="AD39" s="397"/>
      <c r="AE39" s="397"/>
      <c r="AF39" s="397"/>
      <c r="AG39" s="397"/>
      <c r="AH39" s="397"/>
      <c r="AI39" s="397"/>
      <c r="AJ39" s="397"/>
      <c r="AK39" s="397"/>
      <c r="AL39" s="397"/>
      <c r="AM39" s="397"/>
      <c r="AN39" s="397"/>
      <c r="AO39" s="397"/>
      <c r="AP39" s="397"/>
      <c r="AQ39" s="397"/>
      <c r="AR39" s="397"/>
      <c r="AS39" s="397"/>
      <c r="AT39" s="397"/>
      <c r="AU39" s="397"/>
      <c r="AV39" s="397"/>
      <c r="AW39" s="397"/>
      <c r="AX39" s="397"/>
      <c r="AY39" s="397"/>
      <c r="AZ39" s="397"/>
      <c r="BA39" s="397"/>
      <c r="BB39" s="397"/>
      <c r="BC39" s="397"/>
      <c r="BD39" s="397"/>
      <c r="BE39" s="397"/>
      <c r="BF39" s="397"/>
      <c r="BG39" s="397"/>
      <c r="BH39" s="397"/>
    </row>
    <row r="40" spans="1:60">
      <c r="A40" s="155"/>
      <c r="B40" s="13"/>
      <c r="C40" s="411"/>
      <c r="D40" s="24"/>
      <c r="E40" s="24"/>
      <c r="F40" s="400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172"/>
      <c r="AA40" s="172"/>
      <c r="AB40" s="397"/>
      <c r="AC40" s="397"/>
      <c r="AD40" s="397"/>
      <c r="AE40" s="397"/>
      <c r="AF40" s="397"/>
      <c r="AG40" s="397"/>
      <c r="AH40" s="397"/>
      <c r="AI40" s="397"/>
      <c r="AJ40" s="397"/>
      <c r="AK40" s="397"/>
      <c r="AL40" s="397"/>
      <c r="AM40" s="397"/>
      <c r="AN40" s="397"/>
      <c r="AO40" s="397"/>
      <c r="AP40" s="397"/>
      <c r="AQ40" s="397"/>
      <c r="AR40" s="397"/>
      <c r="AS40" s="397"/>
      <c r="AT40" s="397"/>
      <c r="AU40" s="397"/>
      <c r="AV40" s="397"/>
      <c r="AW40" s="397"/>
      <c r="AX40" s="397"/>
      <c r="AY40" s="397"/>
      <c r="AZ40" s="397"/>
      <c r="BA40" s="397"/>
      <c r="BB40" s="397"/>
      <c r="BC40" s="397"/>
      <c r="BD40" s="397"/>
      <c r="BE40" s="397"/>
      <c r="BF40" s="397"/>
      <c r="BG40" s="397"/>
      <c r="BH40" s="397"/>
    </row>
    <row r="41" spans="1:60">
      <c r="A41" s="24" t="s">
        <v>198</v>
      </c>
      <c r="C41" s="411">
        <f>Assumptions!$C$11</f>
        <v>17443.612139932375</v>
      </c>
      <c r="D41" s="24">
        <f>Assumptions!$C$11</f>
        <v>17443.612139932375</v>
      </c>
      <c r="E41" s="24">
        <f>Assumptions!$C$11</f>
        <v>17443.612139932375</v>
      </c>
      <c r="F41" s="24">
        <f>Assumptions!$C$11</f>
        <v>17443.612139932375</v>
      </c>
      <c r="G41" s="24">
        <f>Assumptions!$C$11</f>
        <v>17443.612139932375</v>
      </c>
      <c r="H41" s="24">
        <f>Assumptions!$C$11</f>
        <v>17443.612139932375</v>
      </c>
      <c r="I41" s="24">
        <f>Assumptions!$C$11</f>
        <v>17443.612139932375</v>
      </c>
      <c r="J41" s="24">
        <f>Assumptions!$C$11</f>
        <v>17443.612139932375</v>
      </c>
      <c r="K41" s="24">
        <f>Assumptions!$C$11</f>
        <v>17443.612139932375</v>
      </c>
      <c r="L41" s="24">
        <f>Assumptions!$C$11</f>
        <v>17443.612139932375</v>
      </c>
      <c r="M41" s="24">
        <f>Assumptions!$C$11</f>
        <v>17443.612139932375</v>
      </c>
      <c r="N41" s="24">
        <f>Assumptions!$C$11</f>
        <v>17443.612139932375</v>
      </c>
      <c r="O41" s="24">
        <f>Assumptions!$C$11</f>
        <v>17443.612139932375</v>
      </c>
      <c r="P41" s="24">
        <f>Assumptions!$C$11</f>
        <v>17443.612139932375</v>
      </c>
      <c r="Q41" s="24">
        <f>Assumptions!$C$11</f>
        <v>17443.612139932375</v>
      </c>
      <c r="R41" s="24">
        <f>Assumptions!$C$11</f>
        <v>17443.612139932375</v>
      </c>
      <c r="S41" s="24">
        <f>Assumptions!$C$11</f>
        <v>17443.612139932375</v>
      </c>
      <c r="T41" s="24">
        <f>Assumptions!$C$11</f>
        <v>17443.612139932375</v>
      </c>
      <c r="U41" s="24">
        <f>Assumptions!$C$11</f>
        <v>17443.612139932375</v>
      </c>
      <c r="V41" s="24">
        <f>Assumptions!$C$11</f>
        <v>17443.612139932375</v>
      </c>
      <c r="W41" s="24">
        <f>Assumptions!$C$11</f>
        <v>17443.612139932375</v>
      </c>
      <c r="X41" s="24">
        <f>Assumptions!$C$11</f>
        <v>17443.612139932375</v>
      </c>
      <c r="Y41" s="24">
        <f>Assumptions!$C$11</f>
        <v>17443.612139932375</v>
      </c>
      <c r="Z41" s="24">
        <f>Assumptions!$C$11</f>
        <v>17443.612139932375</v>
      </c>
      <c r="AA41" s="24">
        <f>Assumptions!$C$11</f>
        <v>17443.612139932375</v>
      </c>
      <c r="AB41" s="24">
        <f>Assumptions!$C$11</f>
        <v>17443.612139932375</v>
      </c>
      <c r="AC41" s="24">
        <f>Assumptions!$C$11</f>
        <v>17443.612139932375</v>
      </c>
      <c r="AD41" s="24">
        <f>Assumptions!$C$11</f>
        <v>17443.612139932375</v>
      </c>
      <c r="AE41" s="24">
        <f>Assumptions!$C$11</f>
        <v>17443.612139932375</v>
      </c>
      <c r="AF41" s="24">
        <f>Assumptions!$C$11</f>
        <v>17443.612139932375</v>
      </c>
      <c r="AG41" s="24">
        <f>Assumptions!$C$11</f>
        <v>17443.612139932375</v>
      </c>
      <c r="AH41" s="24">
        <f>Assumptions!$C$11</f>
        <v>17443.612139932375</v>
      </c>
      <c r="AI41" s="397"/>
      <c r="AJ41" s="397"/>
      <c r="AK41" s="397"/>
      <c r="AL41" s="397"/>
      <c r="AM41" s="397"/>
      <c r="AN41" s="397"/>
      <c r="AO41" s="397"/>
      <c r="AP41" s="397"/>
      <c r="AQ41" s="397"/>
      <c r="AR41" s="397"/>
      <c r="AS41" s="397"/>
      <c r="AT41" s="397"/>
      <c r="AU41" s="397"/>
      <c r="AV41" s="397"/>
      <c r="AW41" s="397"/>
      <c r="AX41" s="397"/>
      <c r="AY41" s="397"/>
      <c r="AZ41" s="397"/>
      <c r="BA41" s="397"/>
      <c r="BB41" s="397"/>
      <c r="BC41" s="397"/>
      <c r="BD41" s="397"/>
      <c r="BE41" s="397"/>
      <c r="BF41" s="397"/>
      <c r="BG41" s="397"/>
      <c r="BH41" s="397"/>
    </row>
    <row r="42" spans="1:60">
      <c r="A42" s="24" t="s">
        <v>199</v>
      </c>
      <c r="C42" s="410">
        <f>IS!B46-CF!B24</f>
        <v>0</v>
      </c>
      <c r="D42" s="398">
        <f>IS!C46-CF!C24</f>
        <v>2459.6364754929141</v>
      </c>
      <c r="E42" s="398">
        <f>IS!D46-CF!D24</f>
        <v>796.97872882778938</v>
      </c>
      <c r="F42" s="398">
        <f>IS!E46-CF!E24</f>
        <v>1606.034005935086</v>
      </c>
      <c r="G42" s="398">
        <f>IS!F46-CF!F24</f>
        <v>1666.2754147934415</v>
      </c>
      <c r="H42" s="398">
        <f>IS!G46-CF!G24</f>
        <v>2447.8061804312611</v>
      </c>
      <c r="I42" s="398">
        <f>IS!H46-CF!H24</f>
        <v>3186.5001948122713</v>
      </c>
      <c r="J42" s="398">
        <f>IS!I46-CF!I24</f>
        <v>3587.395074595302</v>
      </c>
      <c r="K42" s="398">
        <f>IS!J46-CF!J24</f>
        <v>3795.8291186582278</v>
      </c>
      <c r="L42" s="398">
        <f>IS!K46-CF!K24</f>
        <v>3875.8517266859794</v>
      </c>
      <c r="M42" s="398">
        <f>IS!L46-CF!L24</f>
        <v>4092.6773275375454</v>
      </c>
      <c r="N42" s="398">
        <f>IS!M46-CF!M24</f>
        <v>4172.7798773075592</v>
      </c>
      <c r="O42" s="398">
        <f>IS!N46-CF!N24</f>
        <v>4398.2511799036984</v>
      </c>
      <c r="P42" s="398">
        <f>IS!O46-CF!O24</f>
        <v>4478.1739319900107</v>
      </c>
      <c r="Q42" s="398">
        <f>IS!P46-CF!P24</f>
        <v>4549.5353360195995</v>
      </c>
      <c r="R42" s="398">
        <f>IS!Q46-CF!Q24</f>
        <v>4624.0963309224253</v>
      </c>
      <c r="S42" s="398">
        <f>IS!R46-CF!R24</f>
        <v>5617.5231254582786</v>
      </c>
      <c r="T42" s="398">
        <f>IS!S46-CF!S24</f>
        <v>3687.9160653889185</v>
      </c>
      <c r="U42" s="398">
        <f>IS!T46-CF!T24</f>
        <v>-1373.3659934145608</v>
      </c>
      <c r="V42" s="398">
        <f>IS!U46-CF!U24</f>
        <v>-1373.3659934145599</v>
      </c>
      <c r="W42" s="398">
        <f>IS!V46-CF!V24</f>
        <v>-1373.3659934145589</v>
      </c>
      <c r="X42" s="398">
        <f>IS!W46-CF!W24</f>
        <v>-1373.3659934145599</v>
      </c>
      <c r="Y42" s="398">
        <f>IS!X46-CF!X24</f>
        <v>-1373.3659934145589</v>
      </c>
      <c r="Z42" s="398">
        <f>IS!Y46-CF!Y24</f>
        <v>-1373.3659934145589</v>
      </c>
      <c r="AA42" s="398">
        <f>IS!Z46-CF!Z24</f>
        <v>-1373.3659934145599</v>
      </c>
      <c r="AB42" s="398">
        <f>IS!AA46-CF!AA24</f>
        <v>-1373.3659934145589</v>
      </c>
      <c r="AC42" s="398">
        <f>IS!AB46-CF!AB24</f>
        <v>-1373.3659934145599</v>
      </c>
      <c r="AD42" s="398">
        <f>IS!AC46-CF!AC24</f>
        <v>-1373.3659934145599</v>
      </c>
      <c r="AE42" s="398">
        <f>IS!AD46-CF!AD24</f>
        <v>-1373.3659934145599</v>
      </c>
      <c r="AF42" s="398">
        <f>IS!AE46-CF!AE24</f>
        <v>-1373.3659934145599</v>
      </c>
      <c r="AG42" s="398">
        <f>IS!AF46-CF!AF24</f>
        <v>-1373.3659934145599</v>
      </c>
      <c r="AH42" s="398">
        <f>IS!AG46-CF!AG24</f>
        <v>-457.78866447152041</v>
      </c>
      <c r="AI42" s="397"/>
      <c r="AJ42" s="397"/>
      <c r="AK42" s="397"/>
      <c r="AL42" s="397"/>
      <c r="AM42" s="397"/>
      <c r="AN42" s="397"/>
      <c r="AO42" s="397"/>
      <c r="AP42" s="397"/>
      <c r="AQ42" s="397"/>
      <c r="AR42" s="397"/>
      <c r="AS42" s="397"/>
      <c r="AT42" s="397"/>
      <c r="AU42" s="397"/>
      <c r="AV42" s="397"/>
      <c r="AW42" s="397"/>
      <c r="AX42" s="397"/>
      <c r="AY42" s="397"/>
      <c r="AZ42" s="397"/>
      <c r="BA42" s="397"/>
      <c r="BB42" s="397"/>
      <c r="BC42" s="397"/>
      <c r="BD42" s="397"/>
      <c r="BE42" s="397"/>
      <c r="BF42" s="397"/>
      <c r="BG42" s="397"/>
      <c r="BH42" s="397"/>
    </row>
    <row r="43" spans="1:60">
      <c r="A43" s="24" t="s">
        <v>200</v>
      </c>
      <c r="C43" s="411">
        <f>SUM(C41:C42)</f>
        <v>17443.612139932375</v>
      </c>
      <c r="D43" s="24">
        <f>SUM(D41:D42)</f>
        <v>19903.248615425287</v>
      </c>
      <c r="E43" s="24">
        <f t="shared" ref="E43:AH43" si="5">SUM(E41:E42)</f>
        <v>18240.590868760162</v>
      </c>
      <c r="F43" s="24">
        <f t="shared" si="5"/>
        <v>19049.64614586746</v>
      </c>
      <c r="G43" s="24">
        <f t="shared" si="5"/>
        <v>19109.887554725818</v>
      </c>
      <c r="H43" s="24">
        <f t="shared" si="5"/>
        <v>19891.418320363635</v>
      </c>
      <c r="I43" s="24">
        <f t="shared" si="5"/>
        <v>20630.112334744645</v>
      </c>
      <c r="J43" s="24">
        <f t="shared" si="5"/>
        <v>21031.007214527675</v>
      </c>
      <c r="K43" s="24">
        <f t="shared" si="5"/>
        <v>21239.441258590603</v>
      </c>
      <c r="L43" s="24">
        <f t="shared" si="5"/>
        <v>21319.463866618353</v>
      </c>
      <c r="M43" s="24">
        <f t="shared" si="5"/>
        <v>21536.28946746992</v>
      </c>
      <c r="N43" s="24">
        <f t="shared" si="5"/>
        <v>21616.392017239934</v>
      </c>
      <c r="O43" s="24">
        <f t="shared" si="5"/>
        <v>21841.863319836073</v>
      </c>
      <c r="P43" s="24">
        <f t="shared" si="5"/>
        <v>21921.786071922386</v>
      </c>
      <c r="Q43" s="24">
        <f t="shared" si="5"/>
        <v>21993.147475951973</v>
      </c>
      <c r="R43" s="24">
        <f t="shared" si="5"/>
        <v>22067.708470854799</v>
      </c>
      <c r="S43" s="24">
        <f t="shared" si="5"/>
        <v>23061.135265390654</v>
      </c>
      <c r="T43" s="24">
        <f t="shared" si="5"/>
        <v>21131.528205321294</v>
      </c>
      <c r="U43" s="24">
        <f t="shared" si="5"/>
        <v>16070.246146517813</v>
      </c>
      <c r="V43" s="24">
        <f t="shared" si="5"/>
        <v>16070.246146517815</v>
      </c>
      <c r="W43" s="24">
        <f t="shared" si="5"/>
        <v>16070.246146517817</v>
      </c>
      <c r="X43" s="24">
        <f t="shared" si="5"/>
        <v>16070.246146517815</v>
      </c>
      <c r="Y43" s="24">
        <f t="shared" si="5"/>
        <v>16070.246146517817</v>
      </c>
      <c r="Z43" s="24">
        <f t="shared" si="5"/>
        <v>16070.246146517817</v>
      </c>
      <c r="AA43" s="24">
        <f t="shared" si="5"/>
        <v>16070.246146517815</v>
      </c>
      <c r="AB43" s="24">
        <f t="shared" si="5"/>
        <v>16070.246146517817</v>
      </c>
      <c r="AC43" s="24">
        <f t="shared" si="5"/>
        <v>16070.246146517815</v>
      </c>
      <c r="AD43" s="24">
        <f t="shared" si="5"/>
        <v>16070.246146517815</v>
      </c>
      <c r="AE43" s="24">
        <f t="shared" si="5"/>
        <v>16070.246146517815</v>
      </c>
      <c r="AF43" s="24">
        <f t="shared" si="5"/>
        <v>16070.246146517815</v>
      </c>
      <c r="AG43" s="24">
        <f t="shared" si="5"/>
        <v>16070.246146517815</v>
      </c>
      <c r="AH43" s="24">
        <f t="shared" si="5"/>
        <v>16985.823475460853</v>
      </c>
      <c r="AI43" s="397"/>
      <c r="AJ43" s="397"/>
      <c r="AK43" s="397"/>
      <c r="AL43" s="397"/>
      <c r="AM43" s="397"/>
      <c r="AN43" s="397"/>
      <c r="AO43" s="397"/>
      <c r="AP43" s="397"/>
      <c r="AQ43" s="397"/>
      <c r="AR43" s="397"/>
      <c r="AS43" s="397"/>
      <c r="AT43" s="397"/>
      <c r="AU43" s="397"/>
      <c r="AV43" s="397"/>
      <c r="AW43" s="397"/>
      <c r="AX43" s="397"/>
      <c r="AY43" s="397"/>
      <c r="AZ43" s="397"/>
      <c r="BA43" s="397"/>
      <c r="BB43" s="397"/>
      <c r="BC43" s="397"/>
      <c r="BD43" s="397"/>
      <c r="BE43" s="397"/>
      <c r="BF43" s="397"/>
      <c r="BG43" s="397"/>
      <c r="BH43" s="397"/>
    </row>
    <row r="44" spans="1:60">
      <c r="A44" s="13"/>
      <c r="B44" s="13"/>
      <c r="C44" s="411"/>
      <c r="D44" s="24"/>
      <c r="E44" s="24"/>
      <c r="F44" s="400"/>
      <c r="G44" s="397"/>
      <c r="H44" s="397"/>
      <c r="I44" s="397"/>
      <c r="J44" s="397"/>
      <c r="K44" s="397"/>
      <c r="L44" s="397"/>
      <c r="M44" s="397"/>
      <c r="N44" s="397"/>
      <c r="O44" s="397"/>
      <c r="P44" s="397"/>
      <c r="Q44" s="397"/>
      <c r="R44" s="397"/>
      <c r="S44" s="397"/>
      <c r="T44" s="397"/>
      <c r="U44" s="397"/>
      <c r="V44" s="397"/>
      <c r="W44" s="397"/>
      <c r="X44" s="397"/>
      <c r="Y44" s="397"/>
      <c r="Z44" s="172"/>
      <c r="AA44" s="172"/>
      <c r="AB44" s="397"/>
      <c r="AC44" s="397"/>
      <c r="AD44" s="397"/>
      <c r="AE44" s="397"/>
      <c r="AF44" s="397"/>
      <c r="AG44" s="397"/>
      <c r="AH44" s="397"/>
      <c r="AI44" s="397"/>
      <c r="AJ44" s="397"/>
      <c r="AK44" s="397"/>
      <c r="AL44" s="397"/>
      <c r="AM44" s="397"/>
      <c r="AN44" s="397"/>
      <c r="AO44" s="397"/>
      <c r="AP44" s="397"/>
      <c r="AQ44" s="397"/>
      <c r="AR44" s="397"/>
      <c r="AS44" s="397"/>
      <c r="AT44" s="397"/>
      <c r="AU44" s="397"/>
      <c r="AV44" s="397"/>
      <c r="AW44" s="397"/>
      <c r="AX44" s="397"/>
      <c r="AY44" s="397"/>
      <c r="AZ44" s="397"/>
      <c r="BA44" s="397"/>
      <c r="BB44" s="397"/>
      <c r="BC44" s="397"/>
      <c r="BD44" s="397"/>
      <c r="BE44" s="397"/>
      <c r="BF44" s="397"/>
      <c r="BG44" s="397"/>
      <c r="BH44" s="397"/>
    </row>
    <row r="45" spans="1:60">
      <c r="A45" s="155" t="s">
        <v>201</v>
      </c>
      <c r="B45" s="13"/>
      <c r="C45" s="411">
        <f>C43+C37</f>
        <v>79110.214734742767</v>
      </c>
      <c r="D45" s="24" t="e">
        <f>D43+D37</f>
        <v>#REF!</v>
      </c>
      <c r="E45" s="24" t="e">
        <f t="shared" ref="E45:AH45" si="6">E43+E37</f>
        <v>#REF!</v>
      </c>
      <c r="F45" s="24" t="e">
        <f t="shared" si="6"/>
        <v>#REF!</v>
      </c>
      <c r="G45" s="24" t="e">
        <f t="shared" si="6"/>
        <v>#REF!</v>
      </c>
      <c r="H45" s="24" t="e">
        <f t="shared" si="6"/>
        <v>#REF!</v>
      </c>
      <c r="I45" s="24" t="e">
        <f t="shared" si="6"/>
        <v>#REF!</v>
      </c>
      <c r="J45" s="24" t="e">
        <f t="shared" si="6"/>
        <v>#REF!</v>
      </c>
      <c r="K45" s="24" t="e">
        <f t="shared" si="6"/>
        <v>#REF!</v>
      </c>
      <c r="L45" s="24" t="e">
        <f t="shared" si="6"/>
        <v>#REF!</v>
      </c>
      <c r="M45" s="24" t="e">
        <f t="shared" si="6"/>
        <v>#REF!</v>
      </c>
      <c r="N45" s="24" t="e">
        <f t="shared" si="6"/>
        <v>#REF!</v>
      </c>
      <c r="O45" s="24" t="e">
        <f t="shared" si="6"/>
        <v>#REF!</v>
      </c>
      <c r="P45" s="24" t="e">
        <f t="shared" si="6"/>
        <v>#REF!</v>
      </c>
      <c r="Q45" s="24" t="e">
        <f t="shared" si="6"/>
        <v>#REF!</v>
      </c>
      <c r="R45" s="24" t="e">
        <f t="shared" si="6"/>
        <v>#REF!</v>
      </c>
      <c r="S45" s="24" t="e">
        <f t="shared" si="6"/>
        <v>#REF!</v>
      </c>
      <c r="T45" s="24" t="e">
        <f t="shared" si="6"/>
        <v>#REF!</v>
      </c>
      <c r="U45" s="24" t="e">
        <f t="shared" si="6"/>
        <v>#REF!</v>
      </c>
      <c r="V45" s="24" t="e">
        <f t="shared" si="6"/>
        <v>#REF!</v>
      </c>
      <c r="W45" s="24" t="e">
        <f t="shared" si="6"/>
        <v>#REF!</v>
      </c>
      <c r="X45" s="24" t="e">
        <f t="shared" si="6"/>
        <v>#REF!</v>
      </c>
      <c r="Y45" s="24" t="e">
        <f t="shared" si="6"/>
        <v>#REF!</v>
      </c>
      <c r="Z45" s="24" t="e">
        <f t="shared" si="6"/>
        <v>#REF!</v>
      </c>
      <c r="AA45" s="24" t="e">
        <f t="shared" si="6"/>
        <v>#REF!</v>
      </c>
      <c r="AB45" s="24" t="e">
        <f t="shared" si="6"/>
        <v>#REF!</v>
      </c>
      <c r="AC45" s="24" t="e">
        <f t="shared" si="6"/>
        <v>#REF!</v>
      </c>
      <c r="AD45" s="24" t="e">
        <f t="shared" si="6"/>
        <v>#REF!</v>
      </c>
      <c r="AE45" s="24" t="e">
        <f t="shared" si="6"/>
        <v>#REF!</v>
      </c>
      <c r="AF45" s="24" t="e">
        <f t="shared" si="6"/>
        <v>#REF!</v>
      </c>
      <c r="AG45" s="24" t="e">
        <f t="shared" si="6"/>
        <v>#REF!</v>
      </c>
      <c r="AH45" s="24" t="e">
        <f t="shared" si="6"/>
        <v>#REF!</v>
      </c>
      <c r="AI45" s="397"/>
      <c r="AJ45" s="397"/>
      <c r="AK45" s="397"/>
      <c r="AL45" s="397"/>
      <c r="AM45" s="397"/>
      <c r="AN45" s="397"/>
      <c r="AO45" s="397"/>
      <c r="AP45" s="397"/>
      <c r="AQ45" s="397"/>
      <c r="AR45" s="397"/>
      <c r="AS45" s="397"/>
      <c r="AT45" s="397"/>
      <c r="AU45" s="397"/>
      <c r="AV45" s="397"/>
      <c r="AW45" s="397"/>
      <c r="AX45" s="397"/>
      <c r="AY45" s="397"/>
      <c r="AZ45" s="397"/>
      <c r="BA45" s="397"/>
      <c r="BB45" s="397"/>
      <c r="BC45" s="397"/>
      <c r="BD45" s="397"/>
      <c r="BE45" s="397"/>
      <c r="BF45" s="397"/>
      <c r="BG45" s="397"/>
      <c r="BH45" s="397"/>
    </row>
    <row r="46" spans="1:60">
      <c r="A46" s="24"/>
      <c r="B46" s="13"/>
      <c r="C46" s="411"/>
      <c r="D46" s="24"/>
      <c r="E46" s="24"/>
      <c r="F46" s="400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172"/>
      <c r="AA46" s="172"/>
      <c r="AB46" s="397"/>
      <c r="AC46" s="397"/>
      <c r="AD46" s="397"/>
      <c r="AE46" s="397"/>
      <c r="AF46" s="397"/>
      <c r="AG46" s="397"/>
      <c r="AH46" s="397"/>
      <c r="AI46" s="397"/>
      <c r="AJ46" s="397"/>
      <c r="AK46" s="397"/>
      <c r="AL46" s="397"/>
      <c r="AM46" s="397"/>
      <c r="AN46" s="397"/>
      <c r="AO46" s="397"/>
      <c r="AP46" s="397"/>
      <c r="AQ46" s="397"/>
      <c r="AR46" s="397"/>
      <c r="AS46" s="397"/>
      <c r="AT46" s="397"/>
      <c r="AU46" s="397"/>
      <c r="AV46" s="397"/>
      <c r="AW46" s="397"/>
      <c r="AX46" s="397"/>
      <c r="AY46" s="397"/>
      <c r="AZ46" s="397"/>
      <c r="BA46" s="397"/>
      <c r="BB46" s="397"/>
      <c r="BC46" s="397"/>
      <c r="BD46" s="397"/>
      <c r="BE46" s="397"/>
      <c r="BF46" s="397"/>
      <c r="BG46" s="397"/>
      <c r="BH46" s="397"/>
    </row>
    <row r="47" spans="1:60">
      <c r="A47" s="155" t="s">
        <v>202</v>
      </c>
      <c r="B47" s="13"/>
      <c r="C47" s="411">
        <f>C25-C45</f>
        <v>0</v>
      </c>
      <c r="D47" s="24" t="e">
        <f>D25-D45</f>
        <v>#REF!</v>
      </c>
      <c r="E47" s="24" t="e">
        <f t="shared" ref="E47:AH47" si="7">E25-E45</f>
        <v>#REF!</v>
      </c>
      <c r="F47" s="24" t="e">
        <f t="shared" si="7"/>
        <v>#REF!</v>
      </c>
      <c r="G47" s="24" t="e">
        <f t="shared" si="7"/>
        <v>#REF!</v>
      </c>
      <c r="H47" s="24" t="e">
        <f t="shared" si="7"/>
        <v>#REF!</v>
      </c>
      <c r="I47" s="24" t="e">
        <f t="shared" si="7"/>
        <v>#REF!</v>
      </c>
      <c r="J47" s="24" t="e">
        <f t="shared" si="7"/>
        <v>#REF!</v>
      </c>
      <c r="K47" s="24" t="e">
        <f t="shared" si="7"/>
        <v>#REF!</v>
      </c>
      <c r="L47" s="24" t="e">
        <f t="shared" si="7"/>
        <v>#REF!</v>
      </c>
      <c r="M47" s="24" t="e">
        <f t="shared" si="7"/>
        <v>#REF!</v>
      </c>
      <c r="N47" s="24" t="e">
        <f t="shared" si="7"/>
        <v>#REF!</v>
      </c>
      <c r="O47" s="24" t="e">
        <f t="shared" si="7"/>
        <v>#REF!</v>
      </c>
      <c r="P47" s="24" t="e">
        <f t="shared" si="7"/>
        <v>#REF!</v>
      </c>
      <c r="Q47" s="24" t="e">
        <f t="shared" si="7"/>
        <v>#REF!</v>
      </c>
      <c r="R47" s="24" t="e">
        <f t="shared" si="7"/>
        <v>#REF!</v>
      </c>
      <c r="S47" s="24" t="e">
        <f t="shared" si="7"/>
        <v>#REF!</v>
      </c>
      <c r="T47" s="24" t="e">
        <f t="shared" si="7"/>
        <v>#REF!</v>
      </c>
      <c r="U47" s="24" t="e">
        <f t="shared" si="7"/>
        <v>#REF!</v>
      </c>
      <c r="V47" s="24" t="e">
        <f t="shared" si="7"/>
        <v>#REF!</v>
      </c>
      <c r="W47" s="24" t="e">
        <f t="shared" si="7"/>
        <v>#REF!</v>
      </c>
      <c r="X47" s="24" t="e">
        <f t="shared" si="7"/>
        <v>#REF!</v>
      </c>
      <c r="Y47" s="24" t="e">
        <f t="shared" si="7"/>
        <v>#REF!</v>
      </c>
      <c r="Z47" s="24" t="e">
        <f t="shared" si="7"/>
        <v>#REF!</v>
      </c>
      <c r="AA47" s="24" t="e">
        <f t="shared" si="7"/>
        <v>#REF!</v>
      </c>
      <c r="AB47" s="24" t="e">
        <f t="shared" si="7"/>
        <v>#REF!</v>
      </c>
      <c r="AC47" s="24" t="e">
        <f t="shared" si="7"/>
        <v>#REF!</v>
      </c>
      <c r="AD47" s="24" t="e">
        <f t="shared" si="7"/>
        <v>#REF!</v>
      </c>
      <c r="AE47" s="24" t="e">
        <f t="shared" si="7"/>
        <v>#REF!</v>
      </c>
      <c r="AF47" s="24" t="e">
        <f t="shared" si="7"/>
        <v>#REF!</v>
      </c>
      <c r="AG47" s="24" t="e">
        <f t="shared" si="7"/>
        <v>#REF!</v>
      </c>
      <c r="AH47" s="24" t="e">
        <f t="shared" si="7"/>
        <v>#REF!</v>
      </c>
      <c r="AI47" s="397"/>
      <c r="AJ47" s="397"/>
      <c r="AK47" s="397"/>
      <c r="AL47" s="397"/>
      <c r="AM47" s="397"/>
      <c r="AN47" s="397"/>
      <c r="AO47" s="397"/>
      <c r="AP47" s="397"/>
      <c r="AQ47" s="397"/>
      <c r="AR47" s="397"/>
      <c r="AS47" s="397"/>
      <c r="AT47" s="397"/>
      <c r="AU47" s="397"/>
      <c r="AV47" s="397"/>
      <c r="AW47" s="397"/>
      <c r="AX47" s="397"/>
      <c r="AY47" s="397"/>
      <c r="AZ47" s="397"/>
      <c r="BA47" s="397"/>
      <c r="BB47" s="397"/>
      <c r="BC47" s="397"/>
      <c r="BD47" s="397"/>
      <c r="BE47" s="397"/>
      <c r="BF47" s="397"/>
      <c r="BG47" s="397"/>
      <c r="BH47" s="397"/>
    </row>
    <row r="48" spans="1:60">
      <c r="A48" s="13"/>
      <c r="B48" s="13"/>
      <c r="C48" s="24"/>
      <c r="D48" s="24"/>
      <c r="E48" s="24"/>
      <c r="F48" s="400"/>
      <c r="G48" s="397"/>
      <c r="H48" s="397"/>
      <c r="I48" s="397"/>
      <c r="J48" s="397"/>
      <c r="K48" s="397"/>
      <c r="L48" s="397"/>
      <c r="M48" s="397"/>
      <c r="N48" s="397"/>
      <c r="O48" s="397"/>
      <c r="P48" s="397"/>
      <c r="Q48" s="397"/>
      <c r="R48" s="397"/>
      <c r="S48" s="397"/>
      <c r="T48" s="397"/>
      <c r="U48" s="397"/>
      <c r="V48" s="397"/>
      <c r="W48" s="397"/>
      <c r="X48" s="397"/>
      <c r="Y48" s="397"/>
      <c r="Z48" s="172"/>
      <c r="AA48" s="172"/>
      <c r="AB48" s="397"/>
      <c r="AC48" s="397"/>
      <c r="AD48" s="397"/>
      <c r="AE48" s="397"/>
      <c r="AF48" s="397"/>
      <c r="AG48" s="397"/>
      <c r="AH48" s="397"/>
      <c r="AI48" s="397"/>
      <c r="AJ48" s="397"/>
      <c r="AK48" s="397"/>
      <c r="AL48" s="397"/>
      <c r="AM48" s="397"/>
      <c r="AN48" s="397"/>
      <c r="AO48" s="397"/>
      <c r="AP48" s="397"/>
      <c r="AQ48" s="397"/>
      <c r="AR48" s="397"/>
      <c r="AS48" s="397"/>
      <c r="AT48" s="397"/>
      <c r="AU48" s="397"/>
      <c r="AV48" s="397"/>
      <c r="AW48" s="397"/>
      <c r="AX48" s="397"/>
      <c r="AY48" s="397"/>
      <c r="AZ48" s="397"/>
      <c r="BA48" s="397"/>
      <c r="BB48" s="397"/>
      <c r="BC48" s="397"/>
      <c r="BD48" s="397"/>
      <c r="BE48" s="397"/>
      <c r="BF48" s="397"/>
      <c r="BG48" s="397"/>
      <c r="BH48" s="397"/>
    </row>
    <row r="49" spans="1:60">
      <c r="A49" s="13"/>
      <c r="B49" s="13"/>
      <c r="C49" s="24"/>
      <c r="D49" s="24"/>
      <c r="E49" s="24"/>
      <c r="F49" s="400"/>
      <c r="G49" s="397"/>
      <c r="H49" s="397"/>
      <c r="I49" s="397"/>
      <c r="J49" s="397"/>
      <c r="K49" s="397"/>
      <c r="L49" s="397"/>
      <c r="M49" s="397"/>
      <c r="N49" s="397"/>
      <c r="O49" s="397"/>
      <c r="P49" s="397"/>
      <c r="Q49" s="397"/>
      <c r="R49" s="397"/>
      <c r="S49" s="397"/>
      <c r="T49" s="397"/>
      <c r="U49" s="397"/>
      <c r="V49" s="397"/>
      <c r="W49" s="397"/>
      <c r="X49" s="397"/>
      <c r="Y49" s="397"/>
      <c r="Z49" s="172"/>
      <c r="AA49" s="172"/>
      <c r="AB49" s="397"/>
      <c r="AC49" s="397"/>
      <c r="AD49" s="397"/>
      <c r="AE49" s="397"/>
      <c r="AF49" s="397"/>
      <c r="AG49" s="397"/>
      <c r="AH49" s="397"/>
      <c r="AI49" s="397"/>
      <c r="AJ49" s="397"/>
      <c r="AK49" s="397"/>
      <c r="AL49" s="397"/>
      <c r="AM49" s="397"/>
      <c r="AN49" s="397"/>
      <c r="AO49" s="397"/>
      <c r="AP49" s="397"/>
      <c r="AQ49" s="397"/>
      <c r="AR49" s="397"/>
      <c r="AS49" s="397"/>
      <c r="AT49" s="397"/>
      <c r="AU49" s="397"/>
      <c r="AV49" s="397"/>
      <c r="AW49" s="397"/>
      <c r="AX49" s="397"/>
      <c r="AY49" s="397"/>
      <c r="AZ49" s="397"/>
      <c r="BA49" s="397"/>
      <c r="BB49" s="397"/>
      <c r="BC49" s="397"/>
      <c r="BD49" s="397"/>
      <c r="BE49" s="397"/>
      <c r="BF49" s="397"/>
      <c r="BG49" s="397"/>
      <c r="BH49" s="397"/>
    </row>
    <row r="50" spans="1:60">
      <c r="A50" s="13"/>
      <c r="B50" s="13"/>
      <c r="C50" s="24"/>
      <c r="D50" s="24"/>
      <c r="E50" s="24"/>
      <c r="F50" s="400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7"/>
      <c r="X50" s="397"/>
      <c r="Y50" s="397"/>
      <c r="Z50" s="172"/>
      <c r="AA50" s="172"/>
      <c r="AB50" s="397"/>
      <c r="AC50" s="397"/>
      <c r="AD50" s="397"/>
      <c r="AE50" s="397"/>
      <c r="AF50" s="397"/>
      <c r="AG50" s="397"/>
      <c r="AH50" s="397"/>
      <c r="AI50" s="397"/>
      <c r="AJ50" s="397"/>
      <c r="AK50" s="397"/>
      <c r="AL50" s="397"/>
      <c r="AM50" s="397"/>
      <c r="AN50" s="397"/>
      <c r="AO50" s="397"/>
      <c r="AP50" s="397"/>
      <c r="AQ50" s="397"/>
      <c r="AR50" s="397"/>
      <c r="AS50" s="397"/>
      <c r="AT50" s="397"/>
      <c r="AU50" s="397"/>
      <c r="AV50" s="397"/>
      <c r="AW50" s="397"/>
      <c r="AX50" s="397"/>
      <c r="AY50" s="397"/>
      <c r="AZ50" s="397"/>
      <c r="BA50" s="397"/>
      <c r="BB50" s="397"/>
      <c r="BC50" s="397"/>
      <c r="BD50" s="397"/>
      <c r="BE50" s="397"/>
      <c r="BF50" s="397"/>
      <c r="BG50" s="397"/>
      <c r="BH50" s="397"/>
    </row>
    <row r="51" spans="1:60">
      <c r="A51" s="13"/>
      <c r="B51" s="13"/>
      <c r="C51" s="24"/>
      <c r="D51" s="24"/>
      <c r="E51" s="24"/>
      <c r="F51" s="400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172"/>
      <c r="AA51" s="172"/>
      <c r="AB51" s="397"/>
      <c r="AC51" s="397"/>
      <c r="AD51" s="397"/>
      <c r="AE51" s="397"/>
      <c r="AF51" s="397"/>
      <c r="AG51" s="397"/>
      <c r="AH51" s="397"/>
      <c r="AI51" s="397"/>
      <c r="AJ51" s="397"/>
      <c r="AK51" s="397"/>
      <c r="AL51" s="397"/>
      <c r="AM51" s="397"/>
      <c r="AN51" s="397"/>
      <c r="AO51" s="397"/>
      <c r="AP51" s="397"/>
      <c r="AQ51" s="397"/>
      <c r="AR51" s="397"/>
      <c r="AS51" s="397"/>
      <c r="AT51" s="397"/>
      <c r="AU51" s="397"/>
      <c r="AV51" s="397"/>
      <c r="AW51" s="397"/>
      <c r="AX51" s="397"/>
      <c r="AY51" s="397"/>
      <c r="AZ51" s="397"/>
      <c r="BA51" s="397"/>
      <c r="BB51" s="397"/>
      <c r="BC51" s="397"/>
      <c r="BD51" s="397"/>
      <c r="BE51" s="397"/>
      <c r="BF51" s="397"/>
      <c r="BG51" s="397"/>
      <c r="BH51" s="397"/>
    </row>
    <row r="52" spans="1:60">
      <c r="A52" s="13"/>
      <c r="B52" s="13"/>
      <c r="C52" s="24"/>
      <c r="D52" s="24"/>
      <c r="E52" s="24"/>
      <c r="F52" s="400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172"/>
      <c r="AA52" s="172"/>
      <c r="AB52" s="397"/>
      <c r="AC52" s="397"/>
      <c r="AD52" s="397"/>
      <c r="AE52" s="397"/>
      <c r="AF52" s="397"/>
      <c r="AG52" s="397"/>
      <c r="AH52" s="397"/>
      <c r="AI52" s="397"/>
      <c r="AJ52" s="397"/>
      <c r="AK52" s="397"/>
      <c r="AL52" s="397"/>
      <c r="AM52" s="397"/>
      <c r="AN52" s="397"/>
      <c r="AO52" s="397"/>
      <c r="AP52" s="397"/>
      <c r="AQ52" s="397"/>
      <c r="AR52" s="397"/>
      <c r="AS52" s="397"/>
      <c r="AT52" s="397"/>
      <c r="AU52" s="397"/>
      <c r="AV52" s="397"/>
      <c r="AW52" s="397"/>
      <c r="AX52" s="397"/>
      <c r="AY52" s="397"/>
      <c r="AZ52" s="397"/>
      <c r="BA52" s="397"/>
      <c r="BB52" s="397"/>
      <c r="BC52" s="397"/>
      <c r="BD52" s="397"/>
      <c r="BE52" s="397"/>
      <c r="BF52" s="397"/>
      <c r="BG52" s="397"/>
      <c r="BH52" s="397"/>
    </row>
    <row r="53" spans="1:60">
      <c r="A53" s="13"/>
      <c r="B53" s="13"/>
      <c r="C53" s="24"/>
      <c r="D53" s="24"/>
      <c r="E53" s="24"/>
      <c r="F53" s="400"/>
      <c r="G53" s="397"/>
      <c r="H53" s="397"/>
      <c r="I53" s="397"/>
      <c r="J53" s="397"/>
      <c r="K53" s="397"/>
      <c r="L53" s="397"/>
      <c r="M53" s="397"/>
      <c r="N53" s="397"/>
      <c r="O53" s="397"/>
      <c r="P53" s="397"/>
      <c r="Q53" s="397"/>
      <c r="R53" s="397"/>
      <c r="S53" s="397"/>
      <c r="T53" s="397"/>
      <c r="U53" s="397"/>
      <c r="V53" s="397"/>
      <c r="W53" s="397"/>
      <c r="X53" s="397"/>
      <c r="Y53" s="397"/>
      <c r="Z53" s="172"/>
      <c r="AA53" s="172"/>
      <c r="AB53" s="397"/>
      <c r="AC53" s="397"/>
      <c r="AD53" s="397"/>
      <c r="AE53" s="397"/>
      <c r="AF53" s="397"/>
      <c r="AG53" s="397"/>
      <c r="AH53" s="397"/>
      <c r="AI53" s="397"/>
      <c r="AJ53" s="397"/>
      <c r="AK53" s="397"/>
      <c r="AL53" s="397"/>
      <c r="AM53" s="397"/>
      <c r="AN53" s="397"/>
      <c r="AO53" s="397"/>
      <c r="AP53" s="397"/>
      <c r="AQ53" s="397"/>
      <c r="AR53" s="397"/>
      <c r="AS53" s="397"/>
      <c r="AT53" s="397"/>
      <c r="AU53" s="397"/>
      <c r="AV53" s="397"/>
      <c r="AW53" s="397"/>
      <c r="AX53" s="397"/>
      <c r="AY53" s="397"/>
      <c r="AZ53" s="397"/>
      <c r="BA53" s="397"/>
      <c r="BB53" s="397"/>
      <c r="BC53" s="397"/>
      <c r="BD53" s="397"/>
      <c r="BE53" s="397"/>
      <c r="BF53" s="397"/>
      <c r="BG53" s="397"/>
      <c r="BH53" s="397"/>
    </row>
    <row r="54" spans="1:60">
      <c r="A54" s="13"/>
      <c r="B54" s="13"/>
      <c r="C54" s="24"/>
      <c r="D54" s="24"/>
      <c r="E54" s="24"/>
      <c r="F54" s="400"/>
      <c r="G54" s="397"/>
      <c r="H54" s="397"/>
      <c r="I54" s="397"/>
      <c r="J54" s="397"/>
      <c r="K54" s="397"/>
      <c r="L54" s="397"/>
      <c r="M54" s="397"/>
      <c r="N54" s="397"/>
      <c r="O54" s="397"/>
      <c r="P54" s="397"/>
      <c r="Q54" s="397"/>
      <c r="R54" s="397"/>
      <c r="S54" s="397"/>
      <c r="T54" s="397"/>
      <c r="U54" s="397"/>
      <c r="V54" s="397"/>
      <c r="W54" s="397"/>
      <c r="X54" s="397"/>
      <c r="Y54" s="397"/>
      <c r="Z54" s="172"/>
      <c r="AA54" s="172"/>
      <c r="AB54" s="397"/>
      <c r="AC54" s="397"/>
      <c r="AD54" s="397"/>
      <c r="AE54" s="397"/>
      <c r="AF54" s="397"/>
      <c r="AG54" s="397"/>
      <c r="AH54" s="397"/>
      <c r="AI54" s="397"/>
      <c r="AJ54" s="397"/>
      <c r="AK54" s="397"/>
      <c r="AL54" s="397"/>
      <c r="AM54" s="397"/>
      <c r="AN54" s="397"/>
      <c r="AO54" s="397"/>
      <c r="AP54" s="397"/>
      <c r="AQ54" s="397"/>
      <c r="AR54" s="397"/>
      <c r="AS54" s="397"/>
      <c r="AT54" s="397"/>
      <c r="AU54" s="397"/>
      <c r="AV54" s="397"/>
      <c r="AW54" s="397"/>
      <c r="AX54" s="397"/>
      <c r="AY54" s="397"/>
      <c r="AZ54" s="397"/>
      <c r="BA54" s="397"/>
      <c r="BB54" s="397"/>
      <c r="BC54" s="397"/>
      <c r="BD54" s="397"/>
      <c r="BE54" s="397"/>
      <c r="BF54" s="397"/>
      <c r="BG54" s="397"/>
      <c r="BH54" s="397"/>
    </row>
    <row r="55" spans="1:60">
      <c r="A55" s="13"/>
      <c r="B55" s="208"/>
      <c r="C55" s="400"/>
      <c r="D55" s="400"/>
      <c r="E55" s="400"/>
      <c r="F55" s="400"/>
      <c r="G55" s="397"/>
      <c r="H55" s="397"/>
      <c r="I55" s="397"/>
      <c r="J55" s="397"/>
      <c r="K55" s="397"/>
      <c r="L55" s="397"/>
      <c r="M55" s="397"/>
      <c r="N55" s="397"/>
      <c r="O55" s="397"/>
      <c r="P55" s="397"/>
      <c r="Q55" s="397"/>
      <c r="R55" s="397"/>
      <c r="S55" s="397"/>
      <c r="T55" s="397"/>
      <c r="U55" s="397"/>
      <c r="V55" s="397"/>
      <c r="W55" s="397"/>
      <c r="X55" s="397"/>
      <c r="Y55" s="397"/>
      <c r="Z55" s="172"/>
      <c r="AA55" s="172"/>
      <c r="AB55" s="397"/>
      <c r="AC55" s="397"/>
      <c r="AD55" s="397"/>
      <c r="AE55" s="397"/>
      <c r="AF55" s="397"/>
      <c r="AG55" s="397"/>
      <c r="AH55" s="397"/>
      <c r="AI55" s="397"/>
      <c r="AJ55" s="397"/>
      <c r="AK55" s="397"/>
      <c r="AL55" s="397"/>
      <c r="AM55" s="397"/>
      <c r="AN55" s="397"/>
      <c r="AO55" s="397"/>
      <c r="AP55" s="397"/>
      <c r="AQ55" s="397"/>
      <c r="AR55" s="397"/>
      <c r="AS55" s="397"/>
      <c r="AT55" s="397"/>
      <c r="AU55" s="397"/>
      <c r="AV55" s="397"/>
      <c r="AW55" s="397"/>
      <c r="AX55" s="397"/>
      <c r="AY55" s="397"/>
      <c r="AZ55" s="397"/>
      <c r="BA55" s="397"/>
      <c r="BB55" s="397"/>
      <c r="BC55" s="397"/>
      <c r="BD55" s="397"/>
      <c r="BE55" s="397"/>
      <c r="BF55" s="397"/>
      <c r="BG55" s="397"/>
      <c r="BH55" s="397"/>
    </row>
    <row r="56" spans="1:60">
      <c r="A56" s="13"/>
      <c r="B56" s="208"/>
      <c r="C56" s="400"/>
      <c r="D56" s="400"/>
      <c r="E56" s="400"/>
      <c r="F56" s="400"/>
      <c r="G56" s="397"/>
      <c r="H56" s="397"/>
      <c r="I56" s="397"/>
      <c r="J56" s="397"/>
      <c r="K56" s="397"/>
      <c r="L56" s="397"/>
      <c r="M56" s="397"/>
      <c r="N56" s="397"/>
      <c r="O56" s="397"/>
      <c r="P56" s="397"/>
      <c r="Q56" s="397"/>
      <c r="R56" s="397"/>
      <c r="S56" s="397"/>
      <c r="T56" s="397"/>
      <c r="U56" s="397"/>
      <c r="V56" s="397"/>
      <c r="W56" s="397"/>
      <c r="X56" s="397"/>
      <c r="Y56" s="397"/>
      <c r="Z56" s="172"/>
      <c r="AA56" s="172"/>
      <c r="AB56" s="397"/>
      <c r="AC56" s="397"/>
      <c r="AD56" s="397"/>
      <c r="AE56" s="397"/>
      <c r="AF56" s="397"/>
      <c r="AG56" s="397"/>
      <c r="AH56" s="397"/>
      <c r="AI56" s="397"/>
      <c r="AJ56" s="397"/>
      <c r="AK56" s="397"/>
      <c r="AL56" s="397"/>
      <c r="AM56" s="397"/>
      <c r="AN56" s="397"/>
      <c r="AO56" s="397"/>
      <c r="AP56" s="397"/>
      <c r="AQ56" s="397"/>
      <c r="AR56" s="397"/>
      <c r="AS56" s="397"/>
      <c r="AT56" s="397"/>
      <c r="AU56" s="397"/>
      <c r="AV56" s="397"/>
      <c r="AW56" s="397"/>
      <c r="AX56" s="397"/>
      <c r="AY56" s="397"/>
      <c r="AZ56" s="397"/>
      <c r="BA56" s="397"/>
      <c r="BB56" s="397"/>
      <c r="BC56" s="397"/>
      <c r="BD56" s="397"/>
      <c r="BE56" s="397"/>
      <c r="BF56" s="397"/>
      <c r="BG56" s="397"/>
      <c r="BH56" s="397"/>
    </row>
    <row r="57" spans="1:60">
      <c r="A57" s="13"/>
      <c r="B57" s="208"/>
      <c r="C57" s="400"/>
      <c r="D57" s="400"/>
      <c r="E57" s="400"/>
      <c r="F57" s="400"/>
      <c r="G57" s="397"/>
      <c r="H57" s="397"/>
      <c r="I57" s="397"/>
      <c r="J57" s="397"/>
      <c r="K57" s="397"/>
      <c r="L57" s="397"/>
      <c r="M57" s="397"/>
      <c r="N57" s="397"/>
      <c r="O57" s="397"/>
      <c r="P57" s="397"/>
      <c r="Q57" s="397"/>
      <c r="R57" s="397"/>
      <c r="S57" s="397"/>
      <c r="T57" s="397"/>
      <c r="U57" s="397"/>
      <c r="V57" s="397"/>
      <c r="W57" s="397"/>
      <c r="X57" s="397"/>
      <c r="Y57" s="397"/>
      <c r="Z57" s="172"/>
      <c r="AA57" s="172"/>
      <c r="AB57" s="397"/>
      <c r="AC57" s="397"/>
      <c r="AD57" s="397"/>
      <c r="AE57" s="397"/>
      <c r="AF57" s="397"/>
      <c r="AG57" s="397"/>
      <c r="AH57" s="397"/>
      <c r="AI57" s="397"/>
      <c r="AJ57" s="397"/>
      <c r="AK57" s="397"/>
      <c r="AL57" s="397"/>
      <c r="AM57" s="397"/>
      <c r="AN57" s="397"/>
      <c r="AO57" s="397"/>
      <c r="AP57" s="397"/>
      <c r="AQ57" s="397"/>
      <c r="AR57" s="397"/>
      <c r="AS57" s="397"/>
      <c r="AT57" s="397"/>
      <c r="AU57" s="397"/>
      <c r="AV57" s="397"/>
      <c r="AW57" s="397"/>
      <c r="AX57" s="397"/>
      <c r="AY57" s="397"/>
      <c r="AZ57" s="397"/>
      <c r="BA57" s="397"/>
      <c r="BB57" s="397"/>
      <c r="BC57" s="397"/>
      <c r="BD57" s="397"/>
      <c r="BE57" s="397"/>
      <c r="BF57" s="397"/>
      <c r="BG57" s="397"/>
      <c r="BH57" s="397"/>
    </row>
    <row r="58" spans="1:60">
      <c r="A58" s="13"/>
      <c r="B58" s="208"/>
      <c r="C58" s="400"/>
      <c r="D58" s="400"/>
      <c r="E58" s="400"/>
      <c r="F58" s="400"/>
      <c r="G58" s="397"/>
      <c r="H58" s="397"/>
      <c r="I58" s="397"/>
      <c r="J58" s="397"/>
      <c r="K58" s="397"/>
      <c r="L58" s="397"/>
      <c r="M58" s="397"/>
      <c r="N58" s="397"/>
      <c r="O58" s="397"/>
      <c r="P58" s="397"/>
      <c r="Q58" s="397"/>
      <c r="R58" s="397"/>
      <c r="S58" s="397"/>
      <c r="T58" s="397"/>
      <c r="U58" s="397"/>
      <c r="V58" s="397"/>
      <c r="W58" s="397"/>
      <c r="X58" s="397"/>
      <c r="Y58" s="397"/>
      <c r="Z58" s="172"/>
      <c r="AA58" s="172"/>
      <c r="AB58" s="397"/>
      <c r="AC58" s="397"/>
      <c r="AD58" s="397"/>
      <c r="AE58" s="397"/>
      <c r="AF58" s="397"/>
      <c r="AG58" s="397"/>
      <c r="AH58" s="397"/>
      <c r="AI58" s="397"/>
      <c r="AJ58" s="397"/>
      <c r="AK58" s="397"/>
      <c r="AL58" s="397"/>
      <c r="AM58" s="397"/>
      <c r="AN58" s="397"/>
      <c r="AO58" s="397"/>
      <c r="AP58" s="397"/>
      <c r="AQ58" s="397"/>
      <c r="AR58" s="397"/>
      <c r="AS58" s="397"/>
      <c r="AT58" s="397"/>
      <c r="AU58" s="397"/>
      <c r="AV58" s="397"/>
      <c r="AW58" s="397"/>
      <c r="AX58" s="397"/>
      <c r="AY58" s="397"/>
      <c r="AZ58" s="397"/>
      <c r="BA58" s="397"/>
      <c r="BB58" s="397"/>
      <c r="BC58" s="397"/>
      <c r="BD58" s="397"/>
      <c r="BE58" s="397"/>
      <c r="BF58" s="397"/>
      <c r="BG58" s="397"/>
      <c r="BH58" s="397"/>
    </row>
    <row r="59" spans="1:60">
      <c r="A59" s="13"/>
      <c r="B59" s="208"/>
      <c r="C59" s="400"/>
      <c r="D59" s="400"/>
      <c r="E59" s="400"/>
      <c r="F59" s="400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172"/>
      <c r="AA59" s="172"/>
      <c r="AB59" s="397"/>
      <c r="AC59" s="397"/>
      <c r="AD59" s="397"/>
      <c r="AE59" s="397"/>
      <c r="AF59" s="397"/>
      <c r="AG59" s="397"/>
      <c r="AH59" s="397"/>
      <c r="AI59" s="397"/>
      <c r="AJ59" s="397"/>
      <c r="AK59" s="397"/>
      <c r="AL59" s="397"/>
      <c r="AM59" s="397"/>
      <c r="AN59" s="397"/>
      <c r="AO59" s="397"/>
      <c r="AP59" s="397"/>
      <c r="AQ59" s="397"/>
      <c r="AR59" s="397"/>
      <c r="AS59" s="397"/>
      <c r="AT59" s="397"/>
      <c r="AU59" s="397"/>
      <c r="AV59" s="397"/>
      <c r="AW59" s="397"/>
      <c r="AX59" s="397"/>
      <c r="AY59" s="397"/>
      <c r="AZ59" s="397"/>
      <c r="BA59" s="397"/>
      <c r="BB59" s="397"/>
      <c r="BC59" s="397"/>
      <c r="BD59" s="397"/>
      <c r="BE59" s="397"/>
      <c r="BF59" s="397"/>
      <c r="BG59" s="397"/>
      <c r="BH59" s="397"/>
    </row>
    <row r="60" spans="1:60">
      <c r="A60" s="13"/>
      <c r="B60" s="208"/>
      <c r="C60" s="400"/>
      <c r="D60" s="400"/>
      <c r="E60" s="400"/>
      <c r="F60" s="400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172"/>
      <c r="AA60" s="172"/>
      <c r="AB60" s="397"/>
      <c r="AC60" s="397"/>
      <c r="AD60" s="397"/>
      <c r="AE60" s="397"/>
      <c r="AF60" s="397"/>
      <c r="AG60" s="397"/>
      <c r="AH60" s="397"/>
      <c r="AI60" s="397"/>
      <c r="AJ60" s="397"/>
      <c r="AK60" s="397"/>
      <c r="AL60" s="397"/>
      <c r="AM60" s="397"/>
      <c r="AN60" s="397"/>
      <c r="AO60" s="397"/>
      <c r="AP60" s="397"/>
      <c r="AQ60" s="397"/>
      <c r="AR60" s="397"/>
      <c r="AS60" s="397"/>
      <c r="AT60" s="397"/>
      <c r="AU60" s="397"/>
      <c r="AV60" s="397"/>
      <c r="AW60" s="397"/>
      <c r="AX60" s="397"/>
      <c r="AY60" s="397"/>
    </row>
    <row r="61" spans="1:60">
      <c r="A61" s="208"/>
      <c r="B61" s="208"/>
      <c r="C61" s="400"/>
      <c r="D61" s="400"/>
      <c r="E61" s="400"/>
      <c r="F61" s="400"/>
      <c r="G61" s="397"/>
      <c r="H61" s="397"/>
      <c r="I61" s="397"/>
      <c r="J61" s="397"/>
      <c r="K61" s="397"/>
      <c r="L61" s="397"/>
      <c r="M61" s="397"/>
      <c r="N61" s="397"/>
      <c r="O61" s="397"/>
      <c r="P61" s="397"/>
      <c r="Q61" s="397"/>
      <c r="R61" s="397"/>
      <c r="S61" s="397"/>
      <c r="T61" s="397"/>
      <c r="U61" s="397"/>
      <c r="V61" s="397"/>
      <c r="W61" s="397"/>
      <c r="X61" s="397"/>
      <c r="Y61" s="397"/>
      <c r="Z61" s="172"/>
      <c r="AA61" s="172"/>
      <c r="AB61" s="397"/>
      <c r="AC61" s="397"/>
      <c r="AD61" s="397"/>
      <c r="AE61" s="397"/>
      <c r="AF61" s="397"/>
      <c r="AG61" s="397"/>
      <c r="AH61" s="397"/>
      <c r="AI61" s="397"/>
      <c r="AJ61" s="397"/>
      <c r="AK61" s="397"/>
      <c r="AL61" s="397"/>
      <c r="AM61" s="397"/>
      <c r="AN61" s="397"/>
      <c r="AO61" s="397"/>
      <c r="AP61" s="397"/>
      <c r="AQ61" s="397"/>
      <c r="AR61" s="397"/>
      <c r="AS61" s="397"/>
      <c r="AT61" s="397"/>
      <c r="AU61" s="397"/>
      <c r="AV61" s="397"/>
      <c r="AW61" s="397"/>
      <c r="AX61" s="397"/>
      <c r="AY61" s="397"/>
    </row>
    <row r="62" spans="1:60">
      <c r="C62" s="397"/>
      <c r="D62" s="397"/>
      <c r="E62" s="397"/>
      <c r="F62" s="397"/>
      <c r="G62" s="397"/>
      <c r="H62" s="397"/>
      <c r="I62" s="397"/>
      <c r="J62" s="397"/>
      <c r="K62" s="397"/>
      <c r="L62" s="397"/>
      <c r="M62" s="397"/>
      <c r="N62" s="397"/>
      <c r="O62" s="397"/>
      <c r="P62" s="397"/>
      <c r="Q62" s="397"/>
      <c r="R62" s="397"/>
      <c r="S62" s="397"/>
      <c r="T62" s="397"/>
      <c r="U62" s="397"/>
      <c r="V62" s="397"/>
      <c r="W62" s="397"/>
      <c r="X62" s="397"/>
      <c r="Y62" s="397"/>
      <c r="Z62" s="172"/>
      <c r="AA62" s="172"/>
      <c r="AB62" s="397"/>
      <c r="AC62" s="397"/>
      <c r="AD62" s="397"/>
      <c r="AE62" s="397"/>
      <c r="AF62" s="397"/>
      <c r="AG62" s="397"/>
      <c r="AH62" s="397"/>
      <c r="AI62" s="397"/>
      <c r="AJ62" s="397"/>
      <c r="AK62" s="397"/>
      <c r="AL62" s="397"/>
      <c r="AM62" s="397"/>
      <c r="AN62" s="397"/>
      <c r="AO62" s="397"/>
      <c r="AP62" s="397"/>
      <c r="AQ62" s="397"/>
      <c r="AR62" s="397"/>
      <c r="AS62" s="397"/>
      <c r="AT62" s="397"/>
      <c r="AU62" s="397"/>
      <c r="AV62" s="397"/>
      <c r="AW62" s="397"/>
      <c r="AX62" s="397"/>
      <c r="AY62" s="397"/>
    </row>
    <row r="63" spans="1:60">
      <c r="C63" s="397"/>
      <c r="D63" s="397"/>
      <c r="E63" s="397"/>
      <c r="F63" s="397"/>
      <c r="G63" s="397"/>
      <c r="H63" s="397"/>
      <c r="I63" s="397"/>
      <c r="J63" s="397"/>
      <c r="K63" s="397"/>
      <c r="L63" s="397"/>
      <c r="M63" s="397"/>
      <c r="N63" s="397"/>
      <c r="O63" s="397"/>
      <c r="P63" s="397"/>
      <c r="Q63" s="397"/>
      <c r="R63" s="397"/>
      <c r="S63" s="397"/>
      <c r="T63" s="397"/>
      <c r="U63" s="397"/>
      <c r="V63" s="397"/>
      <c r="W63" s="397"/>
      <c r="X63" s="397"/>
      <c r="Y63" s="397"/>
      <c r="Z63" s="172"/>
      <c r="AA63" s="172"/>
      <c r="AB63" s="397"/>
      <c r="AC63" s="397"/>
      <c r="AD63" s="397"/>
      <c r="AE63" s="397"/>
      <c r="AF63" s="397"/>
      <c r="AG63" s="397"/>
      <c r="AH63" s="397"/>
      <c r="AI63" s="397"/>
      <c r="AJ63" s="397"/>
      <c r="AK63" s="397"/>
      <c r="AL63" s="397"/>
      <c r="AM63" s="397"/>
      <c r="AN63" s="397"/>
      <c r="AO63" s="397"/>
      <c r="AP63" s="397"/>
      <c r="AQ63" s="397"/>
      <c r="AR63" s="397"/>
      <c r="AS63" s="397"/>
      <c r="AT63" s="397"/>
      <c r="AU63" s="397"/>
      <c r="AV63" s="397"/>
      <c r="AW63" s="397"/>
      <c r="AX63" s="397"/>
      <c r="AY63" s="397"/>
    </row>
    <row r="64" spans="1:60">
      <c r="C64" s="397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397"/>
      <c r="O64" s="397"/>
      <c r="P64" s="397"/>
      <c r="Q64" s="397"/>
      <c r="R64" s="397"/>
      <c r="S64" s="397"/>
      <c r="T64" s="397"/>
      <c r="U64" s="397"/>
      <c r="V64" s="397"/>
      <c r="W64" s="397"/>
      <c r="X64" s="397"/>
      <c r="Y64" s="397"/>
      <c r="Z64" s="172"/>
      <c r="AA64" s="172"/>
      <c r="AB64" s="397"/>
      <c r="AC64" s="397"/>
      <c r="AD64" s="397"/>
      <c r="AE64" s="397"/>
      <c r="AF64" s="397"/>
      <c r="AG64" s="397"/>
      <c r="AH64" s="397"/>
      <c r="AI64" s="397"/>
      <c r="AJ64" s="397"/>
      <c r="AK64" s="397"/>
      <c r="AL64" s="397"/>
      <c r="AM64" s="397"/>
      <c r="AN64" s="397"/>
      <c r="AO64" s="397"/>
      <c r="AP64" s="397"/>
      <c r="AQ64" s="397"/>
      <c r="AR64" s="397"/>
      <c r="AS64" s="397"/>
      <c r="AT64" s="397"/>
      <c r="AU64" s="397"/>
      <c r="AV64" s="397"/>
      <c r="AW64" s="397"/>
      <c r="AX64" s="397"/>
      <c r="AY64" s="397"/>
    </row>
    <row r="65" spans="3:51">
      <c r="C65" s="397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397"/>
      <c r="P65" s="397"/>
      <c r="Q65" s="397"/>
      <c r="R65" s="397"/>
      <c r="S65" s="397"/>
      <c r="T65" s="397"/>
      <c r="U65" s="397"/>
      <c r="V65" s="397"/>
      <c r="W65" s="397"/>
      <c r="X65" s="397"/>
      <c r="Y65" s="397"/>
      <c r="Z65" s="172"/>
      <c r="AA65" s="172"/>
      <c r="AB65" s="397"/>
      <c r="AC65" s="397"/>
      <c r="AD65" s="397"/>
      <c r="AE65" s="397"/>
      <c r="AF65" s="397"/>
      <c r="AG65" s="397"/>
      <c r="AH65" s="397"/>
      <c r="AI65" s="397"/>
      <c r="AJ65" s="397"/>
      <c r="AK65" s="397"/>
      <c r="AL65" s="397"/>
      <c r="AM65" s="397"/>
      <c r="AN65" s="397"/>
      <c r="AO65" s="397"/>
      <c r="AP65" s="397"/>
      <c r="AQ65" s="397"/>
      <c r="AR65" s="397"/>
      <c r="AS65" s="397"/>
      <c r="AT65" s="397"/>
      <c r="AU65" s="397"/>
      <c r="AV65" s="397"/>
      <c r="AW65" s="397"/>
      <c r="AX65" s="397"/>
      <c r="AY65" s="397"/>
    </row>
    <row r="66" spans="3:51">
      <c r="C66" s="397"/>
      <c r="D66" s="397"/>
      <c r="E66" s="397"/>
      <c r="F66" s="397"/>
      <c r="G66" s="397"/>
      <c r="H66" s="397"/>
      <c r="I66" s="397"/>
      <c r="J66" s="397"/>
      <c r="K66" s="397"/>
      <c r="L66" s="397"/>
      <c r="M66" s="397"/>
      <c r="N66" s="397"/>
      <c r="O66" s="397"/>
      <c r="P66" s="397"/>
      <c r="Q66" s="397"/>
      <c r="R66" s="397"/>
      <c r="S66" s="397"/>
      <c r="T66" s="397"/>
      <c r="U66" s="397"/>
      <c r="V66" s="397"/>
      <c r="W66" s="397"/>
      <c r="X66" s="397"/>
      <c r="Y66" s="397"/>
      <c r="Z66" s="172"/>
      <c r="AA66" s="172"/>
      <c r="AB66" s="397"/>
      <c r="AC66" s="397"/>
      <c r="AD66" s="397"/>
      <c r="AE66" s="397"/>
      <c r="AF66" s="397"/>
      <c r="AG66" s="397"/>
      <c r="AH66" s="397"/>
      <c r="AI66" s="397"/>
      <c r="AJ66" s="397"/>
      <c r="AK66" s="397"/>
      <c r="AL66" s="397"/>
      <c r="AM66" s="397"/>
      <c r="AN66" s="397"/>
      <c r="AO66" s="397"/>
      <c r="AP66" s="397"/>
      <c r="AQ66" s="397"/>
      <c r="AR66" s="397"/>
      <c r="AS66" s="397"/>
      <c r="AT66" s="397"/>
      <c r="AU66" s="397"/>
      <c r="AV66" s="397"/>
      <c r="AW66" s="397"/>
      <c r="AX66" s="397"/>
      <c r="AY66" s="397"/>
    </row>
    <row r="67" spans="3:51">
      <c r="C67" s="397"/>
      <c r="D67" s="397"/>
      <c r="E67" s="397"/>
      <c r="F67" s="397"/>
      <c r="G67" s="397"/>
      <c r="H67" s="397"/>
      <c r="I67" s="397"/>
      <c r="J67" s="397"/>
      <c r="K67" s="397"/>
      <c r="L67" s="397"/>
      <c r="M67" s="397"/>
      <c r="N67" s="397"/>
      <c r="O67" s="397"/>
      <c r="P67" s="397"/>
      <c r="Q67" s="397"/>
      <c r="R67" s="397"/>
      <c r="S67" s="397"/>
      <c r="T67" s="397"/>
      <c r="U67" s="397"/>
      <c r="V67" s="397"/>
      <c r="W67" s="397"/>
      <c r="X67" s="397"/>
      <c r="Y67" s="397"/>
      <c r="Z67" s="172"/>
      <c r="AA67" s="172"/>
      <c r="AB67" s="397"/>
      <c r="AC67" s="397"/>
      <c r="AD67" s="397"/>
      <c r="AE67" s="397"/>
      <c r="AF67" s="397"/>
      <c r="AG67" s="397"/>
      <c r="AH67" s="397"/>
      <c r="AI67" s="397"/>
      <c r="AJ67" s="397"/>
      <c r="AK67" s="397"/>
      <c r="AL67" s="397"/>
      <c r="AM67" s="397"/>
      <c r="AN67" s="397"/>
      <c r="AO67" s="397"/>
      <c r="AP67" s="397"/>
      <c r="AQ67" s="397"/>
      <c r="AR67" s="397"/>
      <c r="AS67" s="397"/>
      <c r="AT67" s="397"/>
      <c r="AU67" s="397"/>
      <c r="AV67" s="397"/>
      <c r="AW67" s="397"/>
      <c r="AX67" s="397"/>
      <c r="AY67" s="397"/>
    </row>
    <row r="68" spans="3:51">
      <c r="C68" s="397"/>
      <c r="D68" s="397"/>
      <c r="E68" s="397"/>
      <c r="F68" s="397"/>
      <c r="G68" s="397"/>
      <c r="H68" s="397"/>
      <c r="I68" s="397"/>
      <c r="J68" s="397"/>
      <c r="K68" s="397"/>
      <c r="L68" s="397"/>
      <c r="M68" s="397"/>
      <c r="N68" s="397"/>
      <c r="O68" s="397"/>
      <c r="P68" s="397"/>
      <c r="Q68" s="397"/>
      <c r="R68" s="397"/>
      <c r="S68" s="397"/>
      <c r="T68" s="397"/>
      <c r="U68" s="397"/>
      <c r="V68" s="397"/>
      <c r="W68" s="397"/>
      <c r="X68" s="397"/>
      <c r="Y68" s="397"/>
      <c r="Z68" s="172"/>
      <c r="AA68" s="172"/>
      <c r="AB68" s="397"/>
      <c r="AC68" s="397"/>
      <c r="AD68" s="397"/>
      <c r="AE68" s="397"/>
      <c r="AF68" s="397"/>
      <c r="AG68" s="397"/>
      <c r="AH68" s="397"/>
      <c r="AI68" s="397"/>
      <c r="AJ68" s="397"/>
      <c r="AK68" s="397"/>
      <c r="AL68" s="397"/>
      <c r="AM68" s="397"/>
      <c r="AN68" s="397"/>
      <c r="AO68" s="397"/>
      <c r="AP68" s="397"/>
      <c r="AQ68" s="397"/>
      <c r="AR68" s="397"/>
      <c r="AS68" s="397"/>
      <c r="AT68" s="397"/>
      <c r="AU68" s="397"/>
      <c r="AV68" s="397"/>
      <c r="AW68" s="397"/>
      <c r="AX68" s="397"/>
      <c r="AY68" s="397"/>
    </row>
    <row r="69" spans="3:51">
      <c r="C69" s="397"/>
      <c r="D69" s="397"/>
      <c r="E69" s="397"/>
      <c r="F69" s="397"/>
      <c r="G69" s="397"/>
      <c r="H69" s="397"/>
      <c r="I69" s="397"/>
      <c r="J69" s="397"/>
      <c r="K69" s="397"/>
      <c r="L69" s="397"/>
      <c r="M69" s="397"/>
      <c r="N69" s="397"/>
      <c r="O69" s="397"/>
      <c r="P69" s="397"/>
      <c r="Q69" s="397"/>
      <c r="R69" s="397"/>
      <c r="S69" s="397"/>
      <c r="T69" s="397"/>
      <c r="U69" s="397"/>
      <c r="V69" s="397"/>
      <c r="W69" s="397"/>
      <c r="X69" s="397"/>
      <c r="Y69" s="397"/>
      <c r="Z69" s="172"/>
      <c r="AA69" s="172"/>
      <c r="AB69" s="397"/>
      <c r="AC69" s="397"/>
      <c r="AD69" s="397"/>
      <c r="AE69" s="397"/>
      <c r="AF69" s="397"/>
      <c r="AG69" s="397"/>
      <c r="AH69" s="397"/>
      <c r="AI69" s="397"/>
      <c r="AJ69" s="397"/>
      <c r="AK69" s="397"/>
      <c r="AL69" s="397"/>
      <c r="AM69" s="397"/>
      <c r="AN69" s="397"/>
      <c r="AO69" s="397"/>
      <c r="AP69" s="397"/>
      <c r="AQ69" s="397"/>
      <c r="AR69" s="397"/>
      <c r="AS69" s="397"/>
      <c r="AT69" s="397"/>
      <c r="AU69" s="397"/>
      <c r="AV69" s="397"/>
      <c r="AW69" s="397"/>
      <c r="AX69" s="397"/>
      <c r="AY69" s="397"/>
    </row>
    <row r="70" spans="3:51">
      <c r="C70" s="397"/>
      <c r="D70" s="397"/>
      <c r="E70" s="397"/>
      <c r="F70" s="397"/>
      <c r="G70" s="397"/>
      <c r="H70" s="397"/>
      <c r="I70" s="397"/>
      <c r="J70" s="397"/>
      <c r="K70" s="397"/>
      <c r="L70" s="397"/>
      <c r="M70" s="397"/>
      <c r="N70" s="397"/>
      <c r="O70" s="397"/>
      <c r="P70" s="397"/>
      <c r="Q70" s="397"/>
      <c r="R70" s="397"/>
      <c r="S70" s="397"/>
      <c r="T70" s="397"/>
      <c r="U70" s="397"/>
      <c r="V70" s="397"/>
      <c r="W70" s="397"/>
      <c r="X70" s="397"/>
      <c r="Y70" s="397"/>
      <c r="Z70" s="172"/>
      <c r="AA70" s="172"/>
      <c r="AB70" s="397"/>
      <c r="AC70" s="397"/>
      <c r="AD70" s="397"/>
      <c r="AE70" s="397"/>
      <c r="AF70" s="397"/>
      <c r="AG70" s="397"/>
      <c r="AH70" s="397"/>
      <c r="AI70" s="397"/>
      <c r="AJ70" s="397"/>
      <c r="AK70" s="397"/>
      <c r="AL70" s="397"/>
      <c r="AM70" s="397"/>
      <c r="AN70" s="397"/>
      <c r="AO70" s="397"/>
      <c r="AP70" s="397"/>
      <c r="AQ70" s="397"/>
      <c r="AR70" s="397"/>
      <c r="AS70" s="397"/>
      <c r="AT70" s="397"/>
      <c r="AU70" s="397"/>
      <c r="AV70" s="397"/>
      <c r="AW70" s="397"/>
      <c r="AX70" s="397"/>
      <c r="AY70" s="397"/>
    </row>
    <row r="71" spans="3:51">
      <c r="C71" s="397"/>
      <c r="D71" s="397"/>
      <c r="E71" s="397"/>
      <c r="F71" s="397"/>
      <c r="G71" s="397"/>
      <c r="H71" s="397"/>
      <c r="I71" s="397"/>
      <c r="J71" s="397"/>
      <c r="K71" s="397"/>
      <c r="L71" s="397"/>
      <c r="M71" s="397"/>
      <c r="N71" s="397"/>
      <c r="O71" s="397"/>
      <c r="P71" s="397"/>
      <c r="Q71" s="397"/>
      <c r="R71" s="397"/>
      <c r="S71" s="397"/>
      <c r="T71" s="397"/>
      <c r="U71" s="397"/>
      <c r="V71" s="397"/>
      <c r="W71" s="397"/>
      <c r="X71" s="397"/>
      <c r="Y71" s="397"/>
      <c r="Z71" s="172"/>
      <c r="AA71" s="172"/>
      <c r="AB71" s="397"/>
      <c r="AC71" s="397"/>
      <c r="AD71" s="397"/>
      <c r="AE71" s="397"/>
      <c r="AF71" s="397"/>
      <c r="AG71" s="397"/>
      <c r="AH71" s="397"/>
      <c r="AI71" s="397"/>
      <c r="AJ71" s="397"/>
      <c r="AK71" s="397"/>
      <c r="AL71" s="397"/>
      <c r="AM71" s="397"/>
      <c r="AN71" s="397"/>
      <c r="AO71" s="397"/>
      <c r="AP71" s="397"/>
      <c r="AQ71" s="397"/>
      <c r="AR71" s="397"/>
      <c r="AS71" s="397"/>
      <c r="AT71" s="397"/>
      <c r="AU71" s="397"/>
      <c r="AV71" s="397"/>
      <c r="AW71" s="397"/>
      <c r="AX71" s="397"/>
      <c r="AY71" s="397"/>
    </row>
    <row r="72" spans="3:51">
      <c r="C72" s="397"/>
      <c r="D72" s="397"/>
      <c r="E72" s="397"/>
      <c r="F72" s="397"/>
      <c r="G72" s="397"/>
      <c r="H72" s="397"/>
      <c r="I72" s="397"/>
      <c r="J72" s="397"/>
      <c r="K72" s="397"/>
      <c r="L72" s="397"/>
      <c r="M72" s="397"/>
      <c r="N72" s="397"/>
      <c r="O72" s="397"/>
      <c r="P72" s="397"/>
      <c r="Q72" s="397"/>
      <c r="R72" s="397"/>
      <c r="S72" s="397"/>
      <c r="T72" s="397"/>
      <c r="U72" s="397"/>
      <c r="V72" s="397"/>
      <c r="W72" s="397"/>
      <c r="X72" s="397"/>
      <c r="Y72" s="397"/>
      <c r="Z72" s="172"/>
      <c r="AA72" s="172"/>
      <c r="AB72" s="397"/>
      <c r="AC72" s="397"/>
      <c r="AD72" s="397"/>
      <c r="AE72" s="397"/>
      <c r="AF72" s="397"/>
      <c r="AG72" s="397"/>
      <c r="AH72" s="397"/>
      <c r="AI72" s="397"/>
      <c r="AJ72" s="397"/>
      <c r="AK72" s="397"/>
      <c r="AL72" s="397"/>
      <c r="AM72" s="397"/>
      <c r="AN72" s="397"/>
      <c r="AO72" s="397"/>
      <c r="AP72" s="397"/>
      <c r="AQ72" s="397"/>
      <c r="AR72" s="397"/>
      <c r="AS72" s="397"/>
      <c r="AT72" s="397"/>
      <c r="AU72" s="397"/>
      <c r="AV72" s="397"/>
      <c r="AW72" s="397"/>
      <c r="AX72" s="397"/>
      <c r="AY72" s="397"/>
    </row>
    <row r="73" spans="3:51">
      <c r="C73" s="397"/>
      <c r="D73" s="397"/>
      <c r="E73" s="397"/>
      <c r="F73" s="397"/>
      <c r="G73" s="397"/>
      <c r="H73" s="397"/>
      <c r="I73" s="397"/>
      <c r="J73" s="397"/>
      <c r="K73" s="397"/>
      <c r="L73" s="397"/>
      <c r="M73" s="397"/>
      <c r="N73" s="397"/>
      <c r="O73" s="397"/>
      <c r="P73" s="397"/>
      <c r="Q73" s="397"/>
      <c r="R73" s="397"/>
      <c r="S73" s="397"/>
      <c r="T73" s="397"/>
      <c r="U73" s="397"/>
      <c r="V73" s="397"/>
      <c r="W73" s="397"/>
      <c r="X73" s="397"/>
      <c r="Y73" s="397"/>
      <c r="Z73" s="172"/>
      <c r="AA73" s="172"/>
      <c r="AB73" s="397"/>
      <c r="AC73" s="397"/>
      <c r="AD73" s="397"/>
      <c r="AE73" s="397"/>
      <c r="AF73" s="397"/>
      <c r="AG73" s="397"/>
      <c r="AH73" s="397"/>
      <c r="AI73" s="397"/>
      <c r="AJ73" s="397"/>
      <c r="AK73" s="397"/>
      <c r="AL73" s="397"/>
      <c r="AM73" s="397"/>
      <c r="AN73" s="397"/>
      <c r="AO73" s="397"/>
      <c r="AP73" s="397"/>
      <c r="AQ73" s="397"/>
      <c r="AR73" s="397"/>
      <c r="AS73" s="397"/>
      <c r="AT73" s="397"/>
      <c r="AU73" s="397"/>
      <c r="AV73" s="397"/>
      <c r="AW73" s="397"/>
      <c r="AX73" s="397"/>
      <c r="AY73" s="397"/>
    </row>
    <row r="74" spans="3:51">
      <c r="C74" s="397"/>
      <c r="D74" s="397"/>
      <c r="E74" s="397"/>
      <c r="F74" s="397"/>
      <c r="G74" s="397"/>
      <c r="H74" s="397"/>
      <c r="I74" s="397"/>
      <c r="J74" s="397"/>
      <c r="K74" s="397"/>
      <c r="L74" s="397"/>
      <c r="M74" s="397"/>
      <c r="N74" s="397"/>
      <c r="O74" s="397"/>
      <c r="P74" s="397"/>
      <c r="Q74" s="397"/>
      <c r="R74" s="397"/>
      <c r="S74" s="397"/>
      <c r="T74" s="397"/>
      <c r="U74" s="397"/>
      <c r="V74" s="397"/>
      <c r="W74" s="397"/>
      <c r="X74" s="397"/>
      <c r="Y74" s="397"/>
      <c r="Z74" s="172"/>
      <c r="AA74" s="172"/>
      <c r="AB74" s="397"/>
      <c r="AC74" s="397"/>
      <c r="AD74" s="397"/>
      <c r="AE74" s="397"/>
      <c r="AF74" s="397"/>
      <c r="AG74" s="397"/>
      <c r="AH74" s="397"/>
      <c r="AI74" s="397"/>
      <c r="AJ74" s="397"/>
      <c r="AK74" s="397"/>
      <c r="AL74" s="397"/>
      <c r="AM74" s="397"/>
      <c r="AN74" s="397"/>
      <c r="AO74" s="397"/>
      <c r="AP74" s="397"/>
      <c r="AQ74" s="397"/>
      <c r="AR74" s="397"/>
      <c r="AS74" s="397"/>
      <c r="AT74" s="397"/>
      <c r="AU74" s="397"/>
      <c r="AV74" s="397"/>
      <c r="AW74" s="397"/>
      <c r="AX74" s="397"/>
      <c r="AY74" s="397"/>
    </row>
    <row r="75" spans="3:51">
      <c r="C75" s="397"/>
      <c r="D75" s="397"/>
      <c r="E75" s="397"/>
      <c r="F75" s="397"/>
      <c r="G75" s="397"/>
      <c r="H75" s="397"/>
      <c r="I75" s="397"/>
      <c r="J75" s="397"/>
      <c r="K75" s="397"/>
      <c r="L75" s="397"/>
      <c r="M75" s="397"/>
      <c r="N75" s="397"/>
      <c r="O75" s="397"/>
      <c r="P75" s="397"/>
      <c r="Q75" s="397"/>
      <c r="R75" s="397"/>
      <c r="S75" s="397"/>
      <c r="T75" s="397"/>
      <c r="U75" s="397"/>
      <c r="V75" s="397"/>
      <c r="W75" s="397"/>
      <c r="X75" s="397"/>
      <c r="Y75" s="397"/>
      <c r="Z75" s="172"/>
      <c r="AA75" s="172"/>
      <c r="AB75" s="397"/>
      <c r="AC75" s="397"/>
      <c r="AD75" s="397"/>
      <c r="AE75" s="397"/>
      <c r="AF75" s="397"/>
      <c r="AG75" s="397"/>
      <c r="AH75" s="397"/>
      <c r="AI75" s="397"/>
      <c r="AJ75" s="397"/>
      <c r="AK75" s="397"/>
      <c r="AL75" s="397"/>
      <c r="AM75" s="397"/>
      <c r="AN75" s="397"/>
      <c r="AO75" s="397"/>
      <c r="AP75" s="397"/>
      <c r="AQ75" s="397"/>
      <c r="AR75" s="397"/>
      <c r="AS75" s="397"/>
      <c r="AT75" s="397"/>
      <c r="AU75" s="397"/>
      <c r="AV75" s="397"/>
      <c r="AW75" s="397"/>
      <c r="AX75" s="397"/>
      <c r="AY75" s="397"/>
    </row>
    <row r="76" spans="3:51">
      <c r="C76" s="397"/>
      <c r="D76" s="397"/>
      <c r="E76" s="397"/>
      <c r="F76" s="397"/>
      <c r="G76" s="397"/>
      <c r="H76" s="397"/>
      <c r="I76" s="397"/>
      <c r="J76" s="397"/>
      <c r="K76" s="397"/>
      <c r="L76" s="397"/>
      <c r="M76" s="397"/>
      <c r="N76" s="397"/>
      <c r="O76" s="397"/>
      <c r="P76" s="397"/>
      <c r="Q76" s="397"/>
      <c r="R76" s="397"/>
      <c r="S76" s="397"/>
      <c r="T76" s="397"/>
      <c r="U76" s="397"/>
      <c r="V76" s="397"/>
      <c r="W76" s="397"/>
      <c r="X76" s="397"/>
      <c r="Y76" s="397"/>
      <c r="Z76" s="172"/>
      <c r="AA76" s="172"/>
      <c r="AB76" s="397"/>
      <c r="AC76" s="397"/>
      <c r="AD76" s="397"/>
      <c r="AE76" s="397"/>
      <c r="AF76" s="397"/>
      <c r="AG76" s="397"/>
      <c r="AH76" s="397"/>
      <c r="AI76" s="397"/>
      <c r="AJ76" s="397"/>
      <c r="AK76" s="397"/>
      <c r="AL76" s="397"/>
      <c r="AM76" s="397"/>
      <c r="AN76" s="397"/>
      <c r="AO76" s="397"/>
      <c r="AP76" s="397"/>
      <c r="AQ76" s="397"/>
      <c r="AR76" s="397"/>
      <c r="AS76" s="397"/>
      <c r="AT76" s="397"/>
      <c r="AU76" s="397"/>
      <c r="AV76" s="397"/>
      <c r="AW76" s="397"/>
      <c r="AX76" s="397"/>
      <c r="AY76" s="397"/>
    </row>
    <row r="77" spans="3:51">
      <c r="C77" s="397"/>
      <c r="D77" s="397"/>
      <c r="E77" s="397"/>
      <c r="F77" s="397"/>
      <c r="G77" s="397"/>
      <c r="H77" s="397"/>
      <c r="I77" s="397"/>
      <c r="J77" s="397"/>
      <c r="K77" s="397"/>
      <c r="L77" s="397"/>
      <c r="M77" s="397"/>
      <c r="N77" s="397"/>
      <c r="O77" s="397"/>
      <c r="P77" s="397"/>
      <c r="Q77" s="397"/>
      <c r="R77" s="397"/>
      <c r="S77" s="397"/>
      <c r="T77" s="397"/>
      <c r="U77" s="397"/>
      <c r="V77" s="397"/>
      <c r="W77" s="397"/>
      <c r="X77" s="397"/>
      <c r="Y77" s="397"/>
      <c r="Z77" s="172"/>
      <c r="AA77" s="172"/>
      <c r="AB77" s="397"/>
      <c r="AC77" s="397"/>
      <c r="AD77" s="397"/>
      <c r="AE77" s="397"/>
      <c r="AF77" s="397"/>
      <c r="AG77" s="397"/>
      <c r="AH77" s="397"/>
      <c r="AI77" s="397"/>
      <c r="AJ77" s="397"/>
      <c r="AK77" s="397"/>
      <c r="AL77" s="397"/>
      <c r="AM77" s="397"/>
      <c r="AN77" s="397"/>
      <c r="AO77" s="397"/>
      <c r="AP77" s="397"/>
      <c r="AQ77" s="397"/>
      <c r="AR77" s="397"/>
      <c r="AS77" s="397"/>
      <c r="AT77" s="397"/>
      <c r="AU77" s="397"/>
      <c r="AV77" s="397"/>
      <c r="AW77" s="397"/>
      <c r="AX77" s="397"/>
      <c r="AY77" s="397"/>
    </row>
    <row r="78" spans="3:51">
      <c r="C78" s="397"/>
      <c r="D78" s="397"/>
      <c r="E78" s="397"/>
      <c r="F78" s="397"/>
      <c r="G78" s="397"/>
      <c r="H78" s="397"/>
      <c r="I78" s="397"/>
      <c r="J78" s="397"/>
      <c r="K78" s="397"/>
      <c r="L78" s="397"/>
      <c r="M78" s="397"/>
      <c r="N78" s="397"/>
      <c r="O78" s="397"/>
      <c r="P78" s="397"/>
      <c r="Q78" s="397"/>
      <c r="R78" s="397"/>
      <c r="S78" s="397"/>
      <c r="T78" s="397"/>
      <c r="U78" s="397"/>
      <c r="V78" s="397"/>
      <c r="W78" s="397"/>
      <c r="X78" s="397"/>
      <c r="Y78" s="397"/>
      <c r="Z78" s="172"/>
      <c r="AA78" s="172"/>
      <c r="AB78" s="397"/>
      <c r="AC78" s="397"/>
      <c r="AD78" s="397"/>
      <c r="AE78" s="397"/>
      <c r="AF78" s="397"/>
      <c r="AG78" s="397"/>
      <c r="AH78" s="397"/>
      <c r="AI78" s="397"/>
      <c r="AJ78" s="397"/>
      <c r="AK78" s="397"/>
      <c r="AL78" s="397"/>
      <c r="AM78" s="397"/>
      <c r="AN78" s="397"/>
      <c r="AO78" s="397"/>
      <c r="AP78" s="397"/>
      <c r="AQ78" s="397"/>
      <c r="AR78" s="397"/>
      <c r="AS78" s="397"/>
      <c r="AT78" s="397"/>
      <c r="AU78" s="397"/>
      <c r="AV78" s="397"/>
      <c r="AW78" s="397"/>
      <c r="AX78" s="397"/>
      <c r="AY78" s="397"/>
    </row>
    <row r="79" spans="3:51">
      <c r="C79" s="397"/>
      <c r="D79" s="397"/>
      <c r="E79" s="397"/>
      <c r="F79" s="397"/>
      <c r="G79" s="397"/>
      <c r="H79" s="397"/>
      <c r="I79" s="397"/>
      <c r="J79" s="397"/>
      <c r="K79" s="397"/>
      <c r="L79" s="397"/>
      <c r="M79" s="397"/>
      <c r="N79" s="397"/>
      <c r="O79" s="397"/>
      <c r="P79" s="397"/>
      <c r="Q79" s="397"/>
      <c r="R79" s="397"/>
      <c r="S79" s="397"/>
      <c r="T79" s="397"/>
      <c r="U79" s="397"/>
      <c r="V79" s="397"/>
      <c r="W79" s="397"/>
      <c r="X79" s="397"/>
      <c r="Y79" s="397"/>
      <c r="Z79" s="172"/>
      <c r="AA79" s="172"/>
      <c r="AB79" s="397"/>
      <c r="AC79" s="397"/>
      <c r="AD79" s="397"/>
      <c r="AE79" s="397"/>
      <c r="AF79" s="397"/>
      <c r="AG79" s="397"/>
      <c r="AH79" s="397"/>
      <c r="AI79" s="397"/>
      <c r="AJ79" s="397"/>
      <c r="AK79" s="397"/>
      <c r="AL79" s="397"/>
      <c r="AM79" s="397"/>
      <c r="AN79" s="397"/>
      <c r="AO79" s="397"/>
      <c r="AP79" s="397"/>
      <c r="AQ79" s="397"/>
      <c r="AR79" s="397"/>
      <c r="AS79" s="397"/>
      <c r="AT79" s="397"/>
      <c r="AU79" s="397"/>
      <c r="AV79" s="397"/>
      <c r="AW79" s="397"/>
      <c r="AX79" s="397"/>
      <c r="AY79" s="397"/>
    </row>
    <row r="80" spans="3:51">
      <c r="C80" s="397"/>
      <c r="D80" s="397"/>
      <c r="E80" s="397"/>
      <c r="F80" s="397"/>
      <c r="G80" s="397"/>
      <c r="H80" s="397"/>
      <c r="I80" s="397"/>
      <c r="J80" s="397"/>
      <c r="K80" s="397"/>
      <c r="L80" s="397"/>
      <c r="M80" s="397"/>
      <c r="N80" s="397"/>
      <c r="O80" s="397"/>
      <c r="P80" s="397"/>
      <c r="Q80" s="397"/>
      <c r="R80" s="397"/>
      <c r="S80" s="397"/>
      <c r="T80" s="397"/>
      <c r="U80" s="397"/>
      <c r="V80" s="397"/>
      <c r="W80" s="397"/>
      <c r="X80" s="397"/>
      <c r="Y80" s="397"/>
      <c r="Z80" s="172"/>
      <c r="AA80" s="172"/>
      <c r="AB80" s="397"/>
      <c r="AC80" s="397"/>
      <c r="AD80" s="397"/>
      <c r="AE80" s="397"/>
      <c r="AF80" s="397"/>
      <c r="AG80" s="397"/>
      <c r="AH80" s="397"/>
      <c r="AI80" s="397"/>
      <c r="AJ80" s="397"/>
      <c r="AK80" s="397"/>
      <c r="AL80" s="397"/>
      <c r="AM80" s="397"/>
      <c r="AN80" s="397"/>
      <c r="AO80" s="397"/>
      <c r="AP80" s="397"/>
      <c r="AQ80" s="397"/>
      <c r="AR80" s="397"/>
      <c r="AS80" s="397"/>
      <c r="AT80" s="397"/>
      <c r="AU80" s="397"/>
      <c r="AV80" s="397"/>
      <c r="AW80" s="397"/>
      <c r="AX80" s="397"/>
      <c r="AY80" s="397"/>
    </row>
    <row r="81" spans="3:51">
      <c r="C81" s="397"/>
      <c r="D81" s="397"/>
      <c r="E81" s="397"/>
      <c r="F81" s="397"/>
      <c r="G81" s="397"/>
      <c r="H81" s="397"/>
      <c r="I81" s="397"/>
      <c r="J81" s="397"/>
      <c r="K81" s="397"/>
      <c r="L81" s="397"/>
      <c r="M81" s="397"/>
      <c r="N81" s="397"/>
      <c r="O81" s="397"/>
      <c r="P81" s="397"/>
      <c r="Q81" s="397"/>
      <c r="R81" s="397"/>
      <c r="S81" s="397"/>
      <c r="T81" s="397"/>
      <c r="U81" s="397"/>
      <c r="V81" s="397"/>
      <c r="W81" s="397"/>
      <c r="X81" s="397"/>
      <c r="Y81" s="397"/>
      <c r="Z81" s="172"/>
      <c r="AA81" s="172"/>
      <c r="AB81" s="397"/>
      <c r="AC81" s="397"/>
      <c r="AD81" s="397"/>
      <c r="AE81" s="397"/>
      <c r="AF81" s="397"/>
      <c r="AG81" s="397"/>
      <c r="AH81" s="397"/>
      <c r="AI81" s="397"/>
      <c r="AJ81" s="397"/>
      <c r="AK81" s="397"/>
      <c r="AL81" s="397"/>
      <c r="AM81" s="397"/>
      <c r="AN81" s="397"/>
      <c r="AO81" s="397"/>
      <c r="AP81" s="397"/>
      <c r="AQ81" s="397"/>
      <c r="AR81" s="397"/>
      <c r="AS81" s="397"/>
      <c r="AT81" s="397"/>
      <c r="AU81" s="397"/>
      <c r="AV81" s="397"/>
      <c r="AW81" s="397"/>
      <c r="AX81" s="397"/>
      <c r="AY81" s="397"/>
    </row>
    <row r="82" spans="3:51"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397"/>
      <c r="O82" s="397"/>
      <c r="P82" s="397"/>
      <c r="Q82" s="397"/>
      <c r="R82" s="397"/>
      <c r="S82" s="397"/>
      <c r="T82" s="397"/>
      <c r="U82" s="397"/>
      <c r="V82" s="397"/>
      <c r="W82" s="397"/>
      <c r="X82" s="397"/>
      <c r="Y82" s="397"/>
      <c r="Z82" s="172"/>
      <c r="AA82" s="172"/>
      <c r="AB82" s="397"/>
      <c r="AC82" s="397"/>
      <c r="AD82" s="397"/>
      <c r="AE82" s="397"/>
      <c r="AF82" s="397"/>
      <c r="AG82" s="397"/>
      <c r="AH82" s="397"/>
      <c r="AI82" s="397"/>
      <c r="AJ82" s="397"/>
      <c r="AK82" s="397"/>
      <c r="AL82" s="397"/>
      <c r="AM82" s="397"/>
      <c r="AN82" s="397"/>
      <c r="AO82" s="397"/>
      <c r="AP82" s="397"/>
      <c r="AQ82" s="397"/>
      <c r="AR82" s="397"/>
      <c r="AS82" s="397"/>
      <c r="AT82" s="397"/>
      <c r="AU82" s="397"/>
      <c r="AV82" s="397"/>
      <c r="AW82" s="397"/>
      <c r="AX82" s="397"/>
      <c r="AY82" s="397"/>
    </row>
    <row r="83" spans="3:51"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397"/>
      <c r="O83" s="397"/>
      <c r="P83" s="397"/>
      <c r="Q83" s="397"/>
      <c r="R83" s="397"/>
      <c r="S83" s="397"/>
      <c r="T83" s="397"/>
      <c r="U83" s="397"/>
      <c r="V83" s="397"/>
      <c r="W83" s="397"/>
      <c r="X83" s="397"/>
      <c r="Y83" s="397"/>
      <c r="Z83" s="172"/>
      <c r="AA83" s="172"/>
      <c r="AB83" s="397"/>
      <c r="AC83" s="397"/>
      <c r="AD83" s="397"/>
      <c r="AE83" s="397"/>
      <c r="AF83" s="397"/>
      <c r="AG83" s="397"/>
      <c r="AH83" s="397"/>
      <c r="AI83" s="397"/>
      <c r="AJ83" s="397"/>
      <c r="AK83" s="397"/>
      <c r="AL83" s="397"/>
      <c r="AM83" s="397"/>
      <c r="AN83" s="397"/>
      <c r="AO83" s="397"/>
      <c r="AP83" s="397"/>
      <c r="AQ83" s="397"/>
      <c r="AR83" s="397"/>
      <c r="AS83" s="397"/>
      <c r="AT83" s="397"/>
      <c r="AU83" s="397"/>
      <c r="AV83" s="397"/>
      <c r="AW83" s="397"/>
      <c r="AX83" s="397"/>
      <c r="AY83" s="397"/>
    </row>
    <row r="84" spans="3:51"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172"/>
      <c r="AA84" s="172"/>
      <c r="AB84" s="397"/>
      <c r="AC84" s="397"/>
      <c r="AD84" s="397"/>
      <c r="AE84" s="397"/>
      <c r="AF84" s="397"/>
      <c r="AG84" s="397"/>
      <c r="AH84" s="397"/>
      <c r="AI84" s="397"/>
      <c r="AJ84" s="397"/>
      <c r="AK84" s="397"/>
      <c r="AL84" s="397"/>
      <c r="AM84" s="397"/>
      <c r="AN84" s="397"/>
      <c r="AO84" s="397"/>
      <c r="AP84" s="397"/>
      <c r="AQ84" s="397"/>
      <c r="AR84" s="397"/>
      <c r="AS84" s="397"/>
      <c r="AT84" s="397"/>
      <c r="AU84" s="397"/>
      <c r="AV84" s="397"/>
      <c r="AW84" s="397"/>
      <c r="AX84" s="397"/>
      <c r="AY84" s="397"/>
    </row>
    <row r="85" spans="3:51">
      <c r="C85" s="397"/>
      <c r="D85" s="397"/>
      <c r="E85" s="397"/>
      <c r="F85" s="397"/>
      <c r="G85" s="397"/>
      <c r="H85" s="397"/>
      <c r="I85" s="397"/>
      <c r="J85" s="397"/>
      <c r="K85" s="397"/>
      <c r="L85" s="397"/>
      <c r="M85" s="397"/>
      <c r="N85" s="397"/>
      <c r="O85" s="397"/>
      <c r="P85" s="397"/>
      <c r="Q85" s="397"/>
      <c r="R85" s="397"/>
      <c r="S85" s="397"/>
      <c r="T85" s="397"/>
      <c r="U85" s="397"/>
      <c r="V85" s="397"/>
      <c r="W85" s="397"/>
      <c r="X85" s="397"/>
      <c r="Y85" s="397"/>
      <c r="Z85" s="172"/>
      <c r="AA85" s="172"/>
      <c r="AB85" s="397"/>
      <c r="AC85" s="397"/>
      <c r="AD85" s="397"/>
      <c r="AE85" s="397"/>
      <c r="AF85" s="397"/>
      <c r="AG85" s="397"/>
      <c r="AH85" s="397"/>
      <c r="AI85" s="397"/>
      <c r="AJ85" s="397"/>
      <c r="AK85" s="397"/>
      <c r="AL85" s="397"/>
      <c r="AM85" s="397"/>
      <c r="AN85" s="397"/>
      <c r="AO85" s="397"/>
      <c r="AP85" s="397"/>
      <c r="AQ85" s="397"/>
      <c r="AR85" s="397"/>
      <c r="AS85" s="397"/>
      <c r="AT85" s="397"/>
      <c r="AU85" s="397"/>
      <c r="AV85" s="397"/>
      <c r="AW85" s="397"/>
      <c r="AX85" s="397"/>
      <c r="AY85" s="397"/>
    </row>
    <row r="86" spans="3:51">
      <c r="C86" s="397"/>
      <c r="D86" s="397"/>
      <c r="E86" s="397"/>
      <c r="F86" s="397"/>
      <c r="G86" s="397"/>
      <c r="H86" s="397"/>
      <c r="I86" s="397"/>
      <c r="J86" s="397"/>
      <c r="K86" s="397"/>
      <c r="L86" s="397"/>
      <c r="M86" s="397"/>
      <c r="N86" s="397"/>
      <c r="O86" s="397"/>
      <c r="P86" s="397"/>
      <c r="Q86" s="397"/>
      <c r="R86" s="397"/>
      <c r="S86" s="397"/>
      <c r="T86" s="397"/>
      <c r="U86" s="397"/>
      <c r="V86" s="397"/>
      <c r="W86" s="397"/>
      <c r="X86" s="397"/>
      <c r="Y86" s="397"/>
      <c r="Z86" s="172"/>
      <c r="AA86" s="172"/>
      <c r="AB86" s="397"/>
      <c r="AC86" s="397"/>
      <c r="AD86" s="397"/>
      <c r="AE86" s="397"/>
      <c r="AF86" s="397"/>
      <c r="AG86" s="397"/>
      <c r="AH86" s="397"/>
      <c r="AI86" s="397"/>
      <c r="AJ86" s="397"/>
      <c r="AK86" s="397"/>
      <c r="AL86" s="397"/>
      <c r="AM86" s="397"/>
      <c r="AN86" s="397"/>
      <c r="AO86" s="397"/>
      <c r="AP86" s="397"/>
      <c r="AQ86" s="397"/>
      <c r="AR86" s="397"/>
      <c r="AS86" s="397"/>
      <c r="AT86" s="397"/>
      <c r="AU86" s="397"/>
      <c r="AV86" s="397"/>
      <c r="AW86" s="397"/>
      <c r="AX86" s="397"/>
      <c r="AY86" s="397"/>
    </row>
    <row r="87" spans="3:51">
      <c r="C87" s="397"/>
      <c r="D87" s="397"/>
      <c r="E87" s="397"/>
      <c r="F87" s="397"/>
      <c r="G87" s="397"/>
      <c r="H87" s="397"/>
      <c r="I87" s="397"/>
      <c r="J87" s="397"/>
      <c r="K87" s="397"/>
      <c r="L87" s="397"/>
      <c r="M87" s="397"/>
      <c r="N87" s="397"/>
      <c r="O87" s="397"/>
      <c r="P87" s="397"/>
      <c r="Q87" s="397"/>
      <c r="R87" s="397"/>
      <c r="S87" s="397"/>
      <c r="T87" s="397"/>
      <c r="U87" s="397"/>
      <c r="V87" s="397"/>
      <c r="W87" s="397"/>
      <c r="X87" s="397"/>
      <c r="Y87" s="397"/>
      <c r="Z87" s="172"/>
      <c r="AA87" s="172"/>
      <c r="AB87" s="397"/>
      <c r="AC87" s="397"/>
      <c r="AD87" s="397"/>
      <c r="AE87" s="397"/>
      <c r="AF87" s="397"/>
      <c r="AG87" s="397"/>
      <c r="AH87" s="397"/>
      <c r="AI87" s="397"/>
      <c r="AJ87" s="397"/>
      <c r="AK87" s="397"/>
      <c r="AL87" s="397"/>
      <c r="AM87" s="397"/>
      <c r="AN87" s="397"/>
      <c r="AO87" s="397"/>
      <c r="AP87" s="397"/>
      <c r="AQ87" s="397"/>
      <c r="AR87" s="397"/>
      <c r="AS87" s="397"/>
      <c r="AT87" s="397"/>
      <c r="AU87" s="397"/>
      <c r="AV87" s="397"/>
      <c r="AW87" s="397"/>
      <c r="AX87" s="397"/>
      <c r="AY87" s="397"/>
    </row>
    <row r="88" spans="3:51">
      <c r="C88" s="397"/>
      <c r="D88" s="397"/>
      <c r="E88" s="397"/>
      <c r="F88" s="397"/>
      <c r="G88" s="397"/>
      <c r="H88" s="397"/>
      <c r="I88" s="397"/>
      <c r="J88" s="397"/>
      <c r="K88" s="397"/>
      <c r="L88" s="397"/>
      <c r="M88" s="397"/>
      <c r="N88" s="397"/>
      <c r="O88" s="397"/>
      <c r="P88" s="397"/>
      <c r="Q88" s="397"/>
      <c r="R88" s="397"/>
      <c r="S88" s="397"/>
      <c r="T88" s="397"/>
      <c r="U88" s="397"/>
      <c r="V88" s="397"/>
      <c r="W88" s="397"/>
      <c r="X88" s="397"/>
      <c r="Y88" s="397"/>
      <c r="Z88" s="172"/>
      <c r="AA88" s="172"/>
      <c r="AB88" s="397"/>
      <c r="AC88" s="397"/>
      <c r="AD88" s="397"/>
      <c r="AE88" s="397"/>
      <c r="AF88" s="397"/>
      <c r="AG88" s="397"/>
      <c r="AH88" s="397"/>
      <c r="AI88" s="397"/>
      <c r="AJ88" s="397"/>
      <c r="AK88" s="397"/>
      <c r="AL88" s="397"/>
      <c r="AM88" s="397"/>
      <c r="AN88" s="397"/>
      <c r="AO88" s="397"/>
      <c r="AP88" s="397"/>
      <c r="AQ88" s="397"/>
      <c r="AR88" s="397"/>
      <c r="AS88" s="397"/>
      <c r="AT88" s="397"/>
      <c r="AU88" s="397"/>
      <c r="AV88" s="397"/>
      <c r="AW88" s="397"/>
      <c r="AX88" s="397"/>
      <c r="AY88" s="397"/>
    </row>
    <row r="89" spans="3:51"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7"/>
      <c r="O89" s="397"/>
      <c r="P89" s="397"/>
      <c r="Q89" s="397"/>
      <c r="R89" s="397"/>
      <c r="S89" s="397"/>
      <c r="T89" s="397"/>
      <c r="U89" s="397"/>
      <c r="V89" s="397"/>
      <c r="W89" s="397"/>
      <c r="X89" s="397"/>
      <c r="Y89" s="397"/>
      <c r="Z89" s="172"/>
      <c r="AA89" s="172"/>
      <c r="AB89" s="397"/>
      <c r="AC89" s="397"/>
      <c r="AD89" s="397"/>
      <c r="AE89" s="397"/>
      <c r="AF89" s="397"/>
      <c r="AG89" s="397"/>
      <c r="AH89" s="397"/>
      <c r="AI89" s="397"/>
      <c r="AJ89" s="397"/>
      <c r="AK89" s="397"/>
      <c r="AL89" s="397"/>
      <c r="AM89" s="397"/>
      <c r="AN89" s="397"/>
      <c r="AO89" s="397"/>
      <c r="AP89" s="397"/>
      <c r="AQ89" s="397"/>
      <c r="AR89" s="397"/>
      <c r="AS89" s="397"/>
      <c r="AT89" s="397"/>
      <c r="AU89" s="397"/>
      <c r="AV89" s="397"/>
      <c r="AW89" s="397"/>
      <c r="AX89" s="397"/>
      <c r="AY89" s="397"/>
    </row>
    <row r="90" spans="3:51"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397"/>
      <c r="O90" s="397"/>
      <c r="P90" s="397"/>
      <c r="Q90" s="397"/>
      <c r="R90" s="397"/>
      <c r="S90" s="397"/>
      <c r="T90" s="397"/>
      <c r="U90" s="397"/>
      <c r="V90" s="397"/>
      <c r="W90" s="397"/>
      <c r="X90" s="397"/>
      <c r="Y90" s="397"/>
      <c r="Z90" s="172"/>
      <c r="AA90" s="172"/>
      <c r="AB90" s="397"/>
      <c r="AC90" s="397"/>
      <c r="AD90" s="397"/>
      <c r="AE90" s="397"/>
      <c r="AF90" s="397"/>
      <c r="AG90" s="397"/>
      <c r="AH90" s="397"/>
      <c r="AI90" s="397"/>
      <c r="AJ90" s="397"/>
      <c r="AK90" s="397"/>
      <c r="AL90" s="397"/>
      <c r="AM90" s="397"/>
      <c r="AN90" s="397"/>
      <c r="AO90" s="397"/>
      <c r="AP90" s="397"/>
      <c r="AQ90" s="397"/>
      <c r="AR90" s="397"/>
      <c r="AS90" s="397"/>
      <c r="AT90" s="397"/>
      <c r="AU90" s="397"/>
      <c r="AV90" s="397"/>
      <c r="AW90" s="397"/>
      <c r="AX90" s="397"/>
      <c r="AY90" s="39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41"/>
  <sheetViews>
    <sheetView zoomScale="75" workbookViewId="0">
      <selection activeCell="A12" sqref="A12"/>
    </sheetView>
  </sheetViews>
  <sheetFormatPr defaultRowHeight="12.75"/>
  <cols>
    <col min="1" max="1" width="42" bestFit="1" customWidth="1"/>
    <col min="2" max="2" width="11.5703125" bestFit="1" customWidth="1"/>
    <col min="3" max="3" width="11.140625" bestFit="1" customWidth="1"/>
    <col min="4" max="4" width="11.5703125" bestFit="1" customWidth="1"/>
    <col min="5" max="5" width="11.140625" bestFit="1" customWidth="1"/>
    <col min="6" max="8" width="11.5703125" bestFit="1" customWidth="1"/>
    <col min="9" max="9" width="11.140625" bestFit="1" customWidth="1"/>
    <col min="10" max="11" width="11.5703125" bestFit="1" customWidth="1"/>
    <col min="12" max="12" width="11.140625" bestFit="1" customWidth="1"/>
    <col min="13" max="13" width="10.7109375" bestFit="1" customWidth="1"/>
    <col min="14" max="16" width="11.140625" bestFit="1" customWidth="1"/>
    <col min="17" max="17" width="10.85546875" bestFit="1" customWidth="1"/>
    <col min="18" max="20" width="11.140625" bestFit="1" customWidth="1"/>
    <col min="21" max="21" width="10.85546875" bestFit="1" customWidth="1"/>
    <col min="22" max="22" width="11.5703125" bestFit="1" customWidth="1"/>
    <col min="23" max="23" width="11.140625" bestFit="1" customWidth="1"/>
    <col min="24" max="24" width="11.5703125" bestFit="1" customWidth="1"/>
    <col min="25" max="25" width="11.140625" bestFit="1" customWidth="1"/>
    <col min="26" max="28" width="11.5703125" bestFit="1" customWidth="1"/>
    <col min="29" max="29" width="11.140625" bestFit="1" customWidth="1"/>
    <col min="30" max="32" width="11.5703125" bestFit="1" customWidth="1"/>
    <col min="33" max="33" width="10.85546875" bestFit="1" customWidth="1"/>
  </cols>
  <sheetData>
    <row r="2" spans="1:43" ht="18.75">
      <c r="A2" s="96" t="str">
        <f>Assumptions!A3</f>
        <v>PROJECT NAME: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6"/>
      <c r="Z2" s="6"/>
      <c r="AA2" s="12"/>
      <c r="AB2" s="12"/>
      <c r="AC2" s="12"/>
      <c r="AD2" s="12"/>
      <c r="AE2" s="12"/>
      <c r="AF2" s="12"/>
      <c r="AG2" s="12"/>
      <c r="AH2" s="12"/>
    </row>
    <row r="3" spans="1:4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6"/>
      <c r="Z3" s="6"/>
      <c r="AA3" s="12"/>
      <c r="AB3" s="12"/>
      <c r="AC3" s="12"/>
      <c r="AD3" s="12"/>
      <c r="AE3" s="12"/>
      <c r="AF3" s="12"/>
      <c r="AG3" s="12"/>
      <c r="AH3" s="12"/>
    </row>
    <row r="4" spans="1:43" ht="18.75">
      <c r="A4" s="67" t="s">
        <v>454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6"/>
      <c r="Z4" s="6"/>
      <c r="AA4" s="12"/>
      <c r="AB4" s="12"/>
      <c r="AC4" s="12"/>
      <c r="AD4" s="12"/>
      <c r="AE4" s="12"/>
      <c r="AF4" s="12"/>
      <c r="AG4" s="12"/>
      <c r="AH4" s="12"/>
    </row>
    <row r="5" spans="1:4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6"/>
      <c r="Z5" s="6"/>
      <c r="AA5" s="12"/>
      <c r="AB5" s="12"/>
      <c r="AC5" s="12"/>
      <c r="AD5" s="12"/>
      <c r="AE5" s="12"/>
      <c r="AF5" s="12"/>
      <c r="AG5" s="12"/>
      <c r="AH5" s="12"/>
    </row>
    <row r="6" spans="1:43">
      <c r="A6" s="12"/>
      <c r="B6" s="262">
        <v>0</v>
      </c>
      <c r="C6" s="262">
        <f>'Price Assumption'!D7</f>
        <v>0.66666666666666663</v>
      </c>
      <c r="D6" s="262">
        <f>'Price Assumption'!E7</f>
        <v>1.6666666666666665</v>
      </c>
      <c r="E6" s="262">
        <f>'Price Assumption'!F7</f>
        <v>2.6666666666666665</v>
      </c>
      <c r="F6" s="262">
        <f>'Price Assumption'!G7</f>
        <v>3.6666666666666665</v>
      </c>
      <c r="G6" s="262">
        <f>'Price Assumption'!H7</f>
        <v>4.6666666666666661</v>
      </c>
      <c r="H6" s="262">
        <f>'Price Assumption'!I7</f>
        <v>5.6666666666666661</v>
      </c>
      <c r="I6" s="262">
        <f>'Price Assumption'!J7</f>
        <v>6.6666666666666661</v>
      </c>
      <c r="J6" s="262">
        <f>'Price Assumption'!K7</f>
        <v>7.6666666666666661</v>
      </c>
      <c r="K6" s="262">
        <f>'Price Assumption'!L7</f>
        <v>8.6666666666666661</v>
      </c>
      <c r="L6" s="262">
        <f>'Price Assumption'!M7</f>
        <v>9.6666666666666661</v>
      </c>
      <c r="M6" s="262">
        <f>'Price Assumption'!N7</f>
        <v>10.666666666666666</v>
      </c>
      <c r="N6" s="262">
        <f>'Price Assumption'!O7</f>
        <v>11.666666666666666</v>
      </c>
      <c r="O6" s="262">
        <f>'Price Assumption'!P7</f>
        <v>12.666666666666666</v>
      </c>
      <c r="P6" s="262">
        <f>'Price Assumption'!Q7</f>
        <v>13.666666666666666</v>
      </c>
      <c r="Q6" s="262">
        <f>'Price Assumption'!R7</f>
        <v>14.666666666666666</v>
      </c>
      <c r="R6" s="262">
        <f>'Price Assumption'!S7</f>
        <v>15.666666666666666</v>
      </c>
      <c r="S6" s="262">
        <f>'Price Assumption'!T7</f>
        <v>16.666666666666664</v>
      </c>
      <c r="T6" s="262">
        <f>'Price Assumption'!U7</f>
        <v>17.666666666666664</v>
      </c>
      <c r="U6" s="262">
        <f>'Price Assumption'!V7</f>
        <v>18.666666666666664</v>
      </c>
      <c r="V6" s="262">
        <f>'Price Assumption'!W7</f>
        <v>19.666666666666664</v>
      </c>
      <c r="W6" s="262">
        <f>'Price Assumption'!X7</f>
        <v>20.666666666666664</v>
      </c>
      <c r="X6" s="262">
        <f>'Price Assumption'!Y7</f>
        <v>21.666666666666664</v>
      </c>
      <c r="Y6" s="262">
        <f>'Price Assumption'!Z7</f>
        <v>22.666666666666664</v>
      </c>
      <c r="Z6" s="262">
        <f>'Price Assumption'!AA7</f>
        <v>23.666666666666664</v>
      </c>
      <c r="AA6" s="262">
        <f>'Price Assumption'!AB7</f>
        <v>24.666666666666664</v>
      </c>
      <c r="AB6" s="262">
        <f>'Price Assumption'!AC7</f>
        <v>25.666666666666664</v>
      </c>
      <c r="AC6" s="262">
        <f>'Price Assumption'!AD7</f>
        <v>26.666666666666664</v>
      </c>
      <c r="AD6" s="262">
        <f>'Price Assumption'!AE7</f>
        <v>27.666666666666664</v>
      </c>
      <c r="AE6" s="262">
        <f>'Price Assumption'!AF7</f>
        <v>28.666666666666664</v>
      </c>
      <c r="AF6" s="262">
        <f>'Price Assumption'!AG7</f>
        <v>29.666666666666664</v>
      </c>
      <c r="AG6" s="262">
        <f>'Price Assumption'!AH7</f>
        <v>30.666666666666664</v>
      </c>
      <c r="AH6" s="12"/>
    </row>
    <row r="7" spans="1:43" ht="13.5" thickBot="1">
      <c r="A7" s="135" t="s">
        <v>41</v>
      </c>
      <c r="B7" s="7" t="s">
        <v>325</v>
      </c>
      <c r="C7" s="7">
        <f>'Price Assumption'!D8</f>
        <v>2001</v>
      </c>
      <c r="D7" s="7">
        <f>'Price Assumption'!E8</f>
        <v>2002</v>
      </c>
      <c r="E7" s="7">
        <f>'Price Assumption'!F8</f>
        <v>2003</v>
      </c>
      <c r="F7" s="7">
        <f>'Price Assumption'!G8</f>
        <v>2004</v>
      </c>
      <c r="G7" s="7">
        <f>'Price Assumption'!H8</f>
        <v>2005</v>
      </c>
      <c r="H7" s="7">
        <f>'Price Assumption'!I8</f>
        <v>2006</v>
      </c>
      <c r="I7" s="7">
        <f>'Price Assumption'!J8</f>
        <v>2007</v>
      </c>
      <c r="J7" s="7">
        <f>'Price Assumption'!K8</f>
        <v>2008</v>
      </c>
      <c r="K7" s="7">
        <f>'Price Assumption'!L8</f>
        <v>2009</v>
      </c>
      <c r="L7" s="7">
        <f>'Price Assumption'!M8</f>
        <v>2010</v>
      </c>
      <c r="M7" s="7">
        <f>'Price Assumption'!N8</f>
        <v>2011</v>
      </c>
      <c r="N7" s="7">
        <f>'Price Assumption'!O8</f>
        <v>2012</v>
      </c>
      <c r="O7" s="7">
        <f>'Price Assumption'!P8</f>
        <v>2013</v>
      </c>
      <c r="P7" s="7">
        <f>'Price Assumption'!Q8</f>
        <v>2014</v>
      </c>
      <c r="Q7" s="7">
        <f>'Price Assumption'!R8</f>
        <v>2015</v>
      </c>
      <c r="R7" s="7">
        <f>'Price Assumption'!S8</f>
        <v>2016</v>
      </c>
      <c r="S7" s="7">
        <f>'Price Assumption'!T8</f>
        <v>2017</v>
      </c>
      <c r="T7" s="7">
        <f>'Price Assumption'!U8</f>
        <v>2018</v>
      </c>
      <c r="U7" s="7">
        <f>'Price Assumption'!V8</f>
        <v>2019</v>
      </c>
      <c r="V7" s="7">
        <f>'Price Assumption'!W8</f>
        <v>2020</v>
      </c>
      <c r="W7" s="7">
        <f>'Price Assumption'!X8</f>
        <v>2021</v>
      </c>
      <c r="X7" s="7">
        <f>'Price Assumption'!Y8</f>
        <v>2022</v>
      </c>
      <c r="Y7" s="7">
        <f>'Price Assumption'!Z8</f>
        <v>2023</v>
      </c>
      <c r="Z7" s="7">
        <f>'Price Assumption'!AA8</f>
        <v>2024</v>
      </c>
      <c r="AA7" s="7">
        <f>'Price Assumption'!AB8</f>
        <v>2025</v>
      </c>
      <c r="AB7" s="7">
        <f>'Price Assumption'!AC8</f>
        <v>2026</v>
      </c>
      <c r="AC7" s="7">
        <f>'Price Assumption'!AD8</f>
        <v>2027</v>
      </c>
      <c r="AD7" s="7">
        <f>'Price Assumption'!AE8</f>
        <v>2028</v>
      </c>
      <c r="AE7" s="7">
        <f>'Price Assumption'!AF8</f>
        <v>2029</v>
      </c>
      <c r="AF7" s="7">
        <f>'Price Assumption'!AG8</f>
        <v>2030</v>
      </c>
      <c r="AG7" s="7">
        <f>'Price Assumption'!AH8</f>
        <v>2031</v>
      </c>
      <c r="AH7" s="12"/>
    </row>
    <row r="8" spans="1:43">
      <c r="A8" s="149"/>
      <c r="B8" s="171">
        <f>Assumptions!G45</f>
        <v>36739</v>
      </c>
      <c r="C8" s="171">
        <f>BS!D8</f>
        <v>37255.5</v>
      </c>
      <c r="D8" s="171">
        <f>BS!E8</f>
        <v>37620.75</v>
      </c>
      <c r="E8" s="171">
        <f>BS!F8</f>
        <v>37986</v>
      </c>
      <c r="F8" s="171">
        <f>BS!G8</f>
        <v>38351.25</v>
      </c>
      <c r="G8" s="171">
        <f>BS!H8</f>
        <v>38716.5</v>
      </c>
      <c r="H8" s="171">
        <f>BS!I8</f>
        <v>39081.75</v>
      </c>
      <c r="I8" s="171">
        <f>BS!J8</f>
        <v>39447</v>
      </c>
      <c r="J8" s="171">
        <f>BS!K8</f>
        <v>39812.25</v>
      </c>
      <c r="K8" s="171">
        <f>BS!L8</f>
        <v>40177.5</v>
      </c>
      <c r="L8" s="171">
        <f>BS!M8</f>
        <v>40542.75</v>
      </c>
      <c r="M8" s="171">
        <f>BS!N8</f>
        <v>40908</v>
      </c>
      <c r="N8" s="171">
        <f>BS!O8</f>
        <v>41273.25</v>
      </c>
      <c r="O8" s="171">
        <f>BS!P8</f>
        <v>41638.5</v>
      </c>
      <c r="P8" s="171">
        <f>BS!Q8</f>
        <v>42003.75</v>
      </c>
      <c r="Q8" s="171">
        <f>BS!R8</f>
        <v>42369</v>
      </c>
      <c r="R8" s="171">
        <f>BS!S8</f>
        <v>42734.25</v>
      </c>
      <c r="S8" s="171">
        <f>BS!T8</f>
        <v>43099.5</v>
      </c>
      <c r="T8" s="171">
        <f>BS!U8</f>
        <v>43464.75</v>
      </c>
      <c r="U8" s="171">
        <f>BS!V8</f>
        <v>43830</v>
      </c>
      <c r="V8" s="171">
        <f>BS!W8</f>
        <v>44195.25</v>
      </c>
      <c r="W8" s="171">
        <f>BS!X8</f>
        <v>44560.5</v>
      </c>
      <c r="X8" s="171">
        <f>BS!Y8</f>
        <v>44925.75</v>
      </c>
      <c r="Y8" s="171">
        <f>BS!Z8</f>
        <v>45291</v>
      </c>
      <c r="Z8" s="171">
        <f>BS!AA8</f>
        <v>45656.25</v>
      </c>
      <c r="AA8" s="171">
        <f>BS!AB8</f>
        <v>46021.5</v>
      </c>
      <c r="AB8" s="171">
        <f>BS!AC8</f>
        <v>46386.75</v>
      </c>
      <c r="AC8" s="171">
        <f>BS!AD8</f>
        <v>46752</v>
      </c>
      <c r="AD8" s="171">
        <f>BS!AE8</f>
        <v>47117.25</v>
      </c>
      <c r="AE8" s="171">
        <f>BS!AF8</f>
        <v>47482.5</v>
      </c>
      <c r="AF8" s="171">
        <f>BS!AG8</f>
        <v>47847.75</v>
      </c>
      <c r="AG8" s="171">
        <f>BS!AH8</f>
        <v>48213</v>
      </c>
      <c r="AH8" s="12"/>
    </row>
    <row r="9" spans="1:43">
      <c r="A9" s="149"/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2"/>
    </row>
    <row r="10" spans="1:43" ht="18.75">
      <c r="A10" s="96" t="s">
        <v>159</v>
      </c>
      <c r="B10" s="12"/>
      <c r="C10" s="1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12"/>
      <c r="AI10" s="12"/>
      <c r="AJ10" s="12"/>
      <c r="AK10" s="12"/>
      <c r="AL10" s="12"/>
      <c r="AM10" s="12"/>
      <c r="AN10" s="12"/>
      <c r="AO10" s="12"/>
      <c r="AP10" s="12"/>
      <c r="AQ10" s="12"/>
    </row>
    <row r="11" spans="1:43">
      <c r="A11" s="12"/>
      <c r="B11" s="12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2"/>
      <c r="AI11" s="12"/>
      <c r="AJ11" s="12"/>
      <c r="AK11" s="12"/>
      <c r="AL11" s="12"/>
      <c r="AM11" s="12"/>
      <c r="AN11" s="12"/>
      <c r="AO11" s="12"/>
      <c r="AP11" s="12"/>
      <c r="AQ11" s="12"/>
    </row>
    <row r="12" spans="1:43">
      <c r="A12" s="441" t="s">
        <v>57</v>
      </c>
      <c r="B12" s="267">
        <v>0</v>
      </c>
      <c r="C12" s="267">
        <f>CF!C17*Assumptions!$G$47</f>
        <v>-351.85357017829119</v>
      </c>
      <c r="D12" s="267">
        <f>CF!D17*Assumptions!$G$47</f>
        <v>802.22018278190171</v>
      </c>
      <c r="E12" s="267">
        <f>CF!E17*Assumptions!$G$47</f>
        <v>394.78332756002146</v>
      </c>
      <c r="F12" s="267">
        <f>CF!F17*Assumptions!$G$47</f>
        <v>732.57634138283402</v>
      </c>
      <c r="G12" s="267">
        <f>CF!G17*Assumptions!$G$47</f>
        <v>933.74293116224135</v>
      </c>
      <c r="H12" s="267">
        <f>CF!H17*Assumptions!$G$47</f>
        <v>946.74275840910605</v>
      </c>
      <c r="I12" s="267">
        <f>CF!I17*Assumptions!$G$47</f>
        <v>959.31681649790016</v>
      </c>
      <c r="J12" s="267">
        <f>CF!J17*Assumptions!$G$47</f>
        <v>903.4682991008151</v>
      </c>
      <c r="K12" s="267">
        <f>CF!K17*Assumptions!$G$47</f>
        <v>1002.3835195809156</v>
      </c>
      <c r="L12" s="267">
        <f>CF!L17*Assumptions!$G$47</f>
        <v>942.54101852009899</v>
      </c>
      <c r="M12" s="267">
        <f>CF!M17*Assumptions!$G$47</f>
        <v>1046.8707800416826</v>
      </c>
      <c r="N12" s="267">
        <f>CF!N17*Assumptions!$G$47</f>
        <v>982.75739024105224</v>
      </c>
      <c r="O12" s="267">
        <f>CF!O17*Assumptions!$G$47</f>
        <v>1092.7967567384546</v>
      </c>
      <c r="P12" s="267">
        <f>CF!P17*Assumptions!$G$47</f>
        <v>1105.6214477266908</v>
      </c>
      <c r="Q12" s="267">
        <f>CF!Q17*Assumptions!$G$47</f>
        <v>1118.1702587475813</v>
      </c>
      <c r="R12" s="267">
        <f>CF!R17*Assumptions!$G$47</f>
        <v>1109.7558829697625</v>
      </c>
      <c r="S12" s="267">
        <f>CF!S17*Assumptions!$G$47</f>
        <v>2587.7524672801587</v>
      </c>
      <c r="T12" s="267">
        <f>CF!T17*Assumptions!$G$47</f>
        <v>5174.2556306165498</v>
      </c>
      <c r="U12" s="267">
        <f>CF!U17*Assumptions!$G$47</f>
        <v>5214.403258127456</v>
      </c>
      <c r="V12" s="267">
        <f>CF!V17*Assumptions!$G$47</f>
        <v>5252.0924781095655</v>
      </c>
      <c r="W12" s="267">
        <f>CF!W17*Assumptions!$G$47</f>
        <v>5287.1422091384393</v>
      </c>
      <c r="X12" s="267">
        <f>CF!X17*Assumptions!$G$47</f>
        <v>5319.3627174709482</v>
      </c>
      <c r="Y12" s="267">
        <f>CF!Y17*Assumptions!$G$47</f>
        <v>5351.1362132728736</v>
      </c>
      <c r="Z12" s="267">
        <f>CF!Z17*Assumptions!$G$47</f>
        <v>5382.4492861683102</v>
      </c>
      <c r="AA12" s="267">
        <f>CF!AA17*Assumptions!$G$47</f>
        <v>5413.2881234700453</v>
      </c>
      <c r="AB12" s="267">
        <f>CF!AB17*Assumptions!$G$47</f>
        <v>5443.6384981102783</v>
      </c>
      <c r="AC12" s="267">
        <f>CF!AC17*Assumptions!$G$47</f>
        <v>5473.4857562091602</v>
      </c>
      <c r="AD12" s="267">
        <f>CF!AD17*Assumptions!$G$47</f>
        <v>5502.8148042704606</v>
      </c>
      <c r="AE12" s="267">
        <f>CF!AE17*Assumptions!$G$47</f>
        <v>5531.6100959930382</v>
      </c>
      <c r="AF12" s="267">
        <f>CF!AF17*Assumptions!$G$47</f>
        <v>5559.8556186867354</v>
      </c>
      <c r="AG12" s="267">
        <f>CF!AG17*Assumptions!$G$47</f>
        <v>1410.5715776914399</v>
      </c>
      <c r="AH12" s="12"/>
      <c r="AI12" s="12"/>
      <c r="AJ12" s="12"/>
      <c r="AK12" s="12"/>
      <c r="AL12" s="12"/>
      <c r="AM12" s="12"/>
      <c r="AN12" s="12"/>
      <c r="AO12" s="12"/>
      <c r="AP12" s="12"/>
      <c r="AQ12" s="12"/>
    </row>
    <row r="13" spans="1:43">
      <c r="A13" s="441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12"/>
      <c r="AI13" s="12"/>
      <c r="AJ13" s="12"/>
      <c r="AK13" s="12"/>
      <c r="AL13" s="12"/>
      <c r="AM13" s="12"/>
      <c r="AN13" s="12"/>
      <c r="AO13" s="12"/>
      <c r="AP13" s="12"/>
      <c r="AQ13" s="12"/>
    </row>
    <row r="14" spans="1:43">
      <c r="A14" s="442" t="s">
        <v>160</v>
      </c>
      <c r="B14" s="66">
        <v>0</v>
      </c>
      <c r="C14" s="90">
        <f>CF!C19*Assumptions!$G$47</f>
        <v>-13.389716960262</v>
      </c>
      <c r="D14" s="90">
        <f>CF!D19*Assumptions!$G$47</f>
        <v>0</v>
      </c>
      <c r="E14" s="90">
        <f>CF!E19*Assumptions!$G$47</f>
        <v>0</v>
      </c>
      <c r="F14" s="90">
        <f>CF!F19*Assumptions!$G$47</f>
        <v>-9.1170703087754816</v>
      </c>
      <c r="G14" s="90">
        <f>CF!G19*Assumptions!$G$47</f>
        <v>-88.066390698393477</v>
      </c>
      <c r="H14" s="90">
        <f>CF!H19*Assumptions!$G$47</f>
        <v>-126.04649138856158</v>
      </c>
      <c r="I14" s="90">
        <f>CF!I19*Assumptions!$G$47</f>
        <v>-146.2454553218293</v>
      </c>
      <c r="J14" s="90">
        <f>CF!J19*Assumptions!$G$47</f>
        <v>-149.47102461367072</v>
      </c>
      <c r="K14" s="90">
        <f>CF!K19*Assumptions!$G$47</f>
        <v>-159.35610736081409</v>
      </c>
      <c r="L14" s="90">
        <f>CF!L19*Assumptions!$G$47</f>
        <v>-162.5958022837967</v>
      </c>
      <c r="M14" s="90">
        <f>CF!M19*Assumptions!$G$47</f>
        <v>-172.86270086482307</v>
      </c>
      <c r="N14" s="90">
        <f>CF!N19*Assumptions!$G$47</f>
        <v>-176.10603313707881</v>
      </c>
      <c r="O14" s="90">
        <f>CF!O19*Assumptions!$G$47</f>
        <v>-186.76631114748292</v>
      </c>
      <c r="P14" s="90">
        <f>CF!P19*Assumptions!$G$47</f>
        <v>-190.00146262513005</v>
      </c>
      <c r="Q14" s="90">
        <f>CF!Q19*Assumptions!$G$47</f>
        <v>-193.64974025075634</v>
      </c>
      <c r="R14" s="90">
        <f>CF!R19*Assumptions!$G$47</f>
        <v>-275.09735136174828</v>
      </c>
      <c r="S14" s="90">
        <f>CF!S19*Assumptions!$G$47</f>
        <v>-358.28754476773287</v>
      </c>
      <c r="T14" s="90">
        <f>CF!T19*Assumptions!$G$47</f>
        <v>-362.19789414315852</v>
      </c>
      <c r="U14" s="90">
        <f>CF!U19*Assumptions!$G$47</f>
        <v>-365.00822806892194</v>
      </c>
      <c r="V14" s="90">
        <f>CF!V19*Assumptions!$G$47</f>
        <v>-367.64647346766964</v>
      </c>
      <c r="W14" s="90">
        <f>CF!W19*Assumptions!$G$47</f>
        <v>-370.09995463969079</v>
      </c>
      <c r="X14" s="90">
        <f>CF!X19*Assumptions!$G$47</f>
        <v>-372.35539022296643</v>
      </c>
      <c r="Y14" s="90">
        <f>CF!Y19*Assumptions!$G$47</f>
        <v>-374.57953492910121</v>
      </c>
      <c r="Z14" s="90">
        <f>CF!Z19*Assumptions!$G$47</f>
        <v>-376.77145003178174</v>
      </c>
      <c r="AA14" s="90">
        <f>CF!AA19*Assumptions!$G$47</f>
        <v>-378.9301686429032</v>
      </c>
      <c r="AB14" s="90">
        <f>CF!AB19*Assumptions!$G$47</f>
        <v>-381.05469486771949</v>
      </c>
      <c r="AC14" s="90">
        <f>CF!AC19*Assumptions!$G$47</f>
        <v>-383.14400293464126</v>
      </c>
      <c r="AD14" s="90">
        <f>CF!AD19*Assumptions!$G$47</f>
        <v>-385.19703629893229</v>
      </c>
      <c r="AE14" s="90">
        <f>CF!AE19*Assumptions!$G$47</f>
        <v>-387.21270671951271</v>
      </c>
      <c r="AF14" s="90">
        <f>CF!AF19*Assumptions!$G$47</f>
        <v>-389.18989330807153</v>
      </c>
      <c r="AG14" s="90">
        <f>CF!AG19*Assumptions!$G$47</f>
        <v>-98.740010438400802</v>
      </c>
      <c r="AH14" s="12"/>
      <c r="AI14" s="12"/>
      <c r="AJ14" s="12"/>
      <c r="AK14" s="12"/>
      <c r="AL14" s="12"/>
      <c r="AM14" s="12"/>
      <c r="AN14" s="12"/>
      <c r="AO14" s="12"/>
      <c r="AP14" s="12"/>
      <c r="AQ14" s="12"/>
    </row>
    <row r="15" spans="1:43">
      <c r="A15" s="442" t="s">
        <v>161</v>
      </c>
      <c r="B15" s="137">
        <v>0</v>
      </c>
      <c r="C15" s="91">
        <f>CF!C20*Assumptions!$G$47</f>
        <v>-62.26218386521829</v>
      </c>
      <c r="D15" s="91">
        <f>CF!D20*Assumptions!$G$47</f>
        <v>0</v>
      </c>
      <c r="E15" s="91">
        <f>CF!E20*Assumptions!$G$47</f>
        <v>0</v>
      </c>
      <c r="F15" s="91">
        <f>CF!F20*Assumptions!$G$47</f>
        <v>-42.394376935805951</v>
      </c>
      <c r="G15" s="91">
        <f>CF!G20*Assumptions!$G$47</f>
        <v>-409.5087167475296</v>
      </c>
      <c r="H15" s="91">
        <f>CF!H20*Assumptions!$G$47</f>
        <v>-586.11618495681125</v>
      </c>
      <c r="I15" s="91">
        <f>CF!I20*Assumptions!$G$47</f>
        <v>-680.04136724650618</v>
      </c>
      <c r="J15" s="91">
        <f>CF!J20*Assumptions!$G$47</f>
        <v>-695.04026445356874</v>
      </c>
      <c r="K15" s="91">
        <f>CF!K20*Assumptions!$G$47</f>
        <v>-741.00589922778545</v>
      </c>
      <c r="L15" s="91">
        <f>CF!L20*Assumptions!$G$47</f>
        <v>-756.07048061965463</v>
      </c>
      <c r="M15" s="91">
        <f>CF!M20*Assumptions!$G$47</f>
        <v>-803.81155902142712</v>
      </c>
      <c r="N15" s="91">
        <f>CF!N20*Assumptions!$G$47</f>
        <v>-818.89305408741632</v>
      </c>
      <c r="O15" s="91">
        <f>CF!O20*Assumptions!$G$47</f>
        <v>-868.46334683579539</v>
      </c>
      <c r="P15" s="91">
        <f>CF!P20*Assumptions!$G$47</f>
        <v>-883.50680120685456</v>
      </c>
      <c r="Q15" s="91">
        <f>CF!Q20*Assumptions!$G$47</f>
        <v>-900.47129216601684</v>
      </c>
      <c r="R15" s="91">
        <f>CF!R20*Assumptions!$G$47</f>
        <v>-1279.2026838321294</v>
      </c>
      <c r="S15" s="91">
        <f>CF!S20*Assumptions!$G$47</f>
        <v>-1666.0370831699579</v>
      </c>
      <c r="T15" s="91">
        <f>CF!T20*Assumptions!$G$47</f>
        <v>-1684.2202077656866</v>
      </c>
      <c r="U15" s="91">
        <f>CF!U20*Assumptions!$G$47</f>
        <v>-1697.2882605204868</v>
      </c>
      <c r="V15" s="91">
        <f>CF!V20*Assumptions!$G$47</f>
        <v>-1709.5561016246636</v>
      </c>
      <c r="W15" s="91">
        <f>CF!W20*Assumptions!$G$47</f>
        <v>-1720.9647890745618</v>
      </c>
      <c r="X15" s="91">
        <f>CF!X20*Assumptions!$G$47</f>
        <v>-1731.4525645367937</v>
      </c>
      <c r="Y15" s="91">
        <f>CF!Y20*Assumptions!$G$47</f>
        <v>-1741.7948374203204</v>
      </c>
      <c r="Z15" s="91">
        <f>CF!Z20*Assumptions!$G$47</f>
        <v>-1751.987242647785</v>
      </c>
      <c r="AA15" s="91">
        <f>CF!AA20*Assumptions!$G$47</f>
        <v>-1762.0252841894996</v>
      </c>
      <c r="AB15" s="91">
        <f>CF!AB20*Assumptions!$G$47</f>
        <v>-1771.9043311348955</v>
      </c>
      <c r="AC15" s="91">
        <f>CF!AC20*Assumptions!$G$47</f>
        <v>-1781.6196136460815</v>
      </c>
      <c r="AD15" s="91">
        <f>CF!AD20*Assumptions!$G$47</f>
        <v>-1791.1662187900347</v>
      </c>
      <c r="AE15" s="91">
        <f>CF!AE20*Assumptions!$G$47</f>
        <v>-1800.5390862457339</v>
      </c>
      <c r="AF15" s="91">
        <f>CF!AF20*Assumptions!$G$47</f>
        <v>-1809.7330038825321</v>
      </c>
      <c r="AG15" s="91">
        <f>CF!AG20*Assumptions!$G$47</f>
        <v>-459.14104853856367</v>
      </c>
      <c r="AH15" s="12"/>
      <c r="AI15" s="12"/>
      <c r="AJ15" s="12"/>
      <c r="AK15" s="12"/>
      <c r="AL15" s="12"/>
      <c r="AM15" s="12"/>
      <c r="AN15" s="12"/>
      <c r="AO15" s="12"/>
      <c r="AP15" s="12"/>
      <c r="AQ15" s="12"/>
    </row>
    <row r="16" spans="1:43">
      <c r="A16" s="442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12"/>
      <c r="AI16" s="12"/>
      <c r="AJ16" s="12"/>
      <c r="AK16" s="12"/>
      <c r="AL16" s="12"/>
      <c r="AM16" s="12"/>
      <c r="AN16" s="12"/>
      <c r="AO16" s="12"/>
      <c r="AP16" s="12"/>
      <c r="AQ16" s="12"/>
    </row>
    <row r="17" spans="1:43">
      <c r="A17" s="441" t="s">
        <v>58</v>
      </c>
      <c r="B17" s="267">
        <v>0</v>
      </c>
      <c r="C17" s="267">
        <f t="shared" ref="C17:AG17" si="0">SUM(C12:C15)</f>
        <v>-427.50547100377145</v>
      </c>
      <c r="D17" s="267">
        <f t="shared" si="0"/>
        <v>802.22018278190171</v>
      </c>
      <c r="E17" s="267">
        <f t="shared" si="0"/>
        <v>394.78332756002146</v>
      </c>
      <c r="F17" s="267">
        <f t="shared" si="0"/>
        <v>681.06489413825261</v>
      </c>
      <c r="G17" s="267">
        <f t="shared" si="0"/>
        <v>436.16782371631831</v>
      </c>
      <c r="H17" s="267">
        <f t="shared" si="0"/>
        <v>234.58008206373324</v>
      </c>
      <c r="I17" s="267">
        <f t="shared" si="0"/>
        <v>133.02999392956474</v>
      </c>
      <c r="J17" s="267">
        <f t="shared" si="0"/>
        <v>58.957010033575671</v>
      </c>
      <c r="K17" s="267">
        <f t="shared" si="0"/>
        <v>102.02151299231605</v>
      </c>
      <c r="L17" s="267">
        <f t="shared" si="0"/>
        <v>23.874735616647627</v>
      </c>
      <c r="M17" s="267">
        <f t="shared" si="0"/>
        <v>70.196520155432381</v>
      </c>
      <c r="N17" s="267">
        <f t="shared" si="0"/>
        <v>-12.241696983442921</v>
      </c>
      <c r="O17" s="267">
        <f t="shared" si="0"/>
        <v>37.567098755176289</v>
      </c>
      <c r="P17" s="267">
        <f t="shared" si="0"/>
        <v>32.113183894706253</v>
      </c>
      <c r="Q17" s="267">
        <f t="shared" si="0"/>
        <v>24.049226330808096</v>
      </c>
      <c r="R17" s="267">
        <f t="shared" si="0"/>
        <v>-444.54415222411512</v>
      </c>
      <c r="S17" s="267">
        <f t="shared" si="0"/>
        <v>563.42783934246791</v>
      </c>
      <c r="T17" s="267">
        <f t="shared" si="0"/>
        <v>3127.8375287077042</v>
      </c>
      <c r="U17" s="267">
        <f t="shared" si="0"/>
        <v>3152.106769538047</v>
      </c>
      <c r="V17" s="267">
        <f t="shared" si="0"/>
        <v>3174.8899030172324</v>
      </c>
      <c r="W17" s="267">
        <f t="shared" si="0"/>
        <v>3196.0774654241868</v>
      </c>
      <c r="X17" s="267">
        <f t="shared" si="0"/>
        <v>3215.5547627111882</v>
      </c>
      <c r="Y17" s="267">
        <f t="shared" si="0"/>
        <v>3234.7618409234519</v>
      </c>
      <c r="Z17" s="267">
        <f t="shared" si="0"/>
        <v>3253.6905934887436</v>
      </c>
      <c r="AA17" s="267">
        <f t="shared" si="0"/>
        <v>3272.332670637642</v>
      </c>
      <c r="AB17" s="267">
        <f t="shared" si="0"/>
        <v>3290.6794721076635</v>
      </c>
      <c r="AC17" s="267">
        <f t="shared" si="0"/>
        <v>3308.7221396284376</v>
      </c>
      <c r="AD17" s="267">
        <f t="shared" si="0"/>
        <v>3326.4515491814936</v>
      </c>
      <c r="AE17" s="267">
        <f t="shared" si="0"/>
        <v>3343.8583030277919</v>
      </c>
      <c r="AF17" s="267">
        <f t="shared" si="0"/>
        <v>3360.9327214961313</v>
      </c>
      <c r="AG17" s="267">
        <f t="shared" si="0"/>
        <v>852.6905187144755</v>
      </c>
      <c r="AH17" s="12"/>
      <c r="AI17" s="12"/>
      <c r="AJ17" s="12"/>
      <c r="AK17" s="12"/>
      <c r="AL17" s="12"/>
      <c r="AM17" s="12"/>
      <c r="AN17" s="12"/>
      <c r="AO17" s="12"/>
      <c r="AP17" s="12"/>
      <c r="AQ17" s="12"/>
    </row>
    <row r="18" spans="1:43">
      <c r="A18" s="441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12"/>
      <c r="AI18" s="12"/>
      <c r="AJ18" s="12"/>
      <c r="AK18" s="12"/>
      <c r="AL18" s="12"/>
      <c r="AM18" s="12"/>
      <c r="AN18" s="12"/>
      <c r="AO18" s="12"/>
      <c r="AP18" s="12"/>
      <c r="AQ18" s="12"/>
    </row>
    <row r="19" spans="1:43">
      <c r="A19" s="444" t="s">
        <v>162</v>
      </c>
      <c r="B19" s="267">
        <f>-Assumptions!$G$47*Assumptions!C11</f>
        <v>-8721.8060699661874</v>
      </c>
      <c r="C19" s="267">
        <v>0</v>
      </c>
      <c r="D19" s="267">
        <v>0</v>
      </c>
      <c r="E19" s="267">
        <v>0</v>
      </c>
      <c r="F19" s="267">
        <v>0</v>
      </c>
      <c r="G19" s="267">
        <v>0</v>
      </c>
      <c r="H19" s="267">
        <v>0</v>
      </c>
      <c r="I19" s="267">
        <v>0</v>
      </c>
      <c r="J19" s="267">
        <v>0</v>
      </c>
      <c r="K19" s="267">
        <v>0</v>
      </c>
      <c r="L19" s="267">
        <v>0</v>
      </c>
      <c r="M19" s="267">
        <v>0</v>
      </c>
      <c r="N19" s="267">
        <v>0</v>
      </c>
      <c r="O19" s="267">
        <v>0</v>
      </c>
      <c r="P19" s="267">
        <v>0</v>
      </c>
      <c r="Q19" s="267">
        <v>0</v>
      </c>
      <c r="R19" s="267">
        <v>0</v>
      </c>
      <c r="S19" s="267">
        <v>0</v>
      </c>
      <c r="T19" s="267">
        <v>0</v>
      </c>
      <c r="U19" s="267">
        <v>0</v>
      </c>
      <c r="V19" s="267">
        <v>0</v>
      </c>
      <c r="W19" s="267">
        <v>0</v>
      </c>
      <c r="X19" s="267">
        <v>0</v>
      </c>
      <c r="Y19" s="267">
        <v>0</v>
      </c>
      <c r="Z19" s="267">
        <v>0</v>
      </c>
      <c r="AA19" s="267">
        <v>0</v>
      </c>
      <c r="AB19" s="267">
        <v>0</v>
      </c>
      <c r="AC19" s="267">
        <v>0</v>
      </c>
      <c r="AD19" s="267">
        <v>0</v>
      </c>
      <c r="AE19" s="267">
        <v>0</v>
      </c>
      <c r="AF19" s="267">
        <v>0</v>
      </c>
      <c r="AG19" s="267">
        <v>0</v>
      </c>
      <c r="AH19" s="12"/>
      <c r="AI19" s="12"/>
      <c r="AJ19" s="12"/>
      <c r="AK19" s="12"/>
      <c r="AL19" s="12"/>
      <c r="AM19" s="12"/>
      <c r="AN19" s="12"/>
      <c r="AO19" s="12"/>
      <c r="AP19" s="12"/>
      <c r="AQ19" s="12"/>
    </row>
    <row r="20" spans="1:43">
      <c r="A20" s="444"/>
      <c r="B20" s="192"/>
      <c r="C20" s="19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12"/>
      <c r="AI20" s="12"/>
      <c r="AJ20" s="12"/>
      <c r="AK20" s="12"/>
      <c r="AL20" s="12"/>
      <c r="AM20" s="12"/>
      <c r="AN20" s="12"/>
      <c r="AO20" s="12"/>
      <c r="AP20" s="12"/>
      <c r="AQ20" s="12"/>
    </row>
    <row r="21" spans="1:43">
      <c r="A21" s="163"/>
      <c r="B21" s="269"/>
      <c r="C21" s="269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43">
      <c r="A22" s="443" t="s">
        <v>163</v>
      </c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12"/>
      <c r="AI22" s="12"/>
      <c r="AJ22" s="12"/>
      <c r="AK22" s="12"/>
      <c r="AL22" s="12"/>
      <c r="AM22" s="12"/>
      <c r="AN22" s="12"/>
      <c r="AO22" s="12"/>
      <c r="AP22" s="12"/>
      <c r="AQ22" s="12"/>
    </row>
    <row r="23" spans="1:43">
      <c r="A23" s="13" t="s">
        <v>164</v>
      </c>
      <c r="B23" s="73">
        <f t="shared" ref="B23:AG23" si="1">B19+B17</f>
        <v>-8721.8060699661874</v>
      </c>
      <c r="C23" s="73">
        <f t="shared" si="1"/>
        <v>-427.50547100377145</v>
      </c>
      <c r="D23" s="73">
        <f t="shared" si="1"/>
        <v>802.22018278190171</v>
      </c>
      <c r="E23" s="73">
        <f t="shared" si="1"/>
        <v>394.78332756002146</v>
      </c>
      <c r="F23" s="73">
        <f t="shared" si="1"/>
        <v>681.06489413825261</v>
      </c>
      <c r="G23" s="73">
        <f t="shared" si="1"/>
        <v>436.16782371631831</v>
      </c>
      <c r="H23" s="73">
        <f t="shared" si="1"/>
        <v>234.58008206373324</v>
      </c>
      <c r="I23" s="73">
        <f t="shared" si="1"/>
        <v>133.02999392956474</v>
      </c>
      <c r="J23" s="73">
        <f t="shared" si="1"/>
        <v>58.957010033575671</v>
      </c>
      <c r="K23" s="73">
        <f t="shared" si="1"/>
        <v>102.02151299231605</v>
      </c>
      <c r="L23" s="73">
        <f t="shared" si="1"/>
        <v>23.874735616647627</v>
      </c>
      <c r="M23" s="73">
        <f t="shared" si="1"/>
        <v>70.196520155432381</v>
      </c>
      <c r="N23" s="73">
        <f t="shared" si="1"/>
        <v>-12.241696983442921</v>
      </c>
      <c r="O23" s="73">
        <f t="shared" si="1"/>
        <v>37.567098755176289</v>
      </c>
      <c r="P23" s="73">
        <f t="shared" si="1"/>
        <v>32.113183894706253</v>
      </c>
      <c r="Q23" s="73">
        <f t="shared" si="1"/>
        <v>24.049226330808096</v>
      </c>
      <c r="R23" s="73">
        <f t="shared" si="1"/>
        <v>-444.54415222411512</v>
      </c>
      <c r="S23" s="73">
        <f t="shared" si="1"/>
        <v>563.42783934246791</v>
      </c>
      <c r="T23" s="73">
        <f t="shared" si="1"/>
        <v>3127.8375287077042</v>
      </c>
      <c r="U23" s="73">
        <f t="shared" si="1"/>
        <v>3152.106769538047</v>
      </c>
      <c r="V23" s="73">
        <f t="shared" si="1"/>
        <v>3174.8899030172324</v>
      </c>
      <c r="W23" s="73">
        <f t="shared" si="1"/>
        <v>3196.0774654241868</v>
      </c>
      <c r="X23" s="73">
        <f t="shared" si="1"/>
        <v>3215.5547627111882</v>
      </c>
      <c r="Y23" s="73">
        <f t="shared" si="1"/>
        <v>3234.7618409234519</v>
      </c>
      <c r="Z23" s="73">
        <f t="shared" si="1"/>
        <v>3253.6905934887436</v>
      </c>
      <c r="AA23" s="73">
        <f t="shared" si="1"/>
        <v>3272.332670637642</v>
      </c>
      <c r="AB23" s="73">
        <f t="shared" si="1"/>
        <v>3290.6794721076635</v>
      </c>
      <c r="AC23" s="73">
        <f t="shared" si="1"/>
        <v>3308.7221396284376</v>
      </c>
      <c r="AD23" s="73">
        <f t="shared" si="1"/>
        <v>3326.4515491814936</v>
      </c>
      <c r="AE23" s="73">
        <f t="shared" si="1"/>
        <v>3343.8583030277919</v>
      </c>
      <c r="AF23" s="73">
        <f t="shared" si="1"/>
        <v>3360.9327214961313</v>
      </c>
      <c r="AG23" s="73">
        <f t="shared" si="1"/>
        <v>852.6905187144755</v>
      </c>
      <c r="AH23" s="12"/>
      <c r="AI23" s="12"/>
      <c r="AJ23" s="12"/>
      <c r="AK23" s="12"/>
      <c r="AL23" s="12"/>
      <c r="AM23" s="12"/>
      <c r="AN23" s="12"/>
      <c r="AO23" s="12"/>
      <c r="AP23" s="12"/>
      <c r="AQ23" s="12"/>
    </row>
    <row r="24" spans="1:43">
      <c r="A24" s="13" t="s">
        <v>165</v>
      </c>
      <c r="B24" s="241">
        <v>0</v>
      </c>
      <c r="C24" s="241">
        <v>0</v>
      </c>
      <c r="D24" s="241">
        <v>0</v>
      </c>
      <c r="E24" s="241">
        <v>0</v>
      </c>
      <c r="F24" s="241">
        <v>0</v>
      </c>
      <c r="G24" s="241">
        <v>0</v>
      </c>
      <c r="H24" s="241">
        <v>0</v>
      </c>
      <c r="I24" s="241">
        <v>0</v>
      </c>
      <c r="J24" s="241">
        <v>0</v>
      </c>
      <c r="K24" s="241">
        <v>0</v>
      </c>
      <c r="L24" s="241">
        <v>0</v>
      </c>
      <c r="M24" s="241">
        <v>0</v>
      </c>
      <c r="N24" s="241">
        <v>0</v>
      </c>
      <c r="O24" s="241">
        <v>0</v>
      </c>
      <c r="P24" s="241">
        <v>0</v>
      </c>
      <c r="Q24" s="241">
        <v>0</v>
      </c>
      <c r="R24" s="241">
        <v>0</v>
      </c>
      <c r="S24" s="241">
        <v>0</v>
      </c>
      <c r="T24" s="241">
        <v>0</v>
      </c>
      <c r="U24" s="241">
        <v>0</v>
      </c>
      <c r="V24" s="241">
        <v>0</v>
      </c>
      <c r="W24" s="241">
        <v>0</v>
      </c>
      <c r="X24" s="241">
        <v>0</v>
      </c>
      <c r="Y24" s="241">
        <v>0</v>
      </c>
      <c r="Z24" s="241">
        <v>0</v>
      </c>
      <c r="AA24" s="241">
        <v>0</v>
      </c>
      <c r="AB24" s="241">
        <v>0</v>
      </c>
      <c r="AC24" s="241">
        <v>0</v>
      </c>
      <c r="AD24" s="241">
        <v>0</v>
      </c>
      <c r="AE24" s="241">
        <v>0</v>
      </c>
      <c r="AF24" s="241">
        <v>0</v>
      </c>
      <c r="AG24" s="241">
        <v>0</v>
      </c>
      <c r="AH24" s="12"/>
      <c r="AI24" s="12"/>
      <c r="AJ24" s="12"/>
      <c r="AK24" s="12"/>
      <c r="AL24" s="12"/>
      <c r="AM24" s="12"/>
      <c r="AN24" s="12"/>
      <c r="AO24" s="12"/>
      <c r="AP24" s="12"/>
      <c r="AQ24" s="12"/>
    </row>
    <row r="25" spans="1:43">
      <c r="A25" s="13" t="s">
        <v>166</v>
      </c>
      <c r="B25" s="82">
        <f t="shared" ref="B25:AG25" si="2">SUM(B23:B24)</f>
        <v>-8721.8060699661874</v>
      </c>
      <c r="C25" s="82">
        <f t="shared" si="2"/>
        <v>-427.50547100377145</v>
      </c>
      <c r="D25" s="82">
        <f t="shared" si="2"/>
        <v>802.22018278190171</v>
      </c>
      <c r="E25" s="82">
        <f t="shared" si="2"/>
        <v>394.78332756002146</v>
      </c>
      <c r="F25" s="82">
        <f t="shared" si="2"/>
        <v>681.06489413825261</v>
      </c>
      <c r="G25" s="82">
        <f t="shared" si="2"/>
        <v>436.16782371631831</v>
      </c>
      <c r="H25" s="82">
        <f t="shared" si="2"/>
        <v>234.58008206373324</v>
      </c>
      <c r="I25" s="82">
        <f t="shared" si="2"/>
        <v>133.02999392956474</v>
      </c>
      <c r="J25" s="82">
        <f t="shared" si="2"/>
        <v>58.957010033575671</v>
      </c>
      <c r="K25" s="82">
        <f t="shared" si="2"/>
        <v>102.02151299231605</v>
      </c>
      <c r="L25" s="82">
        <f t="shared" si="2"/>
        <v>23.874735616647627</v>
      </c>
      <c r="M25" s="82">
        <f t="shared" si="2"/>
        <v>70.196520155432381</v>
      </c>
      <c r="N25" s="82">
        <f t="shared" si="2"/>
        <v>-12.241696983442921</v>
      </c>
      <c r="O25" s="82">
        <f t="shared" si="2"/>
        <v>37.567098755176289</v>
      </c>
      <c r="P25" s="82">
        <f t="shared" si="2"/>
        <v>32.113183894706253</v>
      </c>
      <c r="Q25" s="82">
        <f t="shared" si="2"/>
        <v>24.049226330808096</v>
      </c>
      <c r="R25" s="82">
        <f t="shared" si="2"/>
        <v>-444.54415222411512</v>
      </c>
      <c r="S25" s="82">
        <f t="shared" si="2"/>
        <v>563.42783934246791</v>
      </c>
      <c r="T25" s="82">
        <f t="shared" si="2"/>
        <v>3127.8375287077042</v>
      </c>
      <c r="U25" s="82">
        <f t="shared" si="2"/>
        <v>3152.106769538047</v>
      </c>
      <c r="V25" s="82">
        <f t="shared" si="2"/>
        <v>3174.8899030172324</v>
      </c>
      <c r="W25" s="82">
        <f t="shared" si="2"/>
        <v>3196.0774654241868</v>
      </c>
      <c r="X25" s="82">
        <f t="shared" si="2"/>
        <v>3215.5547627111882</v>
      </c>
      <c r="Y25" s="82">
        <f t="shared" si="2"/>
        <v>3234.7618409234519</v>
      </c>
      <c r="Z25" s="82">
        <f t="shared" si="2"/>
        <v>3253.6905934887436</v>
      </c>
      <c r="AA25" s="82">
        <f t="shared" si="2"/>
        <v>3272.332670637642</v>
      </c>
      <c r="AB25" s="82">
        <f t="shared" si="2"/>
        <v>3290.6794721076635</v>
      </c>
      <c r="AC25" s="82">
        <f t="shared" si="2"/>
        <v>3308.7221396284376</v>
      </c>
      <c r="AD25" s="82">
        <f t="shared" si="2"/>
        <v>3326.4515491814936</v>
      </c>
      <c r="AE25" s="82">
        <f t="shared" si="2"/>
        <v>3343.8583030277919</v>
      </c>
      <c r="AF25" s="82">
        <f t="shared" si="2"/>
        <v>3360.9327214961313</v>
      </c>
      <c r="AG25" s="82">
        <f t="shared" si="2"/>
        <v>852.6905187144755</v>
      </c>
      <c r="AH25" s="12"/>
      <c r="AI25" s="12"/>
      <c r="AJ25" s="12"/>
      <c r="AK25" s="12"/>
      <c r="AL25" s="12"/>
      <c r="AM25" s="12"/>
      <c r="AN25" s="12"/>
      <c r="AO25" s="12"/>
      <c r="AP25" s="12"/>
      <c r="AQ25" s="12"/>
    </row>
    <row r="26" spans="1:43">
      <c r="A26" s="13" t="s">
        <v>1</v>
      </c>
      <c r="B26" s="210">
        <f>[1]!_xludf.xirr(B25:AG25,CF!B8:AG8)</f>
        <v>7.8581586480140672E-2</v>
      </c>
      <c r="C26" s="12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12"/>
      <c r="AI26" s="12"/>
      <c r="AJ26" s="12"/>
      <c r="AK26" s="12"/>
      <c r="AL26" s="12"/>
      <c r="AM26" s="12"/>
      <c r="AN26" s="12"/>
      <c r="AO26" s="12"/>
      <c r="AP26" s="12"/>
      <c r="AQ26" s="12"/>
    </row>
    <row r="27" spans="1:43">
      <c r="A27" s="13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</row>
    <row r="28" spans="1:43">
      <c r="A28" s="443" t="s">
        <v>419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</row>
    <row r="29" spans="1:43">
      <c r="A29" s="13" t="s">
        <v>164</v>
      </c>
      <c r="B29" s="73">
        <f t="shared" ref="B29:AG29" si="3">B23</f>
        <v>-8721.8060699661874</v>
      </c>
      <c r="C29" s="73">
        <f t="shared" si="3"/>
        <v>-427.50547100377145</v>
      </c>
      <c r="D29" s="73">
        <f t="shared" si="3"/>
        <v>802.22018278190171</v>
      </c>
      <c r="E29" s="73">
        <f t="shared" si="3"/>
        <v>394.78332756002146</v>
      </c>
      <c r="F29" s="73">
        <f t="shared" si="3"/>
        <v>681.06489413825261</v>
      </c>
      <c r="G29" s="73">
        <f t="shared" si="3"/>
        <v>436.16782371631831</v>
      </c>
      <c r="H29" s="73">
        <f t="shared" si="3"/>
        <v>234.58008206373324</v>
      </c>
      <c r="I29" s="73">
        <f t="shared" si="3"/>
        <v>133.02999392956474</v>
      </c>
      <c r="J29" s="73">
        <f t="shared" si="3"/>
        <v>58.957010033575671</v>
      </c>
      <c r="K29" s="73">
        <f t="shared" si="3"/>
        <v>102.02151299231605</v>
      </c>
      <c r="L29" s="73">
        <f t="shared" si="3"/>
        <v>23.874735616647627</v>
      </c>
      <c r="M29" s="73">
        <f t="shared" si="3"/>
        <v>70.196520155432381</v>
      </c>
      <c r="N29" s="73">
        <f t="shared" si="3"/>
        <v>-12.241696983442921</v>
      </c>
      <c r="O29" s="73">
        <f t="shared" si="3"/>
        <v>37.567098755176289</v>
      </c>
      <c r="P29" s="73">
        <f t="shared" si="3"/>
        <v>32.113183894706253</v>
      </c>
      <c r="Q29" s="73">
        <f t="shared" si="3"/>
        <v>24.049226330808096</v>
      </c>
      <c r="R29" s="73">
        <f t="shared" si="3"/>
        <v>-444.54415222411512</v>
      </c>
      <c r="S29" s="73">
        <f t="shared" si="3"/>
        <v>563.42783934246791</v>
      </c>
      <c r="T29" s="73">
        <f t="shared" si="3"/>
        <v>3127.8375287077042</v>
      </c>
      <c r="U29" s="73">
        <f t="shared" si="3"/>
        <v>3152.106769538047</v>
      </c>
      <c r="V29" s="73">
        <f t="shared" si="3"/>
        <v>3174.8899030172324</v>
      </c>
      <c r="W29" s="73">
        <f t="shared" si="3"/>
        <v>3196.0774654241868</v>
      </c>
      <c r="X29" s="73">
        <f t="shared" si="3"/>
        <v>3215.5547627111882</v>
      </c>
      <c r="Y29" s="73">
        <f t="shared" si="3"/>
        <v>3234.7618409234519</v>
      </c>
      <c r="Z29" s="73">
        <f t="shared" si="3"/>
        <v>3253.6905934887436</v>
      </c>
      <c r="AA29" s="73">
        <f t="shared" si="3"/>
        <v>3272.332670637642</v>
      </c>
      <c r="AB29" s="73">
        <f t="shared" si="3"/>
        <v>3290.6794721076635</v>
      </c>
      <c r="AC29" s="73">
        <f t="shared" si="3"/>
        <v>3308.7221396284376</v>
      </c>
      <c r="AD29" s="73">
        <f t="shared" si="3"/>
        <v>3326.4515491814936</v>
      </c>
      <c r="AE29" s="73">
        <f t="shared" si="3"/>
        <v>3343.8583030277919</v>
      </c>
      <c r="AF29" s="73">
        <f t="shared" si="3"/>
        <v>3360.9327214961313</v>
      </c>
      <c r="AG29" s="73">
        <f t="shared" si="3"/>
        <v>852.6905187144755</v>
      </c>
      <c r="AH29" s="73"/>
      <c r="AI29" s="73"/>
      <c r="AJ29" s="73"/>
      <c r="AK29" s="73"/>
      <c r="AL29" s="73"/>
      <c r="AM29" s="73"/>
      <c r="AN29" s="73"/>
      <c r="AO29" s="73"/>
      <c r="AP29" s="73"/>
      <c r="AQ29" s="73"/>
    </row>
    <row r="30" spans="1:43">
      <c r="A30" s="13" t="s">
        <v>147</v>
      </c>
      <c r="B30" s="241">
        <v>0</v>
      </c>
      <c r="C30" s="241">
        <v>0</v>
      </c>
      <c r="D30" s="241">
        <v>0</v>
      </c>
      <c r="E30" s="241">
        <v>0</v>
      </c>
      <c r="F30" s="241">
        <v>0</v>
      </c>
      <c r="G30" s="241">
        <v>0</v>
      </c>
      <c r="H30" s="241">
        <v>0</v>
      </c>
      <c r="I30" s="241">
        <v>0</v>
      </c>
      <c r="J30" s="241">
        <v>0</v>
      </c>
      <c r="K30" s="241">
        <v>0</v>
      </c>
      <c r="L30" s="241">
        <v>0</v>
      </c>
      <c r="M30" s="241">
        <v>0</v>
      </c>
      <c r="N30" s="241">
        <v>0</v>
      </c>
      <c r="O30" s="241">
        <v>0</v>
      </c>
      <c r="P30" s="241">
        <v>0</v>
      </c>
      <c r="Q30" s="241">
        <v>0</v>
      </c>
      <c r="R30" s="241">
        <v>0</v>
      </c>
      <c r="S30" s="241">
        <v>0</v>
      </c>
      <c r="T30" s="241">
        <v>0</v>
      </c>
      <c r="U30" s="241">
        <v>0</v>
      </c>
      <c r="V30" s="241">
        <v>0</v>
      </c>
      <c r="W30" s="241">
        <v>0</v>
      </c>
      <c r="X30" s="477">
        <v>0</v>
      </c>
      <c r="Y30" s="241">
        <v>0</v>
      </c>
      <c r="Z30" s="477">
        <v>0</v>
      </c>
      <c r="AA30" s="241">
        <v>0</v>
      </c>
      <c r="AB30" s="477">
        <v>0</v>
      </c>
      <c r="AC30" s="241">
        <v>0</v>
      </c>
      <c r="AD30" s="477">
        <v>0</v>
      </c>
      <c r="AE30" s="241">
        <v>0</v>
      </c>
      <c r="AF30" s="477">
        <v>0</v>
      </c>
      <c r="AG30" s="477">
        <f>IF(Assumptions!$X$13=1,Assumptions!$H$22*IS!$AF$33*Assumptions!$G$47,IF(Assumptions!$X$13=2,Assumptions!$H$23*Assumptions!$C$58*Assumptions!$G$47,IF(Assumptions!$X$13=3,Assumptions!$N$12*Assumptions!$H$24*Assumptions!$G$47,0)))</f>
        <v>27799.278093433677</v>
      </c>
      <c r="AH30" s="73"/>
      <c r="AI30" s="73"/>
      <c r="AJ30" s="73"/>
      <c r="AK30" s="73"/>
      <c r="AL30" s="73"/>
      <c r="AM30" s="73"/>
      <c r="AN30" s="73"/>
      <c r="AO30" s="73"/>
      <c r="AP30" s="73"/>
      <c r="AQ30" s="73"/>
    </row>
    <row r="31" spans="1:43">
      <c r="A31" s="13" t="s">
        <v>169</v>
      </c>
      <c r="B31" s="241">
        <v>0</v>
      </c>
      <c r="C31" s="241">
        <v>0</v>
      </c>
      <c r="D31" s="241">
        <v>0</v>
      </c>
      <c r="E31" s="241">
        <v>0</v>
      </c>
      <c r="F31" s="241">
        <v>0</v>
      </c>
      <c r="G31" s="241">
        <v>0</v>
      </c>
      <c r="H31" s="241">
        <v>0</v>
      </c>
      <c r="I31" s="241">
        <v>0</v>
      </c>
      <c r="J31" s="241">
        <v>0</v>
      </c>
      <c r="K31" s="241">
        <v>0</v>
      </c>
      <c r="L31" s="241">
        <v>0</v>
      </c>
      <c r="M31" s="241">
        <v>0</v>
      </c>
      <c r="N31" s="241">
        <v>0</v>
      </c>
      <c r="O31" s="241">
        <v>0</v>
      </c>
      <c r="P31" s="241">
        <v>0</v>
      </c>
      <c r="Q31" s="241">
        <v>0</v>
      </c>
      <c r="R31" s="241">
        <v>0</v>
      </c>
      <c r="S31" s="241">
        <v>0</v>
      </c>
      <c r="T31" s="241">
        <v>0</v>
      </c>
      <c r="U31" s="241">
        <v>0</v>
      </c>
      <c r="V31" s="241">
        <v>0</v>
      </c>
      <c r="W31" s="241">
        <v>0</v>
      </c>
      <c r="X31" s="270">
        <v>0</v>
      </c>
      <c r="Y31" s="241">
        <v>0</v>
      </c>
      <c r="Z31" s="270">
        <v>0</v>
      </c>
      <c r="AA31" s="241">
        <v>0</v>
      </c>
      <c r="AB31" s="270">
        <v>0</v>
      </c>
      <c r="AC31" s="241">
        <v>0</v>
      </c>
      <c r="AD31" s="270">
        <v>0</v>
      </c>
      <c r="AE31" s="241">
        <v>0</v>
      </c>
      <c r="AF31" s="270">
        <v>0</v>
      </c>
      <c r="AG31" s="241">
        <v>0</v>
      </c>
      <c r="AH31" s="73"/>
      <c r="AI31" s="73"/>
      <c r="AJ31" s="73"/>
      <c r="AK31" s="73"/>
      <c r="AL31" s="73"/>
      <c r="AM31" s="73"/>
      <c r="AN31" s="73"/>
      <c r="AO31" s="73"/>
      <c r="AP31" s="73"/>
      <c r="AQ31" s="73"/>
    </row>
    <row r="32" spans="1:43">
      <c r="A32" s="13" t="s">
        <v>166</v>
      </c>
      <c r="B32" s="73">
        <f t="shared" ref="B32:AG32" si="4">SUM(B29:B31)</f>
        <v>-8721.8060699661874</v>
      </c>
      <c r="C32" s="73">
        <f t="shared" si="4"/>
        <v>-427.50547100377145</v>
      </c>
      <c r="D32" s="73">
        <f t="shared" si="4"/>
        <v>802.22018278190171</v>
      </c>
      <c r="E32" s="73">
        <f t="shared" si="4"/>
        <v>394.78332756002146</v>
      </c>
      <c r="F32" s="73">
        <f t="shared" si="4"/>
        <v>681.06489413825261</v>
      </c>
      <c r="G32" s="73">
        <f t="shared" si="4"/>
        <v>436.16782371631831</v>
      </c>
      <c r="H32" s="73">
        <f t="shared" si="4"/>
        <v>234.58008206373324</v>
      </c>
      <c r="I32" s="73">
        <f t="shared" si="4"/>
        <v>133.02999392956474</v>
      </c>
      <c r="J32" s="73">
        <f t="shared" si="4"/>
        <v>58.957010033575671</v>
      </c>
      <c r="K32" s="73">
        <f t="shared" si="4"/>
        <v>102.02151299231605</v>
      </c>
      <c r="L32" s="73">
        <f t="shared" si="4"/>
        <v>23.874735616647627</v>
      </c>
      <c r="M32" s="73">
        <f t="shared" si="4"/>
        <v>70.196520155432381</v>
      </c>
      <c r="N32" s="73">
        <f t="shared" si="4"/>
        <v>-12.241696983442921</v>
      </c>
      <c r="O32" s="73">
        <f t="shared" si="4"/>
        <v>37.567098755176289</v>
      </c>
      <c r="P32" s="73">
        <f t="shared" si="4"/>
        <v>32.113183894706253</v>
      </c>
      <c r="Q32" s="73">
        <f t="shared" si="4"/>
        <v>24.049226330808096</v>
      </c>
      <c r="R32" s="73">
        <f t="shared" si="4"/>
        <v>-444.54415222411512</v>
      </c>
      <c r="S32" s="73">
        <f t="shared" si="4"/>
        <v>563.42783934246791</v>
      </c>
      <c r="T32" s="73">
        <f t="shared" si="4"/>
        <v>3127.8375287077042</v>
      </c>
      <c r="U32" s="73">
        <f t="shared" si="4"/>
        <v>3152.106769538047</v>
      </c>
      <c r="V32" s="73">
        <f t="shared" si="4"/>
        <v>3174.8899030172324</v>
      </c>
      <c r="W32" s="73">
        <f t="shared" si="4"/>
        <v>3196.0774654241868</v>
      </c>
      <c r="X32" s="73">
        <f t="shared" si="4"/>
        <v>3215.5547627111882</v>
      </c>
      <c r="Y32" s="73">
        <f t="shared" si="4"/>
        <v>3234.7618409234519</v>
      </c>
      <c r="Z32" s="73">
        <f t="shared" si="4"/>
        <v>3253.6905934887436</v>
      </c>
      <c r="AA32" s="73">
        <f t="shared" si="4"/>
        <v>3272.332670637642</v>
      </c>
      <c r="AB32" s="73">
        <f t="shared" si="4"/>
        <v>3290.6794721076635</v>
      </c>
      <c r="AC32" s="73">
        <f t="shared" si="4"/>
        <v>3308.7221396284376</v>
      </c>
      <c r="AD32" s="73">
        <f t="shared" si="4"/>
        <v>3326.4515491814936</v>
      </c>
      <c r="AE32" s="73">
        <f t="shared" si="4"/>
        <v>3343.8583030277919</v>
      </c>
      <c r="AF32" s="73">
        <f t="shared" si="4"/>
        <v>3360.9327214961313</v>
      </c>
      <c r="AG32" s="73">
        <f t="shared" si="4"/>
        <v>28651.968612148154</v>
      </c>
      <c r="AH32" s="73"/>
      <c r="AI32" s="73"/>
      <c r="AJ32" s="73"/>
      <c r="AK32" s="73"/>
      <c r="AL32" s="73"/>
      <c r="AM32" s="73"/>
      <c r="AN32" s="73"/>
      <c r="AO32" s="73"/>
      <c r="AP32" s="73"/>
      <c r="AQ32" s="73"/>
    </row>
    <row r="33" spans="1:43">
      <c r="A33" s="13" t="s">
        <v>1</v>
      </c>
      <c r="B33" s="210">
        <f>[1]!_xludf.xirr(B32:AG32,CF!B8:AG8)</f>
        <v>9.13099080324173E-2</v>
      </c>
      <c r="C33" s="12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12"/>
      <c r="Y33" s="74"/>
      <c r="Z33" s="12"/>
      <c r="AA33" s="74"/>
      <c r="AB33" s="12"/>
      <c r="AC33" s="74"/>
      <c r="AD33" s="12"/>
      <c r="AE33" s="74"/>
      <c r="AF33" s="12"/>
      <c r="AG33" s="74"/>
      <c r="AH33" s="12"/>
      <c r="AI33" s="12"/>
      <c r="AJ33" s="12"/>
      <c r="AK33" s="12"/>
      <c r="AL33" s="12"/>
      <c r="AM33" s="12"/>
      <c r="AN33" s="12"/>
      <c r="AO33" s="12"/>
      <c r="AP33" s="12"/>
      <c r="AQ33" s="12"/>
    </row>
    <row r="34" spans="1:43">
      <c r="A34" s="13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</row>
    <row r="35" spans="1:43">
      <c r="A35" s="13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</row>
    <row r="36" spans="1:43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6"/>
      <c r="Z36" s="6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</row>
    <row r="37" spans="1:43">
      <c r="A37" s="13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6"/>
      <c r="Z37" s="6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</row>
    <row r="38" spans="1:43">
      <c r="A38" s="13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6"/>
      <c r="Z38" s="6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</row>
    <row r="39" spans="1:43">
      <c r="A39" s="13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6"/>
      <c r="Z39" s="6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</row>
    <row r="40" spans="1:43">
      <c r="A40" s="13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6"/>
      <c r="Z40" s="6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</row>
    <row r="41" spans="1:43">
      <c r="A41" s="13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6"/>
      <c r="Z41" s="6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Q103"/>
  <sheetViews>
    <sheetView zoomScale="75" zoomScaleNormal="75" workbookViewId="0">
      <selection activeCell="A9" sqref="A9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1" spans="1:24" ht="18.75">
      <c r="A1" s="70"/>
    </row>
    <row r="2" spans="1:24" ht="18.75">
      <c r="A2" s="70"/>
    </row>
    <row r="4" spans="1:24" ht="15.75">
      <c r="A4" s="59" t="s">
        <v>441</v>
      </c>
      <c r="B4" s="60"/>
      <c r="I4"/>
      <c r="J4"/>
      <c r="K4"/>
      <c r="L4"/>
      <c r="M4"/>
      <c r="N4"/>
      <c r="O4"/>
      <c r="P4"/>
      <c r="Q4"/>
      <c r="R4"/>
    </row>
    <row r="5" spans="1:24">
      <c r="A5" s="61" t="s">
        <v>172</v>
      </c>
      <c r="B5" s="199">
        <f>Assumptions!G36</f>
        <v>6.83E-2</v>
      </c>
      <c r="G5" s="200"/>
      <c r="H5" s="5"/>
      <c r="I5"/>
      <c r="J5"/>
      <c r="K5"/>
      <c r="L5"/>
      <c r="M5"/>
      <c r="N5"/>
      <c r="O5"/>
      <c r="P5"/>
      <c r="Q5"/>
      <c r="R5"/>
      <c r="S5" s="5"/>
      <c r="T5" s="5"/>
      <c r="U5" s="5"/>
      <c r="V5" s="5"/>
      <c r="W5" s="5"/>
    </row>
    <row r="6" spans="1:24">
      <c r="A6" s="61" t="s">
        <v>59</v>
      </c>
      <c r="B6" s="199">
        <f>Assumptions!G37</f>
        <v>0.01</v>
      </c>
      <c r="G6" s="5"/>
      <c r="H6" s="5"/>
      <c r="I6"/>
      <c r="J6"/>
      <c r="K6"/>
      <c r="L6"/>
      <c r="M6"/>
      <c r="N6"/>
      <c r="O6"/>
      <c r="P6"/>
      <c r="Q6"/>
      <c r="R6"/>
      <c r="S6" s="5"/>
      <c r="T6" s="5"/>
      <c r="U6" s="5"/>
      <c r="V6" s="5"/>
      <c r="W6" s="5"/>
    </row>
    <row r="7" spans="1:24">
      <c r="A7" s="440" t="s">
        <v>60</v>
      </c>
      <c r="B7" s="524">
        <f>B6+B5</f>
        <v>7.8299999999999995E-2</v>
      </c>
      <c r="I7"/>
      <c r="J7"/>
      <c r="K7"/>
      <c r="L7"/>
      <c r="M7"/>
      <c r="N7"/>
      <c r="O7"/>
      <c r="P7"/>
      <c r="Q7"/>
      <c r="R7"/>
    </row>
    <row r="8" spans="1:24">
      <c r="A8" s="528" t="s">
        <v>170</v>
      </c>
      <c r="B8" s="525">
        <f>Assumptions!G32</f>
        <v>17</v>
      </c>
      <c r="I8"/>
      <c r="J8"/>
      <c r="K8"/>
      <c r="L8"/>
      <c r="M8"/>
      <c r="N8"/>
      <c r="O8"/>
      <c r="P8"/>
      <c r="Q8"/>
      <c r="R8"/>
    </row>
    <row r="9" spans="1:24">
      <c r="A9" s="529" t="s">
        <v>171</v>
      </c>
      <c r="B9" s="526">
        <f>B77</f>
        <v>10.565009354767463</v>
      </c>
      <c r="I9"/>
      <c r="J9"/>
      <c r="K9"/>
      <c r="L9"/>
      <c r="M9"/>
      <c r="N9"/>
      <c r="O9"/>
      <c r="P9"/>
      <c r="Q9"/>
      <c r="R9"/>
    </row>
    <row r="10" spans="1:24">
      <c r="A10" s="530" t="s">
        <v>61</v>
      </c>
      <c r="B10" s="527">
        <f>B31</f>
        <v>61666.602594810392</v>
      </c>
      <c r="G10" s="5"/>
      <c r="H10" s="5"/>
      <c r="I10"/>
      <c r="J10"/>
      <c r="K10"/>
      <c r="L10"/>
      <c r="M10"/>
      <c r="N10"/>
      <c r="O10"/>
      <c r="P10"/>
      <c r="Q10"/>
      <c r="R10"/>
      <c r="S10" s="5"/>
      <c r="T10" s="5"/>
    </row>
    <row r="11" spans="1:24">
      <c r="A11" s="46"/>
      <c r="C11" s="69"/>
      <c r="D11" s="62"/>
      <c r="E11" s="62"/>
      <c r="F11" s="102"/>
      <c r="I11"/>
      <c r="J11"/>
      <c r="K11"/>
      <c r="L11"/>
      <c r="M11"/>
      <c r="N11"/>
      <c r="O11"/>
      <c r="P11"/>
      <c r="Q11"/>
      <c r="R11"/>
    </row>
    <row r="12" spans="1:24">
      <c r="A12" s="46"/>
      <c r="C12" s="69"/>
      <c r="D12" s="62"/>
      <c r="E12" s="62"/>
      <c r="F12" s="102"/>
      <c r="I12" s="69"/>
      <c r="J12" s="69"/>
      <c r="K12" s="69"/>
      <c r="L12" s="102"/>
      <c r="O12" s="69"/>
      <c r="P12" s="69"/>
      <c r="Q12" s="69"/>
      <c r="R12" s="102"/>
    </row>
    <row r="13" spans="1:24">
      <c r="A13" s="46"/>
      <c r="C13" s="69"/>
      <c r="D13" s="62"/>
      <c r="E13" s="62"/>
      <c r="I13" s="69"/>
      <c r="J13" s="69"/>
      <c r="K13" s="69"/>
      <c r="L13" s="102"/>
      <c r="O13" s="69"/>
      <c r="P13" s="69"/>
      <c r="Q13" s="69"/>
    </row>
    <row r="14" spans="1:24" ht="18.75">
      <c r="A14" s="206" t="str">
        <f>Assumptions!A3</f>
        <v>PROJECT NAME:</v>
      </c>
      <c r="C14" s="69"/>
      <c r="D14" s="62"/>
      <c r="E14" s="62"/>
      <c r="F14" s="102"/>
      <c r="G14" s="5"/>
      <c r="H14" s="5"/>
      <c r="I14" s="2"/>
      <c r="J14" s="2"/>
      <c r="K14" s="2"/>
      <c r="L14" s="102"/>
      <c r="M14" s="5"/>
      <c r="N14" s="5"/>
      <c r="O14" s="2"/>
      <c r="P14" s="2"/>
      <c r="Q14" s="2"/>
      <c r="R14" s="102"/>
      <c r="S14" s="5"/>
      <c r="T14" s="5"/>
      <c r="U14" s="5"/>
      <c r="V14" s="5"/>
      <c r="W14" s="5"/>
      <c r="X14" s="5"/>
    </row>
    <row r="15" spans="1:24">
      <c r="A15" s="46"/>
      <c r="C15" s="69"/>
      <c r="D15" s="62"/>
      <c r="E15" s="62"/>
      <c r="F15" s="102"/>
      <c r="G15" s="5"/>
      <c r="H15" s="5"/>
      <c r="I15" s="2"/>
      <c r="J15" s="2"/>
      <c r="K15" s="2"/>
      <c r="L15" s="102"/>
      <c r="M15" s="5"/>
      <c r="N15" s="5"/>
      <c r="O15" s="2"/>
      <c r="P15" s="2"/>
      <c r="Q15" s="2"/>
      <c r="R15" s="102"/>
      <c r="S15" s="5"/>
      <c r="T15" s="5"/>
      <c r="U15" s="5"/>
      <c r="V15" s="5"/>
      <c r="W15" s="5"/>
      <c r="X15" s="5"/>
    </row>
    <row r="16" spans="1:24" ht="18.75">
      <c r="A16" s="67" t="s">
        <v>107</v>
      </c>
      <c r="C16" s="69"/>
      <c r="D16" s="62"/>
      <c r="E16" s="62"/>
      <c r="F16" s="102"/>
      <c r="I16" s="69"/>
      <c r="J16" s="69"/>
      <c r="K16" s="69"/>
      <c r="L16" s="102"/>
      <c r="O16" s="69"/>
      <c r="P16" s="69"/>
      <c r="Q16" s="69"/>
      <c r="R16" s="102"/>
    </row>
    <row r="17" spans="1:34" s="13" customFormat="1">
      <c r="A17" s="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6"/>
      <c r="AB17" s="6"/>
    </row>
    <row r="18" spans="1:34" s="163" customFormat="1" ht="13.5">
      <c r="A18" s="48"/>
      <c r="B18" s="263"/>
      <c r="C18" s="263"/>
      <c r="D18" s="263"/>
      <c r="E18" s="263"/>
      <c r="F18" s="263"/>
      <c r="G18" s="263"/>
      <c r="H18" s="263"/>
      <c r="I18" s="263"/>
      <c r="J18" s="263"/>
      <c r="K18" s="263"/>
      <c r="L18" s="263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  <c r="AD18" s="263"/>
      <c r="AE18" s="263"/>
      <c r="AF18" s="263"/>
    </row>
    <row r="19" spans="1:34" ht="13.5" thickBot="1">
      <c r="A19" s="135" t="s">
        <v>41</v>
      </c>
      <c r="B19" s="264">
        <f>IS!C7</f>
        <v>2001</v>
      </c>
      <c r="C19" s="264">
        <f>B19+1</f>
        <v>2002</v>
      </c>
      <c r="D19" s="264">
        <f t="shared" ref="D19:AF19" si="0">C19+1</f>
        <v>2003</v>
      </c>
      <c r="E19" s="264">
        <f t="shared" si="0"/>
        <v>2004</v>
      </c>
      <c r="F19" s="264">
        <f t="shared" si="0"/>
        <v>2005</v>
      </c>
      <c r="G19" s="264">
        <f t="shared" si="0"/>
        <v>2006</v>
      </c>
      <c r="H19" s="264">
        <f t="shared" si="0"/>
        <v>2007</v>
      </c>
      <c r="I19" s="264">
        <f t="shared" si="0"/>
        <v>2008</v>
      </c>
      <c r="J19" s="264">
        <f t="shared" si="0"/>
        <v>2009</v>
      </c>
      <c r="K19" s="264">
        <f t="shared" si="0"/>
        <v>2010</v>
      </c>
      <c r="L19" s="264">
        <f t="shared" si="0"/>
        <v>2011</v>
      </c>
      <c r="M19" s="264">
        <f t="shared" si="0"/>
        <v>2012</v>
      </c>
      <c r="N19" s="264">
        <f t="shared" si="0"/>
        <v>2013</v>
      </c>
      <c r="O19" s="264">
        <f t="shared" si="0"/>
        <v>2014</v>
      </c>
      <c r="P19" s="264">
        <f t="shared" si="0"/>
        <v>2015</v>
      </c>
      <c r="Q19" s="264">
        <f t="shared" si="0"/>
        <v>2016</v>
      </c>
      <c r="R19" s="264">
        <f t="shared" si="0"/>
        <v>2017</v>
      </c>
      <c r="S19" s="264">
        <f t="shared" si="0"/>
        <v>2018</v>
      </c>
      <c r="T19" s="264">
        <f t="shared" si="0"/>
        <v>2019</v>
      </c>
      <c r="U19" s="264">
        <f t="shared" si="0"/>
        <v>2020</v>
      </c>
      <c r="V19" s="264">
        <f t="shared" si="0"/>
        <v>2021</v>
      </c>
      <c r="W19" s="264">
        <f t="shared" si="0"/>
        <v>2022</v>
      </c>
      <c r="X19" s="264">
        <f t="shared" si="0"/>
        <v>2023</v>
      </c>
      <c r="Y19" s="264">
        <f t="shared" si="0"/>
        <v>2024</v>
      </c>
      <c r="Z19" s="264">
        <f t="shared" si="0"/>
        <v>2025</v>
      </c>
      <c r="AA19" s="264">
        <f t="shared" si="0"/>
        <v>2026</v>
      </c>
      <c r="AB19" s="264">
        <f t="shared" si="0"/>
        <v>2027</v>
      </c>
      <c r="AC19" s="264">
        <f t="shared" si="0"/>
        <v>2028</v>
      </c>
      <c r="AD19" s="264">
        <f t="shared" si="0"/>
        <v>2029</v>
      </c>
      <c r="AE19" s="264">
        <f t="shared" si="0"/>
        <v>2030</v>
      </c>
      <c r="AF19" s="264">
        <f t="shared" si="0"/>
        <v>2031</v>
      </c>
      <c r="AG19" s="11"/>
      <c r="AH19" s="11"/>
    </row>
    <row r="20" spans="1:34" s="51" customFormat="1">
      <c r="A20" s="519"/>
      <c r="B20" s="518">
        <f>CF!C8</f>
        <v>37255.5</v>
      </c>
      <c r="C20" s="518">
        <f>CF!D8</f>
        <v>37620.75</v>
      </c>
      <c r="D20" s="518">
        <f>CF!E8</f>
        <v>37986</v>
      </c>
      <c r="E20" s="518">
        <f>CF!F8</f>
        <v>38351.25</v>
      </c>
      <c r="F20" s="518">
        <f>CF!G8</f>
        <v>38716.5</v>
      </c>
      <c r="G20" s="518">
        <f>CF!H8</f>
        <v>39081.75</v>
      </c>
      <c r="H20" s="518">
        <f>CF!I8</f>
        <v>39447</v>
      </c>
      <c r="I20" s="518">
        <f>CF!J8</f>
        <v>39812.25</v>
      </c>
      <c r="J20" s="518">
        <f>CF!K8</f>
        <v>40177.5</v>
      </c>
      <c r="K20" s="518">
        <f>CF!L8</f>
        <v>40542.75</v>
      </c>
      <c r="L20" s="518">
        <f>CF!M8</f>
        <v>40908</v>
      </c>
      <c r="M20" s="518">
        <f>CF!N8</f>
        <v>41273.25</v>
      </c>
      <c r="N20" s="518">
        <f>CF!O8</f>
        <v>41638.5</v>
      </c>
      <c r="O20" s="518">
        <f>CF!P8</f>
        <v>42003.75</v>
      </c>
      <c r="P20" s="518">
        <f>CF!Q8</f>
        <v>42369</v>
      </c>
      <c r="Q20" s="518">
        <f>CF!R8</f>
        <v>42734.25</v>
      </c>
      <c r="R20" s="518">
        <f>CF!S8</f>
        <v>43099.5</v>
      </c>
      <c r="S20" s="518">
        <f>CF!T8</f>
        <v>43464.75</v>
      </c>
      <c r="T20" s="518">
        <f>CF!U8</f>
        <v>43830</v>
      </c>
      <c r="U20" s="518">
        <f>CF!V8</f>
        <v>44195.25</v>
      </c>
      <c r="V20" s="518">
        <f>CF!W8</f>
        <v>44560.5</v>
      </c>
      <c r="W20" s="518">
        <f>CF!X8</f>
        <v>44925.75</v>
      </c>
      <c r="X20" s="518">
        <f>CF!Y8</f>
        <v>45291</v>
      </c>
      <c r="Y20" s="518">
        <f>CF!Z8</f>
        <v>45656.25</v>
      </c>
      <c r="Z20" s="518">
        <f>CF!AA8</f>
        <v>46021.5</v>
      </c>
      <c r="AA20" s="518">
        <f>CF!AB8</f>
        <v>46386.75</v>
      </c>
      <c r="AB20" s="518">
        <f>CF!AC8</f>
        <v>46752</v>
      </c>
      <c r="AC20" s="518">
        <f>CF!AD8</f>
        <v>47117.25</v>
      </c>
      <c r="AD20" s="518">
        <f>CF!AE8</f>
        <v>47482.5</v>
      </c>
      <c r="AE20" s="518">
        <f>CF!AF8</f>
        <v>47847.75</v>
      </c>
      <c r="AF20" s="518">
        <f>CF!AG8</f>
        <v>48213</v>
      </c>
      <c r="AG20" s="12"/>
      <c r="AH20" s="11"/>
    </row>
    <row r="21" spans="1:34"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</row>
    <row r="22" spans="1:34"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</row>
    <row r="23" spans="1:34">
      <c r="A23" s="510" t="s">
        <v>51</v>
      </c>
      <c r="B23" s="511">
        <f>IS!C33</f>
        <v>4619.7474117922429</v>
      </c>
      <c r="C23" s="511">
        <f>IS!D33</f>
        <v>6920.4909177934705</v>
      </c>
      <c r="D23" s="511">
        <f>IS!E33</f>
        <v>6910.8657178985759</v>
      </c>
      <c r="E23" s="511">
        <f>IS!F33</f>
        <v>7957.688781612087</v>
      </c>
      <c r="F23" s="511">
        <f>IS!G33</f>
        <v>8440.2969285003437</v>
      </c>
      <c r="G23" s="511">
        <f>IS!H33</f>
        <v>8544.6543860286147</v>
      </c>
      <c r="H23" s="511">
        <f>IS!I33</f>
        <v>8646.5195299735169</v>
      </c>
      <c r="I23" s="511">
        <f>IS!J33</f>
        <v>8746.2516660710317</v>
      </c>
      <c r="J23" s="511">
        <f>IS!K33</f>
        <v>9021.1095882302252</v>
      </c>
      <c r="K23" s="511">
        <f>IS!L33</f>
        <v>9121.245313788917</v>
      </c>
      <c r="L23" s="511">
        <f>IS!M33</f>
        <v>9407.0122597733389</v>
      </c>
      <c r="M23" s="511">
        <f>IS!N33</f>
        <v>9507.2519095969765</v>
      </c>
      <c r="N23" s="511">
        <f>IS!O33</f>
        <v>9804.2582678493345</v>
      </c>
      <c r="O23" s="511">
        <f>IS!P33</f>
        <v>9904.2641806841548</v>
      </c>
      <c r="P23" s="511">
        <f>IS!Q33</f>
        <v>10000.927670800003</v>
      </c>
      <c r="Q23" s="512">
        <f>IS!R33</f>
        <v>10093.963299296291</v>
      </c>
      <c r="R23" s="511">
        <f>IS!S33</f>
        <v>10236.786993363796</v>
      </c>
      <c r="S23" s="511">
        <f>IS!T33</f>
        <v>10348.5112612331</v>
      </c>
      <c r="T23" s="511">
        <f>IS!U33</f>
        <v>10428.806516254912</v>
      </c>
      <c r="U23" s="511">
        <f>IS!V33</f>
        <v>10504.184956219131</v>
      </c>
      <c r="V23" s="511">
        <f>IS!W33</f>
        <v>10574.284418276879</v>
      </c>
      <c r="W23" s="511">
        <f>IS!X33</f>
        <v>10638.725434941896</v>
      </c>
      <c r="X23" s="511">
        <f>IS!Y33</f>
        <v>10702.272426545747</v>
      </c>
      <c r="Y23" s="511">
        <f>IS!Z33</f>
        <v>10764.89857233662</v>
      </c>
      <c r="Z23" s="511">
        <f>IS!AA33</f>
        <v>10826.576246940091</v>
      </c>
      <c r="AA23" s="511">
        <f>IS!AB33</f>
        <v>10887.276996220557</v>
      </c>
      <c r="AB23" s="511">
        <f>IS!AC33</f>
        <v>10946.97151241832</v>
      </c>
      <c r="AC23" s="511">
        <f>IS!AD33</f>
        <v>11005.629608540921</v>
      </c>
      <c r="AD23" s="511">
        <f>IS!AE33</f>
        <v>11063.220191986076</v>
      </c>
      <c r="AE23" s="511">
        <f>IS!AF33</f>
        <v>11119.711237373471</v>
      </c>
      <c r="AF23" s="512">
        <f>IS!AG33</f>
        <v>2821.1431553828797</v>
      </c>
    </row>
    <row r="24" spans="1:34">
      <c r="A24" s="513" t="s">
        <v>0</v>
      </c>
      <c r="B24" s="508">
        <v>1.3</v>
      </c>
      <c r="C24" s="508">
        <v>1.3</v>
      </c>
      <c r="D24" s="508">
        <v>1.3</v>
      </c>
      <c r="E24" s="508">
        <v>1.3</v>
      </c>
      <c r="F24" s="508">
        <v>1.3</v>
      </c>
      <c r="G24" s="508">
        <v>1.3</v>
      </c>
      <c r="H24" s="508">
        <v>1.3</v>
      </c>
      <c r="I24" s="508">
        <v>1.3</v>
      </c>
      <c r="J24" s="508">
        <v>1.3</v>
      </c>
      <c r="K24" s="508">
        <v>1.3</v>
      </c>
      <c r="L24" s="508">
        <v>1.3</v>
      </c>
      <c r="M24" s="508">
        <v>1.3</v>
      </c>
      <c r="N24" s="508">
        <v>1.3</v>
      </c>
      <c r="O24" s="508">
        <v>1.3</v>
      </c>
      <c r="P24" s="508">
        <v>1.3</v>
      </c>
      <c r="Q24" s="514">
        <v>1.3</v>
      </c>
      <c r="R24" s="508">
        <v>1.3</v>
      </c>
      <c r="S24" s="508">
        <v>1.3</v>
      </c>
      <c r="T24" s="508">
        <v>1.3</v>
      </c>
      <c r="U24" s="508">
        <v>1.3</v>
      </c>
      <c r="V24" s="508">
        <v>1.3</v>
      </c>
      <c r="W24" s="508">
        <v>1.3</v>
      </c>
      <c r="X24" s="508">
        <v>1.3</v>
      </c>
      <c r="Y24" s="508">
        <v>1.3</v>
      </c>
      <c r="Z24" s="508">
        <v>1.3</v>
      </c>
      <c r="AA24" s="508">
        <v>1.3</v>
      </c>
      <c r="AB24" s="508">
        <v>1.3</v>
      </c>
      <c r="AC24" s="508">
        <v>1.3</v>
      </c>
      <c r="AD24" s="508">
        <v>1.3</v>
      </c>
      <c r="AE24" s="508">
        <v>1.3</v>
      </c>
      <c r="AF24" s="514">
        <v>1.3</v>
      </c>
    </row>
    <row r="25" spans="1:34">
      <c r="A25" s="515" t="s">
        <v>439</v>
      </c>
      <c r="B25" s="396">
        <f>B23/B24</f>
        <v>3553.6518552248021</v>
      </c>
      <c r="C25" s="396">
        <f t="shared" ref="C25:AF25" si="1">C23/C24</f>
        <v>5323.4545521488235</v>
      </c>
      <c r="D25" s="396">
        <f t="shared" si="1"/>
        <v>5316.0505522296735</v>
      </c>
      <c r="E25" s="396">
        <f t="shared" si="1"/>
        <v>6121.2990627785284</v>
      </c>
      <c r="F25" s="396">
        <f t="shared" si="1"/>
        <v>6492.5360988464181</v>
      </c>
      <c r="G25" s="396">
        <f t="shared" si="1"/>
        <v>6572.8110661758574</v>
      </c>
      <c r="H25" s="396">
        <f t="shared" si="1"/>
        <v>6651.1688692103971</v>
      </c>
      <c r="I25" s="396">
        <f t="shared" si="1"/>
        <v>6727.8858969777166</v>
      </c>
      <c r="J25" s="396">
        <f t="shared" si="1"/>
        <v>6939.3150678694037</v>
      </c>
      <c r="K25" s="396">
        <f t="shared" si="1"/>
        <v>7016.3425490683976</v>
      </c>
      <c r="L25" s="396">
        <f t="shared" si="1"/>
        <v>7236.1632767487217</v>
      </c>
      <c r="M25" s="396">
        <f t="shared" si="1"/>
        <v>7313.2706996899815</v>
      </c>
      <c r="N25" s="396">
        <f t="shared" si="1"/>
        <v>7541.737129114872</v>
      </c>
      <c r="O25" s="396">
        <f t="shared" si="1"/>
        <v>7618.6647543724266</v>
      </c>
      <c r="P25" s="396">
        <f t="shared" si="1"/>
        <v>7693.0212852307714</v>
      </c>
      <c r="Q25" s="516">
        <f t="shared" si="1"/>
        <v>7764.5871533048385</v>
      </c>
      <c r="R25" s="396">
        <f t="shared" si="1"/>
        <v>7874.451533356766</v>
      </c>
      <c r="S25" s="396">
        <f t="shared" si="1"/>
        <v>7960.3932778716144</v>
      </c>
      <c r="T25" s="396">
        <f t="shared" si="1"/>
        <v>8022.1588586576245</v>
      </c>
      <c r="U25" s="396">
        <f t="shared" si="1"/>
        <v>8080.1422740147154</v>
      </c>
      <c r="V25" s="396">
        <f t="shared" si="1"/>
        <v>8134.0649371360605</v>
      </c>
      <c r="W25" s="396">
        <f t="shared" si="1"/>
        <v>8183.6349499553044</v>
      </c>
      <c r="X25" s="396">
        <f t="shared" si="1"/>
        <v>8232.517251189036</v>
      </c>
      <c r="Y25" s="396">
        <f t="shared" si="1"/>
        <v>8280.691209489707</v>
      </c>
      <c r="Z25" s="396">
        <f t="shared" si="1"/>
        <v>8328.1355745692999</v>
      </c>
      <c r="AA25" s="396">
        <f t="shared" si="1"/>
        <v>8374.8284586311966</v>
      </c>
      <c r="AB25" s="396">
        <f t="shared" si="1"/>
        <v>8420.7473172448608</v>
      </c>
      <c r="AC25" s="396">
        <f t="shared" si="1"/>
        <v>8465.8689296468619</v>
      </c>
      <c r="AD25" s="396">
        <f t="shared" si="1"/>
        <v>8510.1693784508279</v>
      </c>
      <c r="AE25" s="396">
        <f t="shared" si="1"/>
        <v>8553.6240287488235</v>
      </c>
      <c r="AF25" s="516">
        <f t="shared" si="1"/>
        <v>2170.1101195252922</v>
      </c>
    </row>
    <row r="26" spans="1:34">
      <c r="A26" s="4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</row>
    <row r="27" spans="1:34">
      <c r="A27" s="4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</row>
    <row r="28" spans="1:34">
      <c r="A28" s="56"/>
      <c r="B28" s="280"/>
    </row>
    <row r="29" spans="1:34">
      <c r="A29" s="56"/>
      <c r="B29" s="280"/>
    </row>
    <row r="30" spans="1:34">
      <c r="A30" s="56"/>
      <c r="B30" s="280"/>
    </row>
    <row r="31" spans="1:34">
      <c r="A31" s="11" t="s">
        <v>229</v>
      </c>
      <c r="B31" s="522">
        <v>61666.602594810392</v>
      </c>
      <c r="C31" s="56"/>
      <c r="D31" s="18"/>
      <c r="S31" s="18"/>
    </row>
    <row r="32" spans="1:34">
      <c r="A32" s="532">
        <f>HLOOKUP(Assumptions!G33,A44:AF49,6)</f>
        <v>7858.5061150880792</v>
      </c>
      <c r="B32" s="505"/>
      <c r="C32" s="56"/>
      <c r="D32" s="18"/>
    </row>
    <row r="33" spans="1:32">
      <c r="A33" s="11"/>
      <c r="B33" s="505"/>
      <c r="C33" s="56"/>
    </row>
    <row r="34" spans="1:32">
      <c r="A34" s="11"/>
      <c r="B34" s="537" t="s">
        <v>442</v>
      </c>
      <c r="C34" s="56"/>
    </row>
    <row r="35" spans="1:32">
      <c r="A35"/>
      <c r="B35" s="534">
        <v>36923</v>
      </c>
      <c r="C35" s="517">
        <v>37288</v>
      </c>
      <c r="D35" s="517">
        <v>37653</v>
      </c>
      <c r="E35" s="517">
        <v>38018</v>
      </c>
      <c r="F35" s="517">
        <v>38384</v>
      </c>
      <c r="G35" s="517">
        <v>38749</v>
      </c>
      <c r="H35" s="517">
        <v>39114</v>
      </c>
      <c r="I35" s="517">
        <v>39479</v>
      </c>
      <c r="J35" s="517">
        <v>39845</v>
      </c>
      <c r="K35" s="517">
        <v>40210</v>
      </c>
      <c r="L35" s="517">
        <v>40575</v>
      </c>
      <c r="M35" s="517">
        <v>40940</v>
      </c>
      <c r="N35" s="517">
        <v>41306</v>
      </c>
      <c r="O35" s="517">
        <v>41671</v>
      </c>
      <c r="P35" s="517">
        <v>42036</v>
      </c>
      <c r="Q35" s="517">
        <v>42401</v>
      </c>
      <c r="R35" s="517">
        <v>42767</v>
      </c>
      <c r="S35" s="517">
        <v>43132</v>
      </c>
      <c r="T35" s="517">
        <v>43497</v>
      </c>
      <c r="U35" s="517">
        <v>43862</v>
      </c>
      <c r="V35" s="517">
        <v>44228</v>
      </c>
      <c r="W35" s="517">
        <v>44593</v>
      </c>
      <c r="X35" s="517">
        <v>44958</v>
      </c>
      <c r="Y35" s="517">
        <v>45323</v>
      </c>
      <c r="Z35" s="517">
        <v>45689</v>
      </c>
      <c r="AA35" s="517">
        <v>46054</v>
      </c>
      <c r="AB35" s="517">
        <v>46419</v>
      </c>
      <c r="AC35" s="517">
        <v>46784</v>
      </c>
      <c r="AD35" s="517">
        <v>47150</v>
      </c>
      <c r="AE35" s="517">
        <v>47515</v>
      </c>
      <c r="AF35" s="517">
        <v>47880</v>
      </c>
    </row>
    <row r="36" spans="1:32">
      <c r="A36" s="49" t="s">
        <v>62</v>
      </c>
      <c r="B36" s="535">
        <f>B31</f>
        <v>61666.602594810392</v>
      </c>
      <c r="C36" s="49">
        <f>B58</f>
        <v>61327.840906549136</v>
      </c>
      <c r="D36" s="49">
        <f t="shared" ref="D36:AF36" si="2">C58</f>
        <v>60794.580966974485</v>
      </c>
      <c r="E36" s="49">
        <f t="shared" si="2"/>
        <v>60226.205255994399</v>
      </c>
      <c r="F36" s="49">
        <f t="shared" si="2"/>
        <v>58788.955368602117</v>
      </c>
      <c r="G36" s="49">
        <f t="shared" si="2"/>
        <v>56856.897682653522</v>
      </c>
      <c r="H36" s="49">
        <f t="shared" si="2"/>
        <v>54688.090576573326</v>
      </c>
      <c r="I36" s="49">
        <f t="shared" si="2"/>
        <v>52265.547323849161</v>
      </c>
      <c r="J36" s="49">
        <f t="shared" si="2"/>
        <v>49570.68583151637</v>
      </c>
      <c r="K36" s="49">
        <f t="shared" si="2"/>
        <v>46443.650711049682</v>
      </c>
      <c r="L36" s="49">
        <f t="shared" si="2"/>
        <v>42987.528674923647</v>
      </c>
      <c r="M36" s="49">
        <f t="shared" si="2"/>
        <v>39029.967831188114</v>
      </c>
      <c r="N36" s="49">
        <f t="shared" si="2"/>
        <v>34676.844050028914</v>
      </c>
      <c r="O36" s="49">
        <f t="shared" si="2"/>
        <v>29741.231060798695</v>
      </c>
      <c r="P36" s="49">
        <f t="shared" si="2"/>
        <v>24331.856051952203</v>
      </c>
      <c r="Q36" s="49">
        <f t="shared" si="2"/>
        <v>18413.432852980102</v>
      </c>
      <c r="R36" s="49">
        <f t="shared" si="2"/>
        <v>11948.187778072865</v>
      </c>
      <c r="S36" s="49">
        <f t="shared" si="2"/>
        <v>4852.5006700162467</v>
      </c>
      <c r="T36" s="49">
        <f t="shared" si="2"/>
        <v>0</v>
      </c>
      <c r="U36" s="49">
        <f t="shared" si="2"/>
        <v>0</v>
      </c>
      <c r="V36" s="49">
        <f t="shared" si="2"/>
        <v>0</v>
      </c>
      <c r="W36" s="49">
        <f t="shared" si="2"/>
        <v>0</v>
      </c>
      <c r="X36" s="49">
        <f t="shared" si="2"/>
        <v>0</v>
      </c>
      <c r="Y36" s="49">
        <f t="shared" si="2"/>
        <v>0</v>
      </c>
      <c r="Z36" s="49">
        <f t="shared" si="2"/>
        <v>0</v>
      </c>
      <c r="AA36" s="49">
        <f t="shared" si="2"/>
        <v>0</v>
      </c>
      <c r="AB36" s="49">
        <f t="shared" si="2"/>
        <v>0</v>
      </c>
      <c r="AC36" s="49">
        <f t="shared" si="2"/>
        <v>0</v>
      </c>
      <c r="AD36" s="49">
        <f t="shared" si="2"/>
        <v>0</v>
      </c>
      <c r="AE36" s="49">
        <f t="shared" si="2"/>
        <v>0</v>
      </c>
      <c r="AF36" s="49">
        <f t="shared" si="2"/>
        <v>0</v>
      </c>
    </row>
    <row r="37" spans="1:32">
      <c r="A37" s="49" t="s">
        <v>440</v>
      </c>
      <c r="B37" s="535">
        <v>0</v>
      </c>
      <c r="C37" s="506">
        <v>0</v>
      </c>
      <c r="D37" s="506">
        <v>0</v>
      </c>
      <c r="E37" s="506">
        <v>0</v>
      </c>
      <c r="F37" s="506">
        <v>0</v>
      </c>
      <c r="G37" s="506">
        <v>0</v>
      </c>
      <c r="H37" s="506">
        <v>0</v>
      </c>
      <c r="I37" s="506">
        <v>0</v>
      </c>
      <c r="J37" s="506">
        <v>0</v>
      </c>
      <c r="K37" s="506">
        <v>0</v>
      </c>
      <c r="L37" s="506">
        <v>0</v>
      </c>
      <c r="M37" s="506">
        <v>0</v>
      </c>
      <c r="N37" s="506">
        <v>0</v>
      </c>
      <c r="O37" s="506">
        <v>0</v>
      </c>
      <c r="P37" s="506">
        <v>0</v>
      </c>
      <c r="Q37" s="506">
        <v>0</v>
      </c>
      <c r="R37" s="506">
        <v>0</v>
      </c>
      <c r="S37" s="506">
        <v>0</v>
      </c>
      <c r="T37" s="506">
        <v>0</v>
      </c>
      <c r="U37" s="506">
        <v>0</v>
      </c>
      <c r="V37" s="506">
        <v>0</v>
      </c>
      <c r="W37" s="506">
        <v>0</v>
      </c>
      <c r="X37" s="506">
        <v>0</v>
      </c>
      <c r="Y37" s="506">
        <v>0</v>
      </c>
      <c r="Z37" s="506">
        <v>0</v>
      </c>
      <c r="AA37" s="506">
        <v>0</v>
      </c>
      <c r="AB37" s="506">
        <v>0</v>
      </c>
      <c r="AC37" s="506">
        <v>0</v>
      </c>
      <c r="AD37" s="506">
        <v>0</v>
      </c>
      <c r="AE37" s="506">
        <v>0</v>
      </c>
      <c r="AF37" s="506">
        <v>0</v>
      </c>
    </row>
    <row r="38" spans="1:32">
      <c r="A38" s="49" t="s">
        <v>63</v>
      </c>
      <c r="B38" s="535">
        <v>0</v>
      </c>
      <c r="C38" s="49">
        <f t="shared" ref="C38:AF38" si="3">C36-C40</f>
        <v>46.401779049680044</v>
      </c>
      <c r="D38" s="49">
        <f t="shared" si="3"/>
        <v>49.07782153628068</v>
      </c>
      <c r="E38" s="49">
        <f t="shared" si="3"/>
        <v>123.14521593290556</v>
      </c>
      <c r="F38" s="49">
        <f t="shared" si="3"/>
        <v>169.40881385799003</v>
      </c>
      <c r="G38" s="49">
        <f t="shared" si="3"/>
        <v>188.71942306032724</v>
      </c>
      <c r="H38" s="49">
        <f t="shared" si="3"/>
        <v>209.18055280037515</v>
      </c>
      <c r="I38" s="49">
        <f t="shared" si="3"/>
        <v>230.8988181482564</v>
      </c>
      <c r="J38" s="49">
        <f t="shared" si="3"/>
        <v>274.18814381333505</v>
      </c>
      <c r="K38" s="49">
        <f t="shared" si="3"/>
        <v>300.73553100007848</v>
      </c>
      <c r="L38" s="49">
        <f t="shared" si="3"/>
        <v>341.72548378766805</v>
      </c>
      <c r="M38" s="49">
        <f t="shared" si="3"/>
        <v>372.98062968446902</v>
      </c>
      <c r="N38" s="49">
        <f t="shared" si="3"/>
        <v>432.76986409287201</v>
      </c>
      <c r="O38" s="49">
        <f t="shared" si="3"/>
        <v>470.69844428510987</v>
      </c>
      <c r="P38" s="49">
        <f t="shared" si="3"/>
        <v>511.0410454283483</v>
      </c>
      <c r="Q38" s="49">
        <f t="shared" si="3"/>
        <v>553.94960040883961</v>
      </c>
      <c r="R38" s="49">
        <f t="shared" si="3"/>
        <v>622.17454098132112</v>
      </c>
      <c r="S38" s="49">
        <f t="shared" si="3"/>
        <v>674.50891293854511</v>
      </c>
      <c r="T38" s="49">
        <f t="shared" si="3"/>
        <v>0</v>
      </c>
      <c r="U38" s="49">
        <f t="shared" si="3"/>
        <v>0</v>
      </c>
      <c r="V38" s="49">
        <f t="shared" si="3"/>
        <v>0</v>
      </c>
      <c r="W38" s="49">
        <f t="shared" si="3"/>
        <v>0</v>
      </c>
      <c r="X38" s="49">
        <f t="shared" si="3"/>
        <v>0</v>
      </c>
      <c r="Y38" s="49">
        <f t="shared" si="3"/>
        <v>0</v>
      </c>
      <c r="Z38" s="49">
        <f t="shared" si="3"/>
        <v>0</v>
      </c>
      <c r="AA38" s="49">
        <f t="shared" si="3"/>
        <v>0</v>
      </c>
      <c r="AB38" s="49">
        <f t="shared" si="3"/>
        <v>0</v>
      </c>
      <c r="AC38" s="49">
        <f t="shared" si="3"/>
        <v>0</v>
      </c>
      <c r="AD38" s="49">
        <f t="shared" si="3"/>
        <v>0</v>
      </c>
      <c r="AE38" s="49">
        <f t="shared" si="3"/>
        <v>0</v>
      </c>
      <c r="AF38" s="49">
        <f t="shared" si="3"/>
        <v>0</v>
      </c>
    </row>
    <row r="39" spans="1:32">
      <c r="A39" s="49" t="s">
        <v>64</v>
      </c>
      <c r="B39" s="536">
        <v>0</v>
      </c>
      <c r="C39" s="185">
        <f t="shared" ref="C39:AF39" si="4">C36*(C35-B53)/(C53-B53)*$B$7</f>
        <v>427.28000861585463</v>
      </c>
      <c r="D39" s="185">
        <f t="shared" si="4"/>
        <v>420.30651880432521</v>
      </c>
      <c r="E39" s="185">
        <f t="shared" si="4"/>
        <v>413.14929470066954</v>
      </c>
      <c r="F39" s="185">
        <f t="shared" si="4"/>
        <v>412.74192464227406</v>
      </c>
      <c r="G39" s="185">
        <f t="shared" si="4"/>
        <v>396.13029535368258</v>
      </c>
      <c r="H39" s="185">
        <f t="shared" si="4"/>
        <v>378.08897774592344</v>
      </c>
      <c r="I39" s="185">
        <f t="shared" si="4"/>
        <v>358.539508212557</v>
      </c>
      <c r="J39" s="185">
        <f t="shared" si="4"/>
        <v>348.02285816537494</v>
      </c>
      <c r="K39" s="185">
        <f t="shared" si="4"/>
        <v>323.57968554946933</v>
      </c>
      <c r="L39" s="185">
        <f t="shared" si="4"/>
        <v>297.19653038110971</v>
      </c>
      <c r="M39" s="185">
        <f t="shared" si="4"/>
        <v>267.74397644852826</v>
      </c>
      <c r="N39" s="185">
        <f t="shared" si="4"/>
        <v>243.45707903789292</v>
      </c>
      <c r="O39" s="185">
        <f t="shared" si="4"/>
        <v>207.21149279114982</v>
      </c>
      <c r="P39" s="185">
        <f t="shared" si="4"/>
        <v>168.21956086512907</v>
      </c>
      <c r="Q39" s="185">
        <f t="shared" si="4"/>
        <v>126.31539317296904</v>
      </c>
      <c r="R39" s="185">
        <f t="shared" si="4"/>
        <v>83.885110538006018</v>
      </c>
      <c r="S39" s="185">
        <f t="shared" si="4"/>
        <v>33.808079616766165</v>
      </c>
      <c r="T39" s="185">
        <f t="shared" si="4"/>
        <v>0</v>
      </c>
      <c r="U39" s="185">
        <f t="shared" si="4"/>
        <v>0</v>
      </c>
      <c r="V39" s="185">
        <f t="shared" si="4"/>
        <v>0</v>
      </c>
      <c r="W39" s="185">
        <f t="shared" si="4"/>
        <v>0</v>
      </c>
      <c r="X39" s="185">
        <f t="shared" si="4"/>
        <v>0</v>
      </c>
      <c r="Y39" s="185">
        <f t="shared" si="4"/>
        <v>0</v>
      </c>
      <c r="Z39" s="185">
        <f t="shared" si="4"/>
        <v>0</v>
      </c>
      <c r="AA39" s="185">
        <f t="shared" si="4"/>
        <v>0</v>
      </c>
      <c r="AB39" s="185">
        <f t="shared" si="4"/>
        <v>0</v>
      </c>
      <c r="AC39" s="185">
        <f t="shared" si="4"/>
        <v>0</v>
      </c>
      <c r="AD39" s="185">
        <f t="shared" si="4"/>
        <v>0</v>
      </c>
      <c r="AE39" s="185">
        <f t="shared" si="4"/>
        <v>0</v>
      </c>
      <c r="AF39" s="185">
        <f t="shared" si="4"/>
        <v>0</v>
      </c>
    </row>
    <row r="40" spans="1:32">
      <c r="A40" s="49" t="s">
        <v>65</v>
      </c>
      <c r="B40" s="536">
        <f>B36</f>
        <v>61666.602594810392</v>
      </c>
      <c r="C40" s="185">
        <f>MAX(C36+C37+C39-(C35-B53)/(C53-B53)*C25,0)</f>
        <v>61281.439127499456</v>
      </c>
      <c r="D40" s="185">
        <f t="shared" ref="D40:AF40" si="5">MAX(D36+D37+D39-(D35-C53)/(D53-C53)*D25,0)</f>
        <v>60745.503145438204</v>
      </c>
      <c r="E40" s="185">
        <f t="shared" si="5"/>
        <v>60103.060040061493</v>
      </c>
      <c r="F40" s="185">
        <f t="shared" si="5"/>
        <v>58619.546554744127</v>
      </c>
      <c r="G40" s="185">
        <f t="shared" si="5"/>
        <v>56668.178259593195</v>
      </c>
      <c r="H40" s="185">
        <f t="shared" si="5"/>
        <v>54478.910023772951</v>
      </c>
      <c r="I40" s="185">
        <f t="shared" si="5"/>
        <v>52034.648505700905</v>
      </c>
      <c r="J40" s="185">
        <f t="shared" si="5"/>
        <v>49296.497687703035</v>
      </c>
      <c r="K40" s="185">
        <f t="shared" si="5"/>
        <v>46142.915180049604</v>
      </c>
      <c r="L40" s="185">
        <f t="shared" si="5"/>
        <v>42645.803191135979</v>
      </c>
      <c r="M40" s="185">
        <f t="shared" si="5"/>
        <v>38656.987201503645</v>
      </c>
      <c r="N40" s="185">
        <f t="shared" si="5"/>
        <v>34244.074185936042</v>
      </c>
      <c r="O40" s="185">
        <f t="shared" si="5"/>
        <v>29270.532616513585</v>
      </c>
      <c r="P40" s="185">
        <f t="shared" si="5"/>
        <v>23820.815006523855</v>
      </c>
      <c r="Q40" s="185">
        <f t="shared" si="5"/>
        <v>17859.483252571263</v>
      </c>
      <c r="R40" s="185">
        <f t="shared" si="5"/>
        <v>11326.013237091543</v>
      </c>
      <c r="S40" s="185">
        <f t="shared" si="5"/>
        <v>4177.9917570777015</v>
      </c>
      <c r="T40" s="185">
        <f t="shared" si="5"/>
        <v>0</v>
      </c>
      <c r="U40" s="185">
        <f t="shared" si="5"/>
        <v>0</v>
      </c>
      <c r="V40" s="185">
        <f t="shared" si="5"/>
        <v>0</v>
      </c>
      <c r="W40" s="185">
        <f t="shared" si="5"/>
        <v>0</v>
      </c>
      <c r="X40" s="185">
        <f t="shared" si="5"/>
        <v>0</v>
      </c>
      <c r="Y40" s="185">
        <f t="shared" si="5"/>
        <v>0</v>
      </c>
      <c r="Z40" s="185">
        <f t="shared" si="5"/>
        <v>0</v>
      </c>
      <c r="AA40" s="185">
        <f t="shared" si="5"/>
        <v>0</v>
      </c>
      <c r="AB40" s="185">
        <f t="shared" si="5"/>
        <v>0</v>
      </c>
      <c r="AC40" s="185">
        <f t="shared" si="5"/>
        <v>0</v>
      </c>
      <c r="AD40" s="185">
        <f t="shared" si="5"/>
        <v>0</v>
      </c>
      <c r="AE40" s="185">
        <f t="shared" si="5"/>
        <v>0</v>
      </c>
      <c r="AF40" s="185">
        <f t="shared" si="5"/>
        <v>0</v>
      </c>
    </row>
    <row r="41" spans="1:32">
      <c r="A41" s="49" t="s">
        <v>444</v>
      </c>
      <c r="B41" s="98">
        <v>0</v>
      </c>
      <c r="C41" s="185">
        <f>(C35-B53)/(C53-B53)*C23+(B53-B44)/(B53-Assumptions!H16)*Debt!B23</f>
        <v>3490.085021651129</v>
      </c>
      <c r="D41" s="185">
        <f>(D35-C53)/(D53-C53)*D23+(C53-C44)/(C53-B53)*C23</f>
        <v>3485.4480935725892</v>
      </c>
      <c r="E41" s="185">
        <f>(E35-D53)/(E53-D53)*E23+(D53-D44)/(D53-C53)*D23</f>
        <v>3573.1625739416027</v>
      </c>
      <c r="F41" s="185">
        <f>(F35-E53)/(F53-E53)*F23+(E53-E44)/(E53-D53)*E23</f>
        <v>4052.0743398417917</v>
      </c>
      <c r="G41" s="185">
        <f t="shared" ref="G41:AF41" si="6">(G35-F53)/(G53-F53)*G23+(F53-F44)/(F53-E53)*F23</f>
        <v>4261.2080827206901</v>
      </c>
      <c r="H41" s="185">
        <f t="shared" si="6"/>
        <v>4313.4881804831984</v>
      </c>
      <c r="I41" s="185">
        <f t="shared" si="6"/>
        <v>4364.547630034901</v>
      </c>
      <c r="J41" s="185">
        <f t="shared" si="6"/>
        <v>4430.6965188440336</v>
      </c>
      <c r="K41" s="185">
        <f t="shared" si="6"/>
        <v>4553.425257535986</v>
      </c>
      <c r="L41" s="185">
        <f t="shared" si="6"/>
        <v>4620.191982875177</v>
      </c>
      <c r="M41" s="185">
        <f t="shared" si="6"/>
        <v>4747.7013678101321</v>
      </c>
      <c r="N41" s="185">
        <f t="shared" si="6"/>
        <v>4816.0473910981746</v>
      </c>
      <c r="O41" s="185">
        <f t="shared" si="6"/>
        <v>4947.9362449046112</v>
      </c>
      <c r="P41" s="185">
        <f t="shared" si="6"/>
        <v>4997.9521062344156</v>
      </c>
      <c r="Q41" s="185">
        <f t="shared" si="6"/>
        <v>5046.2637413801012</v>
      </c>
      <c r="R41" s="185">
        <f t="shared" si="6"/>
        <v>5097.7870583195845</v>
      </c>
      <c r="S41" s="185">
        <f t="shared" si="6"/>
        <v>5159.8648836039692</v>
      </c>
      <c r="T41" s="185">
        <f t="shared" si="6"/>
        <v>5220.302789983145</v>
      </c>
      <c r="U41" s="185">
        <f t="shared" si="6"/>
        <v>5260.266965283392</v>
      </c>
      <c r="V41" s="185">
        <f t="shared" si="6"/>
        <v>5297.9213944605372</v>
      </c>
      <c r="W41" s="185">
        <f t="shared" si="6"/>
        <v>5332.6835482671013</v>
      </c>
      <c r="X41" s="185">
        <f t="shared" si="6"/>
        <v>5365.0236016660729</v>
      </c>
      <c r="Y41" s="185">
        <f t="shared" si="6"/>
        <v>5396.9121509917186</v>
      </c>
      <c r="Z41" s="185">
        <f t="shared" si="6"/>
        <v>5428.5045343003467</v>
      </c>
      <c r="AA41" s="185">
        <f t="shared" si="6"/>
        <v>5459.4464169434405</v>
      </c>
      <c r="AB41" s="185">
        <f t="shared" si="6"/>
        <v>5489.8949088349364</v>
      </c>
      <c r="AC41" s="185">
        <f t="shared" si="6"/>
        <v>5519.835228914153</v>
      </c>
      <c r="AD41" s="185">
        <f t="shared" si="6"/>
        <v>5549.4098277326711</v>
      </c>
      <c r="AE41" s="185">
        <f t="shared" si="6"/>
        <v>5578.2846661205431</v>
      </c>
      <c r="AF41" s="185">
        <f t="shared" si="6"/>
        <v>4868.9884929021819</v>
      </c>
    </row>
    <row r="42" spans="1:32">
      <c r="A42" s="539" t="s">
        <v>0</v>
      </c>
      <c r="B42" s="541"/>
      <c r="C42" s="540">
        <f>IF(C40&gt;0.1,C41/(C39+C38+B57+B56)," ")</f>
        <v>1.3</v>
      </c>
      <c r="D42" s="540">
        <f>IF(D40&gt;0.1,D41/(D39+D38+C57+C56)," ")</f>
        <v>1.3000000000000009</v>
      </c>
      <c r="E42" s="540">
        <f t="shared" ref="E42:AF42" si="7">IF(E40&gt;0.1,E41/(E39+E38+D57+D56)," ")</f>
        <v>1.3</v>
      </c>
      <c r="F42" s="540">
        <f t="shared" si="7"/>
        <v>1.3000000000000003</v>
      </c>
      <c r="G42" s="540">
        <f t="shared" si="7"/>
        <v>1.2999999999999998</v>
      </c>
      <c r="H42" s="540">
        <f t="shared" si="7"/>
        <v>1.3</v>
      </c>
      <c r="I42" s="540">
        <f t="shared" si="7"/>
        <v>1.2999999999999998</v>
      </c>
      <c r="J42" s="540">
        <f t="shared" si="7"/>
        <v>1.2999999999999974</v>
      </c>
      <c r="K42" s="540">
        <f t="shared" si="7"/>
        <v>1.3000000000000012</v>
      </c>
      <c r="L42" s="540">
        <f t="shared" si="7"/>
        <v>1.3000000000000023</v>
      </c>
      <c r="M42" s="540">
        <f t="shared" si="7"/>
        <v>1.3000000000000029</v>
      </c>
      <c r="N42" s="540">
        <f t="shared" si="7"/>
        <v>1.3000000000000007</v>
      </c>
      <c r="O42" s="540">
        <f t="shared" si="7"/>
        <v>1.2999999999999996</v>
      </c>
      <c r="P42" s="540">
        <f t="shared" si="7"/>
        <v>1.2999999999999996</v>
      </c>
      <c r="Q42" s="540">
        <f t="shared" si="7"/>
        <v>1.2999999999999989</v>
      </c>
      <c r="R42" s="540">
        <f t="shared" si="7"/>
        <v>1.2999999999999998</v>
      </c>
      <c r="S42" s="540">
        <f t="shared" si="7"/>
        <v>1.3000000000000003</v>
      </c>
      <c r="T42" s="540" t="str">
        <f t="shared" si="7"/>
        <v xml:space="preserve"> </v>
      </c>
      <c r="U42" s="540" t="str">
        <f t="shared" si="7"/>
        <v xml:space="preserve"> </v>
      </c>
      <c r="V42" s="540" t="str">
        <f t="shared" si="7"/>
        <v xml:space="preserve"> </v>
      </c>
      <c r="W42" s="540" t="str">
        <f t="shared" si="7"/>
        <v xml:space="preserve"> </v>
      </c>
      <c r="X42" s="540" t="str">
        <f t="shared" si="7"/>
        <v xml:space="preserve"> </v>
      </c>
      <c r="Y42" s="540" t="str">
        <f t="shared" si="7"/>
        <v xml:space="preserve"> </v>
      </c>
      <c r="Z42" s="540" t="str">
        <f t="shared" si="7"/>
        <v xml:space="preserve"> </v>
      </c>
      <c r="AA42" s="540" t="str">
        <f t="shared" si="7"/>
        <v xml:space="preserve"> </v>
      </c>
      <c r="AB42" s="540" t="str">
        <f t="shared" si="7"/>
        <v xml:space="preserve"> </v>
      </c>
      <c r="AC42" s="540" t="str">
        <f t="shared" si="7"/>
        <v xml:space="preserve"> </v>
      </c>
      <c r="AD42" s="540" t="str">
        <f t="shared" si="7"/>
        <v xml:space="preserve"> </v>
      </c>
      <c r="AE42" s="540" t="str">
        <f t="shared" si="7"/>
        <v xml:space="preserve"> </v>
      </c>
      <c r="AF42" s="540" t="str">
        <f t="shared" si="7"/>
        <v xml:space="preserve"> </v>
      </c>
    </row>
    <row r="43" spans="1:32">
      <c r="A43" s="11"/>
      <c r="B43" s="505"/>
      <c r="C43" s="56"/>
    </row>
    <row r="44" spans="1:32">
      <c r="A44" s="538" t="s">
        <v>443</v>
      </c>
      <c r="B44" s="517">
        <v>37104</v>
      </c>
      <c r="C44" s="517">
        <v>37469</v>
      </c>
      <c r="D44" s="517">
        <v>37834</v>
      </c>
      <c r="E44" s="517">
        <v>38200</v>
      </c>
      <c r="F44" s="517">
        <v>38565</v>
      </c>
      <c r="G44" s="517">
        <v>38930</v>
      </c>
      <c r="H44" s="517">
        <v>39295</v>
      </c>
      <c r="I44" s="517">
        <v>39661</v>
      </c>
      <c r="J44" s="517">
        <v>40026</v>
      </c>
      <c r="K44" s="517">
        <v>40391</v>
      </c>
      <c r="L44" s="517">
        <v>40756</v>
      </c>
      <c r="M44" s="517">
        <v>41122</v>
      </c>
      <c r="N44" s="517">
        <v>41487</v>
      </c>
      <c r="O44" s="517">
        <v>41852</v>
      </c>
      <c r="P44" s="517">
        <v>42217</v>
      </c>
      <c r="Q44" s="517">
        <v>42583</v>
      </c>
      <c r="R44" s="517">
        <f>Assumptions!G33</f>
        <v>42948.25</v>
      </c>
      <c r="S44" s="517">
        <v>43313</v>
      </c>
      <c r="T44" s="517">
        <v>43678</v>
      </c>
      <c r="U44" s="517">
        <v>44044</v>
      </c>
      <c r="V44" s="517">
        <v>44409</v>
      </c>
      <c r="W44" s="517">
        <v>44774</v>
      </c>
      <c r="X44" s="517">
        <v>45139</v>
      </c>
      <c r="Y44" s="517">
        <v>45505</v>
      </c>
      <c r="Z44" s="517">
        <v>45870</v>
      </c>
      <c r="AA44" s="517">
        <v>46235</v>
      </c>
      <c r="AB44" s="517">
        <v>46600</v>
      </c>
      <c r="AC44" s="517">
        <v>46966</v>
      </c>
      <c r="AD44" s="517">
        <v>47331</v>
      </c>
      <c r="AE44" s="517">
        <v>47696</v>
      </c>
      <c r="AF44" s="517">
        <v>48061</v>
      </c>
    </row>
    <row r="45" spans="1:32">
      <c r="A45" s="49" t="s">
        <v>62</v>
      </c>
      <c r="B45" s="506">
        <f>B40</f>
        <v>61666.602594810392</v>
      </c>
      <c r="C45" s="49">
        <f>C40</f>
        <v>61281.439127499456</v>
      </c>
      <c r="D45" s="49">
        <f t="shared" ref="D45:AF45" si="8">D40</f>
        <v>60745.503145438204</v>
      </c>
      <c r="E45" s="49">
        <f t="shared" si="8"/>
        <v>60103.060040061493</v>
      </c>
      <c r="F45" s="49">
        <f t="shared" si="8"/>
        <v>58619.546554744127</v>
      </c>
      <c r="G45" s="49">
        <f t="shared" si="8"/>
        <v>56668.178259593195</v>
      </c>
      <c r="H45" s="49">
        <f t="shared" si="8"/>
        <v>54478.910023772951</v>
      </c>
      <c r="I45" s="49">
        <f t="shared" si="8"/>
        <v>52034.648505700905</v>
      </c>
      <c r="J45" s="49">
        <f t="shared" si="8"/>
        <v>49296.497687703035</v>
      </c>
      <c r="K45" s="49">
        <f t="shared" si="8"/>
        <v>46142.915180049604</v>
      </c>
      <c r="L45" s="49">
        <f t="shared" si="8"/>
        <v>42645.803191135979</v>
      </c>
      <c r="M45" s="49">
        <f t="shared" si="8"/>
        <v>38656.987201503645</v>
      </c>
      <c r="N45" s="49">
        <f t="shared" si="8"/>
        <v>34244.074185936042</v>
      </c>
      <c r="O45" s="49">
        <f t="shared" si="8"/>
        <v>29270.532616513585</v>
      </c>
      <c r="P45" s="49">
        <f t="shared" si="8"/>
        <v>23820.815006523855</v>
      </c>
      <c r="Q45" s="49">
        <f t="shared" si="8"/>
        <v>17859.483252571263</v>
      </c>
      <c r="R45" s="49">
        <f t="shared" si="8"/>
        <v>11326.013237091543</v>
      </c>
      <c r="S45" s="49">
        <f t="shared" si="8"/>
        <v>4177.9917570777015</v>
      </c>
      <c r="T45" s="49">
        <f t="shared" si="8"/>
        <v>0</v>
      </c>
      <c r="U45" s="49">
        <f t="shared" si="8"/>
        <v>0</v>
      </c>
      <c r="V45" s="49">
        <f t="shared" si="8"/>
        <v>0</v>
      </c>
      <c r="W45" s="49">
        <f t="shared" si="8"/>
        <v>0</v>
      </c>
      <c r="X45" s="49">
        <f t="shared" si="8"/>
        <v>0</v>
      </c>
      <c r="Y45" s="49">
        <f t="shared" si="8"/>
        <v>0</v>
      </c>
      <c r="Z45" s="49">
        <f t="shared" si="8"/>
        <v>0</v>
      </c>
      <c r="AA45" s="49">
        <f t="shared" si="8"/>
        <v>0</v>
      </c>
      <c r="AB45" s="49">
        <f t="shared" si="8"/>
        <v>0</v>
      </c>
      <c r="AC45" s="49">
        <f t="shared" si="8"/>
        <v>0</v>
      </c>
      <c r="AD45" s="49">
        <f t="shared" si="8"/>
        <v>0</v>
      </c>
      <c r="AE45" s="49">
        <f t="shared" si="8"/>
        <v>0</v>
      </c>
      <c r="AF45" s="49">
        <f t="shared" si="8"/>
        <v>0</v>
      </c>
    </row>
    <row r="46" spans="1:32">
      <c r="A46" s="49" t="s">
        <v>440</v>
      </c>
      <c r="B46" s="506">
        <v>0</v>
      </c>
      <c r="C46" s="506">
        <v>0</v>
      </c>
      <c r="D46" s="506">
        <v>0</v>
      </c>
      <c r="E46" s="506">
        <v>0</v>
      </c>
      <c r="F46" s="506">
        <v>0</v>
      </c>
      <c r="G46" s="506">
        <v>0</v>
      </c>
      <c r="H46" s="506">
        <v>0</v>
      </c>
      <c r="I46" s="506">
        <v>0</v>
      </c>
      <c r="J46" s="506">
        <v>0</v>
      </c>
      <c r="K46" s="506">
        <v>0</v>
      </c>
      <c r="L46" s="506">
        <v>0</v>
      </c>
      <c r="M46" s="506">
        <v>0</v>
      </c>
      <c r="N46" s="506">
        <v>0</v>
      </c>
      <c r="O46" s="506">
        <v>0</v>
      </c>
      <c r="P46" s="506">
        <v>0</v>
      </c>
      <c r="Q46" s="506">
        <v>0</v>
      </c>
      <c r="R46" s="506">
        <v>0</v>
      </c>
      <c r="S46" s="506">
        <v>0</v>
      </c>
      <c r="T46" s="506">
        <v>0</v>
      </c>
      <c r="U46" s="506">
        <v>0</v>
      </c>
      <c r="V46" s="506">
        <v>0</v>
      </c>
      <c r="W46" s="506">
        <v>0</v>
      </c>
      <c r="X46" s="506">
        <v>0</v>
      </c>
      <c r="Y46" s="506">
        <v>0</v>
      </c>
      <c r="Z46" s="506">
        <v>0</v>
      </c>
      <c r="AA46" s="506">
        <v>0</v>
      </c>
      <c r="AB46" s="506">
        <v>0</v>
      </c>
      <c r="AC46" s="506">
        <v>0</v>
      </c>
      <c r="AD46" s="506">
        <v>0</v>
      </c>
      <c r="AE46" s="506">
        <v>0</v>
      </c>
      <c r="AF46" s="506">
        <v>0</v>
      </c>
    </row>
    <row r="47" spans="1:32">
      <c r="A47" s="49" t="s">
        <v>63</v>
      </c>
      <c r="B47" s="49">
        <f>B45-B49</f>
        <v>126.44056829308101</v>
      </c>
      <c r="C47" s="49">
        <f>C45-C49</f>
        <v>260.22268088234705</v>
      </c>
      <c r="D47" s="49">
        <f t="shared" ref="D47:AF47" si="9">D45-D49</f>
        <v>277.34881786577898</v>
      </c>
      <c r="E47" s="49">
        <f t="shared" si="9"/>
        <v>705.19305138615891</v>
      </c>
      <c r="F47" s="49">
        <f t="shared" si="9"/>
        <v>942.84800616947905</v>
      </c>
      <c r="G47" s="49">
        <f t="shared" si="9"/>
        <v>1058.3446412851408</v>
      </c>
      <c r="H47" s="49">
        <f t="shared" si="9"/>
        <v>1182.1221322304336</v>
      </c>
      <c r="I47" s="49">
        <f t="shared" si="9"/>
        <v>1322.2457803000725</v>
      </c>
      <c r="J47" s="49">
        <f t="shared" si="9"/>
        <v>1525.9993787951462</v>
      </c>
      <c r="K47" s="49">
        <f t="shared" si="9"/>
        <v>1686.5346052708119</v>
      </c>
      <c r="L47" s="49">
        <f t="shared" si="9"/>
        <v>1931.1606749508064</v>
      </c>
      <c r="M47" s="49">
        <f t="shared" si="9"/>
        <v>2135.8795497052124</v>
      </c>
      <c r="N47" s="49">
        <f t="shared" si="9"/>
        <v>2408.5889877739901</v>
      </c>
      <c r="O47" s="49">
        <f t="shared" si="9"/>
        <v>2639.6921318012137</v>
      </c>
      <c r="P47" s="49">
        <f t="shared" si="9"/>
        <v>2887.9975800405518</v>
      </c>
      <c r="Q47" s="49">
        <f t="shared" si="9"/>
        <v>3172.2012590346021</v>
      </c>
      <c r="R47" s="49">
        <f t="shared" si="9"/>
        <v>3467.5071220034642</v>
      </c>
      <c r="S47" s="49">
        <f t="shared" si="9"/>
        <v>3782.6678459026143</v>
      </c>
      <c r="T47" s="49">
        <f t="shared" si="9"/>
        <v>0</v>
      </c>
      <c r="U47" s="49">
        <f t="shared" si="9"/>
        <v>0</v>
      </c>
      <c r="V47" s="49">
        <f t="shared" si="9"/>
        <v>0</v>
      </c>
      <c r="W47" s="49">
        <f t="shared" si="9"/>
        <v>0</v>
      </c>
      <c r="X47" s="49">
        <f t="shared" si="9"/>
        <v>0</v>
      </c>
      <c r="Y47" s="49">
        <f t="shared" si="9"/>
        <v>0</v>
      </c>
      <c r="Z47" s="49">
        <f t="shared" si="9"/>
        <v>0</v>
      </c>
      <c r="AA47" s="49">
        <f t="shared" si="9"/>
        <v>0</v>
      </c>
      <c r="AB47" s="49">
        <f t="shared" si="9"/>
        <v>0</v>
      </c>
      <c r="AC47" s="49">
        <f t="shared" si="9"/>
        <v>0</v>
      </c>
      <c r="AD47" s="49">
        <f t="shared" si="9"/>
        <v>0</v>
      </c>
      <c r="AE47" s="49">
        <f t="shared" si="9"/>
        <v>0</v>
      </c>
      <c r="AF47" s="49">
        <f t="shared" si="9"/>
        <v>0</v>
      </c>
    </row>
    <row r="48" spans="1:32">
      <c r="A48" s="49" t="s">
        <v>64</v>
      </c>
      <c r="B48" s="185">
        <f>B45*(B44-Assumptions!H16)/365.25*$B$7</f>
        <v>1216.212288711776</v>
      </c>
      <c r="C48" s="185">
        <f t="shared" ref="C48:AF48" si="10">C45*(C44-C35)/(C53-B53)*$B$7</f>
        <v>2377.8205058087897</v>
      </c>
      <c r="D48" s="185">
        <f t="shared" si="10"/>
        <v>2357.0253093171627</v>
      </c>
      <c r="E48" s="185">
        <f t="shared" si="10"/>
        <v>2344.9819778423007</v>
      </c>
      <c r="F48" s="185">
        <f t="shared" si="10"/>
        <v>2274.5347012670777</v>
      </c>
      <c r="G48" s="185">
        <f t="shared" si="10"/>
        <v>2198.818405882088</v>
      </c>
      <c r="H48" s="185">
        <f t="shared" si="10"/>
        <v>2113.871201998405</v>
      </c>
      <c r="I48" s="185">
        <f t="shared" si="10"/>
        <v>2030.1847008770467</v>
      </c>
      <c r="J48" s="185">
        <f t="shared" si="10"/>
        <v>1912.7850901558761</v>
      </c>
      <c r="K48" s="185">
        <f t="shared" si="10"/>
        <v>1790.4209084359125</v>
      </c>
      <c r="L48" s="185">
        <f t="shared" si="10"/>
        <v>1654.7272185235768</v>
      </c>
      <c r="M48" s="185">
        <f t="shared" si="10"/>
        <v>1508.2416476762432</v>
      </c>
      <c r="N48" s="185">
        <f t="shared" si="10"/>
        <v>1328.7263315135972</v>
      </c>
      <c r="O48" s="185">
        <f t="shared" si="10"/>
        <v>1135.7447485311852</v>
      </c>
      <c r="P48" s="185">
        <f t="shared" si="10"/>
        <v>924.28675295539495</v>
      </c>
      <c r="Q48" s="185">
        <f t="shared" si="10"/>
        <v>696.80589196192204</v>
      </c>
      <c r="R48" s="185">
        <f t="shared" si="10"/>
        <v>440.07491884777147</v>
      </c>
      <c r="S48" s="185">
        <f t="shared" si="10"/>
        <v>162.11294340542725</v>
      </c>
      <c r="T48" s="185">
        <f t="shared" si="10"/>
        <v>0</v>
      </c>
      <c r="U48" s="185">
        <f t="shared" si="10"/>
        <v>0</v>
      </c>
      <c r="V48" s="185">
        <f t="shared" si="10"/>
        <v>0</v>
      </c>
      <c r="W48" s="185">
        <f t="shared" si="10"/>
        <v>0</v>
      </c>
      <c r="X48" s="185">
        <f t="shared" si="10"/>
        <v>0</v>
      </c>
      <c r="Y48" s="185">
        <f t="shared" si="10"/>
        <v>0</v>
      </c>
      <c r="Z48" s="185">
        <f t="shared" si="10"/>
        <v>0</v>
      </c>
      <c r="AA48" s="185">
        <f t="shared" si="10"/>
        <v>0</v>
      </c>
      <c r="AB48" s="185">
        <f t="shared" si="10"/>
        <v>0</v>
      </c>
      <c r="AC48" s="185">
        <f t="shared" si="10"/>
        <v>0</v>
      </c>
      <c r="AD48" s="185">
        <f t="shared" si="10"/>
        <v>0</v>
      </c>
      <c r="AE48" s="185">
        <f t="shared" si="10"/>
        <v>0</v>
      </c>
      <c r="AF48" s="185">
        <f t="shared" si="10"/>
        <v>0</v>
      </c>
    </row>
    <row r="49" spans="1:39">
      <c r="A49" s="49" t="s">
        <v>65</v>
      </c>
      <c r="B49" s="185">
        <f>MAX(B45+B46+B48-(B44-Assumptions!H16)/(B53-Assumptions!H16)*B25,0)</f>
        <v>61540.162026517311</v>
      </c>
      <c r="C49" s="185">
        <f>MAX(C45+C46+C48-(C44-C35)/(C53-B53)*C25,0)</f>
        <v>61021.216446617109</v>
      </c>
      <c r="D49" s="185">
        <f t="shared" ref="D49:AF49" si="11">MAX(D45+D46+D48-(D44-D35)/(D53-C53)*D25,0)</f>
        <v>60468.154327572425</v>
      </c>
      <c r="E49" s="185">
        <f t="shared" si="11"/>
        <v>59397.866988675334</v>
      </c>
      <c r="F49" s="185">
        <f t="shared" si="11"/>
        <v>57676.698548574648</v>
      </c>
      <c r="G49" s="185">
        <f t="shared" si="11"/>
        <v>55609.833618308054</v>
      </c>
      <c r="H49" s="185">
        <f t="shared" si="11"/>
        <v>53296.787891542517</v>
      </c>
      <c r="I49" s="185">
        <f t="shared" si="11"/>
        <v>50712.402725400832</v>
      </c>
      <c r="J49" s="185">
        <f t="shared" si="11"/>
        <v>47770.498308907889</v>
      </c>
      <c r="K49" s="185">
        <f t="shared" si="11"/>
        <v>44456.380574778792</v>
      </c>
      <c r="L49" s="185">
        <f t="shared" si="11"/>
        <v>40714.642516185173</v>
      </c>
      <c r="M49" s="185">
        <f t="shared" si="11"/>
        <v>36521.107651798433</v>
      </c>
      <c r="N49" s="185">
        <f t="shared" si="11"/>
        <v>31835.485198162052</v>
      </c>
      <c r="O49" s="185">
        <f t="shared" si="11"/>
        <v>26630.840484712371</v>
      </c>
      <c r="P49" s="185">
        <f t="shared" si="11"/>
        <v>20932.817426483303</v>
      </c>
      <c r="Q49" s="185">
        <f t="shared" si="11"/>
        <v>14687.281993536661</v>
      </c>
      <c r="R49" s="185">
        <f t="shared" si="11"/>
        <v>7858.5061150880792</v>
      </c>
      <c r="S49" s="185">
        <f t="shared" si="11"/>
        <v>395.32391117508723</v>
      </c>
      <c r="T49" s="185">
        <f t="shared" si="11"/>
        <v>0</v>
      </c>
      <c r="U49" s="185">
        <f t="shared" si="11"/>
        <v>0</v>
      </c>
      <c r="V49" s="185">
        <f t="shared" si="11"/>
        <v>0</v>
      </c>
      <c r="W49" s="185">
        <f t="shared" si="11"/>
        <v>0</v>
      </c>
      <c r="X49" s="185">
        <f t="shared" si="11"/>
        <v>0</v>
      </c>
      <c r="Y49" s="185">
        <f t="shared" si="11"/>
        <v>0</v>
      </c>
      <c r="Z49" s="185">
        <f t="shared" si="11"/>
        <v>0</v>
      </c>
      <c r="AA49" s="185">
        <f t="shared" si="11"/>
        <v>0</v>
      </c>
      <c r="AB49" s="185">
        <f t="shared" si="11"/>
        <v>0</v>
      </c>
      <c r="AC49" s="185">
        <f t="shared" si="11"/>
        <v>0</v>
      </c>
      <c r="AD49" s="185">
        <f t="shared" si="11"/>
        <v>0</v>
      </c>
      <c r="AE49" s="185">
        <f t="shared" si="11"/>
        <v>0</v>
      </c>
      <c r="AF49" s="185">
        <f t="shared" si="11"/>
        <v>0</v>
      </c>
    </row>
    <row r="50" spans="1:39">
      <c r="A50" s="49" t="s">
        <v>444</v>
      </c>
      <c r="B50" s="185">
        <f>(B44-Assumptions!H16)/(Debt!B53-Assumptions!H16)*B23</f>
        <v>1745.4487141063094</v>
      </c>
      <c r="C50" s="185">
        <f>(C44-C35)/(C53-B53)*C23</f>
        <v>3429.4561426984756</v>
      </c>
      <c r="D50" s="185">
        <f t="shared" ref="D50:AF50" si="12">(D44-D35)/(D53-C53)*D23</f>
        <v>3424.6863653378296</v>
      </c>
      <c r="E50" s="185">
        <f t="shared" si="12"/>
        <v>3965.2275379969883</v>
      </c>
      <c r="F50" s="185">
        <f t="shared" si="12"/>
        <v>4182.5975196675217</v>
      </c>
      <c r="G50" s="185">
        <f t="shared" si="12"/>
        <v>4234.3119613173967</v>
      </c>
      <c r="H50" s="185">
        <f t="shared" si="12"/>
        <v>4284.7913344974859</v>
      </c>
      <c r="I50" s="185">
        <f t="shared" si="12"/>
        <v>4358.1596255302611</v>
      </c>
      <c r="J50" s="185">
        <f t="shared" si="12"/>
        <v>4470.4198096363334</v>
      </c>
      <c r="K50" s="185">
        <f t="shared" si="12"/>
        <v>4520.0421678187377</v>
      </c>
      <c r="L50" s="185">
        <f t="shared" si="12"/>
        <v>4661.6542615166991</v>
      </c>
      <c r="M50" s="185">
        <f t="shared" si="12"/>
        <v>4737.3575565958927</v>
      </c>
      <c r="N50" s="185">
        <f t="shared" si="12"/>
        <v>4858.5099150738661</v>
      </c>
      <c r="O50" s="185">
        <f t="shared" si="12"/>
        <v>4908.0679444321204</v>
      </c>
      <c r="P50" s="185">
        <f t="shared" si="12"/>
        <v>4955.9696328947311</v>
      </c>
      <c r="Q50" s="185">
        <f t="shared" si="12"/>
        <v>5029.7092962954821</v>
      </c>
      <c r="R50" s="185">
        <f t="shared" si="12"/>
        <v>5079.8566531066062</v>
      </c>
      <c r="S50" s="185">
        <f t="shared" si="12"/>
        <v>5128.2150261004545</v>
      </c>
      <c r="T50" s="185">
        <f t="shared" si="12"/>
        <v>5168.005419417218</v>
      </c>
      <c r="U50" s="185">
        <f t="shared" si="12"/>
        <v>5234.118171202962</v>
      </c>
      <c r="V50" s="185">
        <f t="shared" si="12"/>
        <v>5240.0971381467898</v>
      </c>
      <c r="W50" s="185">
        <f t="shared" si="12"/>
        <v>5272.0309479109737</v>
      </c>
      <c r="X50" s="185">
        <f t="shared" si="12"/>
        <v>5303.5217226688028</v>
      </c>
      <c r="Y50" s="185">
        <f t="shared" si="12"/>
        <v>5364.0288573997677</v>
      </c>
      <c r="Z50" s="185">
        <f t="shared" si="12"/>
        <v>5365.120604233146</v>
      </c>
      <c r="AA50" s="185">
        <f t="shared" si="12"/>
        <v>5395.2009207828087</v>
      </c>
      <c r="AB50" s="185">
        <f t="shared" si="12"/>
        <v>5424.782597529681</v>
      </c>
      <c r="AC50" s="185">
        <f t="shared" si="12"/>
        <v>5483.9824469663181</v>
      </c>
      <c r="AD50" s="185">
        <f t="shared" si="12"/>
        <v>5482.389746062915</v>
      </c>
      <c r="AE50" s="185">
        <f t="shared" si="12"/>
        <v>5510.3839396703579</v>
      </c>
      <c r="AF50" s="185">
        <f t="shared" si="12"/>
        <v>1398.0202905525016</v>
      </c>
    </row>
    <row r="51" spans="1:39">
      <c r="A51" s="539" t="s">
        <v>0</v>
      </c>
      <c r="B51" s="540">
        <f t="shared" ref="B51:AF51" si="13">IF(B49&gt;0.1,B50/(B48+B47)," ")</f>
        <v>1.2999999999999965</v>
      </c>
      <c r="C51" s="540">
        <f t="shared" si="13"/>
        <v>1.2999999999999992</v>
      </c>
      <c r="D51" s="540">
        <f t="shared" si="13"/>
        <v>1.300000000000002</v>
      </c>
      <c r="E51" s="540">
        <f t="shared" si="13"/>
        <v>1.2999999999999969</v>
      </c>
      <c r="F51" s="540">
        <f t="shared" si="13"/>
        <v>1.2999999999999994</v>
      </c>
      <c r="G51" s="540">
        <f t="shared" si="13"/>
        <v>1.2999999999999998</v>
      </c>
      <c r="H51" s="540">
        <f t="shared" si="13"/>
        <v>1.2999999999999987</v>
      </c>
      <c r="I51" s="540">
        <f t="shared" si="13"/>
        <v>1.3000000000000018</v>
      </c>
      <c r="J51" s="540">
        <f t="shared" si="13"/>
        <v>1.3000000000000014</v>
      </c>
      <c r="K51" s="540">
        <f t="shared" si="13"/>
        <v>1.2999999999999987</v>
      </c>
      <c r="L51" s="540">
        <f t="shared" si="13"/>
        <v>1.3000000000000003</v>
      </c>
      <c r="M51" s="540">
        <f t="shared" si="13"/>
        <v>1.3</v>
      </c>
      <c r="N51" s="540">
        <f t="shared" si="13"/>
        <v>1.3000000000000007</v>
      </c>
      <c r="O51" s="540">
        <f t="shared" si="13"/>
        <v>1.3000000000000005</v>
      </c>
      <c r="P51" s="540">
        <f t="shared" si="13"/>
        <v>1.3</v>
      </c>
      <c r="Q51" s="540">
        <f t="shared" si="13"/>
        <v>1.3000000000000003</v>
      </c>
      <c r="R51" s="540">
        <f t="shared" si="13"/>
        <v>1.2999999999999998</v>
      </c>
      <c r="S51" s="540">
        <f t="shared" si="13"/>
        <v>1.3</v>
      </c>
      <c r="T51" s="540" t="str">
        <f t="shared" si="13"/>
        <v xml:space="preserve"> </v>
      </c>
      <c r="U51" s="540" t="str">
        <f t="shared" si="13"/>
        <v xml:space="preserve"> </v>
      </c>
      <c r="V51" s="540" t="str">
        <f t="shared" si="13"/>
        <v xml:space="preserve"> </v>
      </c>
      <c r="W51" s="540" t="str">
        <f t="shared" si="13"/>
        <v xml:space="preserve"> </v>
      </c>
      <c r="X51" s="540" t="str">
        <f t="shared" si="13"/>
        <v xml:space="preserve"> </v>
      </c>
      <c r="Y51" s="540" t="str">
        <f t="shared" si="13"/>
        <v xml:space="preserve"> </v>
      </c>
      <c r="Z51" s="540" t="str">
        <f t="shared" si="13"/>
        <v xml:space="preserve"> </v>
      </c>
      <c r="AA51" s="540" t="str">
        <f t="shared" si="13"/>
        <v xml:space="preserve"> </v>
      </c>
      <c r="AB51" s="540" t="str">
        <f t="shared" si="13"/>
        <v xml:space="preserve"> </v>
      </c>
      <c r="AC51" s="540" t="str">
        <f t="shared" si="13"/>
        <v xml:space="preserve"> </v>
      </c>
      <c r="AD51" s="540" t="str">
        <f t="shared" si="13"/>
        <v xml:space="preserve"> </v>
      </c>
      <c r="AE51" s="540" t="str">
        <f t="shared" si="13"/>
        <v xml:space="preserve"> </v>
      </c>
      <c r="AF51" s="540" t="str">
        <f t="shared" si="13"/>
        <v xml:space="preserve"> </v>
      </c>
    </row>
    <row r="52" spans="1:39">
      <c r="A52" s="49"/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185"/>
      <c r="AB52" s="185"/>
      <c r="AC52" s="185"/>
      <c r="AD52" s="185"/>
      <c r="AE52" s="185"/>
      <c r="AF52" s="185"/>
    </row>
    <row r="53" spans="1:39">
      <c r="A53"/>
      <c r="B53" s="520">
        <f>B20</f>
        <v>37255.5</v>
      </c>
      <c r="C53" s="520">
        <f t="shared" ref="C53:AF53" si="14">C20</f>
        <v>37620.75</v>
      </c>
      <c r="D53" s="520">
        <f t="shared" si="14"/>
        <v>37986</v>
      </c>
      <c r="E53" s="520">
        <f t="shared" si="14"/>
        <v>38351.25</v>
      </c>
      <c r="F53" s="520">
        <f t="shared" si="14"/>
        <v>38716.5</v>
      </c>
      <c r="G53" s="520">
        <f t="shared" si="14"/>
        <v>39081.75</v>
      </c>
      <c r="H53" s="520">
        <f t="shared" si="14"/>
        <v>39447</v>
      </c>
      <c r="I53" s="520">
        <f t="shared" si="14"/>
        <v>39812.25</v>
      </c>
      <c r="J53" s="520">
        <f t="shared" si="14"/>
        <v>40177.5</v>
      </c>
      <c r="K53" s="520">
        <f t="shared" si="14"/>
        <v>40542.75</v>
      </c>
      <c r="L53" s="520">
        <f t="shared" si="14"/>
        <v>40908</v>
      </c>
      <c r="M53" s="520">
        <f t="shared" si="14"/>
        <v>41273.25</v>
      </c>
      <c r="N53" s="520">
        <f t="shared" si="14"/>
        <v>41638.5</v>
      </c>
      <c r="O53" s="520">
        <f t="shared" si="14"/>
        <v>42003.75</v>
      </c>
      <c r="P53" s="520">
        <f t="shared" si="14"/>
        <v>42369</v>
      </c>
      <c r="Q53" s="520">
        <f t="shared" si="14"/>
        <v>42734.25</v>
      </c>
      <c r="R53" s="520">
        <f t="shared" si="14"/>
        <v>43099.5</v>
      </c>
      <c r="S53" s="520">
        <f t="shared" si="14"/>
        <v>43464.75</v>
      </c>
      <c r="T53" s="520">
        <f t="shared" si="14"/>
        <v>43830</v>
      </c>
      <c r="U53" s="520">
        <f t="shared" si="14"/>
        <v>44195.25</v>
      </c>
      <c r="V53" s="520">
        <f t="shared" si="14"/>
        <v>44560.5</v>
      </c>
      <c r="W53" s="520">
        <f t="shared" si="14"/>
        <v>44925.75</v>
      </c>
      <c r="X53" s="520">
        <f t="shared" si="14"/>
        <v>45291</v>
      </c>
      <c r="Y53" s="520">
        <f t="shared" si="14"/>
        <v>45656.25</v>
      </c>
      <c r="Z53" s="520">
        <f t="shared" si="14"/>
        <v>46021.5</v>
      </c>
      <c r="AA53" s="520">
        <f t="shared" si="14"/>
        <v>46386.75</v>
      </c>
      <c r="AB53" s="520">
        <f t="shared" si="14"/>
        <v>46752</v>
      </c>
      <c r="AC53" s="520">
        <f t="shared" si="14"/>
        <v>47117.25</v>
      </c>
      <c r="AD53" s="520">
        <f t="shared" si="14"/>
        <v>47482.5</v>
      </c>
      <c r="AE53" s="520">
        <f t="shared" si="14"/>
        <v>47847.75</v>
      </c>
      <c r="AF53" s="520">
        <f t="shared" si="14"/>
        <v>48213</v>
      </c>
    </row>
    <row r="54" spans="1:39">
      <c r="A54" s="49" t="s">
        <v>62</v>
      </c>
      <c r="B54" s="49">
        <f>B49</f>
        <v>61540.162026517311</v>
      </c>
      <c r="C54" s="49">
        <f>C49</f>
        <v>61021.216446617109</v>
      </c>
      <c r="D54" s="49">
        <f t="shared" ref="D54:AF54" si="15">D49</f>
        <v>60468.154327572425</v>
      </c>
      <c r="E54" s="49">
        <f t="shared" si="15"/>
        <v>59397.866988675334</v>
      </c>
      <c r="F54" s="49">
        <f t="shared" si="15"/>
        <v>57676.698548574648</v>
      </c>
      <c r="G54" s="49">
        <f t="shared" si="15"/>
        <v>55609.833618308054</v>
      </c>
      <c r="H54" s="49">
        <f t="shared" si="15"/>
        <v>53296.787891542517</v>
      </c>
      <c r="I54" s="49">
        <f t="shared" si="15"/>
        <v>50712.402725400832</v>
      </c>
      <c r="J54" s="49">
        <f t="shared" si="15"/>
        <v>47770.498308907889</v>
      </c>
      <c r="K54" s="49">
        <f t="shared" si="15"/>
        <v>44456.380574778792</v>
      </c>
      <c r="L54" s="49">
        <f t="shared" si="15"/>
        <v>40714.642516185173</v>
      </c>
      <c r="M54" s="49">
        <f t="shared" si="15"/>
        <v>36521.107651798433</v>
      </c>
      <c r="N54" s="49">
        <f t="shared" si="15"/>
        <v>31835.485198162052</v>
      </c>
      <c r="O54" s="49">
        <f t="shared" si="15"/>
        <v>26630.840484712371</v>
      </c>
      <c r="P54" s="49">
        <f t="shared" si="15"/>
        <v>20932.817426483303</v>
      </c>
      <c r="Q54" s="49">
        <f t="shared" si="15"/>
        <v>14687.281993536661</v>
      </c>
      <c r="R54" s="49">
        <f t="shared" si="15"/>
        <v>7858.5061150880792</v>
      </c>
      <c r="S54" s="49">
        <f t="shared" si="15"/>
        <v>395.32391117508723</v>
      </c>
      <c r="T54" s="49">
        <f t="shared" si="15"/>
        <v>0</v>
      </c>
      <c r="U54" s="49">
        <f t="shared" si="15"/>
        <v>0</v>
      </c>
      <c r="V54" s="49">
        <f t="shared" si="15"/>
        <v>0</v>
      </c>
      <c r="W54" s="49">
        <f t="shared" si="15"/>
        <v>0</v>
      </c>
      <c r="X54" s="49">
        <f t="shared" si="15"/>
        <v>0</v>
      </c>
      <c r="Y54" s="49">
        <f t="shared" si="15"/>
        <v>0</v>
      </c>
      <c r="Z54" s="49">
        <f t="shared" si="15"/>
        <v>0</v>
      </c>
      <c r="AA54" s="49">
        <f t="shared" si="15"/>
        <v>0</v>
      </c>
      <c r="AB54" s="49">
        <f t="shared" si="15"/>
        <v>0</v>
      </c>
      <c r="AC54" s="49">
        <f t="shared" si="15"/>
        <v>0</v>
      </c>
      <c r="AD54" s="49">
        <f t="shared" si="15"/>
        <v>0</v>
      </c>
      <c r="AE54" s="49">
        <f t="shared" si="15"/>
        <v>0</v>
      </c>
      <c r="AF54" s="49">
        <f t="shared" si="15"/>
        <v>0</v>
      </c>
    </row>
    <row r="55" spans="1:39">
      <c r="A55" s="49" t="s">
        <v>440</v>
      </c>
      <c r="B55" s="506">
        <v>0</v>
      </c>
      <c r="C55" s="506">
        <v>0</v>
      </c>
      <c r="D55" s="506">
        <v>0</v>
      </c>
      <c r="E55" s="506">
        <v>0</v>
      </c>
      <c r="F55" s="506">
        <v>0</v>
      </c>
      <c r="G55" s="506">
        <v>0</v>
      </c>
      <c r="H55" s="506">
        <v>0</v>
      </c>
      <c r="I55" s="506">
        <v>0</v>
      </c>
      <c r="J55" s="506">
        <v>0</v>
      </c>
      <c r="K55" s="506">
        <v>0</v>
      </c>
      <c r="L55" s="506">
        <v>0</v>
      </c>
      <c r="M55" s="506">
        <v>0</v>
      </c>
      <c r="N55" s="506">
        <v>0</v>
      </c>
      <c r="O55" s="506">
        <v>0</v>
      </c>
      <c r="P55" s="506">
        <v>0</v>
      </c>
      <c r="Q55" s="506">
        <v>0</v>
      </c>
      <c r="R55" s="506">
        <v>0</v>
      </c>
      <c r="S55" s="506">
        <v>0</v>
      </c>
      <c r="T55" s="506">
        <v>0</v>
      </c>
      <c r="U55" s="506">
        <v>0</v>
      </c>
      <c r="V55" s="506">
        <v>0</v>
      </c>
      <c r="W55" s="506">
        <v>0</v>
      </c>
      <c r="X55" s="506">
        <v>0</v>
      </c>
      <c r="Y55" s="506">
        <v>0</v>
      </c>
      <c r="Z55" s="506">
        <v>0</v>
      </c>
      <c r="AA55" s="506">
        <v>0</v>
      </c>
      <c r="AB55" s="506">
        <v>0</v>
      </c>
      <c r="AC55" s="506">
        <v>0</v>
      </c>
      <c r="AD55" s="506">
        <v>0</v>
      </c>
      <c r="AE55" s="506">
        <v>0</v>
      </c>
      <c r="AF55" s="506">
        <v>0</v>
      </c>
    </row>
    <row r="56" spans="1:39">
      <c r="A56" s="49" t="s">
        <v>63</v>
      </c>
      <c r="B56" s="185">
        <f>B54-B58</f>
        <v>212.32111996817548</v>
      </c>
      <c r="C56" s="185">
        <f>C54-C58</f>
        <v>226.63547964262398</v>
      </c>
      <c r="D56" s="185">
        <f t="shared" ref="D56:AF56" si="16">D54-D58</f>
        <v>241.94907157802663</v>
      </c>
      <c r="E56" s="185">
        <f t="shared" si="16"/>
        <v>608.91162007321691</v>
      </c>
      <c r="F56" s="185">
        <f t="shared" si="16"/>
        <v>819.80086592112639</v>
      </c>
      <c r="G56" s="185">
        <f t="shared" si="16"/>
        <v>921.74304173472774</v>
      </c>
      <c r="H56" s="185">
        <f t="shared" si="16"/>
        <v>1031.2405676933558</v>
      </c>
      <c r="I56" s="185">
        <f t="shared" si="16"/>
        <v>1141.7168938844625</v>
      </c>
      <c r="J56" s="185">
        <f t="shared" si="16"/>
        <v>1326.8475978582064</v>
      </c>
      <c r="K56" s="185">
        <f t="shared" si="16"/>
        <v>1468.8518998551444</v>
      </c>
      <c r="L56" s="185">
        <f t="shared" si="16"/>
        <v>1684.6746849970586</v>
      </c>
      <c r="M56" s="185">
        <f t="shared" si="16"/>
        <v>1844.2636017695186</v>
      </c>
      <c r="N56" s="185">
        <f t="shared" si="16"/>
        <v>2094.2541373633576</v>
      </c>
      <c r="O56" s="185">
        <f t="shared" si="16"/>
        <v>2298.9844327601677</v>
      </c>
      <c r="P56" s="185">
        <f t="shared" si="16"/>
        <v>2519.384573503201</v>
      </c>
      <c r="Q56" s="185">
        <f t="shared" si="16"/>
        <v>2739.094215463796</v>
      </c>
      <c r="R56" s="185">
        <f t="shared" si="16"/>
        <v>3006.0054450718326</v>
      </c>
      <c r="S56" s="185">
        <f t="shared" si="16"/>
        <v>395.32391117508723</v>
      </c>
      <c r="T56" s="185">
        <f t="shared" si="16"/>
        <v>0</v>
      </c>
      <c r="U56" s="185">
        <f t="shared" si="16"/>
        <v>0</v>
      </c>
      <c r="V56" s="185">
        <f t="shared" si="16"/>
        <v>0</v>
      </c>
      <c r="W56" s="185">
        <f t="shared" si="16"/>
        <v>0</v>
      </c>
      <c r="X56" s="185">
        <f t="shared" si="16"/>
        <v>0</v>
      </c>
      <c r="Y56" s="185">
        <f t="shared" si="16"/>
        <v>0</v>
      </c>
      <c r="Z56" s="185">
        <f t="shared" si="16"/>
        <v>0</v>
      </c>
      <c r="AA56" s="185">
        <f t="shared" si="16"/>
        <v>0</v>
      </c>
      <c r="AB56" s="185">
        <f t="shared" si="16"/>
        <v>0</v>
      </c>
      <c r="AC56" s="185">
        <f t="shared" si="16"/>
        <v>0</v>
      </c>
      <c r="AD56" s="185">
        <f t="shared" si="16"/>
        <v>0</v>
      </c>
      <c r="AE56" s="185">
        <f t="shared" si="16"/>
        <v>0</v>
      </c>
      <c r="AF56" s="185">
        <f t="shared" si="16"/>
        <v>0</v>
      </c>
    </row>
    <row r="57" spans="1:39">
      <c r="A57" s="49" t="s">
        <v>64</v>
      </c>
      <c r="B57" s="185">
        <f>B54*(B53-B44)/365.25*$B$7</f>
        <v>1998.6778782517733</v>
      </c>
      <c r="C57" s="185">
        <f t="shared" ref="C57:AF57" si="17">C54*(C53-C44)/(C53-B53)*$B$7</f>
        <v>1985.0940981495291</v>
      </c>
      <c r="D57" s="185">
        <f t="shared" si="17"/>
        <v>1970.3430131280927</v>
      </c>
      <c r="E57" s="185">
        <f t="shared" si="17"/>
        <v>1925.9179028432809</v>
      </c>
      <c r="F57" s="185">
        <f t="shared" si="17"/>
        <v>1873.2017869884719</v>
      </c>
      <c r="G57" s="185">
        <f t="shared" si="17"/>
        <v>1809.055258859895</v>
      </c>
      <c r="H57" s="185">
        <f t="shared" si="17"/>
        <v>1736.6654367419092</v>
      </c>
      <c r="I57" s="185">
        <f t="shared" si="17"/>
        <v>1644.3001955553218</v>
      </c>
      <c r="J57" s="185">
        <f t="shared" si="17"/>
        <v>1551.4719990814629</v>
      </c>
      <c r="K57" s="185">
        <f t="shared" si="17"/>
        <v>1446.2199189569772</v>
      </c>
      <c r="L57" s="185">
        <f t="shared" si="17"/>
        <v>1326.6786841084993</v>
      </c>
      <c r="M57" s="185">
        <f t="shared" si="17"/>
        <v>1184.1612944060023</v>
      </c>
      <c r="N57" s="185">
        <f t="shared" si="17"/>
        <v>1033.9407293331619</v>
      </c>
      <c r="O57" s="185">
        <f t="shared" si="17"/>
        <v>866.33350420359886</v>
      </c>
      <c r="P57" s="185">
        <f t="shared" si="17"/>
        <v>682.09177243814827</v>
      </c>
      <c r="Q57" s="185">
        <f t="shared" si="17"/>
        <v>476.22079326271177</v>
      </c>
      <c r="R57" s="185">
        <f t="shared" si="17"/>
        <v>254.80439591437025</v>
      </c>
      <c r="S57" s="185">
        <f t="shared" si="17"/>
        <v>12.8603657650381</v>
      </c>
      <c r="T57" s="185">
        <f t="shared" si="17"/>
        <v>0</v>
      </c>
      <c r="U57" s="185">
        <f t="shared" si="17"/>
        <v>0</v>
      </c>
      <c r="V57" s="185">
        <f t="shared" si="17"/>
        <v>0</v>
      </c>
      <c r="W57" s="185">
        <f t="shared" si="17"/>
        <v>0</v>
      </c>
      <c r="X57" s="185">
        <f t="shared" si="17"/>
        <v>0</v>
      </c>
      <c r="Y57" s="185">
        <f t="shared" si="17"/>
        <v>0</v>
      </c>
      <c r="Z57" s="185">
        <f t="shared" si="17"/>
        <v>0</v>
      </c>
      <c r="AA57" s="185">
        <f t="shared" si="17"/>
        <v>0</v>
      </c>
      <c r="AB57" s="185">
        <f t="shared" si="17"/>
        <v>0</v>
      </c>
      <c r="AC57" s="185">
        <f t="shared" si="17"/>
        <v>0</v>
      </c>
      <c r="AD57" s="185">
        <f t="shared" si="17"/>
        <v>0</v>
      </c>
      <c r="AE57" s="185">
        <f t="shared" si="17"/>
        <v>0</v>
      </c>
      <c r="AF57" s="185">
        <f t="shared" si="17"/>
        <v>0</v>
      </c>
    </row>
    <row r="58" spans="1:39">
      <c r="A58" s="49" t="s">
        <v>65</v>
      </c>
      <c r="B58" s="49">
        <f>MAX(B54+B55+B57-B25*(B53-B44)/(B53-Assumptions!H16),0)</f>
        <v>61327.840906549136</v>
      </c>
      <c r="C58" s="49">
        <f>MAX(C54+C55+C57-C25*(C53-C44)/(C53-B53),0)</f>
        <v>60794.580966974485</v>
      </c>
      <c r="D58" s="49">
        <f t="shared" ref="D58:AF58" si="18">MAX(D54+D55+D57-D25*(D53-D44)/(D53-C53),0)</f>
        <v>60226.205255994399</v>
      </c>
      <c r="E58" s="49">
        <f t="shared" si="18"/>
        <v>58788.955368602117</v>
      </c>
      <c r="F58" s="49">
        <f t="shared" si="18"/>
        <v>56856.897682653522</v>
      </c>
      <c r="G58" s="49">
        <f t="shared" si="18"/>
        <v>54688.090576573326</v>
      </c>
      <c r="H58" s="49">
        <f t="shared" si="18"/>
        <v>52265.547323849161</v>
      </c>
      <c r="I58" s="49">
        <f t="shared" si="18"/>
        <v>49570.68583151637</v>
      </c>
      <c r="J58" s="49">
        <f t="shared" si="18"/>
        <v>46443.650711049682</v>
      </c>
      <c r="K58" s="49">
        <f t="shared" si="18"/>
        <v>42987.528674923647</v>
      </c>
      <c r="L58" s="49">
        <f t="shared" si="18"/>
        <v>39029.967831188114</v>
      </c>
      <c r="M58" s="49">
        <f t="shared" si="18"/>
        <v>34676.844050028914</v>
      </c>
      <c r="N58" s="49">
        <f t="shared" si="18"/>
        <v>29741.231060798695</v>
      </c>
      <c r="O58" s="49">
        <f t="shared" si="18"/>
        <v>24331.856051952203</v>
      </c>
      <c r="P58" s="49">
        <f t="shared" si="18"/>
        <v>18413.432852980102</v>
      </c>
      <c r="Q58" s="49">
        <f t="shared" si="18"/>
        <v>11948.187778072865</v>
      </c>
      <c r="R58" s="49">
        <f t="shared" si="18"/>
        <v>4852.5006700162467</v>
      </c>
      <c r="S58" s="185">
        <f t="shared" si="18"/>
        <v>0</v>
      </c>
      <c r="T58" s="49">
        <f t="shared" si="18"/>
        <v>0</v>
      </c>
      <c r="U58" s="49">
        <f t="shared" si="18"/>
        <v>0</v>
      </c>
      <c r="V58" s="49">
        <f t="shared" si="18"/>
        <v>0</v>
      </c>
      <c r="W58" s="49">
        <f t="shared" si="18"/>
        <v>0</v>
      </c>
      <c r="X58" s="49">
        <f t="shared" si="18"/>
        <v>0</v>
      </c>
      <c r="Y58" s="49">
        <f t="shared" si="18"/>
        <v>0</v>
      </c>
      <c r="Z58" s="49">
        <f t="shared" si="18"/>
        <v>0</v>
      </c>
      <c r="AA58" s="49">
        <f t="shared" si="18"/>
        <v>0</v>
      </c>
      <c r="AB58" s="49">
        <f t="shared" si="18"/>
        <v>0</v>
      </c>
      <c r="AC58" s="49">
        <f t="shared" si="18"/>
        <v>0</v>
      </c>
      <c r="AD58" s="49">
        <f t="shared" si="18"/>
        <v>0</v>
      </c>
      <c r="AE58" s="49">
        <f t="shared" si="18"/>
        <v>0</v>
      </c>
      <c r="AF58" s="49">
        <f t="shared" si="18"/>
        <v>0</v>
      </c>
    </row>
    <row r="59" spans="1:39">
      <c r="A59" s="49"/>
      <c r="B59" s="505"/>
      <c r="C59" s="505"/>
      <c r="D59" s="505"/>
      <c r="E59" s="505"/>
      <c r="F59" s="505"/>
      <c r="G59" s="505"/>
      <c r="H59" s="505"/>
      <c r="I59" s="505"/>
      <c r="J59" s="505"/>
      <c r="K59" s="505"/>
      <c r="L59" s="505"/>
      <c r="M59" s="505"/>
      <c r="N59" s="505"/>
      <c r="O59" s="505"/>
      <c r="P59" s="505"/>
      <c r="Q59" s="505"/>
      <c r="R59" s="505"/>
      <c r="S59" s="505"/>
      <c r="T59" s="505"/>
      <c r="U59" s="505"/>
      <c r="V59" s="505"/>
      <c r="W59" s="505"/>
      <c r="X59" s="505"/>
      <c r="Y59" s="505"/>
      <c r="Z59" s="505"/>
      <c r="AA59" s="505"/>
      <c r="AB59" s="505"/>
      <c r="AC59" s="505"/>
      <c r="AD59" s="505"/>
      <c r="AE59" s="505"/>
      <c r="AF59" s="505"/>
    </row>
    <row r="60" spans="1:39">
      <c r="A60" s="49" t="s">
        <v>174</v>
      </c>
      <c r="B60" s="185">
        <f>B47+B56+B38</f>
        <v>338.7616882612565</v>
      </c>
      <c r="C60" s="185">
        <f t="shared" ref="C60:AF60" si="19">C47+C56+C38</f>
        <v>533.25993957465107</v>
      </c>
      <c r="D60" s="185">
        <f t="shared" si="19"/>
        <v>568.3757109800863</v>
      </c>
      <c r="E60" s="185">
        <f t="shared" si="19"/>
        <v>1437.2498873922814</v>
      </c>
      <c r="F60" s="185">
        <f t="shared" si="19"/>
        <v>1932.0576859485955</v>
      </c>
      <c r="G60" s="185">
        <f t="shared" si="19"/>
        <v>2168.8071060801958</v>
      </c>
      <c r="H60" s="185">
        <f t="shared" si="19"/>
        <v>2422.5432527241646</v>
      </c>
      <c r="I60" s="185">
        <f t="shared" si="19"/>
        <v>2694.8614923327914</v>
      </c>
      <c r="J60" s="185">
        <f t="shared" si="19"/>
        <v>3127.0351204666877</v>
      </c>
      <c r="K60" s="185">
        <f t="shared" si="19"/>
        <v>3456.1220361260348</v>
      </c>
      <c r="L60" s="185">
        <f t="shared" si="19"/>
        <v>3957.5608437355331</v>
      </c>
      <c r="M60" s="185">
        <f t="shared" si="19"/>
        <v>4353.1237811592</v>
      </c>
      <c r="N60" s="185">
        <f t="shared" si="19"/>
        <v>4935.6129892302197</v>
      </c>
      <c r="O60" s="185">
        <f t="shared" si="19"/>
        <v>5409.3750088464913</v>
      </c>
      <c r="P60" s="185">
        <f t="shared" si="19"/>
        <v>5918.4231989721011</v>
      </c>
      <c r="Q60" s="185">
        <f t="shared" si="19"/>
        <v>6465.2450749072377</v>
      </c>
      <c r="R60" s="185">
        <f t="shared" si="19"/>
        <v>7095.6871080566179</v>
      </c>
      <c r="S60" s="185">
        <f t="shared" si="19"/>
        <v>4852.5006700162467</v>
      </c>
      <c r="T60" s="185">
        <f t="shared" si="19"/>
        <v>0</v>
      </c>
      <c r="U60" s="185">
        <f t="shared" si="19"/>
        <v>0</v>
      </c>
      <c r="V60" s="185">
        <f t="shared" si="19"/>
        <v>0</v>
      </c>
      <c r="W60" s="185">
        <f t="shared" si="19"/>
        <v>0</v>
      </c>
      <c r="X60" s="185">
        <f t="shared" si="19"/>
        <v>0</v>
      </c>
      <c r="Y60" s="185">
        <f t="shared" si="19"/>
        <v>0</v>
      </c>
      <c r="Z60" s="185">
        <f t="shared" si="19"/>
        <v>0</v>
      </c>
      <c r="AA60" s="185">
        <f t="shared" si="19"/>
        <v>0</v>
      </c>
      <c r="AB60" s="185">
        <f t="shared" si="19"/>
        <v>0</v>
      </c>
      <c r="AC60" s="185">
        <f t="shared" si="19"/>
        <v>0</v>
      </c>
      <c r="AD60" s="185">
        <f t="shared" si="19"/>
        <v>0</v>
      </c>
      <c r="AE60" s="185">
        <f t="shared" si="19"/>
        <v>0</v>
      </c>
      <c r="AF60" s="185">
        <f t="shared" si="19"/>
        <v>0</v>
      </c>
    </row>
    <row r="61" spans="1:39">
      <c r="A61" s="521" t="s">
        <v>173</v>
      </c>
      <c r="B61" s="509">
        <f>B48+B57+B39</f>
        <v>3214.8901669635493</v>
      </c>
      <c r="C61" s="509">
        <f t="shared" ref="C61:AF61" si="20">C48+C57+C39</f>
        <v>4790.1946125741742</v>
      </c>
      <c r="D61" s="509">
        <f t="shared" si="20"/>
        <v>4747.6748412495808</v>
      </c>
      <c r="E61" s="509">
        <f t="shared" si="20"/>
        <v>4684.0491753862516</v>
      </c>
      <c r="F61" s="509">
        <f t="shared" si="20"/>
        <v>4560.4784128978235</v>
      </c>
      <c r="G61" s="509">
        <f t="shared" si="20"/>
        <v>4404.0039600956652</v>
      </c>
      <c r="H61" s="509">
        <f t="shared" si="20"/>
        <v>4228.625616486238</v>
      </c>
      <c r="I61" s="509">
        <f t="shared" si="20"/>
        <v>4033.0244046449252</v>
      </c>
      <c r="J61" s="509">
        <f t="shared" si="20"/>
        <v>3812.2799474027138</v>
      </c>
      <c r="K61" s="509">
        <f t="shared" si="20"/>
        <v>3560.2205129423592</v>
      </c>
      <c r="L61" s="509">
        <f t="shared" si="20"/>
        <v>3278.6024330131859</v>
      </c>
      <c r="M61" s="509">
        <f t="shared" si="20"/>
        <v>2960.1469185307737</v>
      </c>
      <c r="N61" s="509">
        <f t="shared" si="20"/>
        <v>2606.1241398846523</v>
      </c>
      <c r="O61" s="509">
        <f t="shared" si="20"/>
        <v>2209.289745525934</v>
      </c>
      <c r="P61" s="509">
        <f t="shared" si="20"/>
        <v>1774.5980862586723</v>
      </c>
      <c r="Q61" s="509">
        <f t="shared" si="20"/>
        <v>1299.342078397603</v>
      </c>
      <c r="R61" s="509">
        <f t="shared" si="20"/>
        <v>778.76442530014765</v>
      </c>
      <c r="S61" s="509">
        <f t="shared" si="20"/>
        <v>208.78138878723149</v>
      </c>
      <c r="T61" s="509">
        <f t="shared" si="20"/>
        <v>0</v>
      </c>
      <c r="U61" s="509">
        <f t="shared" si="20"/>
        <v>0</v>
      </c>
      <c r="V61" s="509">
        <f t="shared" si="20"/>
        <v>0</v>
      </c>
      <c r="W61" s="509">
        <f t="shared" si="20"/>
        <v>0</v>
      </c>
      <c r="X61" s="509">
        <f t="shared" si="20"/>
        <v>0</v>
      </c>
      <c r="Y61" s="509">
        <f t="shared" si="20"/>
        <v>0</v>
      </c>
      <c r="Z61" s="509">
        <f t="shared" si="20"/>
        <v>0</v>
      </c>
      <c r="AA61" s="509">
        <f t="shared" si="20"/>
        <v>0</v>
      </c>
      <c r="AB61" s="509">
        <f t="shared" si="20"/>
        <v>0</v>
      </c>
      <c r="AC61" s="509">
        <f t="shared" si="20"/>
        <v>0</v>
      </c>
      <c r="AD61" s="509">
        <f t="shared" si="20"/>
        <v>0</v>
      </c>
      <c r="AE61" s="509">
        <f t="shared" si="20"/>
        <v>0</v>
      </c>
      <c r="AF61" s="509">
        <f t="shared" si="20"/>
        <v>0</v>
      </c>
    </row>
    <row r="62" spans="1:39">
      <c r="A62" s="50" t="s">
        <v>66</v>
      </c>
      <c r="B62" s="50">
        <f>SUM(B60:B61)</f>
        <v>3553.6518552248058</v>
      </c>
      <c r="C62" s="50">
        <f t="shared" ref="C62:AF62" si="21">SUM(C60:C61)</f>
        <v>5323.4545521488253</v>
      </c>
      <c r="D62" s="50">
        <f t="shared" si="21"/>
        <v>5316.0505522296671</v>
      </c>
      <c r="E62" s="50">
        <f t="shared" si="21"/>
        <v>6121.299062778533</v>
      </c>
      <c r="F62" s="50">
        <f t="shared" si="21"/>
        <v>6492.536098846419</v>
      </c>
      <c r="G62" s="50">
        <f t="shared" si="21"/>
        <v>6572.811066175861</v>
      </c>
      <c r="H62" s="50">
        <f t="shared" si="21"/>
        <v>6651.1688692104026</v>
      </c>
      <c r="I62" s="50">
        <f t="shared" si="21"/>
        <v>6727.8858969777166</v>
      </c>
      <c r="J62" s="50">
        <f t="shared" si="21"/>
        <v>6939.3150678694019</v>
      </c>
      <c r="K62" s="50">
        <f t="shared" si="21"/>
        <v>7016.342549068394</v>
      </c>
      <c r="L62" s="50">
        <f t="shared" si="21"/>
        <v>7236.163276748719</v>
      </c>
      <c r="M62" s="50">
        <f t="shared" si="21"/>
        <v>7313.2706996899742</v>
      </c>
      <c r="N62" s="50">
        <f t="shared" si="21"/>
        <v>7541.737129114872</v>
      </c>
      <c r="O62" s="50">
        <f t="shared" si="21"/>
        <v>7618.6647543724248</v>
      </c>
      <c r="P62" s="50">
        <f t="shared" si="21"/>
        <v>7693.0212852307732</v>
      </c>
      <c r="Q62" s="50">
        <f t="shared" si="21"/>
        <v>7764.5871533048412</v>
      </c>
      <c r="R62" s="50">
        <f t="shared" si="21"/>
        <v>7874.4515333567651</v>
      </c>
      <c r="S62" s="50">
        <f t="shared" si="21"/>
        <v>5061.2820588034783</v>
      </c>
      <c r="T62" s="50">
        <f t="shared" si="21"/>
        <v>0</v>
      </c>
      <c r="U62" s="50">
        <f t="shared" si="21"/>
        <v>0</v>
      </c>
      <c r="V62" s="50">
        <f t="shared" si="21"/>
        <v>0</v>
      </c>
      <c r="W62" s="50">
        <f t="shared" si="21"/>
        <v>0</v>
      </c>
      <c r="X62" s="50">
        <f t="shared" si="21"/>
        <v>0</v>
      </c>
      <c r="Y62" s="50">
        <f t="shared" si="21"/>
        <v>0</v>
      </c>
      <c r="Z62" s="50">
        <f t="shared" si="21"/>
        <v>0</v>
      </c>
      <c r="AA62" s="50">
        <f t="shared" si="21"/>
        <v>0</v>
      </c>
      <c r="AB62" s="50">
        <f t="shared" si="21"/>
        <v>0</v>
      </c>
      <c r="AC62" s="50">
        <f t="shared" si="21"/>
        <v>0</v>
      </c>
      <c r="AD62" s="50">
        <f t="shared" si="21"/>
        <v>0</v>
      </c>
      <c r="AE62" s="50">
        <f t="shared" si="21"/>
        <v>0</v>
      </c>
      <c r="AF62" s="50">
        <f t="shared" si="21"/>
        <v>0</v>
      </c>
      <c r="AG62" s="50"/>
      <c r="AH62" s="50"/>
      <c r="AI62" s="50"/>
      <c r="AJ62" s="50"/>
      <c r="AK62" s="50"/>
      <c r="AL62" s="50"/>
      <c r="AM62" s="50"/>
    </row>
    <row r="63" spans="1:39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</row>
    <row r="64" spans="1:39">
      <c r="A64" s="203" t="s">
        <v>0</v>
      </c>
      <c r="B64" s="533">
        <f>IF(B44=Assumptions!$G$33,IF(B62&gt;0.1,B23/B62," "),IF(B62&gt;0.1,B23/B62," "))</f>
        <v>1.2999999999999987</v>
      </c>
      <c r="C64" s="533">
        <f>IF(C44=Assumptions!$G$33,IF(C62&gt;0.1,(C44-B53)/(C53-B53)*C23/C62," "),IF(C62&gt;0.1,C23/C62," "))</f>
        <v>1.2999999999999996</v>
      </c>
      <c r="D64" s="533">
        <f>IF(D44=Assumptions!$G$33,IF(D62&gt;0.1,(D44-C53)/(D53-C53)*D23/D62," "),IF(D62&gt;0.1,D23/D62," "))</f>
        <v>1.3000000000000016</v>
      </c>
      <c r="E64" s="533">
        <f>IF(E44=Assumptions!$G$33,IF(E62&gt;0.1,(E44-D53)/(E53-D53)*E23/E62," "),IF(E62&gt;0.1,E23/E62," "))</f>
        <v>1.2999999999999992</v>
      </c>
      <c r="F64" s="533">
        <f>IF(F44=Assumptions!$G$33,IF(F62&gt;0.1,(F44-E53)/(F53-E53)*F23/F62," "),IF(F62&gt;0.1,F23/F62," "))</f>
        <v>1.2999999999999998</v>
      </c>
      <c r="G64" s="533">
        <f>IF(G44=Assumptions!$G$33,IF(G62&gt;0.1,(G44-F53)/(G53-F53)*G23/G62," "),IF(G62&gt;0.1,G23/G62," "))</f>
        <v>1.2999999999999994</v>
      </c>
      <c r="H64" s="533">
        <f>IF(H44=Assumptions!$G$33,IF(H62&gt;0.1,(H44-G53)/(H53-G53)*H23/H62," "),IF(H62&gt;0.1,H23/H62," "))</f>
        <v>1.2999999999999989</v>
      </c>
      <c r="I64" s="533">
        <f>IF(I44=Assumptions!$G$33,IF(I62&gt;0.1,(I44-H53)/(I53-H53)*I23/I62," "),IF(I62&gt;0.1,I23/I62," "))</f>
        <v>1.3</v>
      </c>
      <c r="J64" s="533">
        <f>IF(J44=Assumptions!$G$33,IF(J62&gt;0.1,(J44-I53)/(J53-I53)*J23/J62," "),IF(J62&gt;0.1,J23/J62," "))</f>
        <v>1.3000000000000005</v>
      </c>
      <c r="K64" s="533">
        <f>IF(K44=Assumptions!$G$33,IF(K62&gt;0.1,(K44-J53)/(K53-J53)*K23/K62," "),IF(K62&gt;0.1,K23/K62," "))</f>
        <v>1.3000000000000007</v>
      </c>
      <c r="L64" s="533">
        <f>IF(L44=Assumptions!$G$33,IF(L62&gt;0.1,(L44-K53)/(L53-K53)*L23/L62," "),IF(L62&gt;0.1,L23/L62," "))</f>
        <v>1.3000000000000005</v>
      </c>
      <c r="M64" s="533">
        <f>IF(M44=Assumptions!$G$33,IF(M62&gt;0.1,(M44-L53)/(M53-L53)*M23/M62," "),IF(M62&gt;0.1,M23/M62," "))</f>
        <v>1.3000000000000014</v>
      </c>
      <c r="N64" s="533">
        <f>IF(N44=Assumptions!$G$33,IF(N62&gt;0.1,(N44-M53)/(N53-M53)*N23/N62," "),IF(N62&gt;0.1,N23/N62," "))</f>
        <v>1.3</v>
      </c>
      <c r="O64" s="533">
        <f>IF(O44=Assumptions!$G$33,IF(O62&gt;0.1,(O44-N53)/(O53-N53)*O23/O62," "),IF(O62&gt;0.1,O23/O62," "))</f>
        <v>1.3000000000000003</v>
      </c>
      <c r="P64" s="533">
        <f>IF(P44=Assumptions!$G$33,IF(P62&gt;0.1,(P44-O53)/(P53-O53)*P23/P62," "),IF(P62&gt;0.1,P23/P62," "))</f>
        <v>1.2999999999999998</v>
      </c>
      <c r="Q64" s="533">
        <f>IF(Q44=Assumptions!$G$33,IF(Q62&gt;0.1,(Q44-P53)/(Q53-P53)*Q23/Q62," "),IF(Q62&gt;0.1,Q23/Q62," "))</f>
        <v>1.2999999999999996</v>
      </c>
      <c r="R64" s="533">
        <f>IF(R44=Assumptions!$G$33,IF(R62&gt;0.1,(R44-Q53)/(R53-Q53)*R23/R62," "),IF(R62&gt;0.1,R23/R62," "))</f>
        <v>0.76167008898015065</v>
      </c>
      <c r="S64" s="533">
        <f>IF(S44=Assumptions!$G$33,IF(S62&gt;0.1,(S44-R53)/(S53-R53)*S23/S62," "),IF(S62&gt;0.1,S23/S62," "))</f>
        <v>2.0446422746254846</v>
      </c>
      <c r="T64" s="533" t="str">
        <f>IF(T44=Assumptions!$G$33,IF(T62&gt;0.1,(T44-S53)/(T53-S53)*T23/T62," "),IF(T62&gt;0.1,T23/T62," "))</f>
        <v xml:space="preserve"> </v>
      </c>
      <c r="U64" s="533" t="str">
        <f>IF(U44=Assumptions!$G$33,IF(U62&gt;0.1,(U44-T53)/(U53-T53)*U23/U62," "),IF(U62&gt;0.1,U23/U62," "))</f>
        <v xml:space="preserve"> </v>
      </c>
      <c r="V64" s="533" t="str">
        <f>IF(V44=Assumptions!$G$33,IF(V62&gt;0.1,(V44-U53)/(V53-U53)*V23/V62," "),IF(V62&gt;0.1,V23/V62," "))</f>
        <v xml:space="preserve"> </v>
      </c>
      <c r="W64" s="533" t="str">
        <f>IF(W44=Assumptions!$G$33,IF(W62&gt;0.1,(W44-V53)/(W53-V53)*W23/W62," "),IF(W62&gt;0.1,W23/W62," "))</f>
        <v xml:space="preserve"> </v>
      </c>
      <c r="X64" s="533" t="str">
        <f>IF(X44=Assumptions!$G$33,IF(X62&gt;0.1,(X44-W53)/(X53-W53)*X23/X62," "),IF(X62&gt;0.1,X23/X62," "))</f>
        <v xml:space="preserve"> </v>
      </c>
      <c r="Y64" s="533" t="str">
        <f>IF(Y44=Assumptions!$G$33,IF(Y62&gt;0.1,(Y44-X53)/(Y53-X53)*Y23/Y62," "),IF(Y62&gt;0.1,Y23/Y62," "))</f>
        <v xml:space="preserve"> </v>
      </c>
      <c r="Z64" s="533" t="str">
        <f>IF(Z44=Assumptions!$G$33,IF(Z62&gt;0.1,(Z44-Y53)/(Z53-Y53)*Z23/Z62," "),IF(Z62&gt;0.1,Z23/Z62," "))</f>
        <v xml:space="preserve"> </v>
      </c>
      <c r="AA64" s="533" t="str">
        <f>IF(AA44=Assumptions!$G$33,IF(AA62&gt;0.1,(AA44-Z53)/(AA53-Z53)*AA23/AA62," "),IF(AA62&gt;0.1,AA23/AA62," "))</f>
        <v xml:space="preserve"> </v>
      </c>
      <c r="AB64" s="533" t="str">
        <f>IF(AB44=Assumptions!$G$33,IF(AB62&gt;0.1,(AB44-AA53)/(AB53-AA53)*AB23/AB62," "),IF(AB62&gt;0.1,AB23/AB62," "))</f>
        <v xml:space="preserve"> </v>
      </c>
      <c r="AC64" s="533" t="str">
        <f>IF(AC44=Assumptions!$G$33,IF(AC62&gt;0.1,(AC44-AB53)/(AC53-AB53)*AC23/AC62," "),IF(AC62&gt;0.1,AC23/AC62," "))</f>
        <v xml:space="preserve"> </v>
      </c>
      <c r="AD64" s="533" t="str">
        <f>IF(AD44=Assumptions!$G$33,IF(AD62&gt;0.1,(AD44-AC53)/(AD53-AC53)*AD23/AD62," "),IF(AD62&gt;0.1,AD23/AD62," "))</f>
        <v xml:space="preserve"> </v>
      </c>
      <c r="AE64" s="533" t="str">
        <f>IF(AE44=Assumptions!$G$33,IF(AE62&gt;0.1,(AE44-AD53)/(AE53-AD53)*AE23/AE62," "),IF(AE62&gt;0.1,AE23/AE62," "))</f>
        <v xml:space="preserve"> </v>
      </c>
      <c r="AF64" s="533" t="str">
        <f>IF(AF44=Assumptions!$G$33,IF(AF62&gt;0.1,(AF44-AE53)/(AF53-AE53)*AF23/AF62," "),IF(AF62&gt;0.1,AF23/AF62," "))</f>
        <v xml:space="preserve"> </v>
      </c>
      <c r="AG64" s="51"/>
      <c r="AH64" s="51"/>
      <c r="AI64" s="51"/>
      <c r="AJ64" s="51"/>
      <c r="AK64" s="51"/>
      <c r="AL64" s="51"/>
      <c r="AM64" s="51"/>
    </row>
    <row r="65" spans="1:43">
      <c r="A65" s="52"/>
      <c r="B65" s="202"/>
      <c r="C65" s="542"/>
      <c r="D65" s="542"/>
      <c r="E65" s="542"/>
      <c r="F65" s="542"/>
      <c r="G65" s="542"/>
      <c r="H65" s="542"/>
      <c r="I65" s="542"/>
      <c r="J65" s="542"/>
      <c r="K65" s="542"/>
      <c r="L65" s="542"/>
      <c r="M65" s="542"/>
      <c r="N65" s="542"/>
      <c r="O65" s="542"/>
      <c r="P65" s="542"/>
      <c r="Q65" s="542"/>
      <c r="R65" s="542"/>
      <c r="S65" s="542"/>
      <c r="T65" s="542"/>
      <c r="U65" s="542"/>
      <c r="V65" s="542"/>
      <c r="W65" s="542"/>
      <c r="X65" s="542"/>
      <c r="Y65" s="542"/>
      <c r="Z65" s="542"/>
      <c r="AA65" s="542"/>
      <c r="AB65" s="542"/>
      <c r="AC65" s="542"/>
      <c r="AD65" s="542"/>
      <c r="AE65" s="542"/>
      <c r="AF65" s="542"/>
      <c r="AG65" s="51"/>
      <c r="AH65" s="51"/>
      <c r="AI65" s="51"/>
      <c r="AJ65" s="51"/>
      <c r="AK65" s="51"/>
      <c r="AL65" s="51"/>
      <c r="AM65" s="51"/>
    </row>
    <row r="66" spans="1:43">
      <c r="A66" s="52"/>
      <c r="B66" s="543"/>
      <c r="C66" s="543"/>
      <c r="D66" s="543"/>
      <c r="E66" s="543"/>
      <c r="F66" s="543"/>
      <c r="G66" s="543"/>
      <c r="H66" s="543"/>
      <c r="I66" s="543"/>
      <c r="J66" s="543"/>
      <c r="K66" s="543"/>
      <c r="L66" s="543"/>
      <c r="M66" s="543"/>
      <c r="N66" s="543"/>
      <c r="O66" s="543"/>
      <c r="P66" s="543"/>
      <c r="Q66" s="543"/>
      <c r="R66" s="543"/>
      <c r="S66" s="543"/>
      <c r="T66" s="543"/>
      <c r="U66" s="543"/>
      <c r="V66" s="543"/>
      <c r="W66" s="543"/>
      <c r="X66" s="543"/>
      <c r="Y66" s="543"/>
      <c r="Z66" s="543"/>
      <c r="AA66" s="543"/>
      <c r="AB66" s="543"/>
      <c r="AC66" s="543"/>
      <c r="AD66" s="543"/>
      <c r="AE66" s="543"/>
      <c r="AF66" s="543"/>
      <c r="AG66" s="51"/>
      <c r="AH66" s="51"/>
      <c r="AI66" s="51"/>
      <c r="AJ66" s="51"/>
      <c r="AK66" s="51"/>
      <c r="AL66" s="51"/>
      <c r="AM66" s="51"/>
    </row>
    <row r="67" spans="1:43">
      <c r="B67" s="53" t="s">
        <v>97</v>
      </c>
      <c r="C67" s="63"/>
      <c r="D67" s="54">
        <f>AVERAGE(B64:AF64)</f>
        <v>1.3114617979780911</v>
      </c>
      <c r="F67" s="51"/>
      <c r="K67" s="51"/>
      <c r="L67" s="51"/>
      <c r="M67" s="55"/>
      <c r="N67" s="51"/>
      <c r="O67" s="51"/>
      <c r="P67" s="56"/>
      <c r="Q67" s="56"/>
      <c r="R67" s="56"/>
      <c r="S67" s="51"/>
      <c r="T67" s="51"/>
      <c r="U67" s="51"/>
      <c r="V67" s="51"/>
      <c r="X67" s="51"/>
      <c r="Z67" s="51"/>
      <c r="AA67" s="12"/>
      <c r="AB67" s="51"/>
      <c r="AD67" s="51"/>
      <c r="AF67" s="51"/>
      <c r="AG67" s="51"/>
      <c r="AH67" s="51"/>
      <c r="AI67" s="51"/>
      <c r="AJ67" s="51"/>
      <c r="AK67" s="51"/>
      <c r="AL67" s="51"/>
      <c r="AM67" s="51"/>
    </row>
    <row r="68" spans="1:43">
      <c r="B68" s="57" t="s">
        <v>98</v>
      </c>
      <c r="C68" s="64"/>
      <c r="D68" s="65">
        <f>MIN(B64:AF64)</f>
        <v>0.76167008898015065</v>
      </c>
      <c r="F68" s="52"/>
      <c r="K68" s="52"/>
      <c r="L68" s="52"/>
      <c r="M68" s="52"/>
      <c r="N68" s="52"/>
      <c r="O68" s="52"/>
      <c r="P68" s="56"/>
      <c r="Q68" s="56"/>
      <c r="R68" s="56"/>
      <c r="S68" s="51"/>
      <c r="T68" s="51"/>
      <c r="U68" s="51"/>
      <c r="V68" s="51"/>
      <c r="X68" s="51"/>
      <c r="Z68" s="51"/>
      <c r="AA68" s="12"/>
      <c r="AB68" s="51"/>
      <c r="AD68" s="51"/>
      <c r="AF68" s="51"/>
      <c r="AG68" s="51"/>
      <c r="AH68" s="51"/>
      <c r="AI68" s="51"/>
      <c r="AJ68" s="51"/>
      <c r="AK68" s="51"/>
      <c r="AL68" s="51"/>
      <c r="AM68" s="51"/>
    </row>
    <row r="69" spans="1:43">
      <c r="AA69" s="12"/>
      <c r="AB69" s="12"/>
    </row>
    <row r="70" spans="1:43">
      <c r="B70" s="49"/>
      <c r="AA70" s="12"/>
      <c r="AB70" s="12"/>
    </row>
    <row r="71" spans="1:43">
      <c r="B71" s="49"/>
      <c r="AA71" s="12"/>
      <c r="AB71" s="12"/>
    </row>
    <row r="72" spans="1:43" ht="13.5" thickBo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</row>
    <row r="73" spans="1:43">
      <c r="AA73" s="12"/>
      <c r="AB73" s="12"/>
    </row>
    <row r="74" spans="1:43">
      <c r="A74" s="11" t="s">
        <v>110</v>
      </c>
      <c r="B74" s="95">
        <v>0</v>
      </c>
      <c r="C74" s="95">
        <f>(C44-$B$44)/365.25</f>
        <v>0.99931553730321698</v>
      </c>
      <c r="D74" s="95">
        <f t="shared" ref="D74:AF74" si="22">(D44-$B$44)/365.25</f>
        <v>1.998631074606434</v>
      </c>
      <c r="E74" s="95">
        <f t="shared" si="22"/>
        <v>3.0006844626967832</v>
      </c>
      <c r="F74" s="95">
        <f t="shared" si="22"/>
        <v>4</v>
      </c>
      <c r="G74" s="95">
        <f t="shared" si="22"/>
        <v>4.9993155373032172</v>
      </c>
      <c r="H74" s="95">
        <f t="shared" si="22"/>
        <v>5.9986310746064335</v>
      </c>
      <c r="I74" s="95">
        <f t="shared" si="22"/>
        <v>7.0006844626967828</v>
      </c>
      <c r="J74" s="95">
        <f t="shared" si="22"/>
        <v>8</v>
      </c>
      <c r="K74" s="95">
        <f t="shared" si="22"/>
        <v>8.9993155373032163</v>
      </c>
      <c r="L74" s="95">
        <f t="shared" si="22"/>
        <v>9.9986310746064344</v>
      </c>
      <c r="M74" s="95">
        <f t="shared" si="22"/>
        <v>11.000684462696784</v>
      </c>
      <c r="N74" s="95">
        <f t="shared" si="22"/>
        <v>12</v>
      </c>
      <c r="O74" s="95">
        <f t="shared" si="22"/>
        <v>12.999315537303216</v>
      </c>
      <c r="P74" s="95">
        <f t="shared" si="22"/>
        <v>13.998631074606434</v>
      </c>
      <c r="Q74" s="95">
        <f t="shared" si="22"/>
        <v>15.000684462696784</v>
      </c>
      <c r="R74" s="95">
        <f t="shared" si="22"/>
        <v>16.000684462696782</v>
      </c>
      <c r="S74" s="95">
        <f t="shared" si="22"/>
        <v>16.999315537303218</v>
      </c>
      <c r="T74" s="95">
        <f t="shared" si="22"/>
        <v>17.998631074606433</v>
      </c>
      <c r="U74" s="95">
        <f t="shared" si="22"/>
        <v>19.000684462696782</v>
      </c>
      <c r="V74" s="95">
        <f t="shared" si="22"/>
        <v>20</v>
      </c>
      <c r="W74" s="95">
        <f t="shared" si="22"/>
        <v>20.999315537303218</v>
      </c>
      <c r="X74" s="95">
        <f t="shared" si="22"/>
        <v>21.998631074606433</v>
      </c>
      <c r="Y74" s="95">
        <f t="shared" si="22"/>
        <v>23.000684462696782</v>
      </c>
      <c r="Z74" s="95">
        <f t="shared" si="22"/>
        <v>24</v>
      </c>
      <c r="AA74" s="95">
        <f t="shared" si="22"/>
        <v>24.999315537303218</v>
      </c>
      <c r="AB74" s="95">
        <f t="shared" si="22"/>
        <v>25.998631074606433</v>
      </c>
      <c r="AC74" s="95">
        <f t="shared" si="22"/>
        <v>27.000684462696782</v>
      </c>
      <c r="AD74" s="95">
        <f t="shared" si="22"/>
        <v>28</v>
      </c>
      <c r="AE74" s="95">
        <f t="shared" si="22"/>
        <v>28.999315537303218</v>
      </c>
      <c r="AF74" s="95">
        <f t="shared" si="22"/>
        <v>29.998631074606433</v>
      </c>
      <c r="AG74" s="209"/>
      <c r="AH74" s="209"/>
      <c r="AI74" s="209"/>
      <c r="AJ74" s="209"/>
      <c r="AK74" s="209"/>
      <c r="AL74" s="209"/>
      <c r="AM74" s="209"/>
      <c r="AN74" s="209"/>
      <c r="AO74" s="209"/>
      <c r="AP74" s="209"/>
      <c r="AQ74" s="209"/>
    </row>
    <row r="75" spans="1:43">
      <c r="B75" s="95">
        <f>(B53-$B$44)/365.25</f>
        <v>0.41478439425051333</v>
      </c>
      <c r="C75" s="95">
        <f t="shared" ref="C75:AF75" si="23">(C53-$B$44)/365.25</f>
        <v>1.4147843942505134</v>
      </c>
      <c r="D75" s="95">
        <f t="shared" si="23"/>
        <v>2.4147843942505132</v>
      </c>
      <c r="E75" s="95">
        <f t="shared" si="23"/>
        <v>3.4147843942505132</v>
      </c>
      <c r="F75" s="95">
        <f t="shared" si="23"/>
        <v>4.4147843942505132</v>
      </c>
      <c r="G75" s="95">
        <f t="shared" si="23"/>
        <v>5.4147843942505132</v>
      </c>
      <c r="H75" s="95">
        <f t="shared" si="23"/>
        <v>6.4147843942505132</v>
      </c>
      <c r="I75" s="95">
        <f t="shared" si="23"/>
        <v>7.4147843942505132</v>
      </c>
      <c r="J75" s="95">
        <f t="shared" si="23"/>
        <v>8.4147843942505141</v>
      </c>
      <c r="K75" s="95">
        <f t="shared" si="23"/>
        <v>9.4147843942505141</v>
      </c>
      <c r="L75" s="95">
        <f t="shared" si="23"/>
        <v>10.414784394250514</v>
      </c>
      <c r="M75" s="95">
        <f t="shared" si="23"/>
        <v>11.414784394250514</v>
      </c>
      <c r="N75" s="95">
        <f t="shared" si="23"/>
        <v>12.414784394250514</v>
      </c>
      <c r="O75" s="95">
        <f t="shared" si="23"/>
        <v>13.414784394250514</v>
      </c>
      <c r="P75" s="95">
        <f t="shared" si="23"/>
        <v>14.414784394250514</v>
      </c>
      <c r="Q75" s="95">
        <f t="shared" si="23"/>
        <v>15.414784394250514</v>
      </c>
      <c r="R75" s="95">
        <f t="shared" si="23"/>
        <v>16.414784394250514</v>
      </c>
      <c r="S75" s="95">
        <f t="shared" si="23"/>
        <v>17.414784394250514</v>
      </c>
      <c r="T75" s="95">
        <f t="shared" si="23"/>
        <v>18.414784394250514</v>
      </c>
      <c r="U75" s="95">
        <f t="shared" si="23"/>
        <v>19.414784394250514</v>
      </c>
      <c r="V75" s="95">
        <f t="shared" si="23"/>
        <v>20.414784394250514</v>
      </c>
      <c r="W75" s="95">
        <f t="shared" si="23"/>
        <v>21.414784394250514</v>
      </c>
      <c r="X75" s="95">
        <f t="shared" si="23"/>
        <v>22.414784394250514</v>
      </c>
      <c r="Y75" s="95">
        <f t="shared" si="23"/>
        <v>23.414784394250514</v>
      </c>
      <c r="Z75" s="95">
        <f t="shared" si="23"/>
        <v>24.414784394250514</v>
      </c>
      <c r="AA75" s="95">
        <f t="shared" si="23"/>
        <v>25.414784394250514</v>
      </c>
      <c r="AB75" s="95">
        <f t="shared" si="23"/>
        <v>26.414784394250514</v>
      </c>
      <c r="AC75" s="95">
        <f t="shared" si="23"/>
        <v>27.414784394250514</v>
      </c>
      <c r="AD75" s="95">
        <f t="shared" si="23"/>
        <v>28.414784394250514</v>
      </c>
      <c r="AE75" s="95">
        <f t="shared" si="23"/>
        <v>29.414784394250514</v>
      </c>
      <c r="AF75" s="95">
        <f t="shared" si="23"/>
        <v>30.414784394250514</v>
      </c>
      <c r="AG75" s="95"/>
      <c r="AH75" s="95"/>
      <c r="AI75" s="95"/>
      <c r="AJ75" s="95"/>
      <c r="AK75" s="95"/>
      <c r="AL75" s="95"/>
      <c r="AM75" s="95"/>
      <c r="AN75" s="95"/>
      <c r="AO75" s="49"/>
      <c r="AP75" s="49"/>
    </row>
    <row r="76" spans="1:43"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49"/>
      <c r="AP76" s="49"/>
    </row>
    <row r="77" spans="1:43">
      <c r="A77" s="11" t="s">
        <v>90</v>
      </c>
      <c r="B77" s="492">
        <f>(SUMPRODUCT(B74:AF74,B47:AF47)+SUMPRODUCT(B75:AF75,B56:AF56))/B10</f>
        <v>10.565009354767463</v>
      </c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</row>
    <row r="78" spans="1:43"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98"/>
      <c r="AB78" s="98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</row>
    <row r="79" spans="1:43" ht="13.5" thickBo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507"/>
      <c r="AB79" s="507"/>
      <c r="AC79" s="43"/>
      <c r="AD79" s="43"/>
      <c r="AE79" s="43"/>
      <c r="AF79" s="43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pageMargins left="0.45" right="0.45" top="0.5" bottom="0.5" header="0.25" footer="0.25"/>
  <pageSetup scale="41" fitToWidth="2" orientation="landscape" r:id="rId1"/>
  <headerFooter alignWithMargins="0">
    <oddFooter xml:space="preserve">&amp;L&amp;T, &amp;D&amp;C&amp;F&amp;R&amp;P </oddFooter>
  </headerFooter>
  <colBreaks count="1" manualBreakCount="1">
    <brk id="17" min="13" max="9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">
                <anchor moveWithCells="1" sizeWithCells="1">
                  <from>
                    <xdr:col>0</xdr:col>
                    <xdr:colOff>342900</xdr:colOff>
                    <xdr:row>27</xdr:row>
                    <xdr:rowOff>28575</xdr:rowOff>
                  </from>
                  <to>
                    <xdr:col>0</xdr:col>
                    <xdr:colOff>1933575</xdr:colOff>
                    <xdr:row>29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17</vt:i4>
      </vt:variant>
    </vt:vector>
  </HeadingPairs>
  <TitlesOfParts>
    <vt:vector size="30" baseType="lpstr">
      <vt:lpstr>Notes</vt:lpstr>
      <vt:lpstr>Tracking Sheet</vt:lpstr>
      <vt:lpstr>Assumptions</vt:lpstr>
      <vt:lpstr>Price Assumption</vt:lpstr>
      <vt:lpstr>IS</vt:lpstr>
      <vt:lpstr>CF</vt:lpstr>
      <vt:lpstr>BS</vt:lpstr>
      <vt:lpstr>Returns</vt:lpstr>
      <vt:lpstr>Debt</vt:lpstr>
      <vt:lpstr>Depreciation</vt:lpstr>
      <vt:lpstr>Taxes</vt:lpstr>
      <vt:lpstr>IDC</vt:lpstr>
      <vt:lpstr>Operational Characteristics</vt:lpstr>
      <vt:lpstr>Deg_Rate</vt:lpstr>
      <vt:lpstr>ISO_MW</vt:lpstr>
      <vt:lpstr>Assumptions!Print_Area</vt:lpstr>
      <vt:lpstr>BS!Print_Area</vt:lpstr>
      <vt:lpstr>CF!Print_Area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CF!Print_Titles</vt:lpstr>
      <vt:lpstr>Debt!Print_Titles</vt:lpstr>
      <vt:lpstr>Depreciation!Print_Titles</vt:lpstr>
      <vt:lpstr>IS!Print_Titles</vt:lpstr>
      <vt:lpstr>'Price Assumption'!Print_Titles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2000-02-09T21:10:17Z</cp:lastPrinted>
  <dcterms:created xsi:type="dcterms:W3CDTF">1999-04-02T01:38:38Z</dcterms:created>
  <dcterms:modified xsi:type="dcterms:W3CDTF">2023-09-13T22:11:32Z</dcterms:modified>
</cp:coreProperties>
</file>