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C85C8-8F1C-435B-AC1A-69A79B07DDFC}" xr6:coauthVersionLast="47" xr6:coauthVersionMax="47" xr10:uidLastSave="{00000000-0000-0000-0000-000000000000}"/>
  <bookViews>
    <workbookView xWindow="-120" yWindow="-120" windowWidth="38640" windowHeight="15720" tabRatio="884" firstSheet="4" activeTab="5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  <externalReference r:id="rId11"/>
  </externalReferences>
  <definedNames>
    <definedName name="_xlnm.Print_Area" localSheetId="5">Brownsville!$A$1:$BG$212</definedName>
    <definedName name="_xlnm.Print_Area" localSheetId="6">Caledonia!$A$1:$BG$213</definedName>
    <definedName name="_xlnm.Print_Area" localSheetId="7">NewAlbany!$A$1:$BG$233</definedName>
    <definedName name="_xlnm.Print_Area" localSheetId="4">Summary!$A$1:$Q$100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BC3" i="3"/>
  <c r="BG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O9" i="3"/>
  <c r="U9" i="3"/>
  <c r="W9" i="3"/>
  <c r="AY9" i="3"/>
  <c r="BA9" i="3"/>
  <c r="BC9" i="3"/>
  <c r="BE9" i="3"/>
  <c r="BG9" i="3"/>
  <c r="O10" i="3"/>
  <c r="AA10" i="3"/>
  <c r="AC10" i="3"/>
  <c r="AE10" i="3"/>
  <c r="AY10" i="3"/>
  <c r="BC10" i="3"/>
  <c r="BE10" i="3"/>
  <c r="BG10" i="3"/>
  <c r="O11" i="3"/>
  <c r="AY11" i="3"/>
  <c r="BC11" i="3"/>
  <c r="BE11" i="3"/>
  <c r="BG11" i="3"/>
  <c r="O12" i="3"/>
  <c r="AY12" i="3"/>
  <c r="BC12" i="3"/>
  <c r="BE12" i="3"/>
  <c r="BG12" i="3"/>
  <c r="O13" i="3"/>
  <c r="AY13" i="3"/>
  <c r="BC13" i="3"/>
  <c r="BE13" i="3"/>
  <c r="BG13" i="3"/>
  <c r="O14" i="3"/>
  <c r="AY14" i="3"/>
  <c r="BC14" i="3"/>
  <c r="BE14" i="3"/>
  <c r="BG14" i="3"/>
  <c r="O15" i="3"/>
  <c r="AY15" i="3"/>
  <c r="BC15" i="3"/>
  <c r="BE15" i="3"/>
  <c r="BG15" i="3"/>
  <c r="AY16" i="3"/>
  <c r="BC16" i="3"/>
  <c r="BE16" i="3"/>
  <c r="BG16" i="3"/>
  <c r="O17" i="3"/>
  <c r="AY17" i="3"/>
  <c r="BC17" i="3"/>
  <c r="BE17" i="3"/>
  <c r="BG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O20" i="3"/>
  <c r="U20" i="3"/>
  <c r="AA20" i="3"/>
  <c r="AC20" i="3"/>
  <c r="AE20" i="3"/>
  <c r="AK20" i="3"/>
  <c r="AY20" i="3"/>
  <c r="BC20" i="3"/>
  <c r="BE20" i="3"/>
  <c r="BG20" i="3"/>
  <c r="O21" i="3"/>
  <c r="AK21" i="3"/>
  <c r="AY21" i="3"/>
  <c r="BC21" i="3"/>
  <c r="BE21" i="3"/>
  <c r="BG21" i="3"/>
  <c r="O22" i="3"/>
  <c r="AA22" i="3"/>
  <c r="AK22" i="3"/>
  <c r="AY22" i="3"/>
  <c r="BE22" i="3"/>
  <c r="BG22" i="3"/>
  <c r="O23" i="3"/>
  <c r="U23" i="3"/>
  <c r="AK23" i="3"/>
  <c r="AY23" i="3"/>
  <c r="BE23" i="3"/>
  <c r="BG23" i="3"/>
  <c r="O24" i="3"/>
  <c r="AY24" i="3"/>
  <c r="BE24" i="3"/>
  <c r="BG24" i="3"/>
  <c r="O25" i="3"/>
  <c r="AC25" i="3"/>
  <c r="AY25" i="3"/>
  <c r="BC25" i="3"/>
  <c r="BE25" i="3"/>
  <c r="BG25" i="3"/>
  <c r="O26" i="3"/>
  <c r="AY26" i="3"/>
  <c r="BE26" i="3"/>
  <c r="BG26" i="3"/>
  <c r="O27" i="3"/>
  <c r="AY27" i="3"/>
  <c r="BC27" i="3"/>
  <c r="BE27" i="3"/>
  <c r="BG27" i="3"/>
  <c r="O28" i="3"/>
  <c r="AY28" i="3"/>
  <c r="BC28" i="3"/>
  <c r="BE28" i="3"/>
  <c r="BG28" i="3"/>
  <c r="O29" i="3"/>
  <c r="AY29" i="3"/>
  <c r="BE29" i="3"/>
  <c r="BG29" i="3"/>
  <c r="O30" i="3"/>
  <c r="AC30" i="3"/>
  <c r="AY30" i="3"/>
  <c r="BC30" i="3"/>
  <c r="BE30" i="3"/>
  <c r="BG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O36" i="3"/>
  <c r="S36" i="3"/>
  <c r="AE36" i="3"/>
  <c r="AG36" i="3"/>
  <c r="AI36" i="3"/>
  <c r="AM36" i="3"/>
  <c r="AO36" i="3"/>
  <c r="AY36" i="3"/>
  <c r="BA36" i="3"/>
  <c r="BC36" i="3"/>
  <c r="BE36" i="3"/>
  <c r="BG36" i="3"/>
  <c r="O37" i="3"/>
  <c r="AY37" i="3"/>
  <c r="BC37" i="3"/>
  <c r="BE37" i="3"/>
  <c r="BG37" i="3"/>
  <c r="O38" i="3"/>
  <c r="AE38" i="3"/>
  <c r="AY38" i="3"/>
  <c r="BA38" i="3"/>
  <c r="BC38" i="3"/>
  <c r="BE38" i="3"/>
  <c r="BG38" i="3"/>
  <c r="O39" i="3"/>
  <c r="S39" i="3"/>
  <c r="AE39" i="3"/>
  <c r="AG39" i="3"/>
  <c r="AI39" i="3"/>
  <c r="AY39" i="3"/>
  <c r="BA39" i="3"/>
  <c r="BC39" i="3"/>
  <c r="BE39" i="3"/>
  <c r="BG39" i="3"/>
  <c r="O40" i="3"/>
  <c r="AY40" i="3"/>
  <c r="BA40" i="3"/>
  <c r="BE40" i="3"/>
  <c r="BG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O45" i="3"/>
  <c r="AC45" i="3"/>
  <c r="AY45" i="3"/>
  <c r="BA45" i="3"/>
  <c r="BC45" i="3"/>
  <c r="BE45" i="3"/>
  <c r="BG45" i="3"/>
  <c r="O46" i="3"/>
  <c r="S46" i="3"/>
  <c r="U46" i="3"/>
  <c r="AA46" i="3"/>
  <c r="AC46" i="3"/>
  <c r="AG46" i="3"/>
  <c r="AY46" i="3"/>
  <c r="BA46" i="3"/>
  <c r="BC46" i="3"/>
  <c r="BE46" i="3"/>
  <c r="BG46" i="3"/>
  <c r="O47" i="3"/>
  <c r="AC47" i="3"/>
  <c r="AY47" i="3"/>
  <c r="BA47" i="3"/>
  <c r="BC47" i="3"/>
  <c r="BE47" i="3"/>
  <c r="BG47" i="3"/>
  <c r="O48" i="3"/>
  <c r="W48" i="3"/>
  <c r="Y48" i="3"/>
  <c r="AC48" i="3"/>
  <c r="AY48" i="3"/>
  <c r="BA48" i="3"/>
  <c r="BE48" i="3"/>
  <c r="BG48" i="3"/>
  <c r="O49" i="3"/>
  <c r="AY49" i="3"/>
  <c r="BA49" i="3"/>
  <c r="BC49" i="3"/>
  <c r="BE49" i="3"/>
  <c r="BG49" i="3"/>
  <c r="O50" i="3"/>
  <c r="AC50" i="3"/>
  <c r="AY50" i="3"/>
  <c r="BA50" i="3"/>
  <c r="BC50" i="3"/>
  <c r="BE50" i="3"/>
  <c r="BG50" i="3"/>
  <c r="O51" i="3"/>
  <c r="AC51" i="3"/>
  <c r="AY51" i="3"/>
  <c r="BA51" i="3"/>
  <c r="BE51" i="3"/>
  <c r="BG51" i="3"/>
  <c r="O52" i="3"/>
  <c r="AE52" i="3"/>
  <c r="AY52" i="3"/>
  <c r="BA52" i="3"/>
  <c r="BC52" i="3"/>
  <c r="BE52" i="3"/>
  <c r="BG52" i="3"/>
  <c r="O53" i="3"/>
  <c r="AY53" i="3"/>
  <c r="BA53" i="3"/>
  <c r="BC53" i="3"/>
  <c r="BE53" i="3"/>
  <c r="BG53" i="3"/>
  <c r="O54" i="3"/>
  <c r="AY54" i="3"/>
  <c r="BA54" i="3"/>
  <c r="BC54" i="3"/>
  <c r="BE54" i="3"/>
  <c r="BG54" i="3"/>
  <c r="O55" i="3"/>
  <c r="Y55" i="3"/>
  <c r="AY55" i="3"/>
  <c r="BA55" i="3"/>
  <c r="BC55" i="3"/>
  <c r="BE55" i="3"/>
  <c r="BG55" i="3"/>
  <c r="O56" i="3"/>
  <c r="AC56" i="3"/>
  <c r="AY56" i="3"/>
  <c r="BA56" i="3"/>
  <c r="BE56" i="3"/>
  <c r="BG56" i="3"/>
  <c r="O57" i="3"/>
  <c r="AC57" i="3"/>
  <c r="AY57" i="3"/>
  <c r="BA57" i="3"/>
  <c r="BC57" i="3"/>
  <c r="BE57" i="3"/>
  <c r="BG57" i="3"/>
  <c r="O58" i="3"/>
  <c r="U58" i="3"/>
  <c r="W58" i="3"/>
  <c r="Y58" i="3"/>
  <c r="AY58" i="3"/>
  <c r="BA58" i="3"/>
  <c r="BC58" i="3"/>
  <c r="BE58" i="3"/>
  <c r="BG58" i="3"/>
  <c r="O59" i="3"/>
  <c r="AC59" i="3"/>
  <c r="AE59" i="3"/>
  <c r="AY59" i="3"/>
  <c r="BA59" i="3"/>
  <c r="BE59" i="3"/>
  <c r="BG59" i="3"/>
  <c r="O60" i="3"/>
  <c r="AY60" i="3"/>
  <c r="BC60" i="3"/>
  <c r="BE60" i="3"/>
  <c r="BG60" i="3"/>
  <c r="O61" i="3"/>
  <c r="AC61" i="3"/>
  <c r="AE61" i="3"/>
  <c r="AG61" i="3"/>
  <c r="AY61" i="3"/>
  <c r="BA61" i="3"/>
  <c r="BC61" i="3"/>
  <c r="BE61" i="3"/>
  <c r="BG61" i="3"/>
  <c r="O62" i="3"/>
  <c r="Y62" i="3"/>
  <c r="AC62" i="3"/>
  <c r="AY62" i="3"/>
  <c r="BA62" i="3"/>
  <c r="BC62" i="3"/>
  <c r="BE62" i="3"/>
  <c r="BG62" i="3"/>
  <c r="O63" i="3"/>
  <c r="AY63" i="3"/>
  <c r="BA63" i="3"/>
  <c r="BC63" i="3"/>
  <c r="BE63" i="3"/>
  <c r="BG63" i="3"/>
  <c r="O64" i="3"/>
  <c r="Q64" i="3"/>
  <c r="S64" i="3"/>
  <c r="AY64" i="3"/>
  <c r="BA64" i="3"/>
  <c r="BC64" i="3"/>
  <c r="BE64" i="3"/>
  <c r="BG64" i="3"/>
  <c r="O65" i="3"/>
  <c r="S65" i="3"/>
  <c r="AA65" i="3"/>
  <c r="AY65" i="3"/>
  <c r="BA65" i="3"/>
  <c r="BC65" i="3"/>
  <c r="BE65" i="3"/>
  <c r="BG65" i="3"/>
  <c r="O66" i="3"/>
  <c r="AY66" i="3"/>
  <c r="BC66" i="3"/>
  <c r="BE66" i="3"/>
  <c r="BG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O70" i="3"/>
  <c r="AY70" i="3"/>
  <c r="BA70" i="3"/>
  <c r="BC70" i="3"/>
  <c r="BE70" i="3"/>
  <c r="BG70" i="3"/>
  <c r="O71" i="3"/>
  <c r="AG71" i="3"/>
  <c r="AY71" i="3"/>
  <c r="BA71" i="3"/>
  <c r="BC71" i="3"/>
  <c r="BE71" i="3"/>
  <c r="BG71" i="3"/>
  <c r="O72" i="3"/>
  <c r="Y72" i="3"/>
  <c r="AG72" i="3"/>
  <c r="AY72" i="3"/>
  <c r="BA72" i="3"/>
  <c r="BC72" i="3"/>
  <c r="BE72" i="3"/>
  <c r="BG72" i="3"/>
  <c r="O73" i="3"/>
  <c r="Y73" i="3"/>
  <c r="AE73" i="3"/>
  <c r="AG73" i="3"/>
  <c r="AI73" i="3"/>
  <c r="AY73" i="3"/>
  <c r="BA73" i="3"/>
  <c r="BC73" i="3"/>
  <c r="BE73" i="3"/>
  <c r="BG73" i="3"/>
  <c r="O74" i="3"/>
  <c r="Y74" i="3"/>
  <c r="AG74" i="3"/>
  <c r="AI74" i="3"/>
  <c r="AY74" i="3"/>
  <c r="BA74" i="3"/>
  <c r="BC74" i="3"/>
  <c r="BE74" i="3"/>
  <c r="BG74" i="3"/>
  <c r="O75" i="3"/>
  <c r="Y75" i="3"/>
  <c r="AG75" i="3"/>
  <c r="AY75" i="3"/>
  <c r="BA75" i="3"/>
  <c r="BC75" i="3"/>
  <c r="BE75" i="3"/>
  <c r="BG75" i="3"/>
  <c r="O76" i="3"/>
  <c r="AE76" i="3"/>
  <c r="AG76" i="3"/>
  <c r="AY76" i="3"/>
  <c r="BA76" i="3"/>
  <c r="BC76" i="3"/>
  <c r="BE76" i="3"/>
  <c r="BG76" i="3"/>
  <c r="O77" i="3"/>
  <c r="AG77" i="3"/>
  <c r="AY77" i="3"/>
  <c r="BA77" i="3"/>
  <c r="BC77" i="3"/>
  <c r="BE77" i="3"/>
  <c r="BG77" i="3"/>
  <c r="O78" i="3"/>
  <c r="AG78" i="3"/>
  <c r="AY78" i="3"/>
  <c r="BA78" i="3"/>
  <c r="BC78" i="3"/>
  <c r="BE78" i="3"/>
  <c r="BG78" i="3"/>
  <c r="AY79" i="3"/>
  <c r="BC79" i="3"/>
  <c r="BE79" i="3"/>
  <c r="BG79" i="3"/>
  <c r="O80" i="3"/>
  <c r="AC80" i="3"/>
  <c r="AG80" i="3"/>
  <c r="AI80" i="3"/>
  <c r="AY80" i="3"/>
  <c r="BA80" i="3"/>
  <c r="BC80" i="3"/>
  <c r="BE80" i="3"/>
  <c r="BG80" i="3"/>
  <c r="O81" i="3"/>
  <c r="AY81" i="3"/>
  <c r="BA81" i="3"/>
  <c r="BC81" i="3"/>
  <c r="BE81" i="3"/>
  <c r="BG81" i="3"/>
  <c r="O82" i="3"/>
  <c r="AG82" i="3"/>
  <c r="AY82" i="3"/>
  <c r="BA82" i="3"/>
  <c r="BC82" i="3"/>
  <c r="BE82" i="3"/>
  <c r="BG82" i="3"/>
  <c r="AY83" i="3"/>
  <c r="BC83" i="3"/>
  <c r="BE83" i="3"/>
  <c r="BG83" i="3"/>
  <c r="O84" i="3"/>
  <c r="AA84" i="3"/>
  <c r="AC84" i="3"/>
  <c r="AE84" i="3"/>
  <c r="AG84" i="3"/>
  <c r="AI84" i="3"/>
  <c r="AY84" i="3"/>
  <c r="BA84" i="3"/>
  <c r="BC84" i="3"/>
  <c r="BE84" i="3"/>
  <c r="BG84" i="3"/>
  <c r="O85" i="3"/>
  <c r="AY85" i="3"/>
  <c r="BA85" i="3"/>
  <c r="BC85" i="3"/>
  <c r="BE85" i="3"/>
  <c r="BG85" i="3"/>
  <c r="O86" i="3"/>
  <c r="AG86" i="3"/>
  <c r="AY86" i="3"/>
  <c r="BA86" i="3"/>
  <c r="BC86" i="3"/>
  <c r="BE86" i="3"/>
  <c r="BG86" i="3"/>
  <c r="O87" i="3"/>
  <c r="AC87" i="3"/>
  <c r="AG87" i="3"/>
  <c r="AY87" i="3"/>
  <c r="BA87" i="3"/>
  <c r="BC87" i="3"/>
  <c r="BE87" i="3"/>
  <c r="BG87" i="3"/>
  <c r="O88" i="3"/>
  <c r="AG88" i="3"/>
  <c r="AI88" i="3"/>
  <c r="AY88" i="3"/>
  <c r="BA88" i="3"/>
  <c r="BC88" i="3"/>
  <c r="BE88" i="3"/>
  <c r="BG88" i="3"/>
  <c r="O89" i="3"/>
  <c r="AY89" i="3"/>
  <c r="BA89" i="3"/>
  <c r="BC89" i="3"/>
  <c r="BE89" i="3"/>
  <c r="BG89" i="3"/>
  <c r="O90" i="3"/>
  <c r="AG90" i="3"/>
  <c r="AY90" i="3"/>
  <c r="BA90" i="3"/>
  <c r="BC90" i="3"/>
  <c r="BE90" i="3"/>
  <c r="BG90" i="3"/>
  <c r="O91" i="3"/>
  <c r="U91" i="3"/>
  <c r="Y91" i="3"/>
  <c r="AC91" i="3"/>
  <c r="AE91" i="3"/>
  <c r="AG91" i="3"/>
  <c r="AY91" i="3"/>
  <c r="BA91" i="3"/>
  <c r="BC91" i="3"/>
  <c r="BE91" i="3"/>
  <c r="BG91" i="3"/>
  <c r="O92" i="3"/>
  <c r="S92" i="3"/>
  <c r="U92" i="3"/>
  <c r="W92" i="3"/>
  <c r="Y92" i="3"/>
  <c r="AA92" i="3"/>
  <c r="AC92" i="3"/>
  <c r="AE92" i="3"/>
  <c r="AG92" i="3"/>
  <c r="AI92" i="3"/>
  <c r="AY92" i="3"/>
  <c r="BA92" i="3"/>
  <c r="BC92" i="3"/>
  <c r="BE92" i="3"/>
  <c r="BG92" i="3"/>
  <c r="AK93" i="3"/>
  <c r="AM93" i="3"/>
  <c r="AO93" i="3"/>
  <c r="AY93" i="3"/>
  <c r="BC93" i="3"/>
  <c r="BE93" i="3"/>
  <c r="BG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O97" i="3"/>
  <c r="AE97" i="3"/>
  <c r="AG97" i="3"/>
  <c r="AY97" i="3"/>
  <c r="BA97" i="3"/>
  <c r="BC97" i="3"/>
  <c r="BE97" i="3"/>
  <c r="BG97" i="3"/>
  <c r="O98" i="3"/>
  <c r="AG98" i="3"/>
  <c r="AY98" i="3"/>
  <c r="BA98" i="3"/>
  <c r="BC98" i="3"/>
  <c r="BE98" i="3"/>
  <c r="BG98" i="3"/>
  <c r="O99" i="3"/>
  <c r="Y99" i="3"/>
  <c r="AG99" i="3"/>
  <c r="AY99" i="3"/>
  <c r="BA99" i="3"/>
  <c r="BC99" i="3"/>
  <c r="BE99" i="3"/>
  <c r="BG99" i="3"/>
  <c r="K100" i="3"/>
  <c r="O100" i="3"/>
  <c r="Y100" i="3"/>
  <c r="AG100" i="3"/>
  <c r="AI100" i="3"/>
  <c r="AY100" i="3"/>
  <c r="BA100" i="3"/>
  <c r="BC100" i="3"/>
  <c r="BE100" i="3"/>
  <c r="BG100" i="3"/>
  <c r="O101" i="3"/>
  <c r="Y101" i="3"/>
  <c r="AG101" i="3"/>
  <c r="AI101" i="3"/>
  <c r="AY101" i="3"/>
  <c r="BA101" i="3"/>
  <c r="BC101" i="3"/>
  <c r="BE101" i="3"/>
  <c r="BG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AY103" i="3"/>
  <c r="BE103" i="3"/>
  <c r="BG103" i="3"/>
  <c r="O104" i="3"/>
  <c r="Y104" i="3"/>
  <c r="AG104" i="3"/>
  <c r="AO104" i="3"/>
  <c r="AY104" i="3"/>
  <c r="BA104" i="3"/>
  <c r="BC104" i="3"/>
  <c r="BE104" i="3"/>
  <c r="BG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O111" i="3"/>
  <c r="Q111" i="3"/>
  <c r="U111" i="3"/>
  <c r="AA111" i="3"/>
  <c r="AC111" i="3"/>
  <c r="AY111" i="3"/>
  <c r="BA111" i="3"/>
  <c r="BC111" i="3"/>
  <c r="BE111" i="3"/>
  <c r="BG111" i="3"/>
  <c r="O112" i="3"/>
  <c r="BC112" i="3"/>
  <c r="BE112" i="3"/>
  <c r="BG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O115" i="3"/>
  <c r="W115" i="3"/>
  <c r="AI115" i="3"/>
  <c r="AY115" i="3"/>
  <c r="BC115" i="3"/>
  <c r="BE115" i="3"/>
  <c r="BG115" i="3"/>
  <c r="O117" i="3"/>
  <c r="Q117" i="3"/>
  <c r="AY117" i="3"/>
  <c r="BC117" i="3"/>
  <c r="BE117" i="3"/>
  <c r="BG117" i="3"/>
  <c r="O118" i="3"/>
  <c r="AY118" i="3"/>
  <c r="BC118" i="3"/>
  <c r="BE118" i="3"/>
  <c r="BG118" i="3"/>
  <c r="AY119" i="3"/>
  <c r="BC119" i="3"/>
  <c r="BE119" i="3"/>
  <c r="BG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E122" i="3"/>
  <c r="Q123" i="3"/>
  <c r="U123" i="3"/>
  <c r="W123" i="3"/>
  <c r="Y123" i="3"/>
  <c r="AA123" i="3"/>
  <c r="AC123" i="3"/>
  <c r="AY123" i="3"/>
  <c r="BE123" i="3"/>
  <c r="BG123" i="3"/>
  <c r="Q124" i="3"/>
  <c r="AY124" i="3"/>
  <c r="BE124" i="3"/>
  <c r="BG124" i="3"/>
  <c r="Q125" i="3"/>
  <c r="AY125" i="3"/>
  <c r="BE125" i="3"/>
  <c r="BG125" i="3"/>
  <c r="Q126" i="3"/>
  <c r="AY126" i="3"/>
  <c r="BE126" i="3"/>
  <c r="BG126" i="3"/>
  <c r="AY127" i="3"/>
  <c r="BE127" i="3"/>
  <c r="BG127" i="3"/>
  <c r="Q128" i="3"/>
  <c r="AY128" i="3"/>
  <c r="BE128" i="3"/>
  <c r="BG128" i="3"/>
  <c r="O129" i="3"/>
  <c r="AM129" i="3"/>
  <c r="AY129" i="3"/>
  <c r="BE129" i="3"/>
  <c r="BG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O132" i="3"/>
  <c r="AY132" i="3"/>
  <c r="BC132" i="3"/>
  <c r="BE132" i="3"/>
  <c r="BG132" i="3"/>
  <c r="O135" i="3"/>
  <c r="AA135" i="3"/>
  <c r="AY135" i="3"/>
  <c r="BC135" i="3"/>
  <c r="BE135" i="3"/>
  <c r="BG135" i="3"/>
  <c r="K136" i="3"/>
  <c r="O136" i="3"/>
  <c r="AK136" i="3"/>
  <c r="AY136" i="3"/>
  <c r="BC136" i="3"/>
  <c r="BE136" i="3"/>
  <c r="BG136" i="3"/>
  <c r="O137" i="3"/>
  <c r="AA137" i="3"/>
  <c r="AY137" i="3"/>
  <c r="BC137" i="3"/>
  <c r="BE137" i="3"/>
  <c r="BG137" i="3"/>
  <c r="O138" i="3"/>
  <c r="AY138" i="3"/>
  <c r="BC138" i="3"/>
  <c r="BE138" i="3"/>
  <c r="BG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O141" i="3"/>
  <c r="AA141" i="3"/>
  <c r="AY141" i="3"/>
  <c r="BC141" i="3"/>
  <c r="BE141" i="3"/>
  <c r="BG141" i="3"/>
  <c r="O143" i="3"/>
  <c r="AY143" i="3"/>
  <c r="BC143" i="3"/>
  <c r="BE143" i="3"/>
  <c r="BG143" i="3"/>
  <c r="O145" i="3"/>
  <c r="W145" i="3"/>
  <c r="AA145" i="3"/>
  <c r="AC145" i="3"/>
  <c r="AE145" i="3"/>
  <c r="AY145" i="3"/>
  <c r="BE145" i="3"/>
  <c r="BG145" i="3"/>
  <c r="M147" i="3"/>
  <c r="O147" i="3"/>
  <c r="Q147" i="3"/>
  <c r="S147" i="3"/>
  <c r="U147" i="3"/>
  <c r="W147" i="3"/>
  <c r="Y147" i="3"/>
  <c r="AC147" i="3"/>
  <c r="AE147" i="3"/>
  <c r="AY147" i="3"/>
  <c r="BE147" i="3"/>
  <c r="BG147" i="3"/>
  <c r="O148" i="3"/>
  <c r="AA148" i="3"/>
  <c r="AY148" i="3"/>
  <c r="BE148" i="3"/>
  <c r="BG148" i="3"/>
  <c r="M149" i="3"/>
  <c r="O149" i="3"/>
  <c r="AY149" i="3"/>
  <c r="BC149" i="3"/>
  <c r="BE149" i="3"/>
  <c r="BG149" i="3"/>
  <c r="M150" i="3"/>
  <c r="O150" i="3"/>
  <c r="AY150" i="3"/>
  <c r="BC150" i="3"/>
  <c r="BE150" i="3"/>
  <c r="BG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O154" i="3"/>
  <c r="AC154" i="3"/>
  <c r="AY154" i="3"/>
  <c r="BC154" i="3"/>
  <c r="BE154" i="3"/>
  <c r="BG154" i="3"/>
  <c r="S155" i="3"/>
  <c r="AY155" i="3"/>
  <c r="BC155" i="3"/>
  <c r="BE155" i="3"/>
  <c r="BG155" i="3"/>
  <c r="S156" i="3"/>
  <c r="AY156" i="3"/>
  <c r="BE156" i="3"/>
  <c r="BG156" i="3"/>
  <c r="S157" i="3"/>
  <c r="AY157" i="3"/>
  <c r="BC157" i="3"/>
  <c r="BE157" i="3"/>
  <c r="BG157" i="3"/>
  <c r="S158" i="3"/>
  <c r="AQ158" i="3"/>
  <c r="AY158" i="3"/>
  <c r="BA158" i="3"/>
  <c r="BE158" i="3"/>
  <c r="BG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O161" i="3"/>
  <c r="S161" i="3"/>
  <c r="AY161" i="3"/>
  <c r="BC161" i="3"/>
  <c r="BE161" i="3"/>
  <c r="BG161" i="3"/>
  <c r="AA164" i="3"/>
  <c r="AC164" i="3"/>
  <c r="AE164" i="3"/>
  <c r="AG164" i="3"/>
  <c r="AI164" i="3"/>
  <c r="AY164" i="3"/>
  <c r="BE164" i="3"/>
  <c r="AY165" i="3"/>
  <c r="BE165" i="3"/>
  <c r="AC166" i="3"/>
  <c r="AI166" i="3"/>
  <c r="AK166" i="3"/>
  <c r="AY166" i="3"/>
  <c r="BE166" i="3"/>
  <c r="AC167" i="3"/>
  <c r="AG167" i="3"/>
  <c r="AY167" i="3"/>
  <c r="BE167" i="3"/>
  <c r="AY168" i="3"/>
  <c r="BE168" i="3"/>
  <c r="AY169" i="3"/>
  <c r="BE169" i="3"/>
  <c r="AY170" i="3"/>
  <c r="BE170" i="3"/>
  <c r="AY171" i="3"/>
  <c r="BE171" i="3"/>
  <c r="Q172" i="3"/>
  <c r="AY172" i="3"/>
  <c r="BE172" i="3"/>
  <c r="Q173" i="3"/>
  <c r="AY173" i="3"/>
  <c r="BE173" i="3"/>
  <c r="Q174" i="3"/>
  <c r="AY174" i="3"/>
  <c r="BE174" i="3"/>
  <c r="Q175" i="3"/>
  <c r="AK175" i="3"/>
  <c r="AY175" i="3"/>
  <c r="BE175" i="3"/>
  <c r="AY176" i="3"/>
  <c r="BE176" i="3"/>
  <c r="AY177" i="3"/>
  <c r="BE177" i="3"/>
  <c r="AC178" i="3"/>
  <c r="AG178" i="3"/>
  <c r="AI178" i="3"/>
  <c r="AK178" i="3"/>
  <c r="AY178" i="3"/>
  <c r="BE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Q182" i="3"/>
  <c r="AY182" i="3"/>
  <c r="BE182" i="3"/>
  <c r="AY183" i="3"/>
  <c r="BE183" i="3"/>
  <c r="Q184" i="3"/>
  <c r="AC184" i="3"/>
  <c r="AG184" i="3"/>
  <c r="AK184" i="3"/>
  <c r="AY184" i="3"/>
  <c r="BE184" i="3"/>
  <c r="Q185" i="3"/>
  <c r="U185" i="3"/>
  <c r="AC185" i="3"/>
  <c r="AK185" i="3"/>
  <c r="AY185" i="3"/>
  <c r="BE185" i="3"/>
  <c r="Q186" i="3"/>
  <c r="AY186" i="3"/>
  <c r="BE186" i="3"/>
  <c r="Q187" i="3"/>
  <c r="AY187" i="3"/>
  <c r="BE187" i="3"/>
  <c r="AA188" i="3"/>
  <c r="AC188" i="3"/>
  <c r="AY188" i="3"/>
  <c r="BE188" i="3"/>
  <c r="AY189" i="3"/>
  <c r="BE189" i="3"/>
  <c r="AY190" i="3"/>
  <c r="BE190" i="3"/>
  <c r="AY191" i="3"/>
  <c r="BE191" i="3"/>
  <c r="AC192" i="3"/>
  <c r="AG192" i="3"/>
  <c r="AK192" i="3"/>
  <c r="AM192" i="3"/>
  <c r="AY192" i="3"/>
  <c r="BE192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O195" i="3"/>
  <c r="AY195" i="3"/>
  <c r="BA195" i="3"/>
  <c r="BC195" i="3"/>
  <c r="BE195" i="3"/>
  <c r="BG195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K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K200" i="3"/>
  <c r="O200" i="3"/>
  <c r="BE200" i="3"/>
  <c r="O205" i="3"/>
  <c r="AY205" i="3"/>
  <c r="BC205" i="3"/>
  <c r="BE205" i="3"/>
  <c r="BG205" i="3"/>
  <c r="AY206" i="3"/>
  <c r="BE206" i="3"/>
  <c r="K207" i="3"/>
  <c r="M207" i="3"/>
  <c r="O207" i="3"/>
  <c r="AY207" i="3"/>
  <c r="BC207" i="3"/>
  <c r="BE207" i="3"/>
  <c r="BG207" i="3"/>
  <c r="K209" i="3"/>
  <c r="O209" i="3"/>
  <c r="BE209" i="3"/>
  <c r="BG211" i="3"/>
  <c r="O216" i="3"/>
  <c r="U216" i="3"/>
  <c r="W216" i="3"/>
  <c r="BE216" i="3"/>
  <c r="O220" i="3"/>
  <c r="U220" i="3"/>
  <c r="V220" i="3"/>
  <c r="W220" i="3"/>
  <c r="X220" i="3"/>
  <c r="Y220" i="3"/>
  <c r="Z220" i="3"/>
  <c r="BE220" i="3"/>
  <c r="O223" i="3"/>
  <c r="U223" i="3"/>
  <c r="V223" i="3"/>
  <c r="W223" i="3"/>
  <c r="X223" i="3"/>
  <c r="Y223" i="3"/>
  <c r="Z223" i="3"/>
  <c r="BE223" i="3"/>
  <c r="A1" i="2"/>
  <c r="A2" i="2"/>
  <c r="BC3" i="2"/>
  <c r="BG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O9" i="2"/>
  <c r="Q9" i="2"/>
  <c r="U9" i="2"/>
  <c r="AO9" i="2"/>
  <c r="AY9" i="2"/>
  <c r="BC9" i="2"/>
  <c r="BE9" i="2"/>
  <c r="BG9" i="2"/>
  <c r="K10" i="2"/>
  <c r="O10" i="2"/>
  <c r="AY10" i="2"/>
  <c r="BC10" i="2"/>
  <c r="BE10" i="2"/>
  <c r="BG10" i="2"/>
  <c r="O11" i="2"/>
  <c r="AY11" i="2"/>
  <c r="BC11" i="2"/>
  <c r="BE11" i="2"/>
  <c r="BG11" i="2"/>
  <c r="O12" i="2"/>
  <c r="AY12" i="2"/>
  <c r="BC12" i="2"/>
  <c r="BE12" i="2"/>
  <c r="BG12" i="2"/>
  <c r="O13" i="2"/>
  <c r="AY13" i="2"/>
  <c r="BC13" i="2"/>
  <c r="BE13" i="2"/>
  <c r="BG13" i="2"/>
  <c r="O14" i="2"/>
  <c r="AY14" i="2"/>
  <c r="BC14" i="2"/>
  <c r="BE14" i="2"/>
  <c r="BG14" i="2"/>
  <c r="O15" i="2"/>
  <c r="AY15" i="2"/>
  <c r="BC15" i="2"/>
  <c r="BE15" i="2"/>
  <c r="BG15" i="2"/>
  <c r="O16" i="2"/>
  <c r="AY16" i="2"/>
  <c r="BC16" i="2"/>
  <c r="BE16" i="2"/>
  <c r="BG16" i="2"/>
  <c r="O17" i="2"/>
  <c r="AY17" i="2"/>
  <c r="BE17" i="2"/>
  <c r="BG17" i="2"/>
  <c r="O18" i="2"/>
  <c r="AY18" i="2"/>
  <c r="BC18" i="2"/>
  <c r="BE18" i="2"/>
  <c r="BG18" i="2"/>
  <c r="AY19" i="2"/>
  <c r="BC19" i="2"/>
  <c r="BE19" i="2"/>
  <c r="BG19" i="2"/>
  <c r="O20" i="2"/>
  <c r="AY20" i="2"/>
  <c r="BC20" i="2"/>
  <c r="BE20" i="2"/>
  <c r="BG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BC21" i="2"/>
  <c r="BE21" i="2"/>
  <c r="BG21" i="2"/>
  <c r="O23" i="2"/>
  <c r="Q23" i="2"/>
  <c r="U23" i="2"/>
  <c r="AA23" i="2"/>
  <c r="AC23" i="2"/>
  <c r="AE23" i="2"/>
  <c r="AK23" i="2"/>
  <c r="AY23" i="2"/>
  <c r="BC23" i="2"/>
  <c r="BE23" i="2"/>
  <c r="BG23" i="2"/>
  <c r="O24" i="2"/>
  <c r="AK24" i="2"/>
  <c r="AY24" i="2"/>
  <c r="BC24" i="2"/>
  <c r="BE24" i="2"/>
  <c r="BG24" i="2"/>
  <c r="O25" i="2"/>
  <c r="AK25" i="2"/>
  <c r="AY25" i="2"/>
  <c r="BC25" i="2"/>
  <c r="BE25" i="2"/>
  <c r="BG25" i="2"/>
  <c r="O26" i="2"/>
  <c r="Q26" i="2"/>
  <c r="U26" i="2"/>
  <c r="AC26" i="2"/>
  <c r="AK26" i="2"/>
  <c r="AY26" i="2"/>
  <c r="BC26" i="2"/>
  <c r="BE26" i="2"/>
  <c r="BG26" i="2"/>
  <c r="O27" i="2"/>
  <c r="AY27" i="2"/>
  <c r="BE27" i="2"/>
  <c r="BG27" i="2"/>
  <c r="O28" i="2"/>
  <c r="AY28" i="2"/>
  <c r="BC28" i="2"/>
  <c r="BE28" i="2"/>
  <c r="BG28" i="2"/>
  <c r="O29" i="2"/>
  <c r="AY29" i="2"/>
  <c r="BE29" i="2"/>
  <c r="BG29" i="2"/>
  <c r="O30" i="2"/>
  <c r="AY30" i="2"/>
  <c r="BE30" i="2"/>
  <c r="BG30" i="2"/>
  <c r="O31" i="2"/>
  <c r="AY31" i="2"/>
  <c r="BE31" i="2"/>
  <c r="BG31" i="2"/>
  <c r="O32" i="2"/>
  <c r="AY32" i="2"/>
  <c r="BE32" i="2"/>
  <c r="BG32" i="2"/>
  <c r="O33" i="2"/>
  <c r="AC33" i="2"/>
  <c r="AY33" i="2"/>
  <c r="BC33" i="2"/>
  <c r="BE33" i="2"/>
  <c r="BG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BC34" i="2"/>
  <c r="BE34" i="2"/>
  <c r="BG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BC36" i="2"/>
  <c r="BE36" i="2"/>
  <c r="BG36" i="2"/>
  <c r="M39" i="2"/>
  <c r="O39" i="2"/>
  <c r="S39" i="2"/>
  <c r="AE39" i="2"/>
  <c r="AG39" i="2"/>
  <c r="AY39" i="2"/>
  <c r="BA39" i="2"/>
  <c r="BC39" i="2"/>
  <c r="BE39" i="2"/>
  <c r="BG39" i="2"/>
  <c r="O40" i="2"/>
  <c r="AY40" i="2"/>
  <c r="BC40" i="2"/>
  <c r="BE40" i="2"/>
  <c r="BG40" i="2"/>
  <c r="O41" i="2"/>
  <c r="AE41" i="2"/>
  <c r="AG41" i="2"/>
  <c r="AY41" i="2"/>
  <c r="BA41" i="2"/>
  <c r="BC41" i="2"/>
  <c r="BE41" i="2"/>
  <c r="BG41" i="2"/>
  <c r="M42" i="2"/>
  <c r="O42" i="2"/>
  <c r="S42" i="2"/>
  <c r="AE42" i="2"/>
  <c r="AG42" i="2"/>
  <c r="AY42" i="2"/>
  <c r="BA42" i="2"/>
  <c r="BC42" i="2"/>
  <c r="BE42" i="2"/>
  <c r="BG42" i="2"/>
  <c r="O43" i="2"/>
  <c r="AY43" i="2"/>
  <c r="BA43" i="2"/>
  <c r="BC43" i="2"/>
  <c r="BE43" i="2"/>
  <c r="BG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BC44" i="2"/>
  <c r="BE44" i="2"/>
  <c r="BG44" i="2"/>
  <c r="O48" i="2"/>
  <c r="AY48" i="2"/>
  <c r="BA48" i="2"/>
  <c r="BC48" i="2"/>
  <c r="BE48" i="2"/>
  <c r="BG48" i="2"/>
  <c r="O49" i="2"/>
  <c r="U49" i="2"/>
  <c r="AY49" i="2"/>
  <c r="BA49" i="2"/>
  <c r="BC49" i="2"/>
  <c r="BE49" i="2"/>
  <c r="BG49" i="2"/>
  <c r="O50" i="2"/>
  <c r="AY50" i="2"/>
  <c r="BA50" i="2"/>
  <c r="BC50" i="2"/>
  <c r="BE50" i="2"/>
  <c r="BG50" i="2"/>
  <c r="O51" i="2"/>
  <c r="W51" i="2"/>
  <c r="AY51" i="2"/>
  <c r="BA51" i="2"/>
  <c r="BC51" i="2"/>
  <c r="BE51" i="2"/>
  <c r="BG51" i="2"/>
  <c r="O52" i="2"/>
  <c r="AY52" i="2"/>
  <c r="BC52" i="2"/>
  <c r="BE52" i="2"/>
  <c r="BG52" i="2"/>
  <c r="O53" i="2"/>
  <c r="U53" i="2"/>
  <c r="AY53" i="2"/>
  <c r="BA53" i="2"/>
  <c r="BC53" i="2"/>
  <c r="BE53" i="2"/>
  <c r="BG53" i="2"/>
  <c r="O54" i="2"/>
  <c r="AY54" i="2"/>
  <c r="BA54" i="2"/>
  <c r="BC54" i="2"/>
  <c r="BE54" i="2"/>
  <c r="BG54" i="2"/>
  <c r="AY55" i="2"/>
  <c r="BA55" i="2"/>
  <c r="BC55" i="2"/>
  <c r="BE55" i="2"/>
  <c r="BG55" i="2"/>
  <c r="O56" i="2"/>
  <c r="AY56" i="2"/>
  <c r="BA56" i="2"/>
  <c r="BC56" i="2"/>
  <c r="BE56" i="2"/>
  <c r="BG56" i="2"/>
  <c r="O57" i="2"/>
  <c r="AY57" i="2"/>
  <c r="BC57" i="2"/>
  <c r="BE57" i="2"/>
  <c r="BG57" i="2"/>
  <c r="O58" i="2"/>
  <c r="AY58" i="2"/>
  <c r="BA58" i="2"/>
  <c r="BC58" i="2"/>
  <c r="BE58" i="2"/>
  <c r="BG58" i="2"/>
  <c r="O59" i="2"/>
  <c r="AY59" i="2"/>
  <c r="BA59" i="2"/>
  <c r="BC59" i="2"/>
  <c r="BE59" i="2"/>
  <c r="BG59" i="2"/>
  <c r="O60" i="2"/>
  <c r="AY60" i="2"/>
  <c r="BA60" i="2"/>
  <c r="BC60" i="2"/>
  <c r="BE60" i="2"/>
  <c r="BG60" i="2"/>
  <c r="O61" i="2"/>
  <c r="AY61" i="2"/>
  <c r="BA61" i="2"/>
  <c r="BC61" i="2"/>
  <c r="BE61" i="2"/>
  <c r="BG61" i="2"/>
  <c r="O62" i="2"/>
  <c r="AY62" i="2"/>
  <c r="BC62" i="2"/>
  <c r="BE62" i="2"/>
  <c r="BG62" i="2"/>
  <c r="O63" i="2"/>
  <c r="AY63" i="2"/>
  <c r="BA63" i="2"/>
  <c r="BC63" i="2"/>
  <c r="BE63" i="2"/>
  <c r="BG63" i="2"/>
  <c r="O64" i="2"/>
  <c r="AY64" i="2"/>
  <c r="BC64" i="2"/>
  <c r="BE64" i="2"/>
  <c r="BG64" i="2"/>
  <c r="O65" i="2"/>
  <c r="AY65" i="2"/>
  <c r="BA65" i="2"/>
  <c r="BC65" i="2"/>
  <c r="BE65" i="2"/>
  <c r="BG65" i="2"/>
  <c r="O66" i="2"/>
  <c r="AY66" i="2"/>
  <c r="BA66" i="2"/>
  <c r="BC66" i="2"/>
  <c r="BE66" i="2"/>
  <c r="BG66" i="2"/>
  <c r="O67" i="2"/>
  <c r="AY67" i="2"/>
  <c r="BA67" i="2"/>
  <c r="BC67" i="2"/>
  <c r="BE67" i="2"/>
  <c r="BG67" i="2"/>
  <c r="O68" i="2"/>
  <c r="AY68" i="2"/>
  <c r="BA68" i="2"/>
  <c r="BC68" i="2"/>
  <c r="BE68" i="2"/>
  <c r="BG68" i="2"/>
  <c r="O69" i="2"/>
  <c r="AY69" i="2"/>
  <c r="BA69" i="2"/>
  <c r="BC69" i="2"/>
  <c r="BE69" i="2"/>
  <c r="BG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C70" i="2"/>
  <c r="BE70" i="2"/>
  <c r="BG70" i="2"/>
  <c r="BG72" i="2"/>
  <c r="O73" i="2"/>
  <c r="AG73" i="2"/>
  <c r="AY73" i="2"/>
  <c r="BA73" i="2"/>
  <c r="BC73" i="2"/>
  <c r="BE73" i="2"/>
  <c r="BG73" i="2"/>
  <c r="O74" i="2"/>
  <c r="AG74" i="2"/>
  <c r="AY74" i="2"/>
  <c r="BA74" i="2"/>
  <c r="BC74" i="2"/>
  <c r="BE74" i="2"/>
  <c r="BG74" i="2"/>
  <c r="O75" i="2"/>
  <c r="Y75" i="2"/>
  <c r="AC75" i="2"/>
  <c r="AG75" i="2"/>
  <c r="AY75" i="2"/>
  <c r="BA75" i="2"/>
  <c r="BC75" i="2"/>
  <c r="BE75" i="2"/>
  <c r="BG75" i="2"/>
  <c r="O76" i="2"/>
  <c r="Y76" i="2"/>
  <c r="AG76" i="2"/>
  <c r="AY76" i="2"/>
  <c r="BA76" i="2"/>
  <c r="BC76" i="2"/>
  <c r="BE76" i="2"/>
  <c r="BG76" i="2"/>
  <c r="O77" i="2"/>
  <c r="Y77" i="2"/>
  <c r="AG77" i="2"/>
  <c r="AY77" i="2"/>
  <c r="BA77" i="2"/>
  <c r="BC77" i="2"/>
  <c r="BE77" i="2"/>
  <c r="BG77" i="2"/>
  <c r="O78" i="2"/>
  <c r="AG78" i="2"/>
  <c r="AY78" i="2"/>
  <c r="BA78" i="2"/>
  <c r="BC78" i="2"/>
  <c r="BE78" i="2"/>
  <c r="BG78" i="2"/>
  <c r="O79" i="2"/>
  <c r="AG79" i="2"/>
  <c r="AY79" i="2"/>
  <c r="BA79" i="2"/>
  <c r="BC79" i="2"/>
  <c r="BE79" i="2"/>
  <c r="BG79" i="2"/>
  <c r="O80" i="2"/>
  <c r="AY80" i="2"/>
  <c r="BA80" i="2"/>
  <c r="BC80" i="2"/>
  <c r="BE80" i="2"/>
  <c r="BG80" i="2"/>
  <c r="O81" i="2"/>
  <c r="AG81" i="2"/>
  <c r="AY81" i="2"/>
  <c r="BA81" i="2"/>
  <c r="BC81" i="2"/>
  <c r="BE81" i="2"/>
  <c r="BG81" i="2"/>
  <c r="O82" i="2"/>
  <c r="AY82" i="2"/>
  <c r="BC82" i="2"/>
  <c r="BE82" i="2"/>
  <c r="BG82" i="2"/>
  <c r="O83" i="2"/>
  <c r="AG83" i="2"/>
  <c r="AI83" i="2"/>
  <c r="AY83" i="2"/>
  <c r="BA83" i="2"/>
  <c r="BC83" i="2"/>
  <c r="BE83" i="2"/>
  <c r="BG83" i="2"/>
  <c r="O84" i="2"/>
  <c r="AY84" i="2"/>
  <c r="BA84" i="2"/>
  <c r="BC84" i="2"/>
  <c r="BE84" i="2"/>
  <c r="BG84" i="2"/>
  <c r="O85" i="2"/>
  <c r="AG85" i="2"/>
  <c r="AY85" i="2"/>
  <c r="BA85" i="2"/>
  <c r="BC85" i="2"/>
  <c r="BE85" i="2"/>
  <c r="BG85" i="2"/>
  <c r="O86" i="2"/>
  <c r="AY86" i="2"/>
  <c r="BC86" i="2"/>
  <c r="BE86" i="2"/>
  <c r="BG86" i="2"/>
  <c r="O87" i="2"/>
  <c r="AG87" i="2"/>
  <c r="AI87" i="2"/>
  <c r="AY87" i="2"/>
  <c r="BA87" i="2"/>
  <c r="BC87" i="2"/>
  <c r="BE87" i="2"/>
  <c r="BG87" i="2"/>
  <c r="O88" i="2"/>
  <c r="AY88" i="2"/>
  <c r="BA88" i="2"/>
  <c r="BC88" i="2"/>
  <c r="BE88" i="2"/>
  <c r="BG88" i="2"/>
  <c r="O89" i="2"/>
  <c r="AG89" i="2"/>
  <c r="AY89" i="2"/>
  <c r="BA89" i="2"/>
  <c r="BC89" i="2"/>
  <c r="BE89" i="2"/>
  <c r="BG89" i="2"/>
  <c r="O90" i="2"/>
  <c r="AG90" i="2"/>
  <c r="AI90" i="2"/>
  <c r="AY90" i="2"/>
  <c r="BA90" i="2"/>
  <c r="BC90" i="2"/>
  <c r="BE90" i="2"/>
  <c r="BG90" i="2"/>
  <c r="O91" i="2"/>
  <c r="AY91" i="2"/>
  <c r="BA91" i="2"/>
  <c r="BC91" i="2"/>
  <c r="BE91" i="2"/>
  <c r="BG91" i="2"/>
  <c r="O92" i="2"/>
  <c r="AY92" i="2"/>
  <c r="BA92" i="2"/>
  <c r="BC92" i="2"/>
  <c r="BE92" i="2"/>
  <c r="BG92" i="2"/>
  <c r="O93" i="2"/>
  <c r="AY93" i="2"/>
  <c r="BC93" i="2"/>
  <c r="BE93" i="2"/>
  <c r="BG93" i="2"/>
  <c r="O94" i="2"/>
  <c r="Y94" i="2"/>
  <c r="AG94" i="2"/>
  <c r="AY94" i="2"/>
  <c r="BA94" i="2"/>
  <c r="BC94" i="2"/>
  <c r="BE94" i="2"/>
  <c r="BG94" i="2"/>
  <c r="O95" i="2"/>
  <c r="U95" i="2"/>
  <c r="W95" i="2"/>
  <c r="Y95" i="2"/>
  <c r="AG95" i="2"/>
  <c r="AY95" i="2"/>
  <c r="BA95" i="2"/>
  <c r="BC95" i="2"/>
  <c r="BE95" i="2"/>
  <c r="BG95" i="2"/>
  <c r="O96" i="2"/>
  <c r="AY96" i="2"/>
  <c r="BA96" i="2"/>
  <c r="BC96" i="2"/>
  <c r="BE96" i="2"/>
  <c r="BG96" i="2"/>
  <c r="AM97" i="2"/>
  <c r="AY97" i="2"/>
  <c r="BC97" i="2"/>
  <c r="BE97" i="2"/>
  <c r="BG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BC98" i="2"/>
  <c r="BE98" i="2"/>
  <c r="BG98" i="2"/>
  <c r="O101" i="2"/>
  <c r="Y101" i="2"/>
  <c r="AG101" i="2"/>
  <c r="AY101" i="2"/>
  <c r="BA101" i="2"/>
  <c r="BC101" i="2"/>
  <c r="BE101" i="2"/>
  <c r="BG101" i="2"/>
  <c r="O102" i="2"/>
  <c r="Y102" i="2"/>
  <c r="AG102" i="2"/>
  <c r="AY102" i="2"/>
  <c r="BA102" i="2"/>
  <c r="BC102" i="2"/>
  <c r="BE102" i="2"/>
  <c r="BG102" i="2"/>
  <c r="O103" i="2"/>
  <c r="Y103" i="2"/>
  <c r="AG103" i="2"/>
  <c r="AY103" i="2"/>
  <c r="BA103" i="2"/>
  <c r="BC103" i="2"/>
  <c r="BE103" i="2"/>
  <c r="BG103" i="2"/>
  <c r="K104" i="2"/>
  <c r="O104" i="2"/>
  <c r="Y104" i="2"/>
  <c r="AG104" i="2"/>
  <c r="AI104" i="2"/>
  <c r="AK104" i="2"/>
  <c r="AY104" i="2"/>
  <c r="BA104" i="2"/>
  <c r="BC104" i="2"/>
  <c r="BE104" i="2"/>
  <c r="BG104" i="2"/>
  <c r="O105" i="2"/>
  <c r="Y105" i="2"/>
  <c r="AG105" i="2"/>
  <c r="AI105" i="2"/>
  <c r="AY105" i="2"/>
  <c r="BA105" i="2"/>
  <c r="BC105" i="2"/>
  <c r="BE105" i="2"/>
  <c r="BG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BC106" i="2"/>
  <c r="BE106" i="2"/>
  <c r="BG106" i="2"/>
  <c r="O108" i="2"/>
  <c r="Y108" i="2"/>
  <c r="AG108" i="2"/>
  <c r="AY108" i="2"/>
  <c r="BA108" i="2"/>
  <c r="BC108" i="2"/>
  <c r="BE108" i="2"/>
  <c r="BG108" i="2"/>
  <c r="BC111" i="2"/>
  <c r="BE111" i="2"/>
  <c r="BG111" i="2"/>
  <c r="AY112" i="2"/>
  <c r="BC112" i="2"/>
  <c r="BE112" i="2"/>
  <c r="BG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BC113" i="2"/>
  <c r="BE113" i="2"/>
  <c r="BG113" i="2"/>
  <c r="O115" i="2"/>
  <c r="BC115" i="2"/>
  <c r="BE115" i="2"/>
  <c r="BG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BC117" i="2"/>
  <c r="BE117" i="2"/>
  <c r="BG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BC119" i="2"/>
  <c r="BE119" i="2"/>
  <c r="BG119" i="2"/>
  <c r="O121" i="2"/>
  <c r="AY121" i="2"/>
  <c r="BA121" i="2"/>
  <c r="BC121" i="2"/>
  <c r="BE121" i="2"/>
  <c r="BG121" i="2"/>
  <c r="O122" i="2"/>
  <c r="AY122" i="2"/>
  <c r="BA122" i="2"/>
  <c r="BC122" i="2"/>
  <c r="BE122" i="2"/>
  <c r="BG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BC123" i="2"/>
  <c r="BE123" i="2"/>
  <c r="BG123" i="2"/>
  <c r="O125" i="2"/>
  <c r="AI125" i="2"/>
  <c r="AY125" i="2"/>
  <c r="BC125" i="2"/>
  <c r="BE125" i="2"/>
  <c r="BG125" i="2"/>
  <c r="K127" i="2"/>
  <c r="O127" i="2"/>
  <c r="Q127" i="2"/>
  <c r="AY127" i="2"/>
  <c r="BC127" i="2"/>
  <c r="BE127" i="2"/>
  <c r="BG127" i="2"/>
  <c r="O128" i="2"/>
  <c r="AY128" i="2"/>
  <c r="BC128" i="2"/>
  <c r="BE128" i="2"/>
  <c r="BG128" i="2"/>
  <c r="K129" i="2"/>
  <c r="O129" i="2"/>
  <c r="AY129" i="2"/>
  <c r="BC129" i="2"/>
  <c r="BE129" i="2"/>
  <c r="BG129" i="2"/>
  <c r="O130" i="2"/>
  <c r="AY130" i="2"/>
  <c r="BC130" i="2"/>
  <c r="BE130" i="2"/>
  <c r="BG130" i="2"/>
  <c r="O131" i="2"/>
  <c r="AY131" i="2"/>
  <c r="BC131" i="2"/>
  <c r="BE131" i="2"/>
  <c r="BG131" i="2"/>
  <c r="O132" i="2"/>
  <c r="AY132" i="2"/>
  <c r="BC132" i="2"/>
  <c r="BE132" i="2"/>
  <c r="BG132" i="2"/>
  <c r="O133" i="2"/>
  <c r="AY133" i="2"/>
  <c r="BC133" i="2"/>
  <c r="BE133" i="2"/>
  <c r="BG133" i="2"/>
  <c r="K134" i="2"/>
  <c r="O134" i="2"/>
  <c r="AY134" i="2"/>
  <c r="BC134" i="2"/>
  <c r="BE134" i="2"/>
  <c r="BG134" i="2"/>
  <c r="O135" i="2"/>
  <c r="AY135" i="2"/>
  <c r="BC135" i="2"/>
  <c r="BE135" i="2"/>
  <c r="BG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BC136" i="2"/>
  <c r="BE136" i="2"/>
  <c r="BG136" i="2"/>
  <c r="O138" i="2"/>
  <c r="S138" i="2"/>
  <c r="AY138" i="2"/>
  <c r="BC138" i="2"/>
  <c r="BE138" i="2"/>
  <c r="BG138" i="2"/>
  <c r="AY139" i="2"/>
  <c r="O141" i="2"/>
  <c r="AY141" i="2"/>
  <c r="BC141" i="2"/>
  <c r="BE141" i="2"/>
  <c r="BG141" i="2"/>
  <c r="O144" i="2"/>
  <c r="AA144" i="2"/>
  <c r="AI144" i="2"/>
  <c r="AY144" i="2"/>
  <c r="BC144" i="2"/>
  <c r="BE144" i="2"/>
  <c r="BG144" i="2"/>
  <c r="K145" i="2"/>
  <c r="O145" i="2"/>
  <c r="AK145" i="2"/>
  <c r="AY145" i="2"/>
  <c r="BC145" i="2"/>
  <c r="BE145" i="2"/>
  <c r="BG145" i="2"/>
  <c r="O146" i="2"/>
  <c r="AY146" i="2"/>
  <c r="BC146" i="2"/>
  <c r="BE146" i="2"/>
  <c r="BG146" i="2"/>
  <c r="M147" i="2"/>
  <c r="O147" i="2"/>
  <c r="AY147" i="2"/>
  <c r="BC147" i="2"/>
  <c r="BE147" i="2"/>
  <c r="BG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BC148" i="2"/>
  <c r="BE148" i="2"/>
  <c r="BG148" i="2"/>
  <c r="O150" i="2"/>
  <c r="U150" i="2"/>
  <c r="AG150" i="2"/>
  <c r="AY150" i="2"/>
  <c r="BA150" i="2"/>
  <c r="BC150" i="2"/>
  <c r="BE150" i="2"/>
  <c r="BG150" i="2"/>
  <c r="O152" i="2"/>
  <c r="U152" i="2"/>
  <c r="AY152" i="2"/>
  <c r="BC152" i="2"/>
  <c r="BE152" i="2"/>
  <c r="BG152" i="2"/>
  <c r="O154" i="2"/>
  <c r="W154" i="2"/>
  <c r="AC154" i="2"/>
  <c r="AE154" i="2"/>
  <c r="AY154" i="2"/>
  <c r="BE154" i="2"/>
  <c r="BG154" i="2"/>
  <c r="M156" i="2"/>
  <c r="O156" i="2"/>
  <c r="Q156" i="2"/>
  <c r="S156" i="2"/>
  <c r="U156" i="2"/>
  <c r="W156" i="2"/>
  <c r="Y156" i="2"/>
  <c r="AC156" i="2"/>
  <c r="AE156" i="2"/>
  <c r="AY156" i="2"/>
  <c r="BC156" i="2"/>
  <c r="BE156" i="2"/>
  <c r="BG156" i="2"/>
  <c r="O157" i="2"/>
  <c r="AA157" i="2"/>
  <c r="AY157" i="2"/>
  <c r="BE157" i="2"/>
  <c r="BG157" i="2"/>
  <c r="M158" i="2"/>
  <c r="O158" i="2"/>
  <c r="AY158" i="2"/>
  <c r="BC158" i="2"/>
  <c r="BE158" i="2"/>
  <c r="BG158" i="2"/>
  <c r="M159" i="2"/>
  <c r="O159" i="2"/>
  <c r="Y159" i="2"/>
  <c r="AA159" i="2"/>
  <c r="AY159" i="2"/>
  <c r="BC159" i="2"/>
  <c r="BE159" i="2"/>
  <c r="BG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BC161" i="2"/>
  <c r="BE161" i="2"/>
  <c r="BG161" i="2"/>
  <c r="O163" i="2"/>
  <c r="AC163" i="2"/>
  <c r="AY163" i="2"/>
  <c r="BC163" i="2"/>
  <c r="BE163" i="2"/>
  <c r="BG163" i="2"/>
  <c r="S164" i="2"/>
  <c r="AY164" i="2"/>
  <c r="BC164" i="2"/>
  <c r="BE164" i="2"/>
  <c r="BG164" i="2"/>
  <c r="S165" i="2"/>
  <c r="AY165" i="2"/>
  <c r="BE165" i="2"/>
  <c r="BG165" i="2"/>
  <c r="S166" i="2"/>
  <c r="AY166" i="2"/>
  <c r="BC166" i="2"/>
  <c r="BE166" i="2"/>
  <c r="BG166" i="2"/>
  <c r="AY167" i="2"/>
  <c r="BC167" i="2"/>
  <c r="BE167" i="2"/>
  <c r="BG167" i="2"/>
  <c r="S168" i="2"/>
  <c r="AQ168" i="2"/>
  <c r="AY168" i="2"/>
  <c r="BA168" i="2"/>
  <c r="BE168" i="2"/>
  <c r="BG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BC169" i="2"/>
  <c r="BE169" i="2"/>
  <c r="BG169" i="2"/>
  <c r="S171" i="2"/>
  <c r="AY171" i="2"/>
  <c r="BC171" i="2"/>
  <c r="BE171" i="2"/>
  <c r="BG171" i="2"/>
  <c r="BE173" i="2"/>
  <c r="U174" i="2"/>
  <c r="W174" i="2"/>
  <c r="AA174" i="2"/>
  <c r="AE174" i="2"/>
  <c r="AG174" i="2"/>
  <c r="AY174" i="2"/>
  <c r="BE174" i="2"/>
  <c r="AY175" i="2"/>
  <c r="BE175" i="2"/>
  <c r="Q176" i="2"/>
  <c r="AC176" i="2"/>
  <c r="AK176" i="2"/>
  <c r="AY176" i="2"/>
  <c r="BE176" i="2"/>
  <c r="U177" i="2"/>
  <c r="AC177" i="2"/>
  <c r="AG177" i="2"/>
  <c r="AY177" i="2"/>
  <c r="BE177" i="2"/>
  <c r="AY178" i="2"/>
  <c r="BE178" i="2"/>
  <c r="AY179" i="2"/>
  <c r="BE179" i="2"/>
  <c r="AY180" i="2"/>
  <c r="BE180" i="2"/>
  <c r="Q181" i="2"/>
  <c r="AY181" i="2"/>
  <c r="BE181" i="2"/>
  <c r="AC182" i="2"/>
  <c r="AE182" i="2"/>
  <c r="AG182" i="2"/>
  <c r="AI182" i="2"/>
  <c r="AO182" i="2"/>
  <c r="AY182" i="2"/>
  <c r="BE182" i="2"/>
  <c r="Q183" i="2"/>
  <c r="AK183" i="2"/>
  <c r="AY183" i="2"/>
  <c r="BE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BC184" i="2"/>
  <c r="BE184" i="2"/>
  <c r="BG184" i="2"/>
  <c r="Q187" i="2"/>
  <c r="AC187" i="2"/>
  <c r="AG187" i="2"/>
  <c r="AK187" i="2"/>
  <c r="AY187" i="2"/>
  <c r="BE187" i="2"/>
  <c r="AY188" i="2"/>
  <c r="BE188" i="2"/>
  <c r="Q189" i="2"/>
  <c r="AY189" i="2"/>
  <c r="BE189" i="2"/>
  <c r="Q190" i="2"/>
  <c r="AC190" i="2"/>
  <c r="AK190" i="2"/>
  <c r="AY190" i="2"/>
  <c r="BE190" i="2"/>
  <c r="AY191" i="2"/>
  <c r="BE191" i="2"/>
  <c r="AC192" i="2"/>
  <c r="AG192" i="2"/>
  <c r="AK192" i="2"/>
  <c r="AM192" i="2"/>
  <c r="AO192" i="2"/>
  <c r="AY192" i="2"/>
  <c r="BE192" i="2"/>
  <c r="O193" i="2"/>
  <c r="Q193" i="2"/>
  <c r="S193" i="2"/>
  <c r="U193" i="2"/>
  <c r="V193" i="2"/>
  <c r="W193" i="2"/>
  <c r="X193" i="2"/>
  <c r="Y193" i="2"/>
  <c r="Z193" i="2"/>
  <c r="AA193" i="2"/>
  <c r="AB193" i="2"/>
  <c r="AC193" i="2"/>
  <c r="AD193" i="2"/>
  <c r="AE193" i="2"/>
  <c r="AG193" i="2"/>
  <c r="AI193" i="2"/>
  <c r="AK193" i="2"/>
  <c r="AM193" i="2"/>
  <c r="AO193" i="2"/>
  <c r="AQ193" i="2"/>
  <c r="AR193" i="2"/>
  <c r="AS193" i="2"/>
  <c r="AT193" i="2"/>
  <c r="AU193" i="2"/>
  <c r="AV193" i="2"/>
  <c r="AW193" i="2"/>
  <c r="AX193" i="2"/>
  <c r="AY193" i="2"/>
  <c r="BA193" i="2"/>
  <c r="BC193" i="2"/>
  <c r="BE193" i="2"/>
  <c r="BG193" i="2"/>
  <c r="O195" i="2"/>
  <c r="AE195" i="2"/>
  <c r="AY195" i="2"/>
  <c r="BA195" i="2"/>
  <c r="BC195" i="2"/>
  <c r="BE195" i="2"/>
  <c r="BG195" i="2"/>
  <c r="K197" i="2"/>
  <c r="M197" i="2"/>
  <c r="O197" i="2"/>
  <c r="Q197" i="2"/>
  <c r="S197" i="2"/>
  <c r="U197" i="2"/>
  <c r="W197" i="2"/>
  <c r="Y197" i="2"/>
  <c r="AA197" i="2"/>
  <c r="AC197" i="2"/>
  <c r="AE197" i="2"/>
  <c r="AG197" i="2"/>
  <c r="AI197" i="2"/>
  <c r="AK197" i="2"/>
  <c r="AM197" i="2"/>
  <c r="AO197" i="2"/>
  <c r="AQ197" i="2"/>
  <c r="AS197" i="2"/>
  <c r="AU197" i="2"/>
  <c r="AW197" i="2"/>
  <c r="AY197" i="2"/>
  <c r="BA197" i="2"/>
  <c r="BC197" i="2"/>
  <c r="BE197" i="2"/>
  <c r="BG197" i="2"/>
  <c r="K199" i="2"/>
  <c r="M199" i="2"/>
  <c r="O199" i="2"/>
  <c r="Q199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AS199" i="2"/>
  <c r="AU199" i="2"/>
  <c r="AW199" i="2"/>
  <c r="AY199" i="2"/>
  <c r="BA199" i="2"/>
  <c r="BC199" i="2"/>
  <c r="BE199" i="2"/>
  <c r="BG199" i="2"/>
  <c r="K201" i="2"/>
  <c r="O201" i="2"/>
  <c r="BE201" i="2"/>
  <c r="O206" i="2"/>
  <c r="AY206" i="2"/>
  <c r="BC206" i="2"/>
  <c r="BE206" i="2"/>
  <c r="BG206" i="2"/>
  <c r="AY207" i="2"/>
  <c r="BE207" i="2"/>
  <c r="K208" i="2"/>
  <c r="M208" i="2"/>
  <c r="O208" i="2"/>
  <c r="AY208" i="2"/>
  <c r="BC208" i="2"/>
  <c r="BE208" i="2"/>
  <c r="BG208" i="2"/>
  <c r="K210" i="2"/>
  <c r="O210" i="2"/>
  <c r="BE210" i="2"/>
  <c r="BG212" i="2"/>
  <c r="O217" i="2"/>
  <c r="BE217" i="2"/>
  <c r="O221" i="2"/>
  <c r="Q221" i="2"/>
  <c r="S221" i="2"/>
  <c r="BE221" i="2"/>
  <c r="O224" i="2"/>
  <c r="BE224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BC3" i="4"/>
  <c r="BG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AW7" i="4"/>
  <c r="AY7" i="4"/>
  <c r="BA7" i="4"/>
  <c r="O9" i="4"/>
  <c r="Q9" i="4"/>
  <c r="AY9" i="4"/>
  <c r="BC9" i="4"/>
  <c r="BE9" i="4"/>
  <c r="BG9" i="4"/>
  <c r="BK9" i="4"/>
  <c r="O10" i="4"/>
  <c r="Q10" i="4"/>
  <c r="AY10" i="4"/>
  <c r="BE10" i="4"/>
  <c r="BG10" i="4"/>
  <c r="BK10" i="4"/>
  <c r="K11" i="4"/>
  <c r="O11" i="4"/>
  <c r="Q11" i="4"/>
  <c r="AY11" i="4"/>
  <c r="BC11" i="4"/>
  <c r="BE11" i="4"/>
  <c r="BG11" i="4"/>
  <c r="BK11" i="4"/>
  <c r="O12" i="4"/>
  <c r="Q12" i="4"/>
  <c r="AY12" i="4"/>
  <c r="BE12" i="4"/>
  <c r="BG12" i="4"/>
  <c r="BK12" i="4"/>
  <c r="O13" i="4"/>
  <c r="AY13" i="4"/>
  <c r="BC13" i="4"/>
  <c r="BE13" i="4"/>
  <c r="BG13" i="4"/>
  <c r="BK13" i="4"/>
  <c r="O14" i="4"/>
  <c r="AY14" i="4"/>
  <c r="BE14" i="4"/>
  <c r="BG14" i="4"/>
  <c r="BK14" i="4"/>
  <c r="O15" i="4"/>
  <c r="Q15" i="4"/>
  <c r="AY15" i="4"/>
  <c r="BC15" i="4"/>
  <c r="BE15" i="4"/>
  <c r="BG15" i="4"/>
  <c r="BK15" i="4"/>
  <c r="O16" i="4"/>
  <c r="U16" i="4"/>
  <c r="Y16" i="4"/>
  <c r="AA16" i="4"/>
  <c r="AC16" i="4"/>
  <c r="AE16" i="4"/>
  <c r="AG16" i="4"/>
  <c r="AY16" i="4"/>
  <c r="BA16" i="4"/>
  <c r="BC16" i="4"/>
  <c r="BE16" i="4"/>
  <c r="BG16" i="4"/>
  <c r="BJ16" i="4"/>
  <c r="BK16" i="4"/>
  <c r="O17" i="4"/>
  <c r="AY17" i="4"/>
  <c r="BC17" i="4"/>
  <c r="BE17" i="4"/>
  <c r="BG17" i="4"/>
  <c r="BK17" i="4"/>
  <c r="O18" i="4"/>
  <c r="AY18" i="4"/>
  <c r="BC18" i="4"/>
  <c r="BE18" i="4"/>
  <c r="BG18" i="4"/>
  <c r="BK18" i="4"/>
  <c r="O19" i="4"/>
  <c r="AY19" i="4"/>
  <c r="BE19" i="4"/>
  <c r="BG19" i="4"/>
  <c r="BK19" i="4"/>
  <c r="O20" i="4"/>
  <c r="Q20" i="4"/>
  <c r="AY20" i="4"/>
  <c r="BC20" i="4"/>
  <c r="BE20" i="4"/>
  <c r="BG20" i="4"/>
  <c r="BK20" i="4"/>
  <c r="O21" i="4"/>
  <c r="AY21" i="4"/>
  <c r="BC21" i="4"/>
  <c r="BE21" i="4"/>
  <c r="BG21" i="4"/>
  <c r="BK21" i="4"/>
  <c r="O22" i="4"/>
  <c r="U22" i="4"/>
  <c r="Y22" i="4"/>
  <c r="AY22" i="4"/>
  <c r="BE22" i="4"/>
  <c r="BG22" i="4"/>
  <c r="BJ22" i="4"/>
  <c r="BK22" i="4"/>
  <c r="AY23" i="4"/>
  <c r="BE23" i="4"/>
  <c r="BG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Y24" i="4"/>
  <c r="BE24" i="4"/>
  <c r="BG24" i="4"/>
  <c r="BI24" i="4"/>
  <c r="BK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C25" i="4"/>
  <c r="BE25" i="4"/>
  <c r="BG25" i="4"/>
  <c r="BJ25" i="4"/>
  <c r="BK25" i="4"/>
  <c r="O27" i="4"/>
  <c r="Q27" i="4"/>
  <c r="U27" i="4"/>
  <c r="Y27" i="4"/>
  <c r="AA27" i="4"/>
  <c r="AC27" i="4"/>
  <c r="AE27" i="4"/>
  <c r="AI27" i="4"/>
  <c r="AK27" i="4"/>
  <c r="AM27" i="4"/>
  <c r="AY27" i="4"/>
  <c r="BE27" i="4"/>
  <c r="BG27" i="4"/>
  <c r="BK27" i="4"/>
  <c r="O28" i="4"/>
  <c r="AY28" i="4"/>
  <c r="BC28" i="4"/>
  <c r="BE28" i="4"/>
  <c r="BG28" i="4"/>
  <c r="O30" i="4"/>
  <c r="Q30" i="4"/>
  <c r="Y30" i="4"/>
  <c r="AC30" i="4"/>
  <c r="AE30" i="4"/>
  <c r="AK30" i="4"/>
  <c r="AY30" i="4"/>
  <c r="BE30" i="4"/>
  <c r="BG30" i="4"/>
  <c r="BK30" i="4"/>
  <c r="M31" i="4"/>
  <c r="O31" i="4"/>
  <c r="AK31" i="4"/>
  <c r="AY31" i="4"/>
  <c r="BC31" i="4"/>
  <c r="BE31" i="4"/>
  <c r="BG31" i="4"/>
  <c r="BK31" i="4"/>
  <c r="M32" i="4"/>
  <c r="O32" i="4"/>
  <c r="AK32" i="4"/>
  <c r="AY32" i="4"/>
  <c r="BC32" i="4"/>
  <c r="BE32" i="4"/>
  <c r="BG32" i="4"/>
  <c r="BK32" i="4"/>
  <c r="O33" i="4"/>
  <c r="Q33" i="4"/>
  <c r="U33" i="4"/>
  <c r="W33" i="4"/>
  <c r="Y33" i="4"/>
  <c r="AC33" i="4"/>
  <c r="AK33" i="4"/>
  <c r="AY33" i="4"/>
  <c r="BE33" i="4"/>
  <c r="BG33" i="4"/>
  <c r="BK33" i="4"/>
  <c r="O34" i="4"/>
  <c r="AY34" i="4"/>
  <c r="BC34" i="4"/>
  <c r="BE34" i="4"/>
  <c r="BG34" i="4"/>
  <c r="O35" i="4"/>
  <c r="AY35" i="4"/>
  <c r="BC35" i="4"/>
  <c r="BE35" i="4"/>
  <c r="BG35" i="4"/>
  <c r="O36" i="4"/>
  <c r="AY36" i="4"/>
  <c r="BE36" i="4"/>
  <c r="BG36" i="4"/>
  <c r="BK36" i="4"/>
  <c r="O37" i="4"/>
  <c r="AY37" i="4"/>
  <c r="BE37" i="4"/>
  <c r="BG37" i="4"/>
  <c r="BK37" i="4"/>
  <c r="O38" i="4"/>
  <c r="AY38" i="4"/>
  <c r="BE38" i="4"/>
  <c r="BG38" i="4"/>
  <c r="BK38" i="4"/>
  <c r="O39" i="4"/>
  <c r="AY39" i="4"/>
  <c r="BE39" i="4"/>
  <c r="BG39" i="4"/>
  <c r="BK39" i="4"/>
  <c r="O40" i="4"/>
  <c r="AC40" i="4"/>
  <c r="AY40" i="4"/>
  <c r="BE40" i="4"/>
  <c r="BG40" i="4"/>
  <c r="BK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BC41" i="4"/>
  <c r="BE41" i="4"/>
  <c r="BG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C43" i="4"/>
  <c r="BE43" i="4"/>
  <c r="BG43" i="4"/>
  <c r="BJ43" i="4"/>
  <c r="BK43" i="4"/>
  <c r="M46" i="4"/>
  <c r="O46" i="4"/>
  <c r="S46" i="4"/>
  <c r="AA46" i="4"/>
  <c r="AE46" i="4"/>
  <c r="AG46" i="4"/>
  <c r="AI46" i="4"/>
  <c r="AY46" i="4"/>
  <c r="BA46" i="4"/>
  <c r="BC46" i="4"/>
  <c r="BE46" i="4"/>
  <c r="BG46" i="4"/>
  <c r="O47" i="4"/>
  <c r="AY47" i="4"/>
  <c r="BC47" i="4"/>
  <c r="BE47" i="4"/>
  <c r="BG47" i="4"/>
  <c r="O48" i="4"/>
  <c r="AE48" i="4"/>
  <c r="AG48" i="4"/>
  <c r="AY48" i="4"/>
  <c r="BA48" i="4"/>
  <c r="BC48" i="4"/>
  <c r="BE48" i="4"/>
  <c r="BG48" i="4"/>
  <c r="M49" i="4"/>
  <c r="O49" i="4"/>
  <c r="S49" i="4"/>
  <c r="U49" i="4"/>
  <c r="AE49" i="4"/>
  <c r="AG49" i="4"/>
  <c r="AI49" i="4"/>
  <c r="AY49" i="4"/>
  <c r="BA49" i="4"/>
  <c r="BC49" i="4"/>
  <c r="BE49" i="4"/>
  <c r="BG49" i="4"/>
  <c r="O50" i="4"/>
  <c r="AE50" i="4"/>
  <c r="AY50" i="4"/>
  <c r="BA50" i="4"/>
  <c r="BC50" i="4"/>
  <c r="BE50" i="4"/>
  <c r="BG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C51" i="4"/>
  <c r="BE51" i="4"/>
  <c r="BG51" i="4"/>
  <c r="BK51" i="4"/>
  <c r="M55" i="4"/>
  <c r="O55" i="4"/>
  <c r="AY55" i="4"/>
  <c r="BA55" i="4"/>
  <c r="BC55" i="4"/>
  <c r="BE55" i="4"/>
  <c r="BG55" i="4"/>
  <c r="O56" i="4"/>
  <c r="AY56" i="4"/>
  <c r="BA56" i="4"/>
  <c r="BC56" i="4"/>
  <c r="BE56" i="4"/>
  <c r="BG56" i="4"/>
  <c r="O57" i="4"/>
  <c r="AY57" i="4"/>
  <c r="BA57" i="4"/>
  <c r="BC57" i="4"/>
  <c r="BE57" i="4"/>
  <c r="BG57" i="4"/>
  <c r="O58" i="4"/>
  <c r="W58" i="4"/>
  <c r="AY58" i="4"/>
  <c r="BA58" i="4"/>
  <c r="BE58" i="4"/>
  <c r="BG58" i="4"/>
  <c r="O59" i="4"/>
  <c r="AY59" i="4"/>
  <c r="BA59" i="4"/>
  <c r="BC59" i="4"/>
  <c r="BE59" i="4"/>
  <c r="BG59" i="4"/>
  <c r="O60" i="4"/>
  <c r="AY60" i="4"/>
  <c r="BA60" i="4"/>
  <c r="BC60" i="4"/>
  <c r="BE60" i="4"/>
  <c r="BG60" i="4"/>
  <c r="O61" i="4"/>
  <c r="AY61" i="4"/>
  <c r="BA61" i="4"/>
  <c r="BC61" i="4"/>
  <c r="BE61" i="4"/>
  <c r="BG61" i="4"/>
  <c r="O62" i="4"/>
  <c r="AY62" i="4"/>
  <c r="BA62" i="4"/>
  <c r="BC62" i="4"/>
  <c r="BE62" i="4"/>
  <c r="BG62" i="4"/>
  <c r="O63" i="4"/>
  <c r="AY63" i="4"/>
  <c r="BA63" i="4"/>
  <c r="BC63" i="4"/>
  <c r="BE63" i="4"/>
  <c r="BG63" i="4"/>
  <c r="O64" i="4"/>
  <c r="AY64" i="4"/>
  <c r="BA64" i="4"/>
  <c r="BC64" i="4"/>
  <c r="BE64" i="4"/>
  <c r="BG64" i="4"/>
  <c r="O65" i="4"/>
  <c r="U65" i="4"/>
  <c r="AY65" i="4"/>
  <c r="BA65" i="4"/>
  <c r="BE65" i="4"/>
  <c r="BG65" i="4"/>
  <c r="O66" i="4"/>
  <c r="AY66" i="4"/>
  <c r="BA66" i="4"/>
  <c r="BC66" i="4"/>
  <c r="BE66" i="4"/>
  <c r="BG66" i="4"/>
  <c r="O67" i="4"/>
  <c r="AY67" i="4"/>
  <c r="BA67" i="4"/>
  <c r="BC67" i="4"/>
  <c r="BE67" i="4"/>
  <c r="BG67" i="4"/>
  <c r="M68" i="4"/>
  <c r="O68" i="4"/>
  <c r="AY68" i="4"/>
  <c r="BA68" i="4"/>
  <c r="BC68" i="4"/>
  <c r="BE68" i="4"/>
  <c r="BG68" i="4"/>
  <c r="O69" i="4"/>
  <c r="AY69" i="4"/>
  <c r="BC69" i="4"/>
  <c r="BE69" i="4"/>
  <c r="BG69" i="4"/>
  <c r="O70" i="4"/>
  <c r="AY70" i="4"/>
  <c r="BA70" i="4"/>
  <c r="BC70" i="4"/>
  <c r="BE70" i="4"/>
  <c r="BG70" i="4"/>
  <c r="O71" i="4"/>
  <c r="AY71" i="4"/>
  <c r="BA71" i="4"/>
  <c r="BC71" i="4"/>
  <c r="BE71" i="4"/>
  <c r="BG71" i="4"/>
  <c r="O72" i="4"/>
  <c r="AY72" i="4"/>
  <c r="BA72" i="4"/>
  <c r="BC72" i="4"/>
  <c r="BE72" i="4"/>
  <c r="BG72" i="4"/>
  <c r="O73" i="4"/>
  <c r="AY73" i="4"/>
  <c r="BC73" i="4"/>
  <c r="BE73" i="4"/>
  <c r="BG73" i="4"/>
  <c r="O74" i="4"/>
  <c r="S74" i="4"/>
  <c r="AY74" i="4"/>
  <c r="BA74" i="4"/>
  <c r="BC74" i="4"/>
  <c r="BE74" i="4"/>
  <c r="BG74" i="4"/>
  <c r="Q75" i="4"/>
  <c r="AY75" i="4"/>
  <c r="BC75" i="4"/>
  <c r="BE75" i="4"/>
  <c r="BG75" i="4"/>
  <c r="AY76" i="4"/>
  <c r="BC76" i="4"/>
  <c r="BE76" i="4"/>
  <c r="BG76" i="4"/>
  <c r="AY77" i="4"/>
  <c r="BC77" i="4"/>
  <c r="BE77" i="4"/>
  <c r="BG77" i="4"/>
  <c r="AY78" i="4"/>
  <c r="BC78" i="4"/>
  <c r="BE78" i="4"/>
  <c r="BG78" i="4"/>
  <c r="AY79" i="4"/>
  <c r="BC79" i="4"/>
  <c r="BE79" i="4"/>
  <c r="BG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BC80" i="4"/>
  <c r="BE80" i="4"/>
  <c r="BG80" i="4"/>
  <c r="O83" i="4"/>
  <c r="AY83" i="4"/>
  <c r="BC83" i="4"/>
  <c r="BE83" i="4"/>
  <c r="BG83" i="4"/>
  <c r="O84" i="4"/>
  <c r="AY84" i="4"/>
  <c r="BC84" i="4"/>
  <c r="BE84" i="4"/>
  <c r="BG84" i="4"/>
  <c r="O85" i="4"/>
  <c r="AY85" i="4"/>
  <c r="BC85" i="4"/>
  <c r="BE85" i="4"/>
  <c r="BG85" i="4"/>
  <c r="O86" i="4"/>
  <c r="AY86" i="4"/>
  <c r="BC86" i="4"/>
  <c r="BE86" i="4"/>
  <c r="BG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BC87" i="4"/>
  <c r="BE87" i="4"/>
  <c r="BG87" i="4"/>
  <c r="O90" i="4"/>
  <c r="AG90" i="4"/>
  <c r="AY90" i="4"/>
  <c r="BA90" i="4"/>
  <c r="BC90" i="4"/>
  <c r="BE90" i="4"/>
  <c r="BG90" i="4"/>
  <c r="O91" i="4"/>
  <c r="AG91" i="4"/>
  <c r="AY91" i="4"/>
  <c r="BA91" i="4"/>
  <c r="BC91" i="4"/>
  <c r="BE91" i="4"/>
  <c r="BG91" i="4"/>
  <c r="O92" i="4"/>
  <c r="Y92" i="4"/>
  <c r="AG92" i="4"/>
  <c r="AY92" i="4"/>
  <c r="BA92" i="4"/>
  <c r="BC92" i="4"/>
  <c r="BE92" i="4"/>
  <c r="BG92" i="4"/>
  <c r="O93" i="4"/>
  <c r="Y93" i="4"/>
  <c r="AG93" i="4"/>
  <c r="AY93" i="4"/>
  <c r="BA93" i="4"/>
  <c r="BC93" i="4"/>
  <c r="BE93" i="4"/>
  <c r="BG93" i="4"/>
  <c r="O94" i="4"/>
  <c r="Y94" i="4"/>
  <c r="AG94" i="4"/>
  <c r="AY94" i="4"/>
  <c r="BA94" i="4"/>
  <c r="BC94" i="4"/>
  <c r="BE94" i="4"/>
  <c r="BG94" i="4"/>
  <c r="O95" i="4"/>
  <c r="AG95" i="4"/>
  <c r="AY95" i="4"/>
  <c r="BA95" i="4"/>
  <c r="BC95" i="4"/>
  <c r="BE95" i="4"/>
  <c r="BG95" i="4"/>
  <c r="O96" i="4"/>
  <c r="AG96" i="4"/>
  <c r="AY96" i="4"/>
  <c r="BA96" i="4"/>
  <c r="BC96" i="4"/>
  <c r="BE96" i="4"/>
  <c r="BG96" i="4"/>
  <c r="O97" i="4"/>
  <c r="AG97" i="4"/>
  <c r="AY97" i="4"/>
  <c r="BA97" i="4"/>
  <c r="BC97" i="4"/>
  <c r="BE97" i="4"/>
  <c r="BG97" i="4"/>
  <c r="O98" i="4"/>
  <c r="AG98" i="4"/>
  <c r="AY98" i="4"/>
  <c r="BA98" i="4"/>
  <c r="BC98" i="4"/>
  <c r="BE98" i="4"/>
  <c r="BG98" i="4"/>
  <c r="O99" i="4"/>
  <c r="AY99" i="4"/>
  <c r="BC99" i="4"/>
  <c r="BE99" i="4"/>
  <c r="BG99" i="4"/>
  <c r="O100" i="4"/>
  <c r="AG100" i="4"/>
  <c r="AY100" i="4"/>
  <c r="BA100" i="4"/>
  <c r="BC100" i="4"/>
  <c r="BE100" i="4"/>
  <c r="BG100" i="4"/>
  <c r="O101" i="4"/>
  <c r="AY101" i="4"/>
  <c r="BA101" i="4"/>
  <c r="BC101" i="4"/>
  <c r="BE101" i="4"/>
  <c r="BG101" i="4"/>
  <c r="O102" i="4"/>
  <c r="AG102" i="4"/>
  <c r="AY102" i="4"/>
  <c r="BA102" i="4"/>
  <c r="BC102" i="4"/>
  <c r="BE102" i="4"/>
  <c r="BG102" i="4"/>
  <c r="O103" i="4"/>
  <c r="AY103" i="4"/>
  <c r="BC103" i="4"/>
  <c r="BE103" i="4"/>
  <c r="BG103" i="4"/>
  <c r="O104" i="4"/>
  <c r="AG104" i="4"/>
  <c r="AY104" i="4"/>
  <c r="BA104" i="4"/>
  <c r="BC104" i="4"/>
  <c r="BE104" i="4"/>
  <c r="BG104" i="4"/>
  <c r="O105" i="4"/>
  <c r="AY105" i="4"/>
  <c r="BA105" i="4"/>
  <c r="BC105" i="4"/>
  <c r="BE105" i="4"/>
  <c r="BG105" i="4"/>
  <c r="O106" i="4"/>
  <c r="AG106" i="4"/>
  <c r="AY106" i="4"/>
  <c r="BA106" i="4"/>
  <c r="BC106" i="4"/>
  <c r="BE106" i="4"/>
  <c r="BG106" i="4"/>
  <c r="O107" i="4"/>
  <c r="AG107" i="4"/>
  <c r="AI107" i="4"/>
  <c r="AY107" i="4"/>
  <c r="BA107" i="4"/>
  <c r="BC107" i="4"/>
  <c r="BE107" i="4"/>
  <c r="BG107" i="4"/>
  <c r="O108" i="4"/>
  <c r="AY108" i="4"/>
  <c r="BA108" i="4"/>
  <c r="BC108" i="4"/>
  <c r="BE108" i="4"/>
  <c r="BG108" i="4"/>
  <c r="O109" i="4"/>
  <c r="AY109" i="4"/>
  <c r="BA109" i="4"/>
  <c r="BC109" i="4"/>
  <c r="BE109" i="4"/>
  <c r="BG109" i="4"/>
  <c r="O110" i="4"/>
  <c r="AY110" i="4"/>
  <c r="BC110" i="4"/>
  <c r="BE110" i="4"/>
  <c r="BG110" i="4"/>
  <c r="O111" i="4"/>
  <c r="AG111" i="4"/>
  <c r="AI111" i="4"/>
  <c r="AM111" i="4"/>
  <c r="AY111" i="4"/>
  <c r="BA111" i="4"/>
  <c r="BC111" i="4"/>
  <c r="BE111" i="4"/>
  <c r="BG111" i="4"/>
  <c r="O112" i="4"/>
  <c r="Y112" i="4"/>
  <c r="AG112" i="4"/>
  <c r="AY112" i="4"/>
  <c r="BA112" i="4"/>
  <c r="BC112" i="4"/>
  <c r="BE112" i="4"/>
  <c r="BG112" i="4"/>
  <c r="O113" i="4"/>
  <c r="AY113" i="4"/>
  <c r="BC113" i="4"/>
  <c r="BE113" i="4"/>
  <c r="BG113" i="4"/>
  <c r="O114" i="4"/>
  <c r="AY114" i="4"/>
  <c r="BC114" i="4"/>
  <c r="BE114" i="4"/>
  <c r="BG114" i="4"/>
  <c r="O115" i="4"/>
  <c r="AY115" i="4"/>
  <c r="BC115" i="4"/>
  <c r="BE115" i="4"/>
  <c r="BG115" i="4"/>
  <c r="O116" i="4"/>
  <c r="AY116" i="4"/>
  <c r="BC116" i="4"/>
  <c r="BE116" i="4"/>
  <c r="BG116" i="4"/>
  <c r="O117" i="4"/>
  <c r="AY117" i="4"/>
  <c r="BC117" i="4"/>
  <c r="BE117" i="4"/>
  <c r="BG117" i="4"/>
  <c r="O118" i="4"/>
  <c r="S118" i="4"/>
  <c r="U118" i="4"/>
  <c r="W118" i="4"/>
  <c r="Y118" i="4"/>
  <c r="AC118" i="4"/>
  <c r="AG118" i="4"/>
  <c r="AY118" i="4"/>
  <c r="BA118" i="4"/>
  <c r="BC118" i="4"/>
  <c r="BE118" i="4"/>
  <c r="BG118" i="4"/>
  <c r="K119" i="4"/>
  <c r="M119" i="4"/>
  <c r="O119" i="4"/>
  <c r="AI119" i="4"/>
  <c r="AY119" i="4"/>
  <c r="BA119" i="4"/>
  <c r="BC119" i="4"/>
  <c r="BE119" i="4"/>
  <c r="BG119" i="4"/>
  <c r="AK120" i="4"/>
  <c r="AM120" i="4"/>
  <c r="AY120" i="4"/>
  <c r="BC120" i="4"/>
  <c r="BE120" i="4"/>
  <c r="BG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BC121" i="4"/>
  <c r="BE121" i="4"/>
  <c r="BG121" i="4"/>
  <c r="O125" i="4"/>
  <c r="Y125" i="4"/>
  <c r="AG125" i="4"/>
  <c r="AI125" i="4"/>
  <c r="AM125" i="4"/>
  <c r="AY125" i="4"/>
  <c r="BA125" i="4"/>
  <c r="BC125" i="4"/>
  <c r="BE125" i="4"/>
  <c r="BG125" i="4"/>
  <c r="O126" i="4"/>
  <c r="Y126" i="4"/>
  <c r="AG126" i="4"/>
  <c r="AY126" i="4"/>
  <c r="BA126" i="4"/>
  <c r="BC126" i="4"/>
  <c r="BE126" i="4"/>
  <c r="BG126" i="4"/>
  <c r="M127" i="4"/>
  <c r="O127" i="4"/>
  <c r="Y127" i="4"/>
  <c r="AG127" i="4"/>
  <c r="AI127" i="4"/>
  <c r="AY127" i="4"/>
  <c r="BA127" i="4"/>
  <c r="BC127" i="4"/>
  <c r="BE127" i="4"/>
  <c r="BG127" i="4"/>
  <c r="M128" i="4"/>
  <c r="O128" i="4"/>
  <c r="Y128" i="4"/>
  <c r="AG128" i="4"/>
  <c r="AY128" i="4"/>
  <c r="BA128" i="4"/>
  <c r="BC128" i="4"/>
  <c r="BE128" i="4"/>
  <c r="BG128" i="4"/>
  <c r="O129" i="4"/>
  <c r="AY129" i="4"/>
  <c r="BC129" i="4"/>
  <c r="BE129" i="4"/>
  <c r="BG129" i="4"/>
  <c r="O130" i="4"/>
  <c r="AY130" i="4"/>
  <c r="BC130" i="4"/>
  <c r="BE130" i="4"/>
  <c r="BG130" i="4"/>
  <c r="O131" i="4"/>
  <c r="AY131" i="4"/>
  <c r="BC131" i="4"/>
  <c r="BE131" i="4"/>
  <c r="BG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BC132" i="4"/>
  <c r="BE132" i="4"/>
  <c r="BG132" i="4"/>
  <c r="M134" i="4"/>
  <c r="O134" i="4"/>
  <c r="Y134" i="4"/>
  <c r="AG134" i="4"/>
  <c r="AY134" i="4"/>
  <c r="BA134" i="4"/>
  <c r="BC134" i="4"/>
  <c r="BE134" i="4"/>
  <c r="BG134" i="4"/>
  <c r="O135" i="4"/>
  <c r="BC135" i="4"/>
  <c r="BE135" i="4"/>
  <c r="BG135" i="4"/>
  <c r="O137" i="4"/>
  <c r="AY137" i="4"/>
  <c r="BE137" i="4"/>
  <c r="BG137" i="4"/>
  <c r="O139" i="4"/>
  <c r="AY139" i="4"/>
  <c r="BC139" i="4"/>
  <c r="BE139" i="4"/>
  <c r="BG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C141" i="4"/>
  <c r="BE141" i="4"/>
  <c r="BG141" i="4"/>
  <c r="BK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C143" i="4"/>
  <c r="BE143" i="4"/>
  <c r="BG143" i="4"/>
  <c r="BJ143" i="4"/>
  <c r="BK143" i="4"/>
  <c r="O145" i="4"/>
  <c r="Q145" i="4"/>
  <c r="U145" i="4"/>
  <c r="AO145" i="4"/>
  <c r="AY145" i="4"/>
  <c r="BA145" i="4"/>
  <c r="BC145" i="4"/>
  <c r="BE145" i="4"/>
  <c r="BG145" i="4"/>
  <c r="O146" i="4"/>
  <c r="AY146" i="4"/>
  <c r="BC146" i="4"/>
  <c r="BE146" i="4"/>
  <c r="BG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BC147" i="4"/>
  <c r="BE147" i="4"/>
  <c r="BG147" i="4"/>
  <c r="O149" i="4"/>
  <c r="AY149" i="4"/>
  <c r="BC149" i="4"/>
  <c r="BE149" i="4"/>
  <c r="BG149" i="4"/>
  <c r="K151" i="4"/>
  <c r="O151" i="4"/>
  <c r="Q151" i="4"/>
  <c r="AY151" i="4"/>
  <c r="BC151" i="4"/>
  <c r="BE151" i="4"/>
  <c r="BG151" i="4"/>
  <c r="O152" i="4"/>
  <c r="AY152" i="4"/>
  <c r="BE152" i="4"/>
  <c r="BG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BC153" i="4"/>
  <c r="BE153" i="4"/>
  <c r="BG153" i="4"/>
  <c r="O155" i="4"/>
  <c r="Q155" i="4"/>
  <c r="S155" i="4"/>
  <c r="W155" i="4"/>
  <c r="AY155" i="4"/>
  <c r="BC155" i="4"/>
  <c r="BE155" i="4"/>
  <c r="BG155" i="4"/>
  <c r="AM156" i="4"/>
  <c r="AY156" i="4"/>
  <c r="BC156" i="4"/>
  <c r="BE156" i="4"/>
  <c r="BG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BC157" i="4"/>
  <c r="BE157" i="4"/>
  <c r="BG157" i="4"/>
  <c r="O159" i="4"/>
  <c r="AY159" i="4"/>
  <c r="BC159" i="4"/>
  <c r="BE159" i="4"/>
  <c r="BG159" i="4"/>
  <c r="BE161" i="4"/>
  <c r="O162" i="4"/>
  <c r="AA162" i="4"/>
  <c r="AY162" i="4"/>
  <c r="BC162" i="4"/>
  <c r="BE162" i="4"/>
  <c r="BG162" i="4"/>
  <c r="K163" i="4"/>
  <c r="O163" i="4"/>
  <c r="AK163" i="4"/>
  <c r="AY163" i="4"/>
  <c r="BC163" i="4"/>
  <c r="BE163" i="4"/>
  <c r="BG163" i="4"/>
  <c r="O164" i="4"/>
  <c r="AY164" i="4"/>
  <c r="BC164" i="4"/>
  <c r="BE164" i="4"/>
  <c r="BG164" i="4"/>
  <c r="M165" i="4"/>
  <c r="O165" i="4"/>
  <c r="AI165" i="4"/>
  <c r="AY165" i="4"/>
  <c r="BC165" i="4"/>
  <c r="BE165" i="4"/>
  <c r="BG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BC166" i="4"/>
  <c r="BE166" i="4"/>
  <c r="BG166" i="4"/>
  <c r="O168" i="4"/>
  <c r="U168" i="4"/>
  <c r="AG168" i="4"/>
  <c r="AY168" i="4"/>
  <c r="BA168" i="4"/>
  <c r="BC168" i="4"/>
  <c r="BE168" i="4"/>
  <c r="BG168" i="4"/>
  <c r="O170" i="4"/>
  <c r="Y170" i="4"/>
  <c r="AY170" i="4"/>
  <c r="BA170" i="4"/>
  <c r="BC170" i="4"/>
  <c r="BE170" i="4"/>
  <c r="BG170" i="4"/>
  <c r="O172" i="4"/>
  <c r="AC172" i="4"/>
  <c r="AE172" i="4"/>
  <c r="AG172" i="4"/>
  <c r="AY172" i="4"/>
  <c r="BE172" i="4"/>
  <c r="BG172" i="4"/>
  <c r="M174" i="4"/>
  <c r="O174" i="4"/>
  <c r="Q174" i="4"/>
  <c r="U174" i="4"/>
  <c r="W174" i="4"/>
  <c r="Y174" i="4"/>
  <c r="AC174" i="4"/>
  <c r="AE174" i="4"/>
  <c r="AY174" i="4"/>
  <c r="BC174" i="4"/>
  <c r="BE174" i="4"/>
  <c r="BG174" i="4"/>
  <c r="O175" i="4"/>
  <c r="AA175" i="4"/>
  <c r="AY175" i="4"/>
  <c r="BE175" i="4"/>
  <c r="BG175" i="4"/>
  <c r="M176" i="4"/>
  <c r="O176" i="4"/>
  <c r="AA176" i="4"/>
  <c r="AY176" i="4"/>
  <c r="BC176" i="4"/>
  <c r="BE176" i="4"/>
  <c r="BG176" i="4"/>
  <c r="M177" i="4"/>
  <c r="O177" i="4"/>
  <c r="AY177" i="4"/>
  <c r="BC177" i="4"/>
  <c r="BE177" i="4"/>
  <c r="BG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BC179" i="4"/>
  <c r="BE179" i="4"/>
  <c r="BG179" i="4"/>
  <c r="O183" i="4"/>
  <c r="AC183" i="4"/>
  <c r="AY183" i="4"/>
  <c r="BC183" i="4"/>
  <c r="BE183" i="4"/>
  <c r="BG183" i="4"/>
  <c r="O184" i="4"/>
  <c r="S184" i="4"/>
  <c r="AY184" i="4"/>
  <c r="BC184" i="4"/>
  <c r="BE184" i="4"/>
  <c r="BG184" i="4"/>
  <c r="O185" i="4"/>
  <c r="S185" i="4"/>
  <c r="AY185" i="4"/>
  <c r="BE185" i="4"/>
  <c r="BG185" i="4"/>
  <c r="O186" i="4"/>
  <c r="S186" i="4"/>
  <c r="AY186" i="4"/>
  <c r="BC186" i="4"/>
  <c r="BE186" i="4"/>
  <c r="BG186" i="4"/>
  <c r="AY187" i="4"/>
  <c r="BC187" i="4"/>
  <c r="BE187" i="4"/>
  <c r="BG187" i="4"/>
  <c r="O188" i="4"/>
  <c r="S188" i="4"/>
  <c r="AQ188" i="4"/>
  <c r="AY188" i="4"/>
  <c r="BA188" i="4"/>
  <c r="BE188" i="4"/>
  <c r="BG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BC189" i="4"/>
  <c r="BE189" i="4"/>
  <c r="BG189" i="4"/>
  <c r="M191" i="4"/>
  <c r="O191" i="4"/>
  <c r="Q191" i="4"/>
  <c r="AY191" i="4"/>
  <c r="BC191" i="4"/>
  <c r="BE191" i="4"/>
  <c r="BG191" i="4"/>
  <c r="BE193" i="4"/>
  <c r="U194" i="4"/>
  <c r="W194" i="4"/>
  <c r="AA194" i="4"/>
  <c r="AC194" i="4"/>
  <c r="AE194" i="4"/>
  <c r="AM194" i="4"/>
  <c r="AY194" i="4"/>
  <c r="BE194" i="4"/>
  <c r="AY195" i="4"/>
  <c r="BE195" i="4"/>
  <c r="Q196" i="4"/>
  <c r="AC196" i="4"/>
  <c r="AK196" i="4"/>
  <c r="AY196" i="4"/>
  <c r="BE196" i="4"/>
  <c r="AC197" i="4"/>
  <c r="AG197" i="4"/>
  <c r="AY197" i="4"/>
  <c r="BE197" i="4"/>
  <c r="Q198" i="4"/>
  <c r="U198" i="4"/>
  <c r="AY198" i="4"/>
  <c r="BE198" i="4"/>
  <c r="AY199" i="4"/>
  <c r="BE199" i="4"/>
  <c r="AY200" i="4"/>
  <c r="BE200" i="4"/>
  <c r="Q201" i="4"/>
  <c r="AK201" i="4"/>
  <c r="AY201" i="4"/>
  <c r="BE201" i="4"/>
  <c r="AC202" i="4"/>
  <c r="AG202" i="4"/>
  <c r="AI202" i="4"/>
  <c r="AK202" i="4"/>
  <c r="AY202" i="4"/>
  <c r="BE202" i="4"/>
  <c r="AY203" i="4"/>
  <c r="BE203" i="4"/>
  <c r="Q204" i="4"/>
  <c r="AY204" i="4"/>
  <c r="BE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BC205" i="4"/>
  <c r="BE205" i="4"/>
  <c r="BG205" i="4"/>
  <c r="Q208" i="4"/>
  <c r="AY208" i="4"/>
  <c r="BE208" i="4"/>
  <c r="Q209" i="4"/>
  <c r="AC209" i="4"/>
  <c r="AG209" i="4"/>
  <c r="AK209" i="4"/>
  <c r="AY209" i="4"/>
  <c r="BE209" i="4"/>
  <c r="AY210" i="4"/>
  <c r="BE210" i="4"/>
  <c r="AY211" i="4"/>
  <c r="BE211" i="4"/>
  <c r="AY212" i="4"/>
  <c r="BE212" i="4"/>
  <c r="AC213" i="4"/>
  <c r="AG213" i="4"/>
  <c r="AK213" i="4"/>
  <c r="AM213" i="4"/>
  <c r="AY213" i="4"/>
  <c r="BE213" i="4"/>
  <c r="Q214" i="4"/>
  <c r="U214" i="4"/>
  <c r="AC214" i="4"/>
  <c r="AK214" i="4"/>
  <c r="AY214" i="4"/>
  <c r="BE214" i="4"/>
  <c r="O215" i="4"/>
  <c r="Q215" i="4"/>
  <c r="S215" i="4"/>
  <c r="U215" i="4"/>
  <c r="W215" i="4"/>
  <c r="Y215" i="4"/>
  <c r="AA215" i="4"/>
  <c r="AC215" i="4"/>
  <c r="AE215" i="4"/>
  <c r="AG215" i="4"/>
  <c r="AI215" i="4"/>
  <c r="AK215" i="4"/>
  <c r="AM215" i="4"/>
  <c r="AO215" i="4"/>
  <c r="AQ215" i="4"/>
  <c r="AS215" i="4"/>
  <c r="AU215" i="4"/>
  <c r="AW215" i="4"/>
  <c r="AY215" i="4"/>
  <c r="BA215" i="4"/>
  <c r="BC215" i="4"/>
  <c r="BE215" i="4"/>
  <c r="BG215" i="4"/>
  <c r="O217" i="4"/>
  <c r="AE217" i="4"/>
  <c r="AY217" i="4"/>
  <c r="BC217" i="4"/>
  <c r="BE217" i="4"/>
  <c r="BG217" i="4"/>
  <c r="K219" i="4"/>
  <c r="M219" i="4"/>
  <c r="O219" i="4"/>
  <c r="Q219" i="4"/>
  <c r="S219" i="4"/>
  <c r="U219" i="4"/>
  <c r="W219" i="4"/>
  <c r="Y219" i="4"/>
  <c r="AA219" i="4"/>
  <c r="AC219" i="4"/>
  <c r="AE219" i="4"/>
  <c r="AG219" i="4"/>
  <c r="AI219" i="4"/>
  <c r="AK219" i="4"/>
  <c r="AM219" i="4"/>
  <c r="AO219" i="4"/>
  <c r="AQ219" i="4"/>
  <c r="AS219" i="4"/>
  <c r="AU219" i="4"/>
  <c r="AW219" i="4"/>
  <c r="AY219" i="4"/>
  <c r="BA219" i="4"/>
  <c r="BC219" i="4"/>
  <c r="BE219" i="4"/>
  <c r="BG219" i="4"/>
  <c r="K221" i="4"/>
  <c r="M221" i="4"/>
  <c r="O221" i="4"/>
  <c r="Q221" i="4"/>
  <c r="S221" i="4"/>
  <c r="U221" i="4"/>
  <c r="W221" i="4"/>
  <c r="Y221" i="4"/>
  <c r="AA221" i="4"/>
  <c r="AC221" i="4"/>
  <c r="AE221" i="4"/>
  <c r="AG221" i="4"/>
  <c r="AI221" i="4"/>
  <c r="AK221" i="4"/>
  <c r="AM221" i="4"/>
  <c r="AO221" i="4"/>
  <c r="AQ221" i="4"/>
  <c r="AS221" i="4"/>
  <c r="AU221" i="4"/>
  <c r="AW221" i="4"/>
  <c r="AY221" i="4"/>
  <c r="BA221" i="4"/>
  <c r="BC221" i="4"/>
  <c r="BE221" i="4"/>
  <c r="BG221" i="4"/>
  <c r="K223" i="4"/>
  <c r="O223" i="4"/>
  <c r="BE223" i="4"/>
  <c r="O226" i="4"/>
  <c r="AY226" i="4"/>
  <c r="BC226" i="4"/>
  <c r="BE226" i="4"/>
  <c r="BG226" i="4"/>
  <c r="AY227" i="4"/>
  <c r="BE227" i="4"/>
  <c r="K228" i="4"/>
  <c r="M228" i="4"/>
  <c r="O228" i="4"/>
  <c r="AY228" i="4"/>
  <c r="BC228" i="4"/>
  <c r="BE228" i="4"/>
  <c r="BG228" i="4"/>
  <c r="K230" i="4"/>
  <c r="O230" i="4"/>
  <c r="BE230" i="4"/>
  <c r="Y231" i="4"/>
  <c r="BG232" i="4"/>
  <c r="BE237" i="4"/>
  <c r="BE241" i="4"/>
  <c r="BE244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3" i="5"/>
  <c r="C55" i="5"/>
  <c r="C57" i="5"/>
  <c r="C58" i="5"/>
  <c r="C59" i="5"/>
  <c r="C60" i="5"/>
  <c r="C62" i="5"/>
  <c r="C63" i="5"/>
  <c r="C64" i="5"/>
  <c r="C65" i="5"/>
  <c r="C66" i="5"/>
  <c r="C67" i="5"/>
  <c r="E67" i="5"/>
  <c r="C68" i="5"/>
  <c r="C69" i="5"/>
  <c r="C71" i="5"/>
  <c r="C73" i="5"/>
  <c r="C74" i="5"/>
  <c r="C75" i="5"/>
  <c r="C77" i="5"/>
  <c r="C78" i="5"/>
  <c r="C79" i="5"/>
  <c r="C80" i="5"/>
  <c r="C81" i="5"/>
  <c r="C82" i="5"/>
  <c r="C84" i="5"/>
  <c r="C85" i="5"/>
  <c r="C86" i="5"/>
  <c r="C87" i="5"/>
  <c r="C88" i="5"/>
  <c r="E88" i="5"/>
  <c r="C89" i="5"/>
  <c r="C90" i="5"/>
  <c r="E90" i="5"/>
  <c r="C91" i="5"/>
  <c r="C92" i="5"/>
  <c r="C93" i="5"/>
  <c r="C95" i="5"/>
  <c r="A100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BA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BC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2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3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BA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BA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3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I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BA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BC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5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<sst xmlns="http://schemas.openxmlformats.org/spreadsheetml/2006/main" count="1583" uniqueCount="554">
  <si>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</si>
  <si>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</si>
  <si>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</si>
  <si>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</si>
  <si>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</si>
  <si>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</si>
  <si>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</si>
  <si>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</si>
  <si>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</si>
  <si>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</si>
  <si>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</si>
  <si>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</si>
  <si>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</si>
  <si>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</si>
  <si>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</si>
  <si>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</si>
  <si>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</si>
  <si>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</si>
  <si>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</si>
  <si>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</si>
  <si>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</si>
  <si>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</si>
  <si>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</si>
  <si>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</si>
  <si>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</si>
  <si>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</si>
  <si>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</si>
  <si>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</si>
  <si>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</si>
  <si>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</si>
  <si>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</si>
  <si>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</si>
  <si>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</si>
  <si>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</si>
  <si>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</si>
  <si>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</si>
  <si>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</si>
  <si>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</si>
  <si>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</si>
  <si>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</si>
  <si>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</si>
  <si>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</si>
  <si>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</si>
  <si>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</si>
  <si>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</si>
  <si>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</si>
  <si>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</si>
  <si>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</si>
  <si>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</si>
  <si>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</si>
  <si>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</si>
  <si>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</si>
  <si>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</si>
  <si>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</si>
  <si>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</si>
  <si>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</si>
  <si>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</si>
  <si>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</si>
  <si>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</si>
  <si>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</si>
  <si>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</si>
  <si>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</si>
  <si>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</si>
  <si>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</si>
  <si>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</si>
  <si>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</si>
  <si>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</si>
  <si>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</si>
  <si>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</si>
  <si>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</si>
  <si>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</si>
  <si>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</si>
  <si>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</si>
  <si>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</si>
  <si>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</si>
  <si>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</si>
  <si>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</si>
  <si>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</si>
  <si>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</si>
  <si>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</si>
  <si>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</si>
  <si>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</si>
  <si>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</si>
  <si>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</si>
  <si>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</si>
  <si>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</si>
  <si>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</si>
  <si>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</si>
  <si>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</si>
  <si>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</si>
  <si>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</si>
  <si>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</si>
  <si>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</si>
  <si>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</si>
  <si>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</si>
  <si>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</si>
  <si>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</si>
  <si>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</si>
  <si>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</si>
  <si>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</si>
  <si>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</si>
  <si>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</si>
  <si>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</si>
  <si>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</si>
  <si>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</si>
  <si>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</si>
  <si>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</si>
  <si>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</si>
  <si>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</si>
  <si>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</si>
  <si>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</si>
  <si>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</si>
  <si>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</si>
  <si>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</si>
  <si>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</si>
  <si>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</si>
  <si>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</si>
  <si>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</si>
  <si>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</si>
  <si>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</si>
  <si>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</si>
  <si>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</si>
  <si>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</si>
  <si>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</si>
  <si>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</si>
  <si>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</si>
  <si>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</si>
  <si>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</si>
  <si>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</si>
  <si>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</si>
  <si>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</si>
  <si>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</si>
  <si>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</si>
  <si>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</si>
  <si>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</si>
  <si>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</si>
  <si>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</si>
  <si>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</si>
  <si>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</si>
  <si>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</si>
  <si>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</si>
  <si>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</si>
  <si>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</si>
  <si>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</si>
  <si>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</si>
  <si>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</si>
  <si>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</si>
  <si>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</si>
  <si>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</si>
  <si>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</si>
  <si>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</si>
  <si>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</si>
  <si>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</si>
  <si>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</si>
  <si>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</si>
  <si>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</si>
  <si>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</si>
  <si>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</si>
  <si>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</si>
  <si>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</si>
  <si>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</si>
  <si>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</si>
  <si>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</si>
  <si>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</si>
  <si>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</si>
  <si>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</si>
  <si>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</si>
  <si>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</si>
  <si>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</si>
  <si>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</si>
  <si>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</si>
  <si>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</si>
  <si>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</si>
  <si>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</si>
  <si>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</si>
  <si>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</si>
  <si>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</si>
  <si>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</si>
  <si>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</si>
  <si>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</si>
  <si>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</si>
  <si>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</si>
  <si>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</si>
  <si>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</si>
  <si>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</si>
  <si>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</si>
  <si>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</si>
  <si>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</si>
  <si>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</si>
  <si>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</si>
  <si>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</si>
  <si>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</si>
  <si>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</si>
  <si>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</si>
  <si>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</si>
  <si>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</si>
  <si>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</si>
  <si>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</si>
  <si>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</si>
  <si>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</si>
  <si>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</si>
  <si>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</si>
  <si>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</si>
  <si>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</si>
  <si>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</si>
  <si>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</si>
  <si>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</si>
  <si>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</si>
  <si>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</si>
  <si>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</si>
  <si>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</si>
  <si>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</si>
  <si>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</si>
  <si>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</si>
  <si>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</si>
  <si>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</si>
  <si>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</si>
  <si>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</si>
  <si>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</si>
  <si>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</si>
  <si>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</si>
  <si>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</si>
  <si>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</si>
  <si>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</si>
  <si>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</si>
  <si>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</si>
  <si>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</si>
  <si>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</si>
  <si>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</si>
  <si>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</si>
  <si>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</si>
  <si>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</si>
  <si>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</si>
  <si>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</si>
  <si>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</si>
  <si>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</si>
  <si>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</si>
  <si>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</si>
  <si>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</si>
  <si>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</si>
  <si>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</si>
  <si>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</si>
  <si>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</si>
  <si>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</si>
  <si>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</si>
  <si>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</si>
  <si>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</si>
  <si>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</si>
  <si>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</si>
  <si>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</si>
  <si>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</si>
  <si>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</si>
  <si>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</si>
  <si>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</si>
  <si>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</si>
  <si>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</si>
  <si>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</si>
  <si>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</si>
  <si>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</si>
  <si>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</si>
  <si>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</si>
  <si>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</si>
  <si>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</si>
  <si>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</si>
  <si>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</si>
  <si>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</si>
  <si>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</si>
  <si>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</si>
  <si>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</si>
  <si>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</si>
  <si>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</si>
  <si>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</si>
  <si>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</si>
  <si>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</si>
  <si>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</si>
  <si>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</si>
  <si>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</si>
  <si>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</si>
  <si>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</si>
  <si>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</si>
  <si>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</si>
  <si>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</si>
  <si>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</si>
  <si>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</si>
  <si>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</si>
  <si>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</si>
  <si>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</si>
  <si>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</si>
  <si>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</si>
  <si>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</si>
  <si>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</si>
  <si>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</si>
  <si>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</si>
  <si>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</si>
  <si>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</si>
  <si>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</si>
  <si>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</si>
  <si>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</si>
  <si>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</si>
  <si>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</si>
  <si>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</si>
  <si>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</si>
  <si>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</si>
  <si>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</si>
  <si>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</si>
  <si>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</si>
  <si>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</si>
  <si>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</si>
  <si>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</si>
  <si>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</si>
  <si>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</si>
  <si>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</si>
  <si>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</si>
  <si>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</si>
  <si>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</si>
  <si>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</si>
  <si>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</si>
  <si>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</si>
  <si>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</si>
  <si>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</si>
  <si>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</si>
  <si>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</si>
  <si>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</si>
  <si>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</si>
  <si>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</si>
  <si>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</si>
  <si>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</si>
  <si>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</si>
  <si>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</si>
  <si>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</si>
  <si>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</si>
  <si>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</si>
  <si>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</si>
  <si>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</si>
  <si>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</si>
  <si>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</si>
  <si>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</si>
  <si>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</si>
  <si>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</si>
  <si>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</si>
  <si>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</si>
  <si>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</si>
  <si>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</si>
  <si>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</si>
  <si>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</si>
  <si>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</si>
  <si>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</si>
  <si>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</si>
  <si>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</si>
  <si>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</si>
  <si>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</si>
  <si>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</si>
  <si>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</si>
  <si>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</si>
  <si>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</si>
  <si>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</si>
  <si>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</si>
  <si>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</si>
  <si>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</si>
  <si>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</si>
  <si>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</si>
  <si>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</si>
  <si>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</si>
  <si>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</si>
  <si>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</si>
  <si>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</si>
  <si>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</si>
  <si>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</si>
  <si>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</si>
  <si>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</si>
  <si>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</si>
  <si>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</si>
  <si>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</si>
  <si>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</si>
  <si>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</si>
  <si>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</si>
  <si>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</si>
  <si>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</si>
  <si>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</si>
  <si>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</si>
  <si>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</si>
  <si>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</si>
  <si>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</si>
  <si>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</si>
  <si>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</si>
  <si>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</si>
  <si>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</si>
  <si>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</si>
  <si>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</si>
  <si>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</si>
  <si>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</si>
  <si>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</si>
  <si>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</si>
  <si>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</si>
  <si>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</si>
  <si>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</si>
  <si>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</si>
  <si>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</si>
  <si>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</si>
  <si>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</si>
  <si>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</si>
  <si>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</si>
  <si>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</si>
  <si>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</si>
  <si>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</si>
  <si>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</si>
  <si>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</si>
  <si>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</si>
  <si>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</si>
  <si>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</si>
  <si>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</si>
  <si>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</si>
  <si>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</si>
  <si>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</si>
  <si>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</si>
  <si>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</si>
  <si>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</si>
  <si>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</si>
  <si>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</si>
  <si>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</si>
  <si>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</si>
  <si>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</si>
  <si>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</si>
  <si>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</si>
  <si>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</si>
  <si>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</si>
  <si>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</si>
  <si>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</si>
  <si>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</si>
  <si>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</si>
  <si>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</si>
  <si>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</si>
  <si>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</si>
  <si>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</si>
  <si>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</si>
  <si>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</si>
  <si>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</si>
  <si>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</si>
  <si>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</si>
  <si>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</si>
  <si>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</si>
  <si>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</si>
  <si>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</si>
  <si>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</si>
  <si>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</si>
  <si>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</si>
  <si>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</si>
  <si>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</si>
  <si>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</si>
  <si>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</si>
  <si>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</si>
  <si>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</si>
  <si>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</si>
  <si>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</si>
  <si>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</si>
  <si>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</si>
  <si>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</si>
  <si>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</si>
  <si>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</si>
  <si>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</si>
  <si>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</si>
  <si>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</si>
  <si>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</si>
  <si>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</si>
  <si>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</si>
  <si>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</si>
  <si>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</si>
  <si>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</si>
  <si>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</si>
  <si>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</si>
  <si>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</si>
  <si>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</si>
  <si>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</si>
  <si>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</si>
  <si>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</si>
  <si>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</si>
  <si>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</si>
  <si>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</si>
  <si>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</si>
  <si>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</si>
  <si>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</si>
  <si>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</si>
  <si>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</si>
  <si>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</si>
  <si>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</si>
  <si>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</si>
  <si>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</si>
  <si>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</si>
  <si>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</si>
  <si>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</si>
  <si>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</si>
  <si>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</si>
  <si>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</si>
  <si>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</si>
  <si>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</si>
  <si>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</si>
  <si>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</si>
  <si>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</si>
  <si>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</si>
  <si>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</si>
  <si>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</si>
  <si>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</si>
  <si>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</si>
  <si>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</si>
  <si>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</si>
  <si>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</si>
  <si>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</si>
  <si>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</si>
  <si>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</si>
  <si>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</si>
  <si>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</si>
  <si>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</si>
  <si>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</si>
  <si>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</si>
  <si>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</si>
  <si>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</si>
  <si>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</si>
  <si>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</si>
  <si>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</si>
  <si>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</si>
  <si>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</si>
  <si>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</si>
  <si>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</si>
  <si>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</si>
  <si>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</si>
  <si>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</si>
  <si>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</si>
  <si>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</si>
  <si>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</si>
  <si>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</si>
  <si>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</si>
  <si>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</si>
  <si>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</si>
  <si>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</si>
  <si>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</si>
  <si>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</si>
  <si>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</si>
  <si>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</si>
  <si>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</si>
  <si>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</si>
  <si>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</si>
  <si>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</si>
  <si>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</si>
  <si>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</si>
  <si>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</si>
  <si>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</si>
  <si>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</si>
  <si>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>Other  (RW Beck)</t>
  </si>
  <si>
    <t>Everest</t>
  </si>
  <si>
    <t>NEW ALBANY (387MW)</t>
  </si>
  <si>
    <t>Revision # 61</t>
  </si>
  <si>
    <t>as of 02/04/00</t>
  </si>
  <si>
    <t xml:space="preserve">         (thru 12/99)</t>
  </si>
  <si>
    <t>FREIGHT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</si>
</sst>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2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2000/genco%20deprec_cap%20chg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9">
          <cell r="D29">
            <v>-1725105.6680733333</v>
          </cell>
          <cell r="F29">
            <v>-2099365.1001033327</v>
          </cell>
          <cell r="H29">
            <v>-1831144.689966666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31">
          <cell r="J31">
            <v>-6743136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319</v>
      </c>
    </row>
    <row r="2" spans="1:11" ht="15.75" x14ac:dyDescent="0.25">
      <c r="A2" s="48" t="s">
        <v>318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321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317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320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348</v>
      </c>
    </row>
    <row r="3" spans="1:4" x14ac:dyDescent="0.2">
      <c r="A3">
        <v>1</v>
      </c>
      <c r="B3" t="s">
        <v>358</v>
      </c>
    </row>
    <row r="5" spans="1:4" x14ac:dyDescent="0.2">
      <c r="A5">
        <v>2</v>
      </c>
      <c r="B5" t="s">
        <v>349</v>
      </c>
    </row>
    <row r="6" spans="1:4" x14ac:dyDescent="0.2">
      <c r="C6" t="s">
        <v>350</v>
      </c>
    </row>
    <row r="8" spans="1:4" x14ac:dyDescent="0.2">
      <c r="A8">
        <v>3</v>
      </c>
      <c r="B8" t="s">
        <v>351</v>
      </c>
    </row>
    <row r="9" spans="1:4" x14ac:dyDescent="0.2">
      <c r="C9" t="s">
        <v>352</v>
      </c>
    </row>
    <row r="10" spans="1:4" x14ac:dyDescent="0.2">
      <c r="C10" t="s">
        <v>353</v>
      </c>
    </row>
    <row r="11" spans="1:4" x14ac:dyDescent="0.2">
      <c r="C11" t="s">
        <v>354</v>
      </c>
    </row>
    <row r="12" spans="1:4" x14ac:dyDescent="0.2">
      <c r="D12" t="s">
        <v>355</v>
      </c>
    </row>
    <row r="13" spans="1:4" x14ac:dyDescent="0.2">
      <c r="D13" t="s">
        <v>356</v>
      </c>
    </row>
    <row r="15" spans="1:4" x14ac:dyDescent="0.2">
      <c r="A15">
        <v>4</v>
      </c>
      <c r="B15" t="s">
        <v>349</v>
      </c>
    </row>
    <row r="16" spans="1:4" x14ac:dyDescent="0.2">
      <c r="C16" t="s">
        <v>357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0"/>
  <sheetViews>
    <sheetView view="pageBreakPreview" topLeftCell="C1" zoomScaleNormal="90" zoomScaleSheetLayoutView="100" workbookViewId="0">
      <selection activeCell="M13" sqref="M13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343</v>
      </c>
    </row>
    <row r="2" spans="1:31" ht="15.75" x14ac:dyDescent="0.25">
      <c r="A2" s="48" t="s">
        <v>417</v>
      </c>
      <c r="G2" s="9"/>
      <c r="J2" s="41" t="s">
        <v>340</v>
      </c>
      <c r="O2" s="9">
        <f ca="1">NOW()</f>
        <v>36564.457616203705</v>
      </c>
    </row>
    <row r="3" spans="1:31" ht="15.75" x14ac:dyDescent="0.25">
      <c r="A3" s="48" t="s">
        <v>416</v>
      </c>
      <c r="J3" s="41" t="s">
        <v>341</v>
      </c>
      <c r="O3" s="379" t="s">
        <v>551</v>
      </c>
    </row>
    <row r="4" spans="1:31" ht="16.5" thickBot="1" x14ac:dyDescent="0.3">
      <c r="A4" s="382" t="s">
        <v>550</v>
      </c>
      <c r="I4" s="50"/>
      <c r="O4" s="130"/>
    </row>
    <row r="5" spans="1:31" ht="16.5" thickBot="1" x14ac:dyDescent="0.3">
      <c r="A5" s="48"/>
      <c r="G5" s="386" t="s">
        <v>338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344</v>
      </c>
      <c r="M6" s="51" t="s">
        <v>359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02/04/00</v>
      </c>
      <c r="G7" s="198" t="str">
        <f>+O3</f>
        <v>as of 02/04/00</v>
      </c>
      <c r="H7" s="61"/>
      <c r="I7" s="104" t="str">
        <f>+O3</f>
        <v>as of 02/04/00</v>
      </c>
      <c r="J7" s="61"/>
      <c r="K7" s="199" t="str">
        <f>+O3</f>
        <v>as of 02/04/00</v>
      </c>
      <c r="M7" s="52" t="s">
        <v>361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Brownsville!O198/1000</f>
        <v>123741.985472</v>
      </c>
      <c r="F9" s="49"/>
      <c r="G9" s="202">
        <f>Brownsville!AY198/1000</f>
        <v>127827.72199333334</v>
      </c>
      <c r="H9" s="61"/>
      <c r="I9" s="56">
        <f>+Brownsville!BC198/1000</f>
        <v>173.19404199999994</v>
      </c>
      <c r="J9" s="61"/>
      <c r="K9" s="203">
        <f>+I9+G9</f>
        <v>128000.91603533334</v>
      </c>
      <c r="M9" s="56">
        <f>+E9-K9</f>
        <v>-4258.9305633333424</v>
      </c>
      <c r="O9" s="58">
        <f>+G9/K9</f>
        <v>0.99864693123014692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Caledonia!O199/1000</f>
        <v>148897.992616</v>
      </c>
      <c r="F11" s="49"/>
      <c r="G11" s="202">
        <f>Caledonia!AY199/1000</f>
        <v>154176.20896333331</v>
      </c>
      <c r="H11" s="61"/>
      <c r="I11" s="56">
        <f>+Caledonia!BC199/1000</f>
        <v>587.94099600000004</v>
      </c>
      <c r="J11" s="61"/>
      <c r="K11" s="203">
        <f>+I11+G11</f>
        <v>154764.1499593333</v>
      </c>
      <c r="M11" s="56">
        <f>+E11-K11</f>
        <v>-5866.157343333296</v>
      </c>
      <c r="O11" s="58">
        <f>+G11/K11</f>
        <v>0.99620105175420481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NewAlbany!O221/1000</f>
        <v>128386.30014115444</v>
      </c>
      <c r="F13" s="49"/>
      <c r="G13" s="202">
        <f>NewAlbany!AY221/1000</f>
        <v>148841.30430333334</v>
      </c>
      <c r="H13" s="61"/>
      <c r="I13" s="56">
        <f>+NewAlbany!BC221/1000</f>
        <v>-5.7002859999998474</v>
      </c>
      <c r="J13" s="61"/>
      <c r="K13" s="203">
        <f>+I13+G13</f>
        <v>148835.60401733333</v>
      </c>
      <c r="M13" s="56">
        <f>+E13-K13</f>
        <v>-20449.303876178892</v>
      </c>
      <c r="O13" s="58">
        <f>+G13/K13</f>
        <v>1.000038299209639</v>
      </c>
      <c r="AE13" t="s">
        <v>384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531</v>
      </c>
      <c r="C15" s="55"/>
      <c r="D15" s="49"/>
      <c r="E15" s="56"/>
      <c r="F15" s="49"/>
      <c r="G15" s="202">
        <f>[2]Deprec!$J$31/1000</f>
        <v>-6743.1360000000004</v>
      </c>
      <c r="H15" s="61"/>
      <c r="I15" s="56">
        <v>0</v>
      </c>
      <c r="J15" s="61"/>
      <c r="K15" s="203">
        <f>+I15+G15</f>
        <v>-6743.1360000000004</v>
      </c>
      <c r="M15" s="56">
        <v>0</v>
      </c>
      <c r="O15" s="274" t="s">
        <v>532</v>
      </c>
    </row>
    <row r="16" spans="1:31" ht="12" customHeight="1" x14ac:dyDescent="0.2">
      <c r="A16" s="381" t="s">
        <v>552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424102.09925999999</v>
      </c>
      <c r="H17" s="66"/>
      <c r="I17" s="69">
        <f>SUM(I9:I13)</f>
        <v>755.43475200000012</v>
      </c>
      <c r="J17" s="61"/>
      <c r="K17" s="209">
        <f>SUM(K9:K13)+K15</f>
        <v>424857.53401200002</v>
      </c>
      <c r="L17" s="61"/>
      <c r="M17" s="69">
        <f>SUM(M8:M13)-1</f>
        <v>-30575.391782845531</v>
      </c>
      <c r="N17" s="61"/>
      <c r="O17" s="185">
        <f>(+G17-G15)/(K17-K15)</f>
        <v>0.99824969050215095</v>
      </c>
    </row>
    <row r="18" spans="1:15" x14ac:dyDescent="0.2">
      <c r="A18" s="243" t="s">
        <v>418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419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337.18851905714286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491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481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322</v>
      </c>
      <c r="C27" t="s">
        <v>323</v>
      </c>
    </row>
    <row r="28" spans="1:15" x14ac:dyDescent="0.2">
      <c r="A28" s="261"/>
      <c r="B28" s="259" t="s">
        <v>372</v>
      </c>
      <c r="C28" s="75" t="s">
        <v>374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375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494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482</v>
      </c>
      <c r="B31" s="259" t="s">
        <v>479</v>
      </c>
      <c r="C31" s="75" t="s">
        <v>495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408</v>
      </c>
      <c r="C34" s="75" t="s">
        <v>409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372</v>
      </c>
      <c r="C35" s="75" t="s">
        <v>373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360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336</v>
      </c>
      <c r="C39" s="49">
        <f>+Brownsville!BG33/1000</f>
        <v>-2073.101900000006</v>
      </c>
      <c r="E39" t="s">
        <v>516</v>
      </c>
    </row>
    <row r="40" spans="1:15" x14ac:dyDescent="0.2">
      <c r="A40" s="71"/>
      <c r="C40" s="102">
        <f>+Brownsville!BG41/1000</f>
        <v>-147.67153000000002</v>
      </c>
      <c r="E40" t="s">
        <v>414</v>
      </c>
    </row>
    <row r="41" spans="1:15" x14ac:dyDescent="0.2">
      <c r="A41" s="191"/>
      <c r="C41" s="102">
        <f>+Brownsville!BG94/1000+Brownsville!BG67/1000+Brownsville!BG102/1000+Brownsville!BG104/1000</f>
        <v>-762.95544000000245</v>
      </c>
      <c r="E41" t="s">
        <v>530</v>
      </c>
    </row>
    <row r="42" spans="1:15" x14ac:dyDescent="0.2">
      <c r="A42" s="191"/>
      <c r="C42" s="102">
        <f>(Brownsville!BG111+Brownsville!BG112)/1000</f>
        <v>-13.750400000000024</v>
      </c>
      <c r="E42" t="s">
        <v>492</v>
      </c>
    </row>
    <row r="43" spans="1:15" x14ac:dyDescent="0.2">
      <c r="A43" s="191"/>
      <c r="C43" s="102"/>
      <c r="E43" s="88" t="s">
        <v>493</v>
      </c>
    </row>
    <row r="44" spans="1:15" x14ac:dyDescent="0.2">
      <c r="A44" s="191"/>
      <c r="C44" s="86">
        <f>+Brownsville!BG130/1000+Brownsville!BG120/1000+Brownsville!BG179/1000+Brownsville!BG145/1000+Brownsville!BG193/1000+Brownsville!BG161/1000</f>
        <v>-1352.7843800000003</v>
      </c>
      <c r="E44" t="s">
        <v>509</v>
      </c>
    </row>
    <row r="45" spans="1:15" x14ac:dyDescent="0.2">
      <c r="A45" s="191"/>
      <c r="C45" s="86">
        <f>+Brownsville!BG138/1000</f>
        <v>-3.1374100000000036</v>
      </c>
      <c r="E45" t="s">
        <v>489</v>
      </c>
    </row>
    <row r="46" spans="1:15" x14ac:dyDescent="0.2">
      <c r="A46" s="191"/>
      <c r="C46" s="86">
        <f>+Brownsville!BG148/1000</f>
        <v>-1.7250000000000001</v>
      </c>
      <c r="E46" t="s">
        <v>500</v>
      </c>
    </row>
    <row r="47" spans="1:15" x14ac:dyDescent="0.2">
      <c r="A47" s="191"/>
      <c r="C47" s="86">
        <f>+Brownsville!BG159/1000</f>
        <v>-62.103723333333384</v>
      </c>
      <c r="E47" t="s">
        <v>410</v>
      </c>
    </row>
    <row r="48" spans="1:15" x14ac:dyDescent="0.2">
      <c r="A48" s="191"/>
      <c r="C48" s="86">
        <f>+Brownsville!BG195/1000</f>
        <v>771.94889000000001</v>
      </c>
      <c r="E48" t="s">
        <v>520</v>
      </c>
    </row>
    <row r="49" spans="1:5" x14ac:dyDescent="0.2">
      <c r="A49" s="191"/>
      <c r="C49" s="86">
        <f>+Brownsville!BG143/1000</f>
        <v>-4.3860000000000001</v>
      </c>
      <c r="E49" t="s">
        <v>496</v>
      </c>
    </row>
    <row r="50" spans="1:5" x14ac:dyDescent="0.2">
      <c r="A50" s="191"/>
      <c r="C50" s="86">
        <f>+Brownsville!BG149/1000</f>
        <v>-19.325300000000002</v>
      </c>
      <c r="E50" t="s">
        <v>506</v>
      </c>
    </row>
    <row r="51" spans="1:5" x14ac:dyDescent="0.2">
      <c r="A51" s="191"/>
      <c r="C51" s="86">
        <f>+Brownsville!BG103/1000</f>
        <v>-284</v>
      </c>
      <c r="E51" t="s">
        <v>544</v>
      </c>
    </row>
    <row r="52" spans="1:5" x14ac:dyDescent="0.2">
      <c r="A52" s="191"/>
      <c r="C52" s="86">
        <f>Brownsville!BG141/1000</f>
        <v>192.684</v>
      </c>
      <c r="E52" t="s">
        <v>519</v>
      </c>
    </row>
    <row r="53" spans="1:5" x14ac:dyDescent="0.2">
      <c r="A53" s="191"/>
      <c r="C53" s="86">
        <f>+Brownsville!BG115/1000</f>
        <v>-497.62681000000003</v>
      </c>
      <c r="E53" t="s">
        <v>281</v>
      </c>
    </row>
    <row r="54" spans="1:5" ht="5.25" customHeight="1" x14ac:dyDescent="0.2">
      <c r="A54" s="106"/>
      <c r="C54" s="86"/>
    </row>
    <row r="55" spans="1:5" x14ac:dyDescent="0.2">
      <c r="A55" s="106"/>
      <c r="C55" s="190">
        <f>SUM(C39:C54)-1</f>
        <v>-4258.935003333343</v>
      </c>
    </row>
    <row r="56" spans="1:5" ht="6" customHeight="1" x14ac:dyDescent="0.2">
      <c r="C56" s="86"/>
    </row>
    <row r="57" spans="1:5" x14ac:dyDescent="0.2">
      <c r="A57" s="106" t="s">
        <v>337</v>
      </c>
      <c r="C57" s="49">
        <f>+Caledonia!BG36/1000</f>
        <v>-2416.8989199999955</v>
      </c>
      <c r="E57" t="s">
        <v>515</v>
      </c>
    </row>
    <row r="58" spans="1:5" x14ac:dyDescent="0.2">
      <c r="A58" s="71"/>
      <c r="C58" s="86">
        <f>Caledonia!BG44/1000</f>
        <v>-165.85420999999999</v>
      </c>
      <c r="E58" t="s">
        <v>414</v>
      </c>
    </row>
    <row r="59" spans="1:5" x14ac:dyDescent="0.2">
      <c r="A59" s="192"/>
      <c r="C59" s="102">
        <f>+Caledonia!BG98/1000+Caledonia!BG70/1000+Caledonia!BG106/1000+Caledonia!BG108/1000</f>
        <v>-3655.150149999999</v>
      </c>
      <c r="E59" t="s">
        <v>529</v>
      </c>
    </row>
    <row r="60" spans="1:5" x14ac:dyDescent="0.2">
      <c r="A60" s="191"/>
      <c r="C60" s="86">
        <f>(Caledonia!BG121+Caledonia!BG122)/1000</f>
        <v>115.95956000000005</v>
      </c>
      <c r="E60" t="s">
        <v>492</v>
      </c>
    </row>
    <row r="61" spans="1:5" x14ac:dyDescent="0.2">
      <c r="A61" s="191"/>
      <c r="C61" s="86"/>
      <c r="E61" s="88" t="s">
        <v>493</v>
      </c>
    </row>
    <row r="62" spans="1:5" x14ac:dyDescent="0.2">
      <c r="A62" s="191"/>
      <c r="C62" s="86">
        <f>+Caledonia!BG138/1000+Caledonia!BG136/1000+Caledonia!BG193/1000+Caledonia!BG184/1000+Caledonia!BG154/1000+Caledonia!BG152/1000</f>
        <v>-970.45876999999996</v>
      </c>
      <c r="E62" t="s">
        <v>522</v>
      </c>
    </row>
    <row r="63" spans="1:5" x14ac:dyDescent="0.2">
      <c r="A63" s="191"/>
      <c r="C63" s="86">
        <f>+Caledonia!BG148/1000</f>
        <v>-125.11226000000019</v>
      </c>
      <c r="E63" t="s">
        <v>507</v>
      </c>
    </row>
    <row r="64" spans="1:5" x14ac:dyDescent="0.2">
      <c r="A64" s="191"/>
      <c r="C64" s="86">
        <f>+Caledonia!BG157/1000</f>
        <v>117.884</v>
      </c>
      <c r="E64" t="s">
        <v>500</v>
      </c>
    </row>
    <row r="65" spans="1:11" x14ac:dyDescent="0.2">
      <c r="A65" s="191"/>
      <c r="C65" s="86">
        <f>+Caledonia!BG150/1000</f>
        <v>805.31700000000001</v>
      </c>
      <c r="E65" t="s">
        <v>519</v>
      </c>
    </row>
    <row r="66" spans="1:11" x14ac:dyDescent="0.2">
      <c r="A66" s="191"/>
      <c r="C66" s="86">
        <f>+Caledonia!BG195/1000</f>
        <v>863.96392999999989</v>
      </c>
      <c r="E66" t="s">
        <v>520</v>
      </c>
    </row>
    <row r="67" spans="1:11" x14ac:dyDescent="0.2">
      <c r="A67" s="191"/>
      <c r="C67" s="86">
        <f>+Caledonia!BG112/1000</f>
        <v>-283</v>
      </c>
      <c r="E67" t="str">
        <f>+E51</f>
        <v>NEPCO Interest Charges</v>
      </c>
    </row>
    <row r="68" spans="1:11" x14ac:dyDescent="0.2">
      <c r="A68" s="191"/>
      <c r="C68" s="86">
        <f>Caledonia!BG125/1000</f>
        <v>91.025000000000006</v>
      </c>
      <c r="E68" t="s">
        <v>281</v>
      </c>
    </row>
    <row r="69" spans="1:11" x14ac:dyDescent="0.2">
      <c r="A69" s="191"/>
      <c r="C69" s="102">
        <f>Caledonia!BG169/1000</f>
        <v>-243.35271333333327</v>
      </c>
      <c r="E69" t="s">
        <v>410</v>
      </c>
    </row>
    <row r="70" spans="1:11" ht="5.25" customHeight="1" x14ac:dyDescent="0.2">
      <c r="A70" s="106"/>
      <c r="C70" s="102"/>
    </row>
    <row r="71" spans="1:11" x14ac:dyDescent="0.2">
      <c r="A71" s="106"/>
      <c r="C71" s="190">
        <f>SUM(C57:C70)</f>
        <v>-5865.6775333333289</v>
      </c>
    </row>
    <row r="72" spans="1:11" ht="6" customHeight="1" x14ac:dyDescent="0.2">
      <c r="C72" s="86"/>
    </row>
    <row r="73" spans="1:11" x14ac:dyDescent="0.2">
      <c r="A73" t="s">
        <v>200</v>
      </c>
      <c r="C73" s="49">
        <f>NewAlbany!BG10/1000</f>
        <v>140.26737</v>
      </c>
      <c r="E73" t="s">
        <v>463</v>
      </c>
    </row>
    <row r="74" spans="1:11" x14ac:dyDescent="0.2">
      <c r="C74" s="86">
        <f>+(NewAlbany!BG30+NewAlbany!BG34+NewAlbany!BG35+NewAlbany!BG36+NewAlbany!BG37+NewAlbany!BG38+NewAlbany!BG39+NewAlbany!BG40)/1000+NewAlbany!BG23/1000+NewAlbany!BG19/1000</f>
        <v>-1857.1159500000001</v>
      </c>
      <c r="E74" t="s">
        <v>538</v>
      </c>
    </row>
    <row r="75" spans="1:11" x14ac:dyDescent="0.2">
      <c r="A75" s="72"/>
      <c r="C75" s="86">
        <f>(NewAlbany!BG15+NewAlbany!BG28)/1000+NewAlbany!BG20/1000+NewAlbany!BG16/1000+NewAlbany!BG14/1000</f>
        <v>-3019.2560600000002</v>
      </c>
      <c r="E75" t="s">
        <v>431</v>
      </c>
    </row>
    <row r="76" spans="1:11" x14ac:dyDescent="0.2">
      <c r="A76" s="72"/>
      <c r="E76" t="s">
        <v>468</v>
      </c>
    </row>
    <row r="77" spans="1:11" x14ac:dyDescent="0.2">
      <c r="A77" s="72"/>
      <c r="C77" s="86">
        <f>+NewAlbany!BG33/1000</f>
        <v>-17.178959999999964</v>
      </c>
      <c r="E77" t="s">
        <v>501</v>
      </c>
    </row>
    <row r="78" spans="1:11" x14ac:dyDescent="0.2">
      <c r="A78" s="192"/>
      <c r="C78" s="102">
        <f>NewAlbany!BG22/1000</f>
        <v>-1232.5229600000009</v>
      </c>
      <c r="E78" s="75" t="s">
        <v>467</v>
      </c>
      <c r="F78" s="75"/>
      <c r="G78" s="75"/>
      <c r="H78" s="75"/>
      <c r="I78" s="75"/>
      <c r="J78" s="75"/>
      <c r="K78" s="75"/>
    </row>
    <row r="79" spans="1:11" x14ac:dyDescent="0.2">
      <c r="A79" s="192"/>
      <c r="C79" s="102">
        <f>NewAlbany!BG24/1000</f>
        <v>-8679.1930100000045</v>
      </c>
      <c r="E79" s="75" t="s">
        <v>480</v>
      </c>
      <c r="F79" s="75"/>
      <c r="G79" s="75"/>
      <c r="H79" s="75"/>
      <c r="I79" s="75"/>
      <c r="J79" s="75"/>
      <c r="K79" s="75"/>
    </row>
    <row r="80" spans="1:11" x14ac:dyDescent="0.2">
      <c r="A80" s="72"/>
      <c r="C80" s="86">
        <f>NewAlbany!BG27/1000</f>
        <v>-2526.1565300000002</v>
      </c>
      <c r="E80" t="s">
        <v>430</v>
      </c>
    </row>
    <row r="81" spans="1:5" x14ac:dyDescent="0.2">
      <c r="A81" s="71"/>
      <c r="C81" s="102">
        <f>NewAlbany!BG51/1000</f>
        <v>-557.84799999999996</v>
      </c>
      <c r="E81" t="s">
        <v>399</v>
      </c>
    </row>
    <row r="82" spans="1:5" x14ac:dyDescent="0.2">
      <c r="A82" s="72"/>
      <c r="C82" s="86">
        <f>(NewAlbany!BG145+NewAlbany!BG146)/1000</f>
        <v>-93.608589999999964</v>
      </c>
      <c r="E82" t="s">
        <v>492</v>
      </c>
    </row>
    <row r="83" spans="1:5" x14ac:dyDescent="0.2">
      <c r="A83" s="72"/>
      <c r="C83" s="86"/>
      <c r="E83" s="88" t="s">
        <v>493</v>
      </c>
    </row>
    <row r="84" spans="1:5" x14ac:dyDescent="0.2">
      <c r="A84" s="72"/>
      <c r="C84" s="86">
        <f>+NewAlbany!BG141/1000-NewAlbany!BG137/1000</f>
        <v>-2165.1986699999998</v>
      </c>
      <c r="E84" t="s">
        <v>528</v>
      </c>
    </row>
    <row r="85" spans="1:5" x14ac:dyDescent="0.2">
      <c r="A85" s="71"/>
      <c r="C85" s="102">
        <f>(NewAlbany!BG155+NewAlbany!BG156)/1000+NewAlbany!BG153/1000+NewAlbany!BG215/1000+NewAlbany!BG205/1000+NewAlbany!BG172/1000+NewAlbany!BG170/1000</f>
        <v>-1018.5973899999999</v>
      </c>
      <c r="E85" t="s">
        <v>523</v>
      </c>
    </row>
    <row r="86" spans="1:5" x14ac:dyDescent="0.2">
      <c r="A86" s="191"/>
      <c r="C86" s="102">
        <f>NewAlbany!BG189/1000</f>
        <v>-112.10270333333327</v>
      </c>
      <c r="E86" t="s">
        <v>363</v>
      </c>
    </row>
    <row r="87" spans="1:5" x14ac:dyDescent="0.2">
      <c r="A87" s="191"/>
      <c r="C87" s="102">
        <f>+NewAlbany!BG175/1000</f>
        <v>64.384</v>
      </c>
      <c r="E87" t="s">
        <v>500</v>
      </c>
    </row>
    <row r="88" spans="1:5" x14ac:dyDescent="0.2">
      <c r="A88" s="191"/>
      <c r="C88" s="102">
        <f>+NewAlbany!BG168/1000</f>
        <v>263</v>
      </c>
      <c r="E88" t="str">
        <f>+E65</f>
        <v xml:space="preserve">Sales tax savings </v>
      </c>
    </row>
    <row r="89" spans="1:5" x14ac:dyDescent="0.2">
      <c r="A89" s="191"/>
      <c r="C89" s="102">
        <f>+NewAlbany!BG217/1000</f>
        <v>624.98426000000006</v>
      </c>
      <c r="E89" t="s">
        <v>520</v>
      </c>
    </row>
    <row r="90" spans="1:5" x14ac:dyDescent="0.2">
      <c r="A90" s="191"/>
      <c r="C90" s="102">
        <f>+NewAlbany!BG137/1000</f>
        <v>-260</v>
      </c>
      <c r="E90" t="str">
        <f>+E67</f>
        <v>NEPCO Interest Charges</v>
      </c>
    </row>
    <row r="91" spans="1:5" x14ac:dyDescent="0.2">
      <c r="A91" s="191"/>
      <c r="C91" s="102">
        <f>NewAlbany!BG149/1000</f>
        <v>64.762</v>
      </c>
      <c r="E91" t="s">
        <v>281</v>
      </c>
    </row>
    <row r="92" spans="1:5" x14ac:dyDescent="0.2">
      <c r="A92" s="191"/>
      <c r="C92" s="102">
        <f>+NewAlbany!BG166/1000</f>
        <v>-68.973239999999947</v>
      </c>
      <c r="E92" t="s">
        <v>489</v>
      </c>
    </row>
    <row r="93" spans="1:5" x14ac:dyDescent="0.2">
      <c r="A93" s="71"/>
      <c r="C93" s="190">
        <f>SUM(C73:C92)+1</f>
        <v>-20449.354433333341</v>
      </c>
    </row>
    <row r="94" spans="1:5" ht="6" customHeight="1" x14ac:dyDescent="0.2">
      <c r="A94" s="106"/>
      <c r="C94" s="49"/>
    </row>
    <row r="95" spans="1:5" ht="13.5" thickBot="1" x14ac:dyDescent="0.25">
      <c r="A95" s="106"/>
      <c r="C95" s="193">
        <f>+C93+C71+C55-1</f>
        <v>-30574.966970000012</v>
      </c>
    </row>
    <row r="96" spans="1:5" ht="13.5" thickTop="1" x14ac:dyDescent="0.2"/>
    <row r="98" spans="1:17" x14ac:dyDescent="0.2">
      <c r="A98" s="50" t="s">
        <v>362</v>
      </c>
      <c r="B98" s="6" t="s">
        <v>545</v>
      </c>
      <c r="C98" s="67"/>
      <c r="D98" s="61"/>
      <c r="E98" s="76"/>
      <c r="F98" s="61"/>
      <c r="G98" s="76"/>
      <c r="H98" s="61"/>
      <c r="I98" s="76"/>
      <c r="J98" s="77"/>
      <c r="K98" s="78"/>
      <c r="L98" s="61"/>
      <c r="M98" s="61"/>
      <c r="N98" s="61"/>
      <c r="O98" s="61"/>
      <c r="P98" s="61"/>
      <c r="Q98" s="79"/>
    </row>
    <row r="100" spans="1:17" x14ac:dyDescent="0.2">
      <c r="A100" s="184" t="str">
        <f ca="1">CELL("FILENAME")</f>
        <v>O:\Fin_Ops\Engysvc\PowerPlants\TVA Plants\TVA Draw Schedules\[TVADraw020800.xls]New Albany</v>
      </c>
      <c r="B100" s="41"/>
      <c r="C100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3"/>
  <sheetViews>
    <sheetView tabSelected="1" view="pageBreakPreview" zoomScale="75" zoomScaleNormal="75" workbookViewId="0">
      <pane xSplit="9" ySplit="6" topLeftCell="AP139" activePane="bottomRight" state="frozen"/>
      <selection activeCell="A16" sqref="A16"/>
      <selection pane="topRight" activeCell="A16" sqref="A16"/>
      <selection pane="bottomLeft" activeCell="A16" sqref="A16"/>
      <selection pane="bottomRight" activeCell="BA5" sqref="BA5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hidden="1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hidden="1" customWidth="1"/>
    <col min="37" max="37" width="18.5703125" style="131" hidden="1" customWidth="1"/>
    <col min="38" max="38" width="1.28515625" style="131" hidden="1" customWidth="1"/>
    <col min="39" max="39" width="20.140625" style="131" hidden="1" customWidth="1"/>
    <col min="40" max="40" width="1.42578125" style="131" hidden="1" customWidth="1"/>
    <col min="41" max="41" width="0.140625" style="131" hidden="1" customWidth="1"/>
    <col min="42" max="42" width="1.7109375" style="131" customWidth="1"/>
    <col min="43" max="43" width="20.140625" style="131" hidden="1" customWidth="1"/>
    <col min="44" max="44" width="1.28515625" style="131" hidden="1" customWidth="1"/>
    <col min="45" max="45" width="20.140625" style="131" hidden="1" customWidth="1"/>
    <col min="46" max="46" width="1.28515625" style="131" hidden="1" customWidth="1"/>
    <col min="47" max="47" width="20.140625" style="131" hidden="1" customWidth="1"/>
    <col min="48" max="48" width="1.28515625" style="131" hidden="1" customWidth="1"/>
    <col min="49" max="49" width="20.140625" style="131" hidden="1" customWidth="1"/>
    <col min="50" max="50" width="1.28515625" style="131" hidden="1" customWidth="1"/>
    <col min="51" max="51" width="19.140625" style="8" customWidth="1"/>
    <col min="52" max="52" width="1" style="6" customWidth="1"/>
    <col min="53" max="53" width="23.85546875" style="131" customWidth="1"/>
    <col min="54" max="54" width="0.85546875" style="6" customWidth="1"/>
    <col min="55" max="55" width="24" style="8" customWidth="1"/>
    <col min="56" max="56" width="2.5703125" style="6" customWidth="1"/>
    <col min="57" max="57" width="21.5703125" style="8" customWidth="1"/>
    <col min="58" max="58" width="2.5703125" style="6" customWidth="1"/>
    <col min="59" max="59" width="18.7109375" style="8" customWidth="1"/>
    <col min="60" max="60" width="0.85546875" style="6" customWidth="1"/>
    <col min="61" max="61" width="64.85546875" style="6" customWidth="1"/>
    <col min="62" max="16384" width="9.140625" style="6"/>
  </cols>
  <sheetData>
    <row r="1" spans="1:61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79"/>
      <c r="AZ1" s="278"/>
      <c r="BA1" s="280"/>
      <c r="BB1" s="278"/>
      <c r="BC1" s="279"/>
      <c r="BD1" s="278"/>
      <c r="BE1" s="279"/>
      <c r="BF1" s="278"/>
      <c r="BG1" s="279"/>
    </row>
    <row r="2" spans="1:61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79"/>
      <c r="AZ2" s="278"/>
      <c r="BA2" s="280"/>
      <c r="BB2" s="278"/>
      <c r="BC2" s="279"/>
      <c r="BD2" s="278"/>
      <c r="BE2" s="279"/>
      <c r="BF2" s="278"/>
      <c r="BG2" s="279"/>
    </row>
    <row r="3" spans="1:61" s="36" customFormat="1" ht="15.75" x14ac:dyDescent="0.25">
      <c r="A3" s="282" t="s">
        <v>487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79"/>
      <c r="AZ3" s="278"/>
      <c r="BA3" s="280"/>
      <c r="BB3" s="278"/>
      <c r="BC3" s="283">
        <f ca="1">NOW()</f>
        <v>36564.457616203705</v>
      </c>
      <c r="BD3" s="278"/>
      <c r="BE3" s="283"/>
      <c r="BF3" s="278"/>
      <c r="BG3" s="283" t="str">
        <f>Summary!A4</f>
        <v>Revision # 61</v>
      </c>
    </row>
    <row r="4" spans="1:61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338</v>
      </c>
      <c r="V4" s="374"/>
      <c r="W4" s="149" t="s">
        <v>338</v>
      </c>
      <c r="X4" s="375"/>
      <c r="Y4" s="149" t="s">
        <v>338</v>
      </c>
      <c r="Z4" s="375"/>
      <c r="AA4" s="149" t="s">
        <v>338</v>
      </c>
      <c r="AB4" s="375"/>
      <c r="AC4" s="149" t="s">
        <v>338</v>
      </c>
      <c r="AD4" s="375"/>
      <c r="AE4" s="149" t="s">
        <v>338</v>
      </c>
      <c r="AF4" s="149"/>
      <c r="AG4" s="149" t="s">
        <v>338</v>
      </c>
      <c r="AH4" s="149"/>
      <c r="AI4" s="149" t="s">
        <v>338</v>
      </c>
      <c r="AJ4" s="149"/>
      <c r="AK4" s="149" t="s">
        <v>338</v>
      </c>
      <c r="AL4" s="149"/>
      <c r="AM4" s="149" t="s">
        <v>338</v>
      </c>
      <c r="AN4" s="149"/>
      <c r="AO4" s="149" t="s">
        <v>338</v>
      </c>
      <c r="AP4" s="149"/>
      <c r="AQ4" s="149" t="s">
        <v>338</v>
      </c>
      <c r="AR4" s="149"/>
      <c r="AS4" s="149" t="s">
        <v>338</v>
      </c>
      <c r="AT4" s="149"/>
      <c r="AU4" s="149" t="s">
        <v>277</v>
      </c>
      <c r="AV4" s="149"/>
      <c r="AW4" s="149" t="s">
        <v>277</v>
      </c>
      <c r="AX4" s="149"/>
      <c r="AY4" s="150"/>
      <c r="AZ4" s="278"/>
      <c r="BA4" s="149" t="s">
        <v>345</v>
      </c>
      <c r="BB4" s="278"/>
      <c r="BC4" s="287"/>
      <c r="BD4" s="278"/>
      <c r="BE4" s="287"/>
      <c r="BF4" s="278"/>
      <c r="BG4" s="287"/>
    </row>
    <row r="5" spans="1:61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339</v>
      </c>
      <c r="V5" s="374"/>
      <c r="W5" s="149" t="s">
        <v>339</v>
      </c>
      <c r="X5" s="375"/>
      <c r="Y5" s="149" t="s">
        <v>339</v>
      </c>
      <c r="Z5" s="375"/>
      <c r="AA5" s="149" t="s">
        <v>339</v>
      </c>
      <c r="AB5" s="375"/>
      <c r="AC5" s="149" t="s">
        <v>339</v>
      </c>
      <c r="AD5" s="375"/>
      <c r="AE5" s="149" t="s">
        <v>339</v>
      </c>
      <c r="AF5" s="149"/>
      <c r="AG5" s="149" t="s">
        <v>339</v>
      </c>
      <c r="AH5" s="149"/>
      <c r="AI5" s="149" t="s">
        <v>339</v>
      </c>
      <c r="AJ5" s="149"/>
      <c r="AK5" s="149" t="s">
        <v>339</v>
      </c>
      <c r="AL5" s="149"/>
      <c r="AM5" s="149" t="s">
        <v>339</v>
      </c>
      <c r="AN5" s="149"/>
      <c r="AO5" s="149" t="s">
        <v>339</v>
      </c>
      <c r="AP5" s="149"/>
      <c r="AQ5" s="149" t="s">
        <v>339</v>
      </c>
      <c r="AR5" s="149"/>
      <c r="AS5" s="149" t="s">
        <v>339</v>
      </c>
      <c r="AT5" s="149"/>
      <c r="AU5" s="149" t="s">
        <v>339</v>
      </c>
      <c r="AV5" s="149"/>
      <c r="AW5" s="149" t="s">
        <v>339</v>
      </c>
      <c r="AX5" s="149"/>
      <c r="AY5" s="150" t="s">
        <v>190</v>
      </c>
      <c r="AZ5" s="146"/>
      <c r="BA5" s="149" t="s">
        <v>346</v>
      </c>
      <c r="BB5" s="146"/>
      <c r="BC5" s="150" t="s">
        <v>161</v>
      </c>
      <c r="BD5" s="146"/>
      <c r="BE5" s="150" t="s">
        <v>366</v>
      </c>
      <c r="BF5" s="146"/>
      <c r="BG5" s="150"/>
    </row>
    <row r="6" spans="1:61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539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3">
        <v>36556</v>
      </c>
      <c r="AT6" s="188"/>
      <c r="AU6" s="153">
        <v>36585</v>
      </c>
      <c r="AV6" s="188"/>
      <c r="AW6" s="153">
        <v>36616</v>
      </c>
      <c r="AX6" s="188"/>
      <c r="AY6" s="155" t="s">
        <v>342</v>
      </c>
      <c r="AZ6" s="146"/>
      <c r="BA6" s="153" t="s">
        <v>347</v>
      </c>
      <c r="BB6" s="146"/>
      <c r="BC6" s="155" t="s">
        <v>110</v>
      </c>
      <c r="BD6" s="146"/>
      <c r="BE6" s="155" t="s">
        <v>367</v>
      </c>
      <c r="BF6" s="146"/>
      <c r="BG6" s="155" t="s">
        <v>111</v>
      </c>
      <c r="BI6" s="150" t="s">
        <v>5</v>
      </c>
    </row>
    <row r="7" spans="1:61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540</v>
      </c>
      <c r="R7" s="297"/>
      <c r="S7" s="296" t="s">
        <v>540</v>
      </c>
      <c r="T7" s="297"/>
      <c r="U7" s="296" t="str">
        <f>+Summary!$O$3</f>
        <v>as of 02/04/00</v>
      </c>
      <c r="V7" s="295"/>
      <c r="W7" s="296" t="str">
        <f>+Summary!$O$3</f>
        <v>as of 02/04/00</v>
      </c>
      <c r="X7" s="298"/>
      <c r="Y7" s="296" t="str">
        <f>+Summary!$O$3</f>
        <v>as of 02/04/00</v>
      </c>
      <c r="Z7" s="298"/>
      <c r="AA7" s="296" t="str">
        <f>+Summary!$O$3</f>
        <v>as of 02/04/00</v>
      </c>
      <c r="AB7" s="298"/>
      <c r="AC7" s="296" t="str">
        <f>+Summary!$O$3</f>
        <v>as of 02/04/00</v>
      </c>
      <c r="AD7" s="298"/>
      <c r="AE7" s="296" t="str">
        <f>+Summary!$O$3</f>
        <v>as of 02/04/00</v>
      </c>
      <c r="AF7" s="296"/>
      <c r="AG7" s="296" t="str">
        <f>+Summary!$O$3</f>
        <v>as of 02/04/00</v>
      </c>
      <c r="AH7" s="296"/>
      <c r="AI7" s="296" t="str">
        <f>+Summary!$O$3</f>
        <v>as of 02/04/00</v>
      </c>
      <c r="AJ7" s="296"/>
      <c r="AK7" s="296" t="str">
        <f>+Summary!$O$3</f>
        <v>as of 02/04/00</v>
      </c>
      <c r="AL7" s="296"/>
      <c r="AM7" s="296" t="str">
        <f>+Summary!$O$3</f>
        <v>as of 02/04/00</v>
      </c>
      <c r="AN7" s="296"/>
      <c r="AO7" s="296" t="str">
        <f>+Summary!$O$3</f>
        <v>as of 02/04/00</v>
      </c>
      <c r="AP7" s="296"/>
      <c r="AQ7" s="296" t="str">
        <f>+Summary!$O$3</f>
        <v>as of 02/04/00</v>
      </c>
      <c r="AR7" s="296"/>
      <c r="AS7" s="296" t="str">
        <f>+Summary!$O$3</f>
        <v>as of 02/04/00</v>
      </c>
      <c r="AT7" s="296"/>
      <c r="AU7" s="296" t="str">
        <f>+Summary!$O$3</f>
        <v>as of 02/04/00</v>
      </c>
      <c r="AV7" s="296"/>
      <c r="AW7" s="296" t="str">
        <f>+Summary!$O$3</f>
        <v>as of 02/04/00</v>
      </c>
      <c r="AX7" s="296"/>
      <c r="AY7" s="299" t="str">
        <f>+Summary!$O$3</f>
        <v>as of 02/04/00</v>
      </c>
      <c r="AZ7" s="294"/>
      <c r="BA7" s="296"/>
      <c r="BB7" s="294"/>
      <c r="BC7" s="299"/>
      <c r="BD7" s="294"/>
      <c r="BE7" s="299"/>
      <c r="BF7" s="294"/>
      <c r="BG7" s="299"/>
    </row>
    <row r="8" spans="1:61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9"/>
      <c r="AZ8" s="294"/>
      <c r="BA8" s="296"/>
      <c r="BB8" s="294"/>
      <c r="BC8" s="299"/>
      <c r="BD8" s="294"/>
      <c r="BE8" s="299"/>
      <c r="BF8" s="294"/>
      <c r="BG8" s="299"/>
    </row>
    <row r="9" spans="1:61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5">
        <f>SUM(P9:AX9)</f>
        <v>69333392.800000012</v>
      </c>
      <c r="AZ9" s="294"/>
      <c r="BA9" s="298">
        <f>472250+60686</f>
        <v>532936</v>
      </c>
      <c r="BB9" s="294"/>
      <c r="BC9" s="303">
        <f t="shared" ref="BC9:BC17" si="0">IF(+O9-AY9+BA9&gt;0,O9-AY9+BA9,0)</f>
        <v>0</v>
      </c>
      <c r="BD9" s="294"/>
      <c r="BE9" s="304">
        <f>+BC9+AY9</f>
        <v>69333392.800000012</v>
      </c>
      <c r="BF9" s="294"/>
      <c r="BG9" s="305">
        <f t="shared" ref="BG9:BG17" si="1">O9-AY9-BC9</f>
        <v>-535892.80000001192</v>
      </c>
      <c r="BI9" s="269"/>
    </row>
    <row r="10" spans="1:61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2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5">
        <f t="shared" ref="AY10:AY17" si="3">SUM(P10:AX10)</f>
        <v>1781013</v>
      </c>
      <c r="AZ10" s="294"/>
      <c r="BA10" s="298"/>
      <c r="BB10" s="294"/>
      <c r="BC10" s="295">
        <f t="shared" si="0"/>
        <v>0</v>
      </c>
      <c r="BD10" s="294"/>
      <c r="BE10" s="295">
        <f t="shared" ref="BE10:BE30" si="4">+BC10+AY10</f>
        <v>1781013</v>
      </c>
      <c r="BF10" s="294"/>
      <c r="BG10" s="305">
        <f t="shared" si="1"/>
        <v>-383513</v>
      </c>
    </row>
    <row r="11" spans="1:61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2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5">
        <f t="shared" si="3"/>
        <v>0</v>
      </c>
      <c r="AZ11" s="294"/>
      <c r="BA11" s="298">
        <v>-97872</v>
      </c>
      <c r="BB11" s="294"/>
      <c r="BC11" s="295">
        <f t="shared" si="0"/>
        <v>0</v>
      </c>
      <c r="BD11" s="294"/>
      <c r="BE11" s="295">
        <f t="shared" si="4"/>
        <v>0</v>
      </c>
      <c r="BF11" s="294"/>
      <c r="BG11" s="305">
        <f t="shared" si="1"/>
        <v>97872</v>
      </c>
    </row>
    <row r="12" spans="1:61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2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5">
        <f t="shared" si="3"/>
        <v>0</v>
      </c>
      <c r="AZ12" s="294"/>
      <c r="BA12" s="298">
        <v>-33132</v>
      </c>
      <c r="BB12" s="294"/>
      <c r="BC12" s="295">
        <f t="shared" si="0"/>
        <v>0</v>
      </c>
      <c r="BD12" s="294"/>
      <c r="BE12" s="295">
        <f t="shared" si="4"/>
        <v>0</v>
      </c>
      <c r="BF12" s="294"/>
      <c r="BG12" s="305">
        <f t="shared" si="1"/>
        <v>33132</v>
      </c>
    </row>
    <row r="13" spans="1:61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2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5">
        <f t="shared" si="3"/>
        <v>0</v>
      </c>
      <c r="AZ13" s="294"/>
      <c r="BA13" s="298">
        <v>-5504</v>
      </c>
      <c r="BB13" s="294"/>
      <c r="BC13" s="295">
        <f t="shared" si="0"/>
        <v>0</v>
      </c>
      <c r="BD13" s="294"/>
      <c r="BE13" s="295">
        <f t="shared" si="4"/>
        <v>0</v>
      </c>
      <c r="BF13" s="294"/>
      <c r="BG13" s="305">
        <f t="shared" si="1"/>
        <v>5504</v>
      </c>
    </row>
    <row r="14" spans="1:61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2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5">
        <f t="shared" si="3"/>
        <v>0</v>
      </c>
      <c r="AZ14" s="294"/>
      <c r="BA14" s="298">
        <v>-85744</v>
      </c>
      <c r="BB14" s="294"/>
      <c r="BC14" s="295">
        <f t="shared" si="0"/>
        <v>0</v>
      </c>
      <c r="BD14" s="294"/>
      <c r="BE14" s="295">
        <f t="shared" si="4"/>
        <v>0</v>
      </c>
      <c r="BF14" s="294"/>
      <c r="BG14" s="305">
        <f t="shared" si="1"/>
        <v>85744</v>
      </c>
    </row>
    <row r="15" spans="1:61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2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5">
        <f t="shared" si="3"/>
        <v>0</v>
      </c>
      <c r="AZ15" s="294"/>
      <c r="BA15" s="298">
        <v>-40000</v>
      </c>
      <c r="BB15" s="294"/>
      <c r="BC15" s="295">
        <f t="shared" si="0"/>
        <v>0</v>
      </c>
      <c r="BD15" s="294"/>
      <c r="BE15" s="295">
        <f t="shared" si="4"/>
        <v>0</v>
      </c>
      <c r="BF15" s="294"/>
      <c r="BG15" s="305">
        <f t="shared" si="1"/>
        <v>40000</v>
      </c>
    </row>
    <row r="16" spans="1:61" x14ac:dyDescent="0.2">
      <c r="A16" s="300"/>
      <c r="B16" s="31" t="s">
        <v>546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8"/>
      <c r="AT16" s="298"/>
      <c r="AU16" s="298"/>
      <c r="AV16" s="298"/>
      <c r="AW16" s="298"/>
      <c r="AX16" s="298"/>
      <c r="AY16" s="295">
        <f t="shared" si="3"/>
        <v>1500000</v>
      </c>
      <c r="AZ16" s="294"/>
      <c r="BA16" s="298">
        <v>1500000</v>
      </c>
      <c r="BB16" s="294"/>
      <c r="BC16" s="295">
        <f t="shared" si="0"/>
        <v>0</v>
      </c>
      <c r="BD16" s="294"/>
      <c r="BE16" s="295">
        <f t="shared" si="4"/>
        <v>1500000</v>
      </c>
      <c r="BF16" s="294"/>
      <c r="BG16" s="305">
        <f t="shared" si="1"/>
        <v>-1500000</v>
      </c>
    </row>
    <row r="17" spans="1:61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2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7"/>
      <c r="AT17" s="308"/>
      <c r="AU17" s="307"/>
      <c r="AV17" s="308"/>
      <c r="AW17" s="307"/>
      <c r="AX17" s="308"/>
      <c r="AY17" s="309">
        <f t="shared" si="3"/>
        <v>0</v>
      </c>
      <c r="AZ17" s="294"/>
      <c r="BA17" s="307">
        <v>-210000</v>
      </c>
      <c r="BB17" s="294"/>
      <c r="BC17" s="309">
        <f t="shared" si="0"/>
        <v>0</v>
      </c>
      <c r="BD17" s="294"/>
      <c r="BE17" s="309">
        <f t="shared" si="4"/>
        <v>0</v>
      </c>
      <c r="BF17" s="294"/>
      <c r="BG17" s="310">
        <f t="shared" si="1"/>
        <v>210000</v>
      </c>
    </row>
    <row r="18" spans="1:61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6">
        <f>SUM(AS9:AS17)</f>
        <v>0</v>
      </c>
      <c r="AT18" s="296"/>
      <c r="AU18" s="296">
        <f>SUM(AU9:AU17)</f>
        <v>0</v>
      </c>
      <c r="AV18" s="296"/>
      <c r="AW18" s="296">
        <f>SUM(AW9:AW17)</f>
        <v>0</v>
      </c>
      <c r="AX18" s="296"/>
      <c r="AY18" s="299">
        <f>SUM(AY9:AY17)</f>
        <v>72614405.800000012</v>
      </c>
      <c r="AZ18" s="294"/>
      <c r="BA18" s="296">
        <f>SUM(BA9:BA17)</f>
        <v>1560684</v>
      </c>
      <c r="BB18" s="294"/>
      <c r="BC18" s="299">
        <f>SUM(BC9:BC17)</f>
        <v>0</v>
      </c>
      <c r="BD18" s="294"/>
      <c r="BE18" s="299">
        <f>SUM(BE9:BE17)</f>
        <v>72614405.800000012</v>
      </c>
      <c r="BF18" s="294"/>
      <c r="BG18" s="305">
        <f>SUM(BG9:BG17)</f>
        <v>-1947153.8000000119</v>
      </c>
    </row>
    <row r="19" spans="1:61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9"/>
      <c r="AZ19" s="294"/>
      <c r="BA19" s="296"/>
      <c r="BB19" s="294"/>
      <c r="BC19" s="299"/>
      <c r="BD19" s="294"/>
      <c r="BE19" s="299"/>
      <c r="BF19" s="294"/>
      <c r="BG19" s="305"/>
    </row>
    <row r="20" spans="1:61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2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5">
        <f t="shared" ref="AY20:AY30" si="5">SUM(P20:AX20)</f>
        <v>5300000</v>
      </c>
      <c r="AZ20" s="294"/>
      <c r="BA20" s="298"/>
      <c r="BB20" s="294"/>
      <c r="BC20" s="295">
        <f>5300000-AY20</f>
        <v>0</v>
      </c>
      <c r="BD20" s="294"/>
      <c r="BE20" s="305">
        <f t="shared" si="4"/>
        <v>5300000</v>
      </c>
      <c r="BF20" s="294"/>
      <c r="BG20" s="305">
        <f t="shared" ref="BG20:BG30" si="6">O20-AY20-BC20</f>
        <v>0</v>
      </c>
      <c r="BI20" s="131"/>
    </row>
    <row r="21" spans="1:61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2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5">
        <f t="shared" si="5"/>
        <v>165430.5</v>
      </c>
      <c r="AZ21" s="294"/>
      <c r="BA21" s="298">
        <v>0</v>
      </c>
      <c r="BB21" s="294"/>
      <c r="BC21" s="295">
        <f>165430-AY21+0.5</f>
        <v>0</v>
      </c>
      <c r="BD21" s="294"/>
      <c r="BE21" s="295">
        <f t="shared" si="4"/>
        <v>165430.5</v>
      </c>
      <c r="BF21" s="294"/>
      <c r="BG21" s="305">
        <f t="shared" si="6"/>
        <v>-2950.5</v>
      </c>
    </row>
    <row r="22" spans="1:61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2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5">
        <f t="shared" si="5"/>
        <v>58177.14</v>
      </c>
      <c r="AZ22" s="294"/>
      <c r="BA22" s="298">
        <v>0</v>
      </c>
      <c r="BB22" s="294"/>
      <c r="BC22" s="295">
        <v>0</v>
      </c>
      <c r="BD22" s="294"/>
      <c r="BE22" s="295">
        <f t="shared" si="4"/>
        <v>58177.14</v>
      </c>
      <c r="BF22" s="294"/>
      <c r="BG22" s="305">
        <f t="shared" si="6"/>
        <v>1602.8600000000006</v>
      </c>
    </row>
    <row r="23" spans="1:61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2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5">
        <f t="shared" si="5"/>
        <v>2968940.46</v>
      </c>
      <c r="AZ23" s="294"/>
      <c r="BA23" s="298">
        <v>0</v>
      </c>
      <c r="BB23" s="294"/>
      <c r="BC23" s="295">
        <v>0</v>
      </c>
      <c r="BD23" s="294"/>
      <c r="BE23" s="295">
        <f t="shared" si="4"/>
        <v>2968940.46</v>
      </c>
      <c r="BF23" s="294"/>
      <c r="BG23" s="305">
        <f t="shared" si="6"/>
        <v>-0.4599999999627471</v>
      </c>
    </row>
    <row r="24" spans="1:61" x14ac:dyDescent="0.2">
      <c r="A24" s="300"/>
      <c r="B24" s="31" t="s">
        <v>513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2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5">
        <f t="shared" si="5"/>
        <v>0</v>
      </c>
      <c r="AZ24" s="294"/>
      <c r="BA24" s="298">
        <v>0</v>
      </c>
      <c r="BB24" s="294"/>
      <c r="BC24" s="295">
        <v>0</v>
      </c>
      <c r="BD24" s="294"/>
      <c r="BE24" s="295">
        <f t="shared" si="4"/>
        <v>0</v>
      </c>
      <c r="BF24" s="294"/>
      <c r="BG24" s="305">
        <f t="shared" si="6"/>
        <v>0</v>
      </c>
    </row>
    <row r="25" spans="1:61" x14ac:dyDescent="0.2">
      <c r="A25" s="300"/>
      <c r="B25" s="31" t="s">
        <v>512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2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5">
        <f t="shared" si="5"/>
        <v>387100</v>
      </c>
      <c r="AZ25" s="294"/>
      <c r="BA25" s="298">
        <v>0</v>
      </c>
      <c r="BB25" s="294"/>
      <c r="BC25" s="295">
        <f>387100-AY25</f>
        <v>0</v>
      </c>
      <c r="BD25" s="294"/>
      <c r="BE25" s="295">
        <f t="shared" si="4"/>
        <v>387100</v>
      </c>
      <c r="BF25" s="294"/>
      <c r="BG25" s="305">
        <f t="shared" si="6"/>
        <v>-387100</v>
      </c>
    </row>
    <row r="26" spans="1:61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2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5">
        <f t="shared" si="5"/>
        <v>0</v>
      </c>
      <c r="AZ26" s="294"/>
      <c r="BA26" s="298">
        <v>0</v>
      </c>
      <c r="BB26" s="294"/>
      <c r="BC26" s="295">
        <v>0</v>
      </c>
      <c r="BD26" s="294"/>
      <c r="BE26" s="295">
        <f t="shared" si="4"/>
        <v>0</v>
      </c>
      <c r="BF26" s="294"/>
      <c r="BG26" s="305">
        <f t="shared" si="6"/>
        <v>25000</v>
      </c>
    </row>
    <row r="27" spans="1:61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2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5">
        <f t="shared" si="5"/>
        <v>0</v>
      </c>
      <c r="AZ27" s="294"/>
      <c r="BA27" s="298">
        <v>0</v>
      </c>
      <c r="BB27" s="294"/>
      <c r="BC27" s="295">
        <f>-AY27</f>
        <v>0</v>
      </c>
      <c r="BD27" s="294"/>
      <c r="BE27" s="295">
        <f t="shared" si="4"/>
        <v>0</v>
      </c>
      <c r="BF27" s="294"/>
      <c r="BG27" s="305">
        <f t="shared" si="6"/>
        <v>107600</v>
      </c>
    </row>
    <row r="28" spans="1:61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2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5">
        <f t="shared" si="5"/>
        <v>0</v>
      </c>
      <c r="AZ28" s="294"/>
      <c r="BA28" s="298">
        <v>0</v>
      </c>
      <c r="BB28" s="294"/>
      <c r="BC28" s="295">
        <f>-AY28</f>
        <v>0</v>
      </c>
      <c r="BD28" s="294"/>
      <c r="BE28" s="295">
        <f t="shared" si="4"/>
        <v>0</v>
      </c>
      <c r="BF28" s="294"/>
      <c r="BG28" s="305">
        <f t="shared" si="6"/>
        <v>105500</v>
      </c>
    </row>
    <row r="29" spans="1:61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2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5">
        <f t="shared" si="5"/>
        <v>0</v>
      </c>
      <c r="AZ29" s="294"/>
      <c r="BA29" s="298">
        <v>0</v>
      </c>
      <c r="BB29" s="294"/>
      <c r="BC29" s="295">
        <v>0</v>
      </c>
      <c r="BD29" s="294"/>
      <c r="BE29" s="295">
        <f t="shared" si="4"/>
        <v>0</v>
      </c>
      <c r="BF29" s="294"/>
      <c r="BG29" s="305">
        <f t="shared" si="6"/>
        <v>10000</v>
      </c>
    </row>
    <row r="30" spans="1:61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2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7"/>
      <c r="AT30" s="308"/>
      <c r="AU30" s="307"/>
      <c r="AV30" s="308"/>
      <c r="AW30" s="307"/>
      <c r="AX30" s="308"/>
      <c r="AY30" s="309">
        <f t="shared" si="5"/>
        <v>5600</v>
      </c>
      <c r="AZ30" s="294"/>
      <c r="BA30" s="307">
        <v>0</v>
      </c>
      <c r="BB30" s="294"/>
      <c r="BC30" s="309">
        <f>5600-AY30</f>
        <v>0</v>
      </c>
      <c r="BD30" s="294"/>
      <c r="BE30" s="309">
        <f t="shared" si="4"/>
        <v>5600</v>
      </c>
      <c r="BF30" s="294"/>
      <c r="BG30" s="310">
        <f t="shared" si="6"/>
        <v>14400</v>
      </c>
    </row>
    <row r="31" spans="1:61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4">
        <f>SUM(AS20:AS30)</f>
        <v>0</v>
      </c>
      <c r="AT31" s="314"/>
      <c r="AU31" s="314">
        <f>SUM(AU20:AU30)</f>
        <v>0</v>
      </c>
      <c r="AV31" s="314"/>
      <c r="AW31" s="314">
        <f>SUM(AW20:AW30)</f>
        <v>0</v>
      </c>
      <c r="AX31" s="314"/>
      <c r="AY31" s="313">
        <f>SUM(AY20:AY30)</f>
        <v>8885248.0999999996</v>
      </c>
      <c r="AZ31" s="294"/>
      <c r="BA31" s="314">
        <f>SUM(BA20:BA30)</f>
        <v>0</v>
      </c>
      <c r="BB31" s="294"/>
      <c r="BC31" s="315">
        <f>SUM(BC20:BC30)</f>
        <v>0</v>
      </c>
      <c r="BD31" s="294"/>
      <c r="BE31" s="299">
        <f>SUM(BE20:BE30)</f>
        <v>8885248.0999999996</v>
      </c>
      <c r="BF31" s="294"/>
      <c r="BG31" s="316">
        <f>+O31-BE31</f>
        <v>-125948.09999999963</v>
      </c>
    </row>
    <row r="32" spans="1:61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3"/>
      <c r="AZ32" s="294"/>
      <c r="BA32" s="314"/>
      <c r="BB32" s="294"/>
      <c r="BC32" s="313"/>
      <c r="BD32" s="294"/>
      <c r="BE32" s="313"/>
      <c r="BF32" s="294"/>
      <c r="BG32" s="316"/>
    </row>
    <row r="33" spans="1:61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20">
        <f>AS31+AS18</f>
        <v>0</v>
      </c>
      <c r="AT33" s="314"/>
      <c r="AU33" s="320">
        <f>AU31+AU18</f>
        <v>0</v>
      </c>
      <c r="AV33" s="314"/>
      <c r="AW33" s="320">
        <f>AW31+AW18</f>
        <v>0</v>
      </c>
      <c r="AX33" s="314"/>
      <c r="AY33" s="318">
        <f>AY31+AY18</f>
        <v>81499653.900000006</v>
      </c>
      <c r="AZ33" s="294"/>
      <c r="BA33" s="320">
        <f>BA31+BA18</f>
        <v>1560684</v>
      </c>
      <c r="BB33" s="294"/>
      <c r="BC33" s="318">
        <f>+BC31+BC18</f>
        <v>0</v>
      </c>
      <c r="BD33" s="294"/>
      <c r="BE33" s="318">
        <f>+BE31+BE18</f>
        <v>81499653.900000006</v>
      </c>
      <c r="BF33" s="294"/>
      <c r="BG33" s="321">
        <f>+O33-BE33</f>
        <v>-2073101.900000006</v>
      </c>
    </row>
    <row r="34" spans="1:61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5"/>
      <c r="AZ34" s="294"/>
      <c r="BA34" s="298"/>
      <c r="BB34" s="294"/>
      <c r="BC34" s="295"/>
      <c r="BD34" s="294"/>
      <c r="BE34" s="295"/>
      <c r="BF34" s="294"/>
      <c r="BG34" s="295"/>
    </row>
    <row r="35" spans="1:61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5"/>
      <c r="AZ35" s="294"/>
      <c r="BA35" s="298"/>
      <c r="BB35" s="294"/>
      <c r="BC35" s="295"/>
      <c r="BD35" s="294"/>
      <c r="BE35" s="295"/>
      <c r="BF35" s="294"/>
      <c r="BG35" s="295"/>
    </row>
    <row r="36" spans="1:61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323"/>
      <c r="AT36" s="298"/>
      <c r="AU36" s="323"/>
      <c r="AV36" s="298"/>
      <c r="AW36" s="323"/>
      <c r="AX36" s="298"/>
      <c r="AY36" s="295">
        <f>SUM(P36:AX36)</f>
        <v>481461.80999999994</v>
      </c>
      <c r="AZ36" s="294"/>
      <c r="BA36" s="298">
        <f>452687-397500-600+20874+600+8571+849</f>
        <v>85481</v>
      </c>
      <c r="BB36" s="294"/>
      <c r="BC36" s="295">
        <f>IF(+O36-AY36+BA36&gt;0,O36-AY36+BA36,0)</f>
        <v>1519.1900000000605</v>
      </c>
      <c r="BD36" s="294"/>
      <c r="BE36" s="304">
        <f>+BC36+AY36</f>
        <v>482981</v>
      </c>
      <c r="BF36" s="294"/>
      <c r="BG36" s="305">
        <f>O36-AY36-BC36</f>
        <v>-85481</v>
      </c>
      <c r="BI36" s="131"/>
    </row>
    <row r="37" spans="1:61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323"/>
      <c r="AT37" s="298"/>
      <c r="AU37" s="323"/>
      <c r="AV37" s="298"/>
      <c r="AW37" s="323"/>
      <c r="AX37" s="298"/>
      <c r="AY37" s="295">
        <f>SUM(P37:AX37)</f>
        <v>0</v>
      </c>
      <c r="AZ37" s="294"/>
      <c r="BA37" s="298">
        <v>-12200</v>
      </c>
      <c r="BB37" s="294"/>
      <c r="BC37" s="295">
        <f>IF(+O37-AY37+BA37&gt;0,O37-AY37+BA37,0)</f>
        <v>0</v>
      </c>
      <c r="BD37" s="294"/>
      <c r="BE37" s="295">
        <f>+BC37+AY37</f>
        <v>0</v>
      </c>
      <c r="BF37" s="294"/>
      <c r="BG37" s="305">
        <f>O37-AY37-BC37</f>
        <v>12200</v>
      </c>
    </row>
    <row r="38" spans="1:61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323"/>
      <c r="AT38" s="298"/>
      <c r="AU38" s="323"/>
      <c r="AV38" s="298"/>
      <c r="AW38" s="323"/>
      <c r="AX38" s="298"/>
      <c r="AY38" s="295">
        <f>SUM(P38:AX38)</f>
        <v>22198.240000000002</v>
      </c>
      <c r="AZ38" s="294"/>
      <c r="BA38" s="298">
        <f>47300-24500-25102</f>
        <v>-2302</v>
      </c>
      <c r="BB38" s="294"/>
      <c r="BC38" s="295">
        <f>IF(+O38-AY38+BA38&gt;0,O38-AY38+BA38,0)</f>
        <v>0</v>
      </c>
      <c r="BD38" s="294"/>
      <c r="BE38" s="295">
        <f>+BC38+AY38</f>
        <v>22198.240000000002</v>
      </c>
      <c r="BF38" s="294"/>
      <c r="BG38" s="305">
        <f>O38-AY38-BC38</f>
        <v>2301.7599999999984</v>
      </c>
    </row>
    <row r="39" spans="1:61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325"/>
      <c r="AT39" s="308"/>
      <c r="AU39" s="325"/>
      <c r="AV39" s="308"/>
      <c r="AW39" s="325"/>
      <c r="AX39" s="308"/>
      <c r="AY39" s="295">
        <f>SUM(P39:AX39)</f>
        <v>156850.48000000001</v>
      </c>
      <c r="AZ39" s="294"/>
      <c r="BA39" s="308">
        <f>142000-115300</f>
        <v>26700</v>
      </c>
      <c r="BB39" s="294"/>
      <c r="BC39" s="295">
        <f>IF(+O39-AY39+BA39&gt;0,O39-AY39+BA39,0)</f>
        <v>0</v>
      </c>
      <c r="BD39" s="294"/>
      <c r="BE39" s="295">
        <f>+BC39+AY39</f>
        <v>156850.48000000001</v>
      </c>
      <c r="BF39" s="294"/>
      <c r="BG39" s="305">
        <f>O39-AY39-BC39</f>
        <v>-41550.48000000001</v>
      </c>
    </row>
    <row r="40" spans="1:61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295">
        <f>SUM(P40:AX40)</f>
        <v>72692.81</v>
      </c>
      <c r="AZ40" s="294"/>
      <c r="BA40" s="308">
        <f>72693-37551</f>
        <v>35142</v>
      </c>
      <c r="BB40" s="294"/>
      <c r="BC40" s="295">
        <v>0</v>
      </c>
      <c r="BD40" s="294"/>
      <c r="BE40" s="295">
        <f>+BC40+AY40</f>
        <v>72692.81</v>
      </c>
      <c r="BF40" s="294"/>
      <c r="BG40" s="305">
        <f>O40-AY40-BC40</f>
        <v>-35141.81</v>
      </c>
    </row>
    <row r="41" spans="1:61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8">
        <f>SUM(AS36:AS40)</f>
        <v>0</v>
      </c>
      <c r="AT41" s="314"/>
      <c r="AU41" s="328">
        <f>SUM(AU36:AU40)</f>
        <v>0</v>
      </c>
      <c r="AV41" s="314"/>
      <c r="AW41" s="328">
        <f>SUM(AW36:AW40)</f>
        <v>0</v>
      </c>
      <c r="AX41" s="314"/>
      <c r="AY41" s="329">
        <f>SUM(AY36:AY40)</f>
        <v>733203.33999999985</v>
      </c>
      <c r="AZ41" s="294"/>
      <c r="BA41" s="328">
        <f>SUM(BA36:BA40)</f>
        <v>132821</v>
      </c>
      <c r="BB41" s="294"/>
      <c r="BC41" s="329">
        <f>SUM(BC36:BC40)</f>
        <v>1519.1900000000605</v>
      </c>
      <c r="BD41" s="294"/>
      <c r="BE41" s="329">
        <f>SUM(BE36:BE40)</f>
        <v>734722.53</v>
      </c>
      <c r="BF41" s="294"/>
      <c r="BG41" s="328">
        <f>SUM(BG36:BG40)</f>
        <v>-147671.53000000003</v>
      </c>
    </row>
    <row r="42" spans="1:61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5"/>
      <c r="AZ42" s="294"/>
      <c r="BA42" s="298"/>
      <c r="BB42" s="294"/>
      <c r="BC42" s="295"/>
      <c r="BD42" s="294"/>
      <c r="BE42" s="295"/>
      <c r="BF42" s="294"/>
      <c r="BG42" s="295"/>
    </row>
    <row r="43" spans="1:61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5"/>
      <c r="AZ43" s="294"/>
      <c r="BA43" s="298"/>
      <c r="BB43" s="294"/>
      <c r="BC43" s="295"/>
      <c r="BD43" s="294"/>
      <c r="BE43" s="295"/>
      <c r="BF43" s="294"/>
      <c r="BG43" s="295"/>
    </row>
    <row r="44" spans="1:61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5"/>
      <c r="AZ44" s="294"/>
      <c r="BA44" s="298"/>
      <c r="BB44" s="294"/>
      <c r="BC44" s="295"/>
      <c r="BD44" s="294"/>
      <c r="BE44" s="295"/>
      <c r="BF44" s="294"/>
      <c r="BG44" s="295"/>
    </row>
    <row r="45" spans="1:61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5">
        <f t="shared" ref="AY45:AY66" si="8">SUM(P45:AX45)</f>
        <v>0.14000000001396984</v>
      </c>
      <c r="AZ45" s="294"/>
      <c r="BA45" s="298">
        <f>160227-53528+6891+247-167365</f>
        <v>-53528</v>
      </c>
      <c r="BB45" s="294"/>
      <c r="BC45" s="295">
        <f>IF(+O45-AY45+BA45&gt;0,O45-AY45+BA45,0)</f>
        <v>0</v>
      </c>
      <c r="BD45" s="294"/>
      <c r="BE45" s="295">
        <f t="shared" ref="BE45:BE66" si="9">+BC45+AY45</f>
        <v>0.14000000001396984</v>
      </c>
      <c r="BF45" s="294"/>
      <c r="BG45" s="295">
        <f t="shared" ref="BG45:BG67" si="10">+O45-BE45</f>
        <v>53527.859999999986</v>
      </c>
    </row>
    <row r="46" spans="1:61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5">
        <f t="shared" si="8"/>
        <v>0.25</v>
      </c>
      <c r="AZ46" s="294"/>
      <c r="BA46" s="298">
        <f>460192-1228835+7968-468160</f>
        <v>-1228835</v>
      </c>
      <c r="BB46" s="294"/>
      <c r="BC46" s="295">
        <f>IF(+O46-AY46+BA46&gt;0,O46-AY46+BA46,0)</f>
        <v>0</v>
      </c>
      <c r="BD46" s="294"/>
      <c r="BE46" s="330">
        <f t="shared" si="9"/>
        <v>0.25</v>
      </c>
      <c r="BF46" s="294"/>
      <c r="BG46" s="295">
        <f t="shared" si="10"/>
        <v>1228834.75</v>
      </c>
      <c r="BI46" s="157"/>
    </row>
    <row r="47" spans="1:61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5">
        <f t="shared" si="8"/>
        <v>0</v>
      </c>
      <c r="AZ47" s="294"/>
      <c r="BA47" s="298">
        <f>1104+1154-20616</f>
        <v>-18358</v>
      </c>
      <c r="BB47" s="294"/>
      <c r="BC47" s="295">
        <f>IF(+O47-AY47+BA47&gt;0,O47-AY47+BA47,0)</f>
        <v>0</v>
      </c>
      <c r="BD47" s="294"/>
      <c r="BE47" s="295">
        <f t="shared" si="9"/>
        <v>0</v>
      </c>
      <c r="BF47" s="294"/>
      <c r="BG47" s="295">
        <f t="shared" si="10"/>
        <v>18358</v>
      </c>
    </row>
    <row r="48" spans="1:61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5">
        <f t="shared" si="8"/>
        <v>-0.26000000000931323</v>
      </c>
      <c r="AZ48" s="294"/>
      <c r="BA48" s="298">
        <f>249100-337106+942+676-250718</f>
        <v>-337106</v>
      </c>
      <c r="BB48" s="294"/>
      <c r="BC48" s="295">
        <v>0</v>
      </c>
      <c r="BD48" s="294"/>
      <c r="BE48" s="295">
        <f t="shared" si="9"/>
        <v>-0.26000000000931323</v>
      </c>
      <c r="BF48" s="294"/>
      <c r="BG48" s="295">
        <f t="shared" si="10"/>
        <v>337106.26</v>
      </c>
    </row>
    <row r="49" spans="1:59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5">
        <f t="shared" si="8"/>
        <v>0</v>
      </c>
      <c r="AZ49" s="294"/>
      <c r="BA49" s="298">
        <f>-95368</f>
        <v>-95368</v>
      </c>
      <c r="BB49" s="294"/>
      <c r="BC49" s="295">
        <f t="shared" ref="BC49:BC66" si="11">IF(+O49-AY49+BA49&gt;0,O49-AY49+BA49,0)</f>
        <v>0</v>
      </c>
      <c r="BD49" s="294"/>
      <c r="BE49" s="298">
        <f t="shared" si="9"/>
        <v>0</v>
      </c>
      <c r="BF49" s="294"/>
      <c r="BG49" s="295">
        <f t="shared" si="10"/>
        <v>95368</v>
      </c>
    </row>
    <row r="50" spans="1:59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5">
        <f t="shared" si="8"/>
        <v>0.42999999999301508</v>
      </c>
      <c r="AZ50" s="294"/>
      <c r="BA50" s="298">
        <f>73732-2765+6881+4743-85356</f>
        <v>-2765</v>
      </c>
      <c r="BB50" s="294"/>
      <c r="BC50" s="295">
        <f t="shared" si="11"/>
        <v>0</v>
      </c>
      <c r="BD50" s="294"/>
      <c r="BE50" s="330">
        <f t="shared" si="9"/>
        <v>0.42999999999301508</v>
      </c>
      <c r="BF50" s="294"/>
      <c r="BG50" s="295">
        <f t="shared" si="10"/>
        <v>2764.570000000007</v>
      </c>
    </row>
    <row r="51" spans="1:59" x14ac:dyDescent="0.2">
      <c r="A51" s="112"/>
      <c r="B51" s="31" t="s">
        <v>477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5">
        <f t="shared" si="8"/>
        <v>-0.34000000000003183</v>
      </c>
      <c r="AZ51" s="294"/>
      <c r="BA51" s="298">
        <f>920+2896+500+156-428-4044</f>
        <v>0</v>
      </c>
      <c r="BB51" s="294"/>
      <c r="BC51" s="295">
        <v>0</v>
      </c>
      <c r="BD51" s="294"/>
      <c r="BE51" s="295">
        <f>+BC51+AY51</f>
        <v>-0.34000000000003183</v>
      </c>
      <c r="BF51" s="294"/>
      <c r="BG51" s="295">
        <f t="shared" si="10"/>
        <v>0.34000000000003183</v>
      </c>
    </row>
    <row r="52" spans="1:59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5">
        <f t="shared" si="8"/>
        <v>0</v>
      </c>
      <c r="AZ52" s="294"/>
      <c r="BA52" s="298">
        <f>-13696-10000-165133</f>
        <v>-188829</v>
      </c>
      <c r="BB52" s="294"/>
      <c r="BC52" s="295">
        <f t="shared" si="11"/>
        <v>0</v>
      </c>
      <c r="BD52" s="294"/>
      <c r="BE52" s="305">
        <f t="shared" si="9"/>
        <v>0</v>
      </c>
      <c r="BF52" s="294"/>
      <c r="BG52" s="295">
        <f t="shared" si="10"/>
        <v>188829</v>
      </c>
    </row>
    <row r="53" spans="1:59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5">
        <f t="shared" si="8"/>
        <v>0</v>
      </c>
      <c r="AZ53" s="294"/>
      <c r="BA53" s="298">
        <f>38712-44266-38712</f>
        <v>-44266</v>
      </c>
      <c r="BB53" s="294"/>
      <c r="BC53" s="295">
        <f t="shared" si="11"/>
        <v>0</v>
      </c>
      <c r="BD53" s="294"/>
      <c r="BE53" s="295">
        <f t="shared" si="9"/>
        <v>0</v>
      </c>
      <c r="BF53" s="294"/>
      <c r="BG53" s="295">
        <f t="shared" si="10"/>
        <v>44266</v>
      </c>
    </row>
    <row r="54" spans="1:59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5">
        <f t="shared" si="8"/>
        <v>0</v>
      </c>
      <c r="AZ54" s="294"/>
      <c r="BA54" s="298">
        <f>16002-63897+115+64-16181</f>
        <v>-63897</v>
      </c>
      <c r="BB54" s="294"/>
      <c r="BC54" s="295">
        <f t="shared" si="11"/>
        <v>0</v>
      </c>
      <c r="BD54" s="294"/>
      <c r="BE54" s="295">
        <f t="shared" si="9"/>
        <v>0</v>
      </c>
      <c r="BF54" s="294"/>
      <c r="BG54" s="295">
        <f t="shared" si="10"/>
        <v>63897</v>
      </c>
    </row>
    <row r="55" spans="1:59" x14ac:dyDescent="0.2">
      <c r="A55" s="112"/>
      <c r="B55" s="31" t="s">
        <v>379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5">
        <f t="shared" si="8"/>
        <v>0.42000000000007276</v>
      </c>
      <c r="AZ55" s="294"/>
      <c r="BA55" s="298">
        <f>3672+5970+647-71558</f>
        <v>-61269</v>
      </c>
      <c r="BB55" s="294"/>
      <c r="BC55" s="295">
        <f t="shared" si="11"/>
        <v>0</v>
      </c>
      <c r="BD55" s="294"/>
      <c r="BE55" s="295">
        <f t="shared" si="9"/>
        <v>0.42000000000007276</v>
      </c>
      <c r="BF55" s="294"/>
      <c r="BG55" s="295">
        <f t="shared" si="10"/>
        <v>61268.58</v>
      </c>
    </row>
    <row r="56" spans="1:59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5">
        <f t="shared" si="8"/>
        <v>-0.25</v>
      </c>
      <c r="AZ56" s="294"/>
      <c r="BA56" s="298">
        <f>238467-424721-12000-25000-3375+494-198586</f>
        <v>-424721</v>
      </c>
      <c r="BB56" s="294"/>
      <c r="BC56" s="295">
        <v>0</v>
      </c>
      <c r="BD56" s="294"/>
      <c r="BE56" s="295">
        <f t="shared" si="9"/>
        <v>-0.25</v>
      </c>
      <c r="BF56" s="294"/>
      <c r="BG56" s="295">
        <f t="shared" si="10"/>
        <v>424721.25</v>
      </c>
    </row>
    <row r="57" spans="1:59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5">
        <f t="shared" si="8"/>
        <v>6.0000000001309672E-2</v>
      </c>
      <c r="AZ57" s="294"/>
      <c r="BA57" s="298">
        <f>-21954+771-44507</f>
        <v>-65690</v>
      </c>
      <c r="BB57" s="294"/>
      <c r="BC57" s="295">
        <f t="shared" si="11"/>
        <v>0</v>
      </c>
      <c r="BD57" s="294"/>
      <c r="BE57" s="295">
        <f t="shared" si="9"/>
        <v>6.0000000001309672E-2</v>
      </c>
      <c r="BF57" s="294"/>
      <c r="BG57" s="295">
        <f t="shared" si="10"/>
        <v>65689.94</v>
      </c>
    </row>
    <row r="58" spans="1:59" x14ac:dyDescent="0.2">
      <c r="A58" s="112"/>
      <c r="B58" s="31" t="s">
        <v>411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5">
        <f t="shared" si="8"/>
        <v>0.20000000018626451</v>
      </c>
      <c r="AZ58" s="294"/>
      <c r="BA58" s="298">
        <f>3625675-3447600+70597-3696272</f>
        <v>-3447600</v>
      </c>
      <c r="BB58" s="294"/>
      <c r="BC58" s="295">
        <f t="shared" si="11"/>
        <v>0</v>
      </c>
      <c r="BD58" s="294"/>
      <c r="BE58" s="295">
        <f t="shared" si="9"/>
        <v>0.20000000018626451</v>
      </c>
      <c r="BF58" s="294"/>
      <c r="BG58" s="295">
        <f t="shared" si="10"/>
        <v>3447599.8</v>
      </c>
    </row>
    <row r="59" spans="1:59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5">
        <f t="shared" si="8"/>
        <v>-0.41000000000349246</v>
      </c>
      <c r="AZ59" s="294"/>
      <c r="BA59" s="298">
        <f>218613-137799-3077+5000-220536</f>
        <v>-137799</v>
      </c>
      <c r="BB59" s="294"/>
      <c r="BC59" s="295">
        <v>0</v>
      </c>
      <c r="BD59" s="294"/>
      <c r="BE59" s="295">
        <f t="shared" si="9"/>
        <v>-0.41000000000349246</v>
      </c>
      <c r="BF59" s="294"/>
      <c r="BG59" s="295">
        <f t="shared" si="10"/>
        <v>137799.41</v>
      </c>
    </row>
    <row r="60" spans="1:59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5">
        <f t="shared" si="8"/>
        <v>0</v>
      </c>
      <c r="AZ60" s="294"/>
      <c r="BA60" s="298">
        <v>-8023</v>
      </c>
      <c r="BB60" s="294"/>
      <c r="BC60" s="295">
        <f t="shared" si="11"/>
        <v>0</v>
      </c>
      <c r="BD60" s="294"/>
      <c r="BE60" s="295">
        <f t="shared" si="9"/>
        <v>0</v>
      </c>
      <c r="BF60" s="294"/>
      <c r="BG60" s="295">
        <f t="shared" si="10"/>
        <v>8023</v>
      </c>
    </row>
    <row r="61" spans="1:59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5">
        <f t="shared" si="8"/>
        <v>0.26999999998952262</v>
      </c>
      <c r="AZ61" s="294"/>
      <c r="BA61" s="298">
        <f>29420-16989+187642+1029+530-218621</f>
        <v>-16989</v>
      </c>
      <c r="BB61" s="294"/>
      <c r="BC61" s="295">
        <f t="shared" si="11"/>
        <v>0</v>
      </c>
      <c r="BD61" s="294"/>
      <c r="BE61" s="295">
        <f t="shared" si="9"/>
        <v>0.26999999998952262</v>
      </c>
      <c r="BF61" s="294"/>
      <c r="BG61" s="295">
        <f t="shared" si="10"/>
        <v>16988.73000000001</v>
      </c>
    </row>
    <row r="62" spans="1:59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5">
        <f t="shared" si="8"/>
        <v>0.22000000000116415</v>
      </c>
      <c r="AZ62" s="294"/>
      <c r="BA62" s="298">
        <f>-222153-18659-54152-254036</f>
        <v>-549000</v>
      </c>
      <c r="BB62" s="294"/>
      <c r="BC62" s="295">
        <f t="shared" si="11"/>
        <v>0</v>
      </c>
      <c r="BD62" s="294"/>
      <c r="BE62" s="295">
        <f t="shared" si="9"/>
        <v>0.22000000000116415</v>
      </c>
      <c r="BF62" s="294"/>
      <c r="BG62" s="295">
        <f t="shared" si="10"/>
        <v>548999.78</v>
      </c>
    </row>
    <row r="63" spans="1:59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5">
        <f t="shared" si="8"/>
        <v>0.40000000000145519</v>
      </c>
      <c r="AZ63" s="294"/>
      <c r="BA63" s="298">
        <f>60192-134000-36192+8624+4217-369841</f>
        <v>-467000</v>
      </c>
      <c r="BB63" s="294"/>
      <c r="BC63" s="295">
        <f t="shared" si="11"/>
        <v>0</v>
      </c>
      <c r="BD63" s="294"/>
      <c r="BE63" s="295">
        <f>+BC63+AY63</f>
        <v>0.40000000000145519</v>
      </c>
      <c r="BF63" s="294"/>
      <c r="BG63" s="295">
        <f t="shared" si="10"/>
        <v>133999.6</v>
      </c>
    </row>
    <row r="64" spans="1:59" x14ac:dyDescent="0.2">
      <c r="A64" s="112"/>
      <c r="B64" s="31" t="s">
        <v>400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5">
        <f t="shared" si="8"/>
        <v>0</v>
      </c>
      <c r="AZ64" s="294"/>
      <c r="BA64" s="298">
        <f>121500-121500</f>
        <v>0</v>
      </c>
      <c r="BB64" s="294"/>
      <c r="BC64" s="295">
        <f t="shared" si="11"/>
        <v>0</v>
      </c>
      <c r="BD64" s="294"/>
      <c r="BE64" s="305">
        <f>+BC64+AY64</f>
        <v>0</v>
      </c>
      <c r="BF64" s="294"/>
      <c r="BG64" s="295">
        <f t="shared" si="10"/>
        <v>0</v>
      </c>
    </row>
    <row r="65" spans="1:59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5">
        <f t="shared" si="8"/>
        <v>0.3000000000174623</v>
      </c>
      <c r="AZ65" s="294"/>
      <c r="BA65" s="298">
        <f>494932-389130-157245-69998+66676-334365</f>
        <v>-389130</v>
      </c>
      <c r="BB65" s="294"/>
      <c r="BC65" s="295">
        <f t="shared" si="11"/>
        <v>0</v>
      </c>
      <c r="BD65" s="294"/>
      <c r="BE65" s="295">
        <f t="shared" si="9"/>
        <v>0.3000000000174623</v>
      </c>
      <c r="BF65" s="294"/>
      <c r="BG65" s="295">
        <f t="shared" si="10"/>
        <v>389129.69999999995</v>
      </c>
    </row>
    <row r="66" spans="1:59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5">
        <f t="shared" si="8"/>
        <v>0</v>
      </c>
      <c r="AZ66" s="294"/>
      <c r="BA66" s="298">
        <v>-23596</v>
      </c>
      <c r="BB66" s="294"/>
      <c r="BC66" s="295">
        <f t="shared" si="11"/>
        <v>0</v>
      </c>
      <c r="BD66" s="294"/>
      <c r="BE66" s="305">
        <f t="shared" si="9"/>
        <v>0</v>
      </c>
      <c r="BF66" s="294"/>
      <c r="BG66" s="295">
        <f t="shared" si="10"/>
        <v>23596</v>
      </c>
    </row>
    <row r="67" spans="1:59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8">
        <f>SUM(AS45:AS66)</f>
        <v>0</v>
      </c>
      <c r="AT67" s="314"/>
      <c r="AU67" s="328">
        <f>SUM(AU45:AU66)</f>
        <v>0</v>
      </c>
      <c r="AV67" s="314"/>
      <c r="AW67" s="328">
        <f>SUM(AW45:AW66)</f>
        <v>0</v>
      </c>
      <c r="AX67" s="314"/>
      <c r="AY67" s="329">
        <f>SUM(AY45:AY66)-1</f>
        <v>0.43000000019139861</v>
      </c>
      <c r="AZ67" s="294"/>
      <c r="BA67" s="328">
        <f>SUM(BA45:BA66)</f>
        <v>-7623769</v>
      </c>
      <c r="BB67" s="294"/>
      <c r="BC67" s="328">
        <f>SUM(BC45:BC66)</f>
        <v>0</v>
      </c>
      <c r="BD67" s="294"/>
      <c r="BE67" s="328">
        <f>SUM(BE45:BE66)</f>
        <v>1.4300000001913986</v>
      </c>
      <c r="BF67" s="294"/>
      <c r="BG67" s="328">
        <f t="shared" si="10"/>
        <v>7290767.5699999994</v>
      </c>
    </row>
    <row r="68" spans="1:59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5"/>
      <c r="AZ68" s="294"/>
      <c r="BA68" s="298"/>
      <c r="BB68" s="294"/>
      <c r="BC68" s="295"/>
      <c r="BD68" s="294"/>
      <c r="BE68" s="295"/>
      <c r="BF68" s="294"/>
      <c r="BG68" s="295"/>
    </row>
    <row r="69" spans="1:59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5"/>
      <c r="AZ69" s="294"/>
      <c r="BA69" s="298"/>
      <c r="BB69" s="294"/>
      <c r="BC69" s="295"/>
      <c r="BD69" s="294"/>
      <c r="BE69" s="295"/>
      <c r="BF69" s="294"/>
      <c r="BG69" s="295"/>
    </row>
    <row r="70" spans="1:59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5">
        <f t="shared" ref="AY70:AY93" si="13">SUM(P70:AX70)</f>
        <v>188285</v>
      </c>
      <c r="AZ70" s="294"/>
      <c r="BA70" s="298">
        <f>191106-215657+1585-4405-1</f>
        <v>-27372</v>
      </c>
      <c r="BB70" s="294"/>
      <c r="BC70" s="295">
        <f>+O70-AY70+BA70</f>
        <v>0</v>
      </c>
      <c r="BD70" s="294"/>
      <c r="BE70" s="332">
        <f t="shared" ref="BE70:BE93" si="14">+BC70+AY70</f>
        <v>188285</v>
      </c>
      <c r="BF70" s="333"/>
      <c r="BG70" s="295">
        <f t="shared" ref="BG70:BG93" si="15">+O70-BE70</f>
        <v>27372</v>
      </c>
    </row>
    <row r="71" spans="1:59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5">
        <f t="shared" si="13"/>
        <v>587072</v>
      </c>
      <c r="AZ71" s="294"/>
      <c r="BA71" s="298">
        <f>941599-728097+3994-182896-11700-80000-68967-14958</f>
        <v>-141025</v>
      </c>
      <c r="BB71" s="294"/>
      <c r="BC71" s="295">
        <f t="shared" ref="BC71:BC93" si="16">IF(+O71-AY71+BA71&gt;0,O71-AY71+BA71,0)</f>
        <v>0</v>
      </c>
      <c r="BD71" s="294"/>
      <c r="BE71" s="332">
        <f t="shared" si="14"/>
        <v>587072</v>
      </c>
      <c r="BF71" s="333"/>
      <c r="BG71" s="295">
        <f t="shared" si="15"/>
        <v>141025</v>
      </c>
    </row>
    <row r="72" spans="1:59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5">
        <f t="shared" si="13"/>
        <v>664284</v>
      </c>
      <c r="AZ72" s="294"/>
      <c r="BA72" s="298">
        <f>576387-294193+78026-21233+35797+8524+32773</f>
        <v>416081</v>
      </c>
      <c r="BB72" s="294"/>
      <c r="BC72" s="295">
        <f t="shared" si="16"/>
        <v>0</v>
      </c>
      <c r="BD72" s="294"/>
      <c r="BE72" s="295">
        <f t="shared" si="14"/>
        <v>664284</v>
      </c>
      <c r="BF72" s="294"/>
      <c r="BG72" s="295">
        <f t="shared" si="15"/>
        <v>-448117</v>
      </c>
    </row>
    <row r="73" spans="1:59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5">
        <f t="shared" si="13"/>
        <v>413241</v>
      </c>
      <c r="AZ73" s="294"/>
      <c r="BA73" s="298">
        <f>465834-365324-32814-15423+2234-6829+110</f>
        <v>47788</v>
      </c>
      <c r="BB73" s="294"/>
      <c r="BC73" s="295">
        <f t="shared" si="16"/>
        <v>0</v>
      </c>
      <c r="BD73" s="294"/>
      <c r="BE73" s="305">
        <f t="shared" si="14"/>
        <v>413241</v>
      </c>
      <c r="BF73" s="294"/>
      <c r="BG73" s="295">
        <f t="shared" si="15"/>
        <v>-47917</v>
      </c>
    </row>
    <row r="74" spans="1:59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8"/>
      <c r="AT74" s="298"/>
      <c r="AU74" s="298"/>
      <c r="AV74" s="298"/>
      <c r="AW74" s="298"/>
      <c r="AX74" s="298"/>
      <c r="AY74" s="295">
        <f t="shared" si="13"/>
        <v>1170056</v>
      </c>
      <c r="AZ74" s="294"/>
      <c r="BA74" s="298">
        <f>1156402-1364088+6490-21647+5350+18290-1842</f>
        <v>-201045</v>
      </c>
      <c r="BB74" s="294"/>
      <c r="BC74" s="305">
        <f>IF(+O74-AY74+BA74&gt;0,O74-AY74+BA74,0)</f>
        <v>0</v>
      </c>
      <c r="BD74" s="294"/>
      <c r="BE74" s="295">
        <f t="shared" si="14"/>
        <v>1170056</v>
      </c>
      <c r="BF74" s="294"/>
      <c r="BG74" s="295">
        <f t="shared" si="15"/>
        <v>194032</v>
      </c>
    </row>
    <row r="75" spans="1:59" x14ac:dyDescent="0.2">
      <c r="A75" s="312"/>
      <c r="B75" s="31" t="s">
        <v>387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5">
        <f t="shared" si="13"/>
        <v>43137</v>
      </c>
      <c r="AZ75" s="294"/>
      <c r="BA75" s="298">
        <f>1900+3400-13020-25015</f>
        <v>-32735</v>
      </c>
      <c r="BB75" s="294"/>
      <c r="BC75" s="295">
        <f t="shared" si="16"/>
        <v>0</v>
      </c>
      <c r="BD75" s="294"/>
      <c r="BE75" s="332">
        <f t="shared" si="14"/>
        <v>43137</v>
      </c>
      <c r="BF75" s="294"/>
      <c r="BG75" s="295">
        <f t="shared" si="15"/>
        <v>32735</v>
      </c>
    </row>
    <row r="76" spans="1:59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5">
        <f t="shared" si="13"/>
        <v>98863</v>
      </c>
      <c r="AZ76" s="294"/>
      <c r="BA76" s="298">
        <f>77010-50931-1781+19184+505</f>
        <v>43987</v>
      </c>
      <c r="BB76" s="294"/>
      <c r="BC76" s="295">
        <f t="shared" si="16"/>
        <v>0</v>
      </c>
      <c r="BD76" s="294"/>
      <c r="BE76" s="334">
        <f t="shared" si="14"/>
        <v>98863</v>
      </c>
      <c r="BF76" s="335"/>
      <c r="BG76" s="295">
        <f t="shared" si="15"/>
        <v>-47932</v>
      </c>
    </row>
    <row r="77" spans="1:59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8"/>
      <c r="AT77" s="298"/>
      <c r="AU77" s="298"/>
      <c r="AV77" s="298"/>
      <c r="AW77" s="298"/>
      <c r="AX77" s="298"/>
      <c r="AY77" s="295">
        <f t="shared" si="13"/>
        <v>48831</v>
      </c>
      <c r="AZ77" s="294"/>
      <c r="BA77" s="298">
        <f>48154-19817+102+575</f>
        <v>29014</v>
      </c>
      <c r="BB77" s="294"/>
      <c r="BC77" s="295">
        <f t="shared" si="16"/>
        <v>0</v>
      </c>
      <c r="BD77" s="294"/>
      <c r="BE77" s="332">
        <f t="shared" si="14"/>
        <v>48831</v>
      </c>
      <c r="BF77" s="294"/>
      <c r="BG77" s="295">
        <f t="shared" si="15"/>
        <v>-29014</v>
      </c>
    </row>
    <row r="78" spans="1:59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5">
        <f t="shared" si="13"/>
        <v>333940</v>
      </c>
      <c r="AZ78" s="294"/>
      <c r="BA78" s="298">
        <f>323912-262088+5985+6945-2902</f>
        <v>71852</v>
      </c>
      <c r="BB78" s="294"/>
      <c r="BC78" s="295">
        <f t="shared" si="16"/>
        <v>0</v>
      </c>
      <c r="BD78" s="294"/>
      <c r="BE78" s="332">
        <f t="shared" si="14"/>
        <v>333940</v>
      </c>
      <c r="BF78" s="294"/>
      <c r="BG78" s="295">
        <f t="shared" si="15"/>
        <v>-71852</v>
      </c>
    </row>
    <row r="79" spans="1:59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5">
        <f t="shared" si="13"/>
        <v>0</v>
      </c>
      <c r="AZ79" s="294"/>
      <c r="BA79" s="298">
        <v>0</v>
      </c>
      <c r="BB79" s="294"/>
      <c r="BC79" s="295">
        <f t="shared" si="16"/>
        <v>0</v>
      </c>
      <c r="BD79" s="294"/>
      <c r="BE79" s="332">
        <f t="shared" si="14"/>
        <v>0</v>
      </c>
      <c r="BF79" s="294"/>
      <c r="BG79" s="295">
        <f t="shared" si="15"/>
        <v>0</v>
      </c>
    </row>
    <row r="80" spans="1:59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8"/>
      <c r="AT80" s="298"/>
      <c r="AU80" s="298"/>
      <c r="AV80" s="298"/>
      <c r="AW80" s="298"/>
      <c r="AX80" s="298"/>
      <c r="AY80" s="295">
        <f t="shared" si="13"/>
        <v>447473.58</v>
      </c>
      <c r="AZ80" s="294"/>
      <c r="BA80" s="298">
        <f>254350-187673+26013+4723+866+940+167365+463-9111+1865</f>
        <v>259801</v>
      </c>
      <c r="BB80" s="294"/>
      <c r="BC80" s="295">
        <f t="shared" si="16"/>
        <v>0.41999999998370185</v>
      </c>
      <c r="BD80" s="294"/>
      <c r="BE80" s="336">
        <f t="shared" si="14"/>
        <v>447474</v>
      </c>
      <c r="BF80" s="335"/>
      <c r="BG80" s="295">
        <f t="shared" si="15"/>
        <v>-259801</v>
      </c>
    </row>
    <row r="81" spans="1:61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5">
        <f t="shared" si="13"/>
        <v>0</v>
      </c>
      <c r="AZ81" s="294"/>
      <c r="BA81" s="298">
        <f>4500+7000+4000-15500</f>
        <v>0</v>
      </c>
      <c r="BB81" s="294"/>
      <c r="BC81" s="295">
        <f t="shared" si="16"/>
        <v>0</v>
      </c>
      <c r="BD81" s="294"/>
      <c r="BE81" s="332">
        <f t="shared" si="14"/>
        <v>0</v>
      </c>
      <c r="BF81" s="294"/>
      <c r="BG81" s="295">
        <f t="shared" si="15"/>
        <v>0</v>
      </c>
    </row>
    <row r="82" spans="1:61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5">
        <f t="shared" si="13"/>
        <v>300460</v>
      </c>
      <c r="AZ82" s="294"/>
      <c r="BA82" s="298">
        <f>264308-148167-5008+42719-1700-53</f>
        <v>152099</v>
      </c>
      <c r="BB82" s="294"/>
      <c r="BC82" s="295">
        <f t="shared" si="16"/>
        <v>0</v>
      </c>
      <c r="BD82" s="294"/>
      <c r="BE82" s="332">
        <f t="shared" si="14"/>
        <v>300460</v>
      </c>
      <c r="BF82" s="294"/>
      <c r="BG82" s="295">
        <f t="shared" si="15"/>
        <v>-152293</v>
      </c>
    </row>
    <row r="83" spans="1:61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5">
        <f t="shared" si="13"/>
        <v>0</v>
      </c>
      <c r="AZ83" s="294"/>
      <c r="BA83" s="298">
        <v>0</v>
      </c>
      <c r="BB83" s="294"/>
      <c r="BC83" s="295">
        <f t="shared" si="16"/>
        <v>0</v>
      </c>
      <c r="BD83" s="294"/>
      <c r="BE83" s="332">
        <f t="shared" si="14"/>
        <v>0</v>
      </c>
      <c r="BF83" s="294"/>
      <c r="BG83" s="295">
        <f t="shared" si="15"/>
        <v>0</v>
      </c>
    </row>
    <row r="84" spans="1:61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8"/>
      <c r="AT84" s="298"/>
      <c r="AU84" s="298"/>
      <c r="AV84" s="298"/>
      <c r="AW84" s="298"/>
      <c r="AX84" s="298"/>
      <c r="AY84" s="295">
        <f t="shared" si="13"/>
        <v>2413821.5000000005</v>
      </c>
      <c r="AZ84" s="294"/>
      <c r="BA84" s="298">
        <f>538290-516773+79110+19604-3216+7934+468160-20616+250718+85356+4044+165133+38712+16181+1+76+268+965-1375</f>
        <v>1132572</v>
      </c>
      <c r="BB84" s="294"/>
      <c r="BC84" s="305">
        <f>IF(+O84-AY84+BA84&gt;0,O84-AY84+BA84,0)</f>
        <v>0</v>
      </c>
      <c r="BD84" s="294"/>
      <c r="BE84" s="334">
        <f t="shared" si="14"/>
        <v>2413821.5000000005</v>
      </c>
      <c r="BF84" s="335"/>
      <c r="BG84" s="295">
        <f t="shared" si="15"/>
        <v>-1897048.5000000005</v>
      </c>
    </row>
    <row r="85" spans="1:61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5">
        <f t="shared" si="13"/>
        <v>0</v>
      </c>
      <c r="AZ85" s="294"/>
      <c r="BA85" s="298">
        <f>-33473+32000+5496-16186-107399</f>
        <v>-119562</v>
      </c>
      <c r="BB85" s="294"/>
      <c r="BC85" s="295">
        <f t="shared" si="16"/>
        <v>0</v>
      </c>
      <c r="BD85" s="294"/>
      <c r="BE85" s="336">
        <f t="shared" si="14"/>
        <v>0</v>
      </c>
      <c r="BF85" s="294"/>
      <c r="BG85" s="295">
        <f t="shared" si="15"/>
        <v>119562</v>
      </c>
    </row>
    <row r="86" spans="1:61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5">
        <f t="shared" si="13"/>
        <v>1056708</v>
      </c>
      <c r="AZ86" s="294"/>
      <c r="BA86" s="298">
        <f>673192-546363+170783+33483+43023+136227</f>
        <v>510345</v>
      </c>
      <c r="BB86" s="294"/>
      <c r="BC86" s="295">
        <f t="shared" si="16"/>
        <v>0</v>
      </c>
      <c r="BD86" s="294"/>
      <c r="BE86" s="336">
        <f t="shared" si="14"/>
        <v>1056708</v>
      </c>
      <c r="BF86" s="294"/>
      <c r="BG86" s="295">
        <f t="shared" si="15"/>
        <v>-510345</v>
      </c>
    </row>
    <row r="87" spans="1:61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8"/>
      <c r="AT87" s="298"/>
      <c r="AU87" s="298"/>
      <c r="AV87" s="298"/>
      <c r="AW87" s="298"/>
      <c r="AX87" s="298"/>
      <c r="AY87" s="295">
        <f t="shared" si="13"/>
        <v>415156.16000000003</v>
      </c>
      <c r="AZ87" s="294"/>
      <c r="BA87" s="298">
        <f>-5507+57245-3993-21374+71558+198586+44507+19020-20-139275+4440</f>
        <v>225187</v>
      </c>
      <c r="BB87" s="294"/>
      <c r="BC87" s="295">
        <f t="shared" si="16"/>
        <v>0</v>
      </c>
      <c r="BD87" s="294"/>
      <c r="BE87" s="336">
        <f t="shared" si="14"/>
        <v>415156.16000000003</v>
      </c>
      <c r="BF87" s="335"/>
      <c r="BG87" s="295">
        <f t="shared" si="15"/>
        <v>-225187.16000000003</v>
      </c>
    </row>
    <row r="88" spans="1:61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5">
        <f t="shared" si="13"/>
        <v>327913.2</v>
      </c>
      <c r="AZ88" s="294"/>
      <c r="BA88" s="298">
        <f>406493-447894-30809-34000+28995-71075</f>
        <v>-148290</v>
      </c>
      <c r="BB88" s="294"/>
      <c r="BC88" s="295">
        <f t="shared" si="16"/>
        <v>0</v>
      </c>
      <c r="BD88" s="294"/>
      <c r="BE88" s="334">
        <f t="shared" si="14"/>
        <v>327913.2</v>
      </c>
      <c r="BF88" s="294"/>
      <c r="BG88" s="295">
        <f t="shared" si="15"/>
        <v>119980.79999999999</v>
      </c>
    </row>
    <row r="89" spans="1:61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8"/>
      <c r="AT89" s="298"/>
      <c r="AU89" s="298"/>
      <c r="AV89" s="298"/>
      <c r="AW89" s="298"/>
      <c r="AX89" s="298"/>
      <c r="AY89" s="295">
        <f t="shared" si="13"/>
        <v>263488</v>
      </c>
      <c r="AZ89" s="294"/>
      <c r="BA89" s="298">
        <f>167000-40000-23670-8000+7500</f>
        <v>102830</v>
      </c>
      <c r="BB89" s="294"/>
      <c r="BC89" s="295">
        <f t="shared" si="16"/>
        <v>0</v>
      </c>
      <c r="BD89" s="294"/>
      <c r="BE89" s="332">
        <f t="shared" si="14"/>
        <v>263488</v>
      </c>
      <c r="BF89" s="294"/>
      <c r="BG89" s="295">
        <f t="shared" si="15"/>
        <v>-102830</v>
      </c>
    </row>
    <row r="90" spans="1:61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8"/>
      <c r="AT90" s="298"/>
      <c r="AU90" s="298"/>
      <c r="AV90" s="298"/>
      <c r="AW90" s="298"/>
      <c r="AX90" s="298"/>
      <c r="AY90" s="295">
        <f t="shared" si="13"/>
        <v>3929571.67</v>
      </c>
      <c r="AZ90" s="294"/>
      <c r="BA90" s="298">
        <f>180090-184852+3173+455+3696372-100-18</f>
        <v>3695120</v>
      </c>
      <c r="BB90" s="294"/>
      <c r="BC90" s="305">
        <f>IF(+O90-AY90+BA90&gt;0,O90-AY90+BA90,0)</f>
        <v>0</v>
      </c>
      <c r="BD90" s="294"/>
      <c r="BE90" s="336">
        <f t="shared" si="14"/>
        <v>3929571.67</v>
      </c>
      <c r="BF90" s="335"/>
      <c r="BG90" s="295">
        <f t="shared" si="15"/>
        <v>-3744719.67</v>
      </c>
    </row>
    <row r="91" spans="1:61" x14ac:dyDescent="0.2">
      <c r="A91" s="312"/>
      <c r="B91" s="31" t="s">
        <v>505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8"/>
      <c r="AT91" s="298"/>
      <c r="AU91" s="298"/>
      <c r="AV91" s="298"/>
      <c r="AW91" s="298"/>
      <c r="AX91" s="298"/>
      <c r="AY91" s="295">
        <f t="shared" si="13"/>
        <v>3485114.99</v>
      </c>
      <c r="AZ91" s="294"/>
      <c r="BA91" s="298">
        <f>2012139-2065720-92000+54858+42061+123096+971+59988+3081-100000+138344+26421+96919+220536+218621+254036+36841+334365+10000-5000-4089+4089-892+94+20900</f>
        <v>1389659</v>
      </c>
      <c r="BB91" s="294"/>
      <c r="BC91" s="305">
        <f>IF(+O91-AY91+BA91&gt;0,O91-AY91+BA91,0)</f>
        <v>0</v>
      </c>
      <c r="BD91" s="294"/>
      <c r="BE91" s="336">
        <f t="shared" si="14"/>
        <v>3485114.99</v>
      </c>
      <c r="BF91" s="335"/>
      <c r="BG91" s="295">
        <f t="shared" si="15"/>
        <v>-1419394.9900000002</v>
      </c>
      <c r="BI91" s="157" t="s">
        <v>499</v>
      </c>
    </row>
    <row r="92" spans="1:61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8"/>
      <c r="AT92" s="298"/>
      <c r="AU92" s="298"/>
      <c r="AV92" s="298"/>
      <c r="AW92" s="298"/>
      <c r="AX92" s="298"/>
      <c r="AY92" s="295">
        <f t="shared" si="13"/>
        <v>6379557.8999999994</v>
      </c>
      <c r="AZ92" s="294"/>
      <c r="BA92" s="298">
        <f>7742040-7202626-274000+1184+48511-14251-1130849+6922</f>
        <v>-823069</v>
      </c>
      <c r="BB92" s="294"/>
      <c r="BC92" s="295">
        <f t="shared" si="16"/>
        <v>0</v>
      </c>
      <c r="BD92" s="294"/>
      <c r="BE92" s="295">
        <f t="shared" si="14"/>
        <v>6379557.8999999994</v>
      </c>
      <c r="BF92" s="294"/>
      <c r="BG92" s="295">
        <f t="shared" si="15"/>
        <v>823068.10000000056</v>
      </c>
    </row>
    <row r="93" spans="1:61" x14ac:dyDescent="0.2">
      <c r="A93" s="312"/>
      <c r="B93" s="31" t="s">
        <v>533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8"/>
      <c r="AT93" s="298"/>
      <c r="AU93" s="298"/>
      <c r="AV93" s="298"/>
      <c r="AW93" s="298"/>
      <c r="AX93" s="298"/>
      <c r="AY93" s="295">
        <f t="shared" si="13"/>
        <v>127919.9</v>
      </c>
      <c r="AZ93" s="294"/>
      <c r="BA93" s="298">
        <v>0</v>
      </c>
      <c r="BB93" s="294"/>
      <c r="BC93" s="295">
        <f t="shared" si="16"/>
        <v>0</v>
      </c>
      <c r="BD93" s="294"/>
      <c r="BE93" s="295">
        <f t="shared" si="14"/>
        <v>127919.9</v>
      </c>
      <c r="BF93" s="294"/>
      <c r="BG93" s="295">
        <f t="shared" si="15"/>
        <v>-127919.9</v>
      </c>
    </row>
    <row r="94" spans="1:61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7">SUM(U70:U93)</f>
        <v>1189900</v>
      </c>
      <c r="V94" s="328"/>
      <c r="W94" s="328">
        <f t="shared" si="17"/>
        <v>461116</v>
      </c>
      <c r="X94" s="328"/>
      <c r="Y94" s="328">
        <f t="shared" si="17"/>
        <v>1594323</v>
      </c>
      <c r="Z94" s="328"/>
      <c r="AA94" s="328">
        <f t="shared" si="17"/>
        <v>965743.78</v>
      </c>
      <c r="AB94" s="328"/>
      <c r="AC94" s="328">
        <f t="shared" si="17"/>
        <v>2922488.1100000003</v>
      </c>
      <c r="AD94" s="328"/>
      <c r="AE94" s="328">
        <f t="shared" si="17"/>
        <v>3187609.7299999995</v>
      </c>
      <c r="AF94" s="328"/>
      <c r="AG94" s="328">
        <f t="shared" si="17"/>
        <v>9379773.2799999993</v>
      </c>
      <c r="AH94" s="328"/>
      <c r="AI94" s="328">
        <f t="shared" si="17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8">
        <f>SUM(AS70:AS93)</f>
        <v>0</v>
      </c>
      <c r="AT94" s="314"/>
      <c r="AU94" s="328">
        <f>SUM(AU70:AU93)</f>
        <v>0</v>
      </c>
      <c r="AV94" s="314"/>
      <c r="AW94" s="328">
        <f>SUM(AW70:AW93)</f>
        <v>0</v>
      </c>
      <c r="AX94" s="314"/>
      <c r="AY94" s="329">
        <f>SUM(AY70:AY93)</f>
        <v>22694893.899999999</v>
      </c>
      <c r="AZ94" s="294"/>
      <c r="BA94" s="328">
        <f>SUM(BA70:BA93)</f>
        <v>6583237</v>
      </c>
      <c r="BB94" s="294"/>
      <c r="BC94" s="329">
        <f>SUM(BC70:BC93)</f>
        <v>0.41999999998370185</v>
      </c>
      <c r="BD94" s="294"/>
      <c r="BE94" s="329">
        <f>SUM(BE70:BE93)</f>
        <v>22694894.319999997</v>
      </c>
      <c r="BF94" s="294"/>
      <c r="BG94" s="328">
        <f>SUM(BG70:BG93)</f>
        <v>-7626596.3200000012</v>
      </c>
    </row>
    <row r="95" spans="1:61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5"/>
      <c r="AZ95" s="294"/>
      <c r="BA95" s="298"/>
      <c r="BB95" s="294"/>
      <c r="BC95" s="295"/>
      <c r="BD95" s="294"/>
      <c r="BE95" s="295"/>
      <c r="BF95" s="294"/>
      <c r="BG95" s="295"/>
    </row>
    <row r="96" spans="1:61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5"/>
      <c r="AZ96" s="294"/>
      <c r="BA96" s="298"/>
      <c r="BB96" s="294"/>
      <c r="BC96" s="295"/>
      <c r="BD96" s="294"/>
      <c r="BE96" s="295"/>
      <c r="BF96" s="294"/>
      <c r="BG96" s="295"/>
    </row>
    <row r="97" spans="1:60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8"/>
      <c r="AT97" s="298"/>
      <c r="AU97" s="298"/>
      <c r="AV97" s="298"/>
      <c r="AW97" s="298"/>
      <c r="AX97" s="298"/>
      <c r="AY97" s="295">
        <f t="shared" ref="AY97:AY104" si="18">SUM(P97:AX97)</f>
        <v>858061.69</v>
      </c>
      <c r="AZ97" s="294"/>
      <c r="BA97" s="298">
        <f>320853-561095+95622-7568-7492-19784-21665-18819-213000</f>
        <v>-432948</v>
      </c>
      <c r="BB97" s="294"/>
      <c r="BC97" s="305">
        <f>IF(+O97-AY97+BA97&gt;0,O97-AY97+BA97,0)</f>
        <v>0</v>
      </c>
      <c r="BD97" s="294"/>
      <c r="BE97" s="295">
        <f t="shared" ref="BE97:BE106" si="19">+BC97+AY97</f>
        <v>858061.69</v>
      </c>
      <c r="BF97" s="294"/>
      <c r="BG97" s="295">
        <f>+O97-BE97</f>
        <v>-296966.68999999994</v>
      </c>
    </row>
    <row r="98" spans="1:60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5">
        <f t="shared" si="18"/>
        <v>85579</v>
      </c>
      <c r="AZ98" s="294"/>
      <c r="BA98" s="298">
        <f>66389-69206+9238+10739+5845+27093-33725</f>
        <v>16373</v>
      </c>
      <c r="BB98" s="294"/>
      <c r="BC98" s="295">
        <f>IF(+O98-AY98+BA98&gt;0,O98-AY98+BA98,0)</f>
        <v>0</v>
      </c>
      <c r="BD98" s="294"/>
      <c r="BE98" s="295">
        <f t="shared" si="19"/>
        <v>85579</v>
      </c>
      <c r="BF98" s="294"/>
      <c r="BG98" s="295">
        <f>+O98-BE98</f>
        <v>-16373</v>
      </c>
    </row>
    <row r="99" spans="1:60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8"/>
      <c r="AT99" s="298"/>
      <c r="AU99" s="298"/>
      <c r="AV99" s="298"/>
      <c r="AW99" s="298"/>
      <c r="AX99" s="298"/>
      <c r="AY99" s="295">
        <f t="shared" si="18"/>
        <v>1138990</v>
      </c>
      <c r="AZ99" s="294"/>
      <c r="BA99" s="298">
        <f>895158-887183+28245+56579+90195+64738+29700-39923+14298</f>
        <v>251807</v>
      </c>
      <c r="BB99" s="294"/>
      <c r="BC99" s="295">
        <f>IF(+O99-AY99+BA99&gt;0,O99-AY99+BA99,0)</f>
        <v>0</v>
      </c>
      <c r="BD99" s="294"/>
      <c r="BE99" s="295">
        <f t="shared" si="19"/>
        <v>1138990</v>
      </c>
      <c r="BF99" s="294"/>
      <c r="BG99" s="295">
        <f>+O99-BE99</f>
        <v>-251807</v>
      </c>
    </row>
    <row r="100" spans="1:60" x14ac:dyDescent="0.2">
      <c r="A100" s="112"/>
      <c r="B100" s="31" t="s">
        <v>524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5">
        <f t="shared" si="18"/>
        <v>5323049</v>
      </c>
      <c r="AZ100" s="294"/>
      <c r="BA100" s="298">
        <f>3037385-3827456+361966+68081-76645+99613+294303-172526+32783+20320-6208-986035</f>
        <v>-1154419</v>
      </c>
      <c r="BB100" s="294"/>
      <c r="BC100" s="295">
        <f>IF(+O100-AY100+BA100&gt;0,O100-AY100+BA100,0)</f>
        <v>0</v>
      </c>
      <c r="BD100" s="294"/>
      <c r="BE100" s="295">
        <f t="shared" si="19"/>
        <v>5323049</v>
      </c>
      <c r="BF100" s="294"/>
      <c r="BG100" s="295">
        <f>+O100-BE100</f>
        <v>1154419</v>
      </c>
    </row>
    <row r="101" spans="1:60" x14ac:dyDescent="0.2">
      <c r="A101" s="112"/>
      <c r="B101" s="31" t="s">
        <v>525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5">
        <f t="shared" si="18"/>
        <v>2149066</v>
      </c>
      <c r="AZ101" s="294"/>
      <c r="BA101" s="298">
        <f>747249-815943+39078-2-20884+794766+399529-11342+9723-42261</f>
        <v>1099913</v>
      </c>
      <c r="BB101" s="294"/>
      <c r="BC101" s="305">
        <f>IF(+O101-AY101+BA101&gt;0,O101-AY101+BA101,0)</f>
        <v>0</v>
      </c>
      <c r="BD101" s="294"/>
      <c r="BE101" s="338">
        <f t="shared" si="19"/>
        <v>2149066</v>
      </c>
      <c r="BF101" s="335"/>
      <c r="BG101" s="295">
        <f>+O101-BE101</f>
        <v>-1333123</v>
      </c>
    </row>
    <row r="102" spans="1:60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0">
        <f>SUM(AS97:AS101)</f>
        <v>0</v>
      </c>
      <c r="AT102" s="341"/>
      <c r="AU102" s="340">
        <f>SUM(AU97:AU101)</f>
        <v>0</v>
      </c>
      <c r="AV102" s="341"/>
      <c r="AW102" s="340">
        <f>SUM(AW97:AW101)</f>
        <v>0</v>
      </c>
      <c r="AX102" s="341"/>
      <c r="AY102" s="342">
        <f>SUM(AY97:AY101)</f>
        <v>9554745.6899999995</v>
      </c>
      <c r="AZ102" s="294"/>
      <c r="BA102" s="340">
        <f>SUM(BA97:BA101)</f>
        <v>-219274</v>
      </c>
      <c r="BB102" s="294"/>
      <c r="BC102" s="342">
        <f>SUM(BC97:BC101)</f>
        <v>0</v>
      </c>
      <c r="BD102" s="294"/>
      <c r="BE102" s="327">
        <f>SUM(BE97:BE101)</f>
        <v>9554745.6899999995</v>
      </c>
      <c r="BF102" s="294"/>
      <c r="BG102" s="340">
        <f>SUM(BG97:BG101)</f>
        <v>-743850.69</v>
      </c>
    </row>
    <row r="103" spans="1:60" x14ac:dyDescent="0.2">
      <c r="A103" s="385" t="s">
        <v>543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6"/>
      <c r="AT103" s="296"/>
      <c r="AU103" s="296"/>
      <c r="AV103" s="296"/>
      <c r="AW103" s="296"/>
      <c r="AX103" s="296"/>
      <c r="AY103" s="295">
        <f t="shared" si="18"/>
        <v>284000</v>
      </c>
      <c r="AZ103" s="294"/>
      <c r="BA103" s="355">
        <v>284000</v>
      </c>
      <c r="BB103" s="294"/>
      <c r="BC103" s="355">
        <v>0</v>
      </c>
      <c r="BD103" s="294"/>
      <c r="BE103" s="299">
        <f t="shared" si="19"/>
        <v>284000</v>
      </c>
      <c r="BF103" s="294"/>
      <c r="BG103" s="295">
        <f>+O103-BE103</f>
        <v>-284000</v>
      </c>
    </row>
    <row r="104" spans="1:60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6">
        <v>0</v>
      </c>
      <c r="AT104" s="296"/>
      <c r="AU104" s="296">
        <v>0</v>
      </c>
      <c r="AV104" s="296"/>
      <c r="AW104" s="296">
        <v>0</v>
      </c>
      <c r="AX104" s="296"/>
      <c r="AY104" s="295">
        <f t="shared" si="18"/>
        <v>409775.52000000008</v>
      </c>
      <c r="AZ104" s="294"/>
      <c r="BA104" s="296">
        <f>4238</f>
        <v>4238</v>
      </c>
      <c r="BB104" s="294"/>
      <c r="BC104" s="305">
        <f>IF(+O104-AY104+BA104&gt;0,O104-AY104+BA104,0)-320962</f>
        <v>0.47999999992316589</v>
      </c>
      <c r="BD104" s="294"/>
      <c r="BE104" s="295">
        <f t="shared" si="19"/>
        <v>409776</v>
      </c>
      <c r="BF104" s="294"/>
      <c r="BG104" s="295">
        <f>+O104-BE104</f>
        <v>316724</v>
      </c>
    </row>
    <row r="105" spans="1:60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5"/>
      <c r="AZ105" s="294"/>
      <c r="BA105" s="298"/>
      <c r="BB105" s="294"/>
      <c r="BC105" s="295"/>
      <c r="BD105" s="294"/>
      <c r="BE105" s="295"/>
      <c r="BF105" s="294"/>
      <c r="BG105" s="295"/>
    </row>
    <row r="106" spans="1:60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0</v>
      </c>
      <c r="AT106" s="296"/>
      <c r="AU106" s="296">
        <f>AU104+AU102+AU94+AU67+AU103</f>
        <v>0</v>
      </c>
      <c r="AV106" s="296"/>
      <c r="AW106" s="296">
        <f>AW104+AW102+AW94+AW67+AW103</f>
        <v>0</v>
      </c>
      <c r="AX106" s="296"/>
      <c r="AY106" s="296">
        <f>AY104+AY102+AY94+AY67+AY103</f>
        <v>32943415.539999999</v>
      </c>
      <c r="AZ106" s="294"/>
      <c r="BA106" s="296">
        <f>BA104+BA102+BA94+BA67+BA103</f>
        <v>-971568</v>
      </c>
      <c r="BB106" s="294"/>
      <c r="BC106" s="299">
        <f>BC104+BC102+BC94+BC67+BC103-1</f>
        <v>-0.10000000009313226</v>
      </c>
      <c r="BD106" s="294"/>
      <c r="BE106" s="299">
        <f t="shared" si="19"/>
        <v>32943415.439999998</v>
      </c>
      <c r="BF106" s="294"/>
      <c r="BG106" s="296">
        <f>+O106-BE106</f>
        <v>-1046953.4399999976</v>
      </c>
    </row>
    <row r="107" spans="1:60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9"/>
      <c r="AZ107" s="294"/>
      <c r="BA107" s="296"/>
      <c r="BB107" s="294"/>
      <c r="BC107" s="299"/>
      <c r="BD107" s="294"/>
      <c r="BE107" s="299"/>
      <c r="BF107" s="294"/>
      <c r="BG107" s="299"/>
    </row>
    <row r="108" spans="1:60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9"/>
      <c r="AZ108" s="294"/>
      <c r="BA108" s="296"/>
      <c r="BB108" s="294"/>
      <c r="BC108" s="299"/>
      <c r="BD108" s="294"/>
      <c r="BE108" s="299"/>
      <c r="BF108" s="294"/>
      <c r="BG108" s="299"/>
    </row>
    <row r="109" spans="1:60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8">
        <f>AS106+AS41+AS33</f>
        <v>0</v>
      </c>
      <c r="AT109" s="348"/>
      <c r="AU109" s="348">
        <f>AU106+AU41+AU33</f>
        <v>0</v>
      </c>
      <c r="AV109" s="348"/>
      <c r="AW109" s="348">
        <f>AW106+AW41+AW33</f>
        <v>0</v>
      </c>
      <c r="AX109" s="348"/>
      <c r="AY109" s="347">
        <f>AY106+AY41+AY33</f>
        <v>115176272.78</v>
      </c>
      <c r="AZ109" s="347"/>
      <c r="BA109" s="348">
        <f>BA106+BA41+BA33</f>
        <v>721937</v>
      </c>
      <c r="BB109" s="347"/>
      <c r="BC109" s="347">
        <f>BC106+BC41</f>
        <v>1519.0899999999674</v>
      </c>
      <c r="BD109" s="346"/>
      <c r="BE109" s="347">
        <f t="shared" ref="BE109:BE132" si="20">+BC109+AY109</f>
        <v>115177791.87</v>
      </c>
      <c r="BF109" s="346"/>
      <c r="BG109" s="348">
        <f>+O109-BE109</f>
        <v>-3267726.8700000048</v>
      </c>
      <c r="BH109" s="23"/>
    </row>
    <row r="110" spans="1:60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9"/>
      <c r="AU110" s="339"/>
      <c r="AV110" s="339"/>
      <c r="AW110" s="339"/>
      <c r="AX110" s="339"/>
      <c r="AY110" s="352"/>
      <c r="AZ110" s="294"/>
      <c r="BA110" s="339"/>
      <c r="BB110" s="294"/>
      <c r="BC110" s="352"/>
      <c r="BD110" s="351"/>
      <c r="BE110" s="352"/>
      <c r="BF110" s="351"/>
      <c r="BG110" s="352"/>
    </row>
    <row r="111" spans="1:60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f>74417+200</f>
        <v>74617</v>
      </c>
      <c r="AB111" s="323"/>
      <c r="AC111" s="339">
        <f>173681-200</f>
        <v>173481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339">
        <v>0</v>
      </c>
      <c r="AT111" s="339"/>
      <c r="AU111" s="339">
        <v>0</v>
      </c>
      <c r="AV111" s="339"/>
      <c r="AW111" s="339">
        <v>0</v>
      </c>
      <c r="AX111" s="339"/>
      <c r="AY111" s="295">
        <f>SUM(P111:AX111)</f>
        <v>698289.4</v>
      </c>
      <c r="AZ111" s="294"/>
      <c r="BA111" s="339">
        <f>706219-659539+83333.33-99897-1</f>
        <v>30115.33</v>
      </c>
      <c r="BB111" s="294"/>
      <c r="BC111" s="295">
        <f>IF(+O111-AY111+BA111&gt;0,O111-AY111+BA111,0)</f>
        <v>0</v>
      </c>
      <c r="BD111" s="351"/>
      <c r="BE111" s="352">
        <f t="shared" si="20"/>
        <v>698289.4</v>
      </c>
      <c r="BF111" s="351"/>
      <c r="BG111" s="352">
        <f>+O111-BE111</f>
        <v>-38750.400000000023</v>
      </c>
    </row>
    <row r="112" spans="1:60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9"/>
      <c r="AU112" s="339"/>
      <c r="AV112" s="339"/>
      <c r="AW112" s="339"/>
      <c r="AX112" s="339"/>
      <c r="AY112" s="295"/>
      <c r="AZ112" s="294"/>
      <c r="BA112" s="339">
        <v>-25000</v>
      </c>
      <c r="BB112" s="294"/>
      <c r="BC112" s="295">
        <f>IF(+O112-AY112+BA112&gt;0,O112-AY112+BA112,0)</f>
        <v>0</v>
      </c>
      <c r="BD112" s="351"/>
      <c r="BE112" s="295">
        <f t="shared" si="20"/>
        <v>0</v>
      </c>
      <c r="BF112" s="351"/>
      <c r="BG112" s="352">
        <f>+O112-BE112</f>
        <v>25000</v>
      </c>
    </row>
    <row r="113" spans="1:61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74617</v>
      </c>
      <c r="AB113" s="323"/>
      <c r="AC113" s="342">
        <f>SUM(AC111:AC112)</f>
        <v>173481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0</v>
      </c>
      <c r="AT113" s="339"/>
      <c r="AU113" s="342">
        <f>SUM(AU111:AU112)</f>
        <v>0</v>
      </c>
      <c r="AV113" s="339"/>
      <c r="AW113" s="342">
        <f>SUM(AW111:AW112)</f>
        <v>0</v>
      </c>
      <c r="AX113" s="339"/>
      <c r="AY113" s="342">
        <f>SUM(AY111:AY112)</f>
        <v>698289.4</v>
      </c>
      <c r="AZ113" s="294"/>
      <c r="BA113" s="342">
        <f>SUM(BA111:BA112)</f>
        <v>5115.3300000000017</v>
      </c>
      <c r="BB113" s="294"/>
      <c r="BC113" s="342">
        <f>SUM(BC111:BC112)</f>
        <v>0</v>
      </c>
      <c r="BD113" s="351"/>
      <c r="BE113" s="342">
        <f>SUM(BE111:BE112)</f>
        <v>698289.4</v>
      </c>
      <c r="BF113" s="351"/>
      <c r="BG113" s="342">
        <f>SUM(BG111:BG112)</f>
        <v>-13750.400000000023</v>
      </c>
    </row>
    <row r="114" spans="1:61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52"/>
      <c r="AZ114" s="294"/>
      <c r="BA114" s="339"/>
      <c r="BB114" s="294"/>
      <c r="BC114" s="352"/>
      <c r="BD114" s="351"/>
      <c r="BE114" s="352"/>
      <c r="BF114" s="351"/>
      <c r="BG114" s="352"/>
    </row>
    <row r="115" spans="1:61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339">
        <v>0</v>
      </c>
      <c r="AT115" s="339"/>
      <c r="AU115" s="339">
        <v>0</v>
      </c>
      <c r="AV115" s="339"/>
      <c r="AW115" s="339">
        <v>0</v>
      </c>
      <c r="AX115" s="339"/>
      <c r="AY115" s="295">
        <f>SUM(P115:AX115)</f>
        <v>1317746.81</v>
      </c>
      <c r="AZ115" s="294"/>
      <c r="BA115" s="339"/>
      <c r="BB115" s="294"/>
      <c r="BC115" s="295">
        <f>IF(+O115-AY115+BA115&gt;0,O115-AY115+BA115,0)</f>
        <v>0</v>
      </c>
      <c r="BD115" s="351"/>
      <c r="BE115" s="299">
        <f t="shared" si="20"/>
        <v>1317746.81</v>
      </c>
      <c r="BF115" s="351"/>
      <c r="BG115" s="295">
        <f>+O115-BE115</f>
        <v>-497626.81000000006</v>
      </c>
    </row>
    <row r="116" spans="1:61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5"/>
      <c r="AZ116" s="294"/>
      <c r="BA116" s="298"/>
      <c r="BB116" s="294"/>
      <c r="BC116" s="295"/>
      <c r="BD116" s="294"/>
      <c r="BE116" s="295"/>
      <c r="BF116" s="294"/>
      <c r="BG116" s="295"/>
    </row>
    <row r="117" spans="1:61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5">
        <f>SUM(P117:AX117)</f>
        <v>450240.33</v>
      </c>
      <c r="AZ117" s="294"/>
      <c r="BA117" s="298"/>
      <c r="BB117" s="294"/>
      <c r="BC117" s="295">
        <f>IF(+O117-AY117+BA117&gt;0,O117-AY117+BA117,0)</f>
        <v>0</v>
      </c>
      <c r="BD117" s="294"/>
      <c r="BE117" s="295">
        <f t="shared" si="20"/>
        <v>450240.33</v>
      </c>
      <c r="BF117" s="294"/>
      <c r="BG117" s="295">
        <f>+O117-BE117</f>
        <v>-3333.3300000000163</v>
      </c>
      <c r="BI117" s="6" t="s">
        <v>174</v>
      </c>
    </row>
    <row r="118" spans="1:61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5">
        <f>SUM(P118:AX118)</f>
        <v>7700</v>
      </c>
      <c r="AZ118" s="294"/>
      <c r="BA118" s="298"/>
      <c r="BB118" s="294"/>
      <c r="BC118" s="295">
        <f>IF(+O118-AY118+BA118&gt;0,O118-AY118+BA118,0)</f>
        <v>0</v>
      </c>
      <c r="BD118" s="294"/>
      <c r="BE118" s="295">
        <f t="shared" si="20"/>
        <v>7700</v>
      </c>
      <c r="BF118" s="294"/>
      <c r="BG118" s="295">
        <f>+O118-BE118</f>
        <v>0</v>
      </c>
    </row>
    <row r="119" spans="1:61" x14ac:dyDescent="0.2">
      <c r="A119" s="112"/>
      <c r="B119" s="322" t="s">
        <v>330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5">
        <f>SUM(P119:AX119)</f>
        <v>3500</v>
      </c>
      <c r="AZ119" s="294"/>
      <c r="BA119" s="298"/>
      <c r="BB119" s="294"/>
      <c r="BC119" s="295">
        <f>IF(+O119-AY119+BA119&gt;0,O119-AY119+BA119,0)</f>
        <v>0</v>
      </c>
      <c r="BD119" s="294"/>
      <c r="BE119" s="295">
        <f t="shared" si="20"/>
        <v>3500</v>
      </c>
      <c r="BF119" s="294"/>
      <c r="BG119" s="295">
        <f>+O119-BE119</f>
        <v>-3500</v>
      </c>
    </row>
    <row r="120" spans="1:61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0</v>
      </c>
      <c r="AT120" s="298"/>
      <c r="AU120" s="329">
        <f>SUM(AU117:AU119)</f>
        <v>0</v>
      </c>
      <c r="AV120" s="298"/>
      <c r="AW120" s="329">
        <f>SUM(AW117:AW119)</f>
        <v>0</v>
      </c>
      <c r="AX120" s="298"/>
      <c r="AY120" s="329">
        <f>SUM(AY117:AY119)</f>
        <v>461440.33</v>
      </c>
      <c r="AZ120" s="294"/>
      <c r="BA120" s="329">
        <f>SUM(BA117:BA119)</f>
        <v>0</v>
      </c>
      <c r="BB120" s="294"/>
      <c r="BC120" s="329">
        <f>SUM(BC117:BC119)</f>
        <v>0</v>
      </c>
      <c r="BD120" s="294"/>
      <c r="BE120" s="329">
        <f>SUM(BE117:BE119)</f>
        <v>461440.33</v>
      </c>
      <c r="BF120" s="294"/>
      <c r="BG120" s="329">
        <f>SUM(BG117:BG119)</f>
        <v>-6833.3300000000163</v>
      </c>
    </row>
    <row r="121" spans="1:61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5"/>
      <c r="AZ121" s="294"/>
      <c r="BA121" s="298"/>
      <c r="BB121" s="294"/>
      <c r="BC121" s="295"/>
      <c r="BD121" s="294"/>
      <c r="BE121" s="295"/>
      <c r="BF121" s="294"/>
      <c r="BG121" s="295"/>
    </row>
    <row r="122" spans="1:61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5"/>
      <c r="AZ122" s="294"/>
      <c r="BA122" s="298"/>
      <c r="BB122" s="294"/>
      <c r="BC122" s="295"/>
      <c r="BD122" s="294"/>
      <c r="BE122" s="295">
        <f t="shared" si="20"/>
        <v>0</v>
      </c>
      <c r="BF122" s="294"/>
      <c r="BG122" s="295"/>
    </row>
    <row r="123" spans="1:61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8"/>
      <c r="AT123" s="298"/>
      <c r="AU123" s="298"/>
      <c r="AV123" s="298"/>
      <c r="AW123" s="298"/>
      <c r="AX123" s="298"/>
      <c r="AY123" s="295">
        <f t="shared" ref="AY123:AY129" si="21">SUM(P123:AX123)</f>
        <v>294330.18</v>
      </c>
      <c r="AZ123" s="294"/>
      <c r="BA123" s="298"/>
      <c r="BB123" s="294"/>
      <c r="BC123" s="295"/>
      <c r="BD123" s="294"/>
      <c r="BE123" s="295">
        <f t="shared" si="20"/>
        <v>294330.18</v>
      </c>
      <c r="BF123" s="294"/>
      <c r="BG123" s="295">
        <f t="shared" ref="BG123:BG129" si="22">+O123-BE123</f>
        <v>-294330.18</v>
      </c>
    </row>
    <row r="124" spans="1:61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5">
        <f t="shared" si="21"/>
        <v>2100</v>
      </c>
      <c r="AZ124" s="294"/>
      <c r="BA124" s="298"/>
      <c r="BB124" s="294"/>
      <c r="BC124" s="295"/>
      <c r="BD124" s="294"/>
      <c r="BE124" s="295">
        <f t="shared" si="20"/>
        <v>2100</v>
      </c>
      <c r="BF124" s="294"/>
      <c r="BG124" s="295">
        <f t="shared" si="22"/>
        <v>-2100</v>
      </c>
    </row>
    <row r="125" spans="1:61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5">
        <f t="shared" si="21"/>
        <v>4200</v>
      </c>
      <c r="AZ125" s="294"/>
      <c r="BA125" s="298"/>
      <c r="BB125" s="294"/>
      <c r="BC125" s="295"/>
      <c r="BD125" s="294"/>
      <c r="BE125" s="295">
        <f t="shared" si="20"/>
        <v>4200</v>
      </c>
      <c r="BF125" s="294"/>
      <c r="BG125" s="295">
        <f t="shared" si="22"/>
        <v>-4200</v>
      </c>
    </row>
    <row r="126" spans="1:61" x14ac:dyDescent="0.2">
      <c r="A126" s="112"/>
      <c r="B126" s="322" t="s">
        <v>325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5">
        <f t="shared" si="21"/>
        <v>41000</v>
      </c>
      <c r="AZ126" s="294"/>
      <c r="BA126" s="298"/>
      <c r="BB126" s="294"/>
      <c r="BC126" s="295"/>
      <c r="BD126" s="294"/>
      <c r="BE126" s="295">
        <f t="shared" si="20"/>
        <v>41000</v>
      </c>
      <c r="BF126" s="294"/>
      <c r="BG126" s="295">
        <f t="shared" si="22"/>
        <v>-41000</v>
      </c>
    </row>
    <row r="127" spans="1:61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5">
        <f t="shared" si="21"/>
        <v>398</v>
      </c>
      <c r="AZ127" s="294"/>
      <c r="BA127" s="298"/>
      <c r="BB127" s="294"/>
      <c r="BC127" s="295"/>
      <c r="BD127" s="294"/>
      <c r="BE127" s="295">
        <f t="shared" si="20"/>
        <v>398</v>
      </c>
      <c r="BF127" s="294"/>
      <c r="BG127" s="295">
        <f t="shared" si="22"/>
        <v>-398</v>
      </c>
    </row>
    <row r="128" spans="1:61" x14ac:dyDescent="0.2">
      <c r="A128" s="312"/>
      <c r="B128" s="31" t="s">
        <v>490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5">
        <f t="shared" si="21"/>
        <v>485983</v>
      </c>
      <c r="AZ128" s="294"/>
      <c r="BA128" s="298"/>
      <c r="BB128" s="294"/>
      <c r="BC128" s="295"/>
      <c r="BD128" s="294"/>
      <c r="BE128" s="295">
        <f t="shared" si="20"/>
        <v>485983</v>
      </c>
      <c r="BF128" s="294"/>
      <c r="BG128" s="295">
        <f t="shared" si="22"/>
        <v>-485983</v>
      </c>
    </row>
    <row r="129" spans="1:59" x14ac:dyDescent="0.2">
      <c r="A129" s="312"/>
      <c r="B129" s="31" t="s">
        <v>542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8"/>
      <c r="AT129" s="296"/>
      <c r="AU129" s="298"/>
      <c r="AV129" s="296"/>
      <c r="AW129" s="298"/>
      <c r="AX129" s="296"/>
      <c r="AY129" s="295">
        <f t="shared" si="21"/>
        <v>37358.1</v>
      </c>
      <c r="AZ129" s="294"/>
      <c r="BA129" s="296"/>
      <c r="BB129" s="294"/>
      <c r="BC129" s="299"/>
      <c r="BD129" s="294"/>
      <c r="BE129" s="295">
        <f t="shared" si="20"/>
        <v>37358.1</v>
      </c>
      <c r="BF129" s="294"/>
      <c r="BG129" s="295">
        <f t="shared" si="22"/>
        <v>229641.9</v>
      </c>
    </row>
    <row r="130" spans="1:59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0</v>
      </c>
      <c r="AT130" s="296"/>
      <c r="AU130" s="329">
        <f>SUM(AU122:AU129)</f>
        <v>0</v>
      </c>
      <c r="AV130" s="296"/>
      <c r="AW130" s="329">
        <f>SUM(AW122:AW129)</f>
        <v>0</v>
      </c>
      <c r="AX130" s="296"/>
      <c r="AY130" s="329">
        <f>SUM(AY122:AY129)</f>
        <v>865369.27999999991</v>
      </c>
      <c r="AZ130" s="295"/>
      <c r="BA130" s="329">
        <f>SUM(BA122:BA129)</f>
        <v>0</v>
      </c>
      <c r="BB130" s="295"/>
      <c r="BC130" s="329">
        <f>SUM(BC122:BC129)</f>
        <v>0</v>
      </c>
      <c r="BD130" s="295"/>
      <c r="BE130" s="329">
        <f>SUM(BE122:BE129)</f>
        <v>865369.27999999991</v>
      </c>
      <c r="BF130" s="295"/>
      <c r="BG130" s="329">
        <f>SUM(BG122:BG129)</f>
        <v>-598369.27999999991</v>
      </c>
    </row>
    <row r="131" spans="1:59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5"/>
      <c r="AZ131" s="294"/>
      <c r="BA131" s="298"/>
      <c r="BB131" s="294"/>
      <c r="BC131" s="295"/>
      <c r="BD131" s="294"/>
      <c r="BE131" s="295"/>
      <c r="BF131" s="294"/>
      <c r="BG131" s="295"/>
    </row>
    <row r="132" spans="1:59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5">
        <f>SUM(P132:AT132)</f>
        <v>0</v>
      </c>
      <c r="AZ132" s="294"/>
      <c r="BA132" s="298"/>
      <c r="BB132" s="294"/>
      <c r="BC132" s="295">
        <f>IF(+O132-AY132+BA132&gt;0,O132-AY132+BA132,0)</f>
        <v>0</v>
      </c>
      <c r="BD132" s="294"/>
      <c r="BE132" s="295">
        <f t="shared" si="20"/>
        <v>0</v>
      </c>
      <c r="BF132" s="294"/>
      <c r="BG132" s="295">
        <f>+O132-BE132</f>
        <v>0</v>
      </c>
    </row>
    <row r="133" spans="1:59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5"/>
      <c r="AZ133" s="294"/>
      <c r="BA133" s="298"/>
      <c r="BB133" s="294"/>
      <c r="BC133" s="295"/>
      <c r="BD133" s="294"/>
      <c r="BE133" s="295"/>
      <c r="BF133" s="294"/>
      <c r="BG133" s="295"/>
    </row>
    <row r="134" spans="1:59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5"/>
      <c r="AZ134" s="294"/>
      <c r="BA134" s="298"/>
      <c r="BB134" s="294"/>
      <c r="BC134" s="295"/>
      <c r="BD134" s="294"/>
      <c r="BE134" s="295"/>
      <c r="BF134" s="294"/>
      <c r="BG134" s="295"/>
    </row>
    <row r="135" spans="1:59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5">
        <f>SUM(P135:AX135)</f>
        <v>1544815.13</v>
      </c>
      <c r="AZ135" s="294"/>
      <c r="BA135" s="298"/>
      <c r="BB135" s="294"/>
      <c r="BC135" s="295">
        <f>IF(+O135-AY135+BA135&gt;0,O135-AY135+BA135,0)</f>
        <v>0</v>
      </c>
      <c r="BD135" s="294"/>
      <c r="BE135" s="295">
        <f t="shared" ref="BE135:BE161" si="23">+BC135+AY135</f>
        <v>1544815.13</v>
      </c>
      <c r="BF135" s="294"/>
      <c r="BG135" s="295">
        <f>+O135-BE135</f>
        <v>-998.12999999988824</v>
      </c>
    </row>
    <row r="136" spans="1:59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323"/>
      <c r="AT136" s="298"/>
      <c r="AU136" s="298"/>
      <c r="AV136" s="298"/>
      <c r="AW136" s="298"/>
      <c r="AX136" s="298"/>
      <c r="AY136" s="295">
        <f>SUM(P136:AX136)</f>
        <v>195116.42</v>
      </c>
      <c r="AZ136" s="294"/>
      <c r="BA136" s="298"/>
      <c r="BB136" s="294"/>
      <c r="BC136" s="295">
        <f>IF(+O136-AY136+BA136&gt;0,O136-AY136+BA136,0)</f>
        <v>138348.052</v>
      </c>
      <c r="BD136" s="294"/>
      <c r="BE136" s="295">
        <f t="shared" si="23"/>
        <v>333464.47200000001</v>
      </c>
      <c r="BF136" s="294"/>
      <c r="BG136" s="295">
        <f>+O136-BE136</f>
        <v>0</v>
      </c>
    </row>
    <row r="137" spans="1:59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5">
        <f>SUM(P137:AX137)</f>
        <v>11826.01</v>
      </c>
      <c r="AZ137" s="294"/>
      <c r="BA137" s="298"/>
      <c r="BB137" s="294"/>
      <c r="BC137" s="295">
        <f>IF(+O137-AY137+BA137&gt;0,O137-AY137+BA137,0)</f>
        <v>23325.989999999998</v>
      </c>
      <c r="BD137" s="294"/>
      <c r="BE137" s="295">
        <f t="shared" si="23"/>
        <v>35152</v>
      </c>
      <c r="BF137" s="294"/>
      <c r="BG137" s="295">
        <f>+O137-BE137</f>
        <v>0</v>
      </c>
    </row>
    <row r="138" spans="1:59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5">
        <f>SUM(P138:AX138)</f>
        <v>59057.41</v>
      </c>
      <c r="AZ138" s="294"/>
      <c r="BA138" s="298"/>
      <c r="BB138" s="294"/>
      <c r="BC138" s="295">
        <f>IF(+O138-AY138+BA138&gt;0,O138-AY138+BA138,0)</f>
        <v>0</v>
      </c>
      <c r="BD138" s="294"/>
      <c r="BE138" s="295">
        <f t="shared" si="23"/>
        <v>59057.41</v>
      </c>
      <c r="BF138" s="294"/>
      <c r="BG138" s="295">
        <f>+O138-BE138</f>
        <v>-3137.4100000000035</v>
      </c>
    </row>
    <row r="139" spans="1:59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0</v>
      </c>
      <c r="AT139" s="298"/>
      <c r="AU139" s="329">
        <f>SUM(AU135:AU138)</f>
        <v>0</v>
      </c>
      <c r="AV139" s="298"/>
      <c r="AW139" s="329">
        <f>SUM(AW135:AW138)</f>
        <v>0</v>
      </c>
      <c r="AX139" s="298"/>
      <c r="AY139" s="329">
        <f>SUM(AY135:AY138)</f>
        <v>1810814.9699999997</v>
      </c>
      <c r="AZ139" s="294"/>
      <c r="BA139" s="329">
        <f>SUM(BA135:BA138)</f>
        <v>0</v>
      </c>
      <c r="BB139" s="294"/>
      <c r="BC139" s="329">
        <f>SUM(BC135:BC138)</f>
        <v>161674.04199999999</v>
      </c>
      <c r="BD139" s="294"/>
      <c r="BE139" s="329">
        <f>SUM(BE135:BE138)</f>
        <v>1972489.0119999999</v>
      </c>
      <c r="BF139" s="294"/>
      <c r="BG139" s="329">
        <f>SUM(BG135:BG138)</f>
        <v>-4135.5399999998917</v>
      </c>
    </row>
    <row r="140" spans="1:59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5"/>
      <c r="AZ140" s="294"/>
      <c r="BA140" s="298"/>
      <c r="BB140" s="294"/>
      <c r="BC140" s="295"/>
      <c r="BD140" s="294"/>
      <c r="BE140" s="295"/>
      <c r="BF140" s="294"/>
      <c r="BG140" s="295"/>
    </row>
    <row r="141" spans="1:59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5">
        <f t="shared" ref="AY141:AY150" si="24">SUM(P141:AX141)</f>
        <v>33265.090000000004</v>
      </c>
      <c r="AZ141" s="294"/>
      <c r="BA141" s="298"/>
      <c r="BB141" s="294"/>
      <c r="BC141" s="295">
        <f>IF(+O141-AY141+BA141&gt;0,O141-AY141+BA141,0)-192684</f>
        <v>-8.999999999650754E-2</v>
      </c>
      <c r="BD141" s="294"/>
      <c r="BE141" s="295">
        <f t="shared" si="23"/>
        <v>33265.000000000007</v>
      </c>
      <c r="BF141" s="294"/>
      <c r="BG141" s="295">
        <f>+O141-BE141</f>
        <v>192684</v>
      </c>
    </row>
    <row r="142" spans="1:59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5"/>
      <c r="AZ142" s="294"/>
      <c r="BA142" s="298"/>
      <c r="BB142" s="294"/>
      <c r="BC142" s="295"/>
      <c r="BD142" s="294"/>
      <c r="BE142" s="295"/>
      <c r="BF142" s="294"/>
      <c r="BG142" s="295"/>
    </row>
    <row r="143" spans="1:59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5">
        <f t="shared" si="24"/>
        <v>154347</v>
      </c>
      <c r="AZ143" s="294"/>
      <c r="BA143" s="298">
        <v>4386</v>
      </c>
      <c r="BB143" s="294"/>
      <c r="BC143" s="295">
        <f>IF(+O143-AY143+BA143&gt;0,O143-AY143+BA143,0)</f>
        <v>10001</v>
      </c>
      <c r="BD143" s="294"/>
      <c r="BE143" s="295">
        <f t="shared" si="23"/>
        <v>164348</v>
      </c>
      <c r="BF143" s="294"/>
      <c r="BG143" s="295">
        <f>+O143-BE143</f>
        <v>-4386</v>
      </c>
    </row>
    <row r="144" spans="1:59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5"/>
      <c r="AZ144" s="294"/>
      <c r="BA144" s="298"/>
      <c r="BB144" s="294"/>
      <c r="BC144" s="295"/>
      <c r="BD144" s="294"/>
      <c r="BE144" s="295"/>
      <c r="BF144" s="294"/>
      <c r="BG144" s="295"/>
    </row>
    <row r="145" spans="1:61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5">
        <f t="shared" si="24"/>
        <v>35060.42</v>
      </c>
      <c r="AZ145" s="294"/>
      <c r="BA145" s="298">
        <v>-20000</v>
      </c>
      <c r="BB145" s="294"/>
      <c r="BC145" s="295">
        <v>0</v>
      </c>
      <c r="BD145" s="294"/>
      <c r="BE145" s="295">
        <f t="shared" si="23"/>
        <v>35060.42</v>
      </c>
      <c r="BF145" s="294"/>
      <c r="BG145" s="295">
        <f>+O145-BE145</f>
        <v>78272.58</v>
      </c>
    </row>
    <row r="146" spans="1:61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5"/>
      <c r="AZ146" s="294"/>
      <c r="BA146" s="298"/>
      <c r="BB146" s="294"/>
      <c r="BC146" s="295"/>
      <c r="BD146" s="294"/>
      <c r="BE146" s="295"/>
      <c r="BF146" s="294"/>
      <c r="BG146" s="295"/>
    </row>
    <row r="147" spans="1:61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295">
        <f t="shared" si="24"/>
        <v>4408046.37</v>
      </c>
      <c r="AZ147" s="294"/>
      <c r="BA147" s="308">
        <v>0</v>
      </c>
      <c r="BB147" s="294"/>
      <c r="BC147" s="295">
        <v>0</v>
      </c>
      <c r="BD147" s="294"/>
      <c r="BE147" s="295">
        <f t="shared" si="23"/>
        <v>4408046.37</v>
      </c>
      <c r="BF147" s="294"/>
      <c r="BG147" s="295">
        <f>+O147-BE147</f>
        <v>0.62999999988824129</v>
      </c>
    </row>
    <row r="148" spans="1:61" x14ac:dyDescent="0.2">
      <c r="A148" s="112"/>
      <c r="B148" s="322" t="s">
        <v>485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308"/>
      <c r="AT148" s="308"/>
      <c r="AU148" s="308"/>
      <c r="AV148" s="308"/>
      <c r="AW148" s="308"/>
      <c r="AX148" s="308"/>
      <c r="AY148" s="295">
        <f t="shared" si="24"/>
        <v>-123964</v>
      </c>
      <c r="AZ148" s="294"/>
      <c r="BA148" s="308"/>
      <c r="BB148" s="294"/>
      <c r="BC148" s="295">
        <v>0</v>
      </c>
      <c r="BD148" s="294"/>
      <c r="BE148" s="295">
        <f t="shared" si="23"/>
        <v>-123964</v>
      </c>
      <c r="BF148" s="294"/>
      <c r="BG148" s="295">
        <f>+O148-BE148</f>
        <v>-1725</v>
      </c>
    </row>
    <row r="149" spans="1:61" x14ac:dyDescent="0.2">
      <c r="A149" s="112" t="s">
        <v>483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308"/>
      <c r="AT149" s="308"/>
      <c r="AU149" s="308"/>
      <c r="AV149" s="308"/>
      <c r="AW149" s="308"/>
      <c r="AX149" s="308"/>
      <c r="AY149" s="295">
        <f t="shared" si="24"/>
        <v>23205.300000000003</v>
      </c>
      <c r="AZ149" s="294"/>
      <c r="BA149" s="308"/>
      <c r="BB149" s="294"/>
      <c r="BC149" s="295">
        <f>IF(+O149-AY149+BA149&gt;0,O149-AY149+BA149,0)</f>
        <v>0</v>
      </c>
      <c r="BD149" s="294"/>
      <c r="BE149" s="295">
        <f>+BC149+AY149</f>
        <v>23205.300000000003</v>
      </c>
      <c r="BF149" s="294"/>
      <c r="BG149" s="295">
        <f>+O149-BE149</f>
        <v>-19325.300000000003</v>
      </c>
    </row>
    <row r="150" spans="1:61" x14ac:dyDescent="0.2">
      <c r="A150" s="112" t="s">
        <v>484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308"/>
      <c r="AT150" s="308"/>
      <c r="AU150" s="308"/>
      <c r="AV150" s="308"/>
      <c r="AW150" s="308"/>
      <c r="AX150" s="308"/>
      <c r="AY150" s="295">
        <f t="shared" si="24"/>
        <v>-15667.939999999999</v>
      </c>
      <c r="AZ150" s="294"/>
      <c r="BA150" s="308">
        <v>0</v>
      </c>
      <c r="BB150" s="294"/>
      <c r="BC150" s="295">
        <f>IF(+O150-AY150+BA150&gt;0,O150-AY150+BA150,0)</f>
        <v>0</v>
      </c>
      <c r="BD150" s="294"/>
      <c r="BE150" s="295">
        <f>+BC150+AY150</f>
        <v>-15667.939999999999</v>
      </c>
      <c r="BF150" s="294"/>
      <c r="BG150" s="295">
        <f>+O150-BE150</f>
        <v>-6.0000000001309672E-2</v>
      </c>
    </row>
    <row r="151" spans="1:61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308"/>
      <c r="AT151" s="308"/>
      <c r="AU151" s="308"/>
      <c r="AV151" s="308"/>
      <c r="AW151" s="308"/>
      <c r="AX151" s="308"/>
      <c r="AY151" s="295"/>
      <c r="AZ151" s="294"/>
      <c r="BA151" s="308"/>
      <c r="BB151" s="294"/>
      <c r="BC151" s="295"/>
      <c r="BD151" s="294"/>
      <c r="BE151" s="295"/>
      <c r="BF151" s="294"/>
      <c r="BG151" s="295"/>
    </row>
    <row r="152" spans="1:61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4248814.21</v>
      </c>
      <c r="AB152" s="329">
        <f>SUM(AB111:AB150)+AB109-AB139-AB130-AB120-AB113</f>
        <v>0</v>
      </c>
      <c r="AC152" s="329">
        <f>SUM(AC111:AC150)+AC109-AC139-AC130-AC120-AC113</f>
        <v>6347697.3200000003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0</v>
      </c>
      <c r="AT152" s="314"/>
      <c r="AU152" s="329">
        <f>SUM(AU111:AU150)+AU109-AU139-AU130-AU120-AU113</f>
        <v>0</v>
      </c>
      <c r="AV152" s="314"/>
      <c r="AW152" s="329">
        <f>SUM(AW111:AW150)+AW109-AW139-AW130-AW120-AW113</f>
        <v>0</v>
      </c>
      <c r="AX152" s="314"/>
      <c r="AY152" s="329">
        <f>SUM(AY111:AY150)+AY109-AY139-AY130-AY120-AY113</f>
        <v>124844225.81</v>
      </c>
      <c r="AZ152" s="294"/>
      <c r="BA152" s="329">
        <f>SUM(BA111:BA147)+BA109-BA139-BA130-BA120-BA113</f>
        <v>711438.33000000007</v>
      </c>
      <c r="BB152" s="294"/>
      <c r="BC152" s="329">
        <f>SUM(BC111:BC150)+BC109-BC139-BC130-BC120-BC113</f>
        <v>173194.04199999993</v>
      </c>
      <c r="BD152" s="294"/>
      <c r="BE152" s="329">
        <f>SUM(BE111:BE150)+BE109-BE139-BE130-BE120-BE113</f>
        <v>125017419.85200001</v>
      </c>
      <c r="BF152" s="294"/>
      <c r="BG152" s="329">
        <f>SUM(BG111:BG150)+BG109-BG139-BG130-BG120-BG113</f>
        <v>-4142921.3800000045</v>
      </c>
    </row>
    <row r="153" spans="1:61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9"/>
      <c r="AZ153" s="294"/>
      <c r="BA153" s="296"/>
      <c r="BB153" s="294"/>
      <c r="BC153" s="299"/>
      <c r="BD153" s="294"/>
      <c r="BE153" s="299"/>
      <c r="BF153" s="294"/>
      <c r="BG153" s="299"/>
    </row>
    <row r="154" spans="1:61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>
        <v>-41666</v>
      </c>
      <c r="AR154" s="296"/>
      <c r="AS154" s="296"/>
      <c r="AT154" s="296"/>
      <c r="AU154" s="296"/>
      <c r="AV154" s="296"/>
      <c r="AW154" s="296"/>
      <c r="AX154" s="296"/>
      <c r="AY154" s="295">
        <f>SUM(P154:AX154)</f>
        <v>797917.34</v>
      </c>
      <c r="AZ154" s="294"/>
      <c r="BA154" s="296">
        <v>-243750</v>
      </c>
      <c r="BB154" s="294"/>
      <c r="BC154" s="295">
        <f>IF(+O154-AY154+BA154&gt;0,O154-AY154+BA154,0)</f>
        <v>0</v>
      </c>
      <c r="BD154" s="294"/>
      <c r="BE154" s="295">
        <f t="shared" si="23"/>
        <v>797917.34</v>
      </c>
      <c r="BF154" s="294"/>
      <c r="BG154" s="295">
        <f t="shared" ref="BG154:BG159" si="25">+O154-BE154</f>
        <v>202082.66000000003</v>
      </c>
    </row>
    <row r="155" spans="1:61" x14ac:dyDescent="0.2">
      <c r="A155" s="112"/>
      <c r="B155" s="322" t="s">
        <v>331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5">
        <f>SUM(P155:AX155)</f>
        <v>55979.166666666664</v>
      </c>
      <c r="AZ155" s="294"/>
      <c r="BA155" s="298"/>
      <c r="BB155" s="294"/>
      <c r="BC155" s="295">
        <f>IF(+O155-AY155+BA155&gt;0,O155-AY155+BA155,0)</f>
        <v>0</v>
      </c>
      <c r="BD155" s="299"/>
      <c r="BE155" s="295">
        <f t="shared" si="23"/>
        <v>55979.166666666664</v>
      </c>
      <c r="BF155" s="299"/>
      <c r="BG155" s="295">
        <f t="shared" si="25"/>
        <v>-55979.166666666664</v>
      </c>
      <c r="BH155" s="15"/>
      <c r="BI155" s="15"/>
    </row>
    <row r="156" spans="1:61" x14ac:dyDescent="0.2">
      <c r="A156" s="112"/>
      <c r="B156" s="322" t="s">
        <v>332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5">
        <f>SUM(P156:AX156)</f>
        <v>85866.66333333333</v>
      </c>
      <c r="AZ156" s="294"/>
      <c r="BA156" s="298">
        <v>352817</v>
      </c>
      <c r="BB156" s="294"/>
      <c r="BC156" s="295">
        <v>0</v>
      </c>
      <c r="BD156" s="299"/>
      <c r="BE156" s="295">
        <f t="shared" si="23"/>
        <v>85866.66333333333</v>
      </c>
      <c r="BF156" s="299"/>
      <c r="BG156" s="295">
        <f t="shared" si="25"/>
        <v>-85866.66333333333</v>
      </c>
      <c r="BH156" s="15"/>
      <c r="BI156" s="15"/>
    </row>
    <row r="157" spans="1:61" x14ac:dyDescent="0.2">
      <c r="A157" s="112"/>
      <c r="B157" s="322" t="s">
        <v>333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5">
        <f>SUM(P157:AX157)</f>
        <v>3333.3333333333335</v>
      </c>
      <c r="AZ157" s="294"/>
      <c r="BA157" s="298"/>
      <c r="BB157" s="294"/>
      <c r="BC157" s="295">
        <f>IF(+O157-AY157+BA157&gt;0,O157-AY157+BA157,0)</f>
        <v>0</v>
      </c>
      <c r="BD157" s="299"/>
      <c r="BE157" s="295">
        <f t="shared" si="23"/>
        <v>3333.3333333333335</v>
      </c>
      <c r="BF157" s="299"/>
      <c r="BG157" s="295">
        <f t="shared" si="25"/>
        <v>-3333.3333333333335</v>
      </c>
      <c r="BH157" s="15"/>
      <c r="BI157" s="15"/>
    </row>
    <row r="158" spans="1:61" x14ac:dyDescent="0.2">
      <c r="A158" s="112"/>
      <c r="B158" s="322" t="s">
        <v>369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8"/>
      <c r="AT158" s="298"/>
      <c r="AU158" s="298"/>
      <c r="AV158" s="298"/>
      <c r="AW158" s="298"/>
      <c r="AX158" s="298"/>
      <c r="AY158" s="295">
        <f>SUM(P158:AX158)</f>
        <v>119007.22</v>
      </c>
      <c r="AZ158" s="294"/>
      <c r="BA158" s="298">
        <f>25000+4207+4788</f>
        <v>33995</v>
      </c>
      <c r="BB158" s="294"/>
      <c r="BC158" s="295">
        <v>0</v>
      </c>
      <c r="BD158" s="299"/>
      <c r="BE158" s="295">
        <f t="shared" si="23"/>
        <v>119007.22</v>
      </c>
      <c r="BF158" s="299"/>
      <c r="BG158" s="295">
        <f t="shared" si="25"/>
        <v>-119007.22</v>
      </c>
      <c r="BH158" s="15"/>
      <c r="BI158" s="15"/>
    </row>
    <row r="159" spans="1:61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66013.56</v>
      </c>
      <c r="AR159" s="308"/>
      <c r="AS159" s="361">
        <f>SUBTOTAL(9,AS154:AS158)</f>
        <v>0</v>
      </c>
      <c r="AT159" s="308"/>
      <c r="AU159" s="361">
        <f>SUBTOTAL(9,AU154:AU158)</f>
        <v>0</v>
      </c>
      <c r="AV159" s="308"/>
      <c r="AW159" s="361">
        <f>SUBTOTAL(9,AW154:AW158)</f>
        <v>0</v>
      </c>
      <c r="AX159" s="308"/>
      <c r="AY159" s="360">
        <f>SUBTOTAL(9,AY154:AY158)</f>
        <v>1062103.7233333334</v>
      </c>
      <c r="AZ159" s="294"/>
      <c r="BA159" s="361">
        <f>SUBTOTAL(9,BA154:BA158)</f>
        <v>143062</v>
      </c>
      <c r="BB159" s="294"/>
      <c r="BC159" s="360">
        <f>SUBTOTAL(9,BC154:BC158)</f>
        <v>0</v>
      </c>
      <c r="BD159" s="299"/>
      <c r="BE159" s="360">
        <f t="shared" si="23"/>
        <v>1062103.7233333334</v>
      </c>
      <c r="BF159" s="299"/>
      <c r="BG159" s="360">
        <f t="shared" si="25"/>
        <v>-62103.723333333386</v>
      </c>
      <c r="BH159" s="15"/>
      <c r="BI159" s="15"/>
    </row>
    <row r="160" spans="1:61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5"/>
      <c r="AZ160" s="294"/>
      <c r="BA160" s="298"/>
      <c r="BB160" s="294"/>
      <c r="BC160" s="295"/>
      <c r="BD160" s="294"/>
      <c r="BE160" s="295"/>
      <c r="BF160" s="294"/>
      <c r="BG160" s="295"/>
    </row>
    <row r="161" spans="1:61" x14ac:dyDescent="0.2">
      <c r="A161" s="112" t="s">
        <v>327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6"/>
      <c r="AT161" s="296"/>
      <c r="AU161" s="296"/>
      <c r="AV161" s="296"/>
      <c r="AW161" s="296"/>
      <c r="AX161" s="296"/>
      <c r="AY161" s="295">
        <f>SUM(P161:AX161)</f>
        <v>69937</v>
      </c>
      <c r="AZ161" s="294"/>
      <c r="BA161" s="296"/>
      <c r="BB161" s="294"/>
      <c r="BC161" s="295">
        <f>IF(+O161-AY161+BA161&gt;0,O161-AY161+BA161,0)</f>
        <v>0</v>
      </c>
      <c r="BD161" s="294"/>
      <c r="BE161" s="295">
        <f t="shared" si="23"/>
        <v>69937</v>
      </c>
      <c r="BF161" s="294"/>
      <c r="BG161" s="295">
        <f>+O161-BE161</f>
        <v>-2450</v>
      </c>
    </row>
    <row r="162" spans="1:61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5"/>
      <c r="AZ162" s="294"/>
      <c r="BA162" s="298"/>
      <c r="BB162" s="294"/>
      <c r="BC162" s="295"/>
      <c r="BD162" s="295"/>
      <c r="BE162" s="295"/>
      <c r="BF162" s="295"/>
      <c r="BG162" s="295"/>
      <c r="BH162" s="8"/>
      <c r="BI162" s="8"/>
    </row>
    <row r="163" spans="1:61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5"/>
      <c r="AZ163" s="294"/>
      <c r="BA163" s="298"/>
      <c r="BB163" s="294"/>
      <c r="BC163" s="295"/>
      <c r="BD163" s="294"/>
      <c r="BE163" s="295"/>
      <c r="BF163" s="294"/>
      <c r="BG163" s="295"/>
    </row>
    <row r="164" spans="1:61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5">
        <f t="shared" ref="AY164:AY178" si="26">SUM(P164:AX164)</f>
        <v>66451.87</v>
      </c>
      <c r="AZ164" s="294"/>
      <c r="BA164" s="298"/>
      <c r="BB164" s="294"/>
      <c r="BC164" s="295"/>
      <c r="BD164" s="294"/>
      <c r="BE164" s="295">
        <f t="shared" ref="BE164:BE197" si="27">+BC164+AY164</f>
        <v>66451.87</v>
      </c>
      <c r="BF164" s="294"/>
      <c r="BG164" s="295"/>
    </row>
    <row r="165" spans="1:61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5">
        <f t="shared" si="26"/>
        <v>5024</v>
      </c>
      <c r="AZ165" s="294"/>
      <c r="BA165" s="298"/>
      <c r="BB165" s="294"/>
      <c r="BC165" s="295"/>
      <c r="BD165" s="294"/>
      <c r="BE165" s="295">
        <f t="shared" si="27"/>
        <v>5024</v>
      </c>
      <c r="BF165" s="294"/>
      <c r="BG165" s="295"/>
    </row>
    <row r="166" spans="1:61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5">
        <f t="shared" si="26"/>
        <v>57061.530000000006</v>
      </c>
      <c r="AZ166" s="294"/>
      <c r="BA166" s="298"/>
      <c r="BB166" s="294"/>
      <c r="BC166" s="295"/>
      <c r="BD166" s="294"/>
      <c r="BE166" s="295">
        <f t="shared" si="27"/>
        <v>57061.530000000006</v>
      </c>
      <c r="BF166" s="294"/>
      <c r="BG166" s="295"/>
    </row>
    <row r="167" spans="1:61" x14ac:dyDescent="0.2">
      <c r="A167" s="112"/>
      <c r="B167" s="322" t="s">
        <v>504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5">
        <f t="shared" si="26"/>
        <v>184717.21000000002</v>
      </c>
      <c r="AZ167" s="294"/>
      <c r="BA167" s="298"/>
      <c r="BB167" s="294"/>
      <c r="BC167" s="295"/>
      <c r="BD167" s="294"/>
      <c r="BE167" s="295">
        <f t="shared" si="27"/>
        <v>184717.21000000002</v>
      </c>
      <c r="BF167" s="294"/>
      <c r="BG167" s="295"/>
    </row>
    <row r="168" spans="1:61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5">
        <f t="shared" si="26"/>
        <v>2060.1400000000003</v>
      </c>
      <c r="AZ168" s="294"/>
      <c r="BA168" s="298"/>
      <c r="BB168" s="294"/>
      <c r="BC168" s="295"/>
      <c r="BD168" s="294"/>
      <c r="BE168" s="295">
        <f t="shared" si="27"/>
        <v>2060.1400000000003</v>
      </c>
      <c r="BF168" s="294"/>
      <c r="BG168" s="295"/>
    </row>
    <row r="169" spans="1:61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5">
        <f t="shared" si="26"/>
        <v>416.77999999999884</v>
      </c>
      <c r="AZ169" s="294"/>
      <c r="BA169" s="298"/>
      <c r="BB169" s="294"/>
      <c r="BC169" s="295"/>
      <c r="BD169" s="294"/>
      <c r="BE169" s="295">
        <f t="shared" si="27"/>
        <v>416.77999999999884</v>
      </c>
      <c r="BF169" s="294"/>
      <c r="BG169" s="295"/>
    </row>
    <row r="170" spans="1:61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5">
        <f t="shared" si="26"/>
        <v>0</v>
      </c>
      <c r="AZ170" s="294"/>
      <c r="BA170" s="298"/>
      <c r="BB170" s="294"/>
      <c r="BC170" s="295"/>
      <c r="BD170" s="294"/>
      <c r="BE170" s="295">
        <f t="shared" si="27"/>
        <v>0</v>
      </c>
      <c r="BF170" s="294"/>
      <c r="BG170" s="295"/>
    </row>
    <row r="171" spans="1:61" x14ac:dyDescent="0.2">
      <c r="A171" s="112"/>
      <c r="B171" s="322" t="s">
        <v>326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5">
        <f t="shared" si="26"/>
        <v>4055.15</v>
      </c>
      <c r="AZ171" s="294"/>
      <c r="BA171" s="298"/>
      <c r="BB171" s="294"/>
      <c r="BC171" s="295"/>
      <c r="BD171" s="294"/>
      <c r="BE171" s="295">
        <f t="shared" si="27"/>
        <v>4055.15</v>
      </c>
      <c r="BF171" s="294"/>
      <c r="BG171" s="295"/>
    </row>
    <row r="172" spans="1:61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5">
        <f t="shared" si="26"/>
        <v>18003.71</v>
      </c>
      <c r="AZ172" s="294"/>
      <c r="BA172" s="298"/>
      <c r="BB172" s="294"/>
      <c r="BC172" s="295"/>
      <c r="BD172" s="294"/>
      <c r="BE172" s="295">
        <f t="shared" si="27"/>
        <v>18003.71</v>
      </c>
      <c r="BF172" s="294"/>
      <c r="BG172" s="295"/>
    </row>
    <row r="173" spans="1:61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5">
        <f t="shared" si="26"/>
        <v>307.09000000000003</v>
      </c>
      <c r="AZ173" s="294"/>
      <c r="BA173" s="298"/>
      <c r="BB173" s="294"/>
      <c r="BC173" s="295"/>
      <c r="BD173" s="294"/>
      <c r="BE173" s="295">
        <f t="shared" si="27"/>
        <v>307.09000000000003</v>
      </c>
      <c r="BF173" s="294"/>
      <c r="BG173" s="295"/>
    </row>
    <row r="174" spans="1:61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5">
        <f t="shared" si="26"/>
        <v>91000</v>
      </c>
      <c r="AZ174" s="294"/>
      <c r="BA174" s="298"/>
      <c r="BB174" s="294"/>
      <c r="BC174" s="295"/>
      <c r="BD174" s="294"/>
      <c r="BE174" s="295">
        <f t="shared" si="27"/>
        <v>91000</v>
      </c>
      <c r="BF174" s="294"/>
      <c r="BG174" s="295"/>
    </row>
    <row r="175" spans="1:61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5">
        <f t="shared" si="26"/>
        <v>57741.119999999995</v>
      </c>
      <c r="AZ175" s="294"/>
      <c r="BA175" s="298"/>
      <c r="BB175" s="294"/>
      <c r="BC175" s="295"/>
      <c r="BD175" s="294"/>
      <c r="BE175" s="295">
        <f t="shared" si="27"/>
        <v>57741.119999999995</v>
      </c>
      <c r="BF175" s="294"/>
      <c r="BG175" s="295"/>
    </row>
    <row r="176" spans="1:61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5">
        <f t="shared" si="26"/>
        <v>651</v>
      </c>
      <c r="AZ176" s="294"/>
      <c r="BA176" s="298"/>
      <c r="BB176" s="294"/>
      <c r="BC176" s="295"/>
      <c r="BD176" s="294"/>
      <c r="BE176" s="295">
        <f t="shared" si="27"/>
        <v>651</v>
      </c>
      <c r="BF176" s="294"/>
      <c r="BG176" s="295"/>
    </row>
    <row r="177" spans="1:59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5">
        <f t="shared" si="26"/>
        <v>52.5</v>
      </c>
      <c r="AZ177" s="294"/>
      <c r="BA177" s="298"/>
      <c r="BB177" s="294"/>
      <c r="BC177" s="295"/>
      <c r="BD177" s="294"/>
      <c r="BE177" s="295">
        <f t="shared" si="27"/>
        <v>52.5</v>
      </c>
      <c r="BF177" s="294"/>
      <c r="BG177" s="295"/>
    </row>
    <row r="178" spans="1:59" x14ac:dyDescent="0.2">
      <c r="A178" s="112"/>
      <c r="B178" s="322" t="s">
        <v>334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7">
        <v>4528</v>
      </c>
      <c r="AT178" s="298"/>
      <c r="AU178" s="307">
        <v>-4528</v>
      </c>
      <c r="AV178" s="298"/>
      <c r="AW178" s="307"/>
      <c r="AX178" s="298"/>
      <c r="AY178" s="309">
        <f t="shared" si="26"/>
        <v>67773.039999999994</v>
      </c>
      <c r="AZ178" s="294"/>
      <c r="BA178" s="298"/>
      <c r="BB178" s="294"/>
      <c r="BC178" s="295"/>
      <c r="BD178" s="294"/>
      <c r="BE178" s="295">
        <f t="shared" si="27"/>
        <v>67773.039999999994</v>
      </c>
      <c r="BF178" s="294"/>
      <c r="BG178" s="295"/>
    </row>
    <row r="179" spans="1:59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4528</v>
      </c>
      <c r="AT179" s="297"/>
      <c r="AU179" s="296">
        <f>SUBTOTAL(9,AU164:AU178)</f>
        <v>-4528</v>
      </c>
      <c r="AV179" s="297"/>
      <c r="AW179" s="296">
        <f>SUBTOTAL(9,AW164:AW178)</f>
        <v>0</v>
      </c>
      <c r="AX179" s="297"/>
      <c r="AY179" s="296">
        <f>SUBTOTAL(9,AY164:AY178)</f>
        <v>555315.14000000013</v>
      </c>
      <c r="AZ179" s="294"/>
      <c r="BA179" s="328">
        <f>SUBTOTAL(9,BA164:BA177)</f>
        <v>0</v>
      </c>
      <c r="BB179" s="294"/>
      <c r="BC179" s="329">
        <f>IF(+O179-AY179+BA179&gt;0,O179-AY179+BA179,0)</f>
        <v>0</v>
      </c>
      <c r="BD179" s="294"/>
      <c r="BE179" s="329">
        <f t="shared" si="27"/>
        <v>555315.14000000013</v>
      </c>
      <c r="BF179" s="294"/>
      <c r="BG179" s="328">
        <f>+O179-BE179</f>
        <v>-255315.14000000013</v>
      </c>
    </row>
    <row r="180" spans="1:59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5"/>
      <c r="AZ180" s="294"/>
      <c r="BA180" s="298"/>
      <c r="BB180" s="294"/>
      <c r="BC180" s="295"/>
      <c r="BD180" s="294"/>
      <c r="BE180" s="295"/>
      <c r="BF180" s="294"/>
      <c r="BG180" s="295"/>
    </row>
    <row r="181" spans="1:59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5"/>
      <c r="AZ181" s="294"/>
      <c r="BA181" s="298"/>
      <c r="BB181" s="294"/>
      <c r="BC181" s="295"/>
      <c r="BD181" s="294"/>
      <c r="BE181" s="295"/>
      <c r="BF181" s="294"/>
      <c r="BG181" s="295"/>
    </row>
    <row r="182" spans="1:59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308"/>
      <c r="AT182" s="308"/>
      <c r="AU182" s="308"/>
      <c r="AV182" s="308"/>
      <c r="AW182" s="308"/>
      <c r="AX182" s="308"/>
      <c r="AY182" s="295">
        <f t="shared" ref="AY182:AY192" si="28">SUM(P182:AX182)</f>
        <v>4742.7199999999993</v>
      </c>
      <c r="AZ182" s="294"/>
      <c r="BA182" s="308"/>
      <c r="BB182" s="294"/>
      <c r="BC182" s="295"/>
      <c r="BD182" s="294"/>
      <c r="BE182" s="295">
        <f t="shared" si="27"/>
        <v>4742.7199999999993</v>
      </c>
      <c r="BF182" s="294"/>
      <c r="BG182" s="295"/>
    </row>
    <row r="183" spans="1:59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308"/>
      <c r="AT183" s="308"/>
      <c r="AU183" s="308"/>
      <c r="AV183" s="308"/>
      <c r="AW183" s="308"/>
      <c r="AX183" s="308"/>
      <c r="AY183" s="295">
        <f t="shared" si="28"/>
        <v>0</v>
      </c>
      <c r="AZ183" s="294"/>
      <c r="BA183" s="308"/>
      <c r="BB183" s="294"/>
      <c r="BC183" s="295"/>
      <c r="BD183" s="294"/>
      <c r="BE183" s="295">
        <f t="shared" si="27"/>
        <v>0</v>
      </c>
      <c r="BF183" s="294"/>
      <c r="BG183" s="295"/>
    </row>
    <row r="184" spans="1:59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308"/>
      <c r="AT184" s="308"/>
      <c r="AU184" s="308"/>
      <c r="AV184" s="308"/>
      <c r="AW184" s="308"/>
      <c r="AX184" s="308"/>
      <c r="AY184" s="295">
        <f t="shared" si="28"/>
        <v>179798.40000000002</v>
      </c>
      <c r="AZ184" s="294"/>
      <c r="BA184" s="308"/>
      <c r="BB184" s="294"/>
      <c r="BC184" s="295"/>
      <c r="BD184" s="294"/>
      <c r="BE184" s="295">
        <f t="shared" si="27"/>
        <v>179798.40000000002</v>
      </c>
      <c r="BF184" s="294"/>
      <c r="BG184" s="295"/>
    </row>
    <row r="185" spans="1:59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295">
        <f t="shared" si="28"/>
        <v>278016.83999999997</v>
      </c>
      <c r="AZ185" s="294"/>
      <c r="BA185" s="308"/>
      <c r="BB185" s="294"/>
      <c r="BC185" s="295"/>
      <c r="BD185" s="294"/>
      <c r="BE185" s="295">
        <f t="shared" si="27"/>
        <v>278016.83999999997</v>
      </c>
      <c r="BF185" s="294"/>
      <c r="BG185" s="295"/>
    </row>
    <row r="186" spans="1:59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308"/>
      <c r="AT186" s="308"/>
      <c r="AU186" s="308"/>
      <c r="AV186" s="308"/>
      <c r="AW186" s="308"/>
      <c r="AX186" s="308"/>
      <c r="AY186" s="295">
        <f t="shared" si="28"/>
        <v>5126.21</v>
      </c>
      <c r="AZ186" s="294"/>
      <c r="BA186" s="308"/>
      <c r="BB186" s="294"/>
      <c r="BC186" s="295"/>
      <c r="BD186" s="294"/>
      <c r="BE186" s="295">
        <f t="shared" si="27"/>
        <v>5126.21</v>
      </c>
      <c r="BF186" s="294"/>
      <c r="BG186" s="295"/>
    </row>
    <row r="187" spans="1:59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308"/>
      <c r="AT187" s="308"/>
      <c r="AU187" s="308"/>
      <c r="AV187" s="308"/>
      <c r="AW187" s="308"/>
      <c r="AX187" s="308"/>
      <c r="AY187" s="295">
        <f t="shared" si="28"/>
        <v>11164.84</v>
      </c>
      <c r="AZ187" s="294"/>
      <c r="BA187" s="308"/>
      <c r="BB187" s="294"/>
      <c r="BC187" s="295"/>
      <c r="BD187" s="294"/>
      <c r="BE187" s="295">
        <f t="shared" si="27"/>
        <v>11164.84</v>
      </c>
      <c r="BF187" s="294"/>
      <c r="BG187" s="295"/>
    </row>
    <row r="188" spans="1:59" x14ac:dyDescent="0.2">
      <c r="A188" s="112"/>
      <c r="B188" s="322" t="s">
        <v>415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308"/>
      <c r="AT188" s="308"/>
      <c r="AU188" s="308"/>
      <c r="AV188" s="308"/>
      <c r="AW188" s="308"/>
      <c r="AX188" s="308"/>
      <c r="AY188" s="295">
        <f t="shared" si="28"/>
        <v>9021.6</v>
      </c>
      <c r="AZ188" s="294"/>
      <c r="BA188" s="308"/>
      <c r="BB188" s="294"/>
      <c r="BC188" s="295"/>
      <c r="BD188" s="294"/>
      <c r="BE188" s="295">
        <f t="shared" si="27"/>
        <v>9021.6</v>
      </c>
      <c r="BF188" s="294"/>
      <c r="BG188" s="295"/>
    </row>
    <row r="189" spans="1:59" x14ac:dyDescent="0.2">
      <c r="A189" s="112"/>
      <c r="B189" s="322" t="s">
        <v>502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295">
        <f t="shared" si="28"/>
        <v>2750</v>
      </c>
      <c r="AZ189" s="294"/>
      <c r="BA189" s="308"/>
      <c r="BB189" s="294"/>
      <c r="BC189" s="295"/>
      <c r="BD189" s="294"/>
      <c r="BE189" s="295">
        <f t="shared" si="27"/>
        <v>2750</v>
      </c>
      <c r="BF189" s="294"/>
      <c r="BG189" s="295"/>
    </row>
    <row r="190" spans="1:59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295">
        <f t="shared" si="28"/>
        <v>13816.84</v>
      </c>
      <c r="AZ190" s="294"/>
      <c r="BA190" s="308"/>
      <c r="BB190" s="294"/>
      <c r="BC190" s="295"/>
      <c r="BD190" s="294"/>
      <c r="BE190" s="295">
        <f t="shared" si="27"/>
        <v>13816.84</v>
      </c>
      <c r="BF190" s="294"/>
      <c r="BG190" s="295"/>
    </row>
    <row r="191" spans="1:59" x14ac:dyDescent="0.2">
      <c r="A191" s="112"/>
      <c r="B191" s="322" t="s">
        <v>548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252208.46</v>
      </c>
      <c r="AR191" s="308"/>
      <c r="AS191" s="308">
        <v>49464</v>
      </c>
      <c r="AT191" s="308"/>
      <c r="AU191" s="308"/>
      <c r="AV191" s="308"/>
      <c r="AW191" s="308"/>
      <c r="AX191" s="308"/>
      <c r="AY191" s="295">
        <f t="shared" si="28"/>
        <v>301672.45999999996</v>
      </c>
      <c r="AZ191" s="294"/>
      <c r="BA191" s="308"/>
      <c r="BB191" s="294"/>
      <c r="BC191" s="295"/>
      <c r="BD191" s="294"/>
      <c r="BE191" s="295">
        <f t="shared" si="27"/>
        <v>301672.45999999996</v>
      </c>
      <c r="BF191" s="294"/>
      <c r="BG191" s="295"/>
    </row>
    <row r="192" spans="1:59" x14ac:dyDescent="0.2">
      <c r="A192" s="112"/>
      <c r="B192" s="322" t="s">
        <v>503</v>
      </c>
      <c r="C192" s="31"/>
      <c r="D192" s="294"/>
      <c r="E192" s="294"/>
      <c r="F192" s="294"/>
      <c r="G192" s="294"/>
      <c r="H192" s="294"/>
      <c r="I192" s="294"/>
      <c r="J192" s="294"/>
      <c r="K192" s="309"/>
      <c r="L192" s="294"/>
      <c r="M192" s="309"/>
      <c r="N192" s="294"/>
      <c r="O192" s="309"/>
      <c r="P192" s="322"/>
      <c r="Q192" s="307"/>
      <c r="R192" s="297"/>
      <c r="S192" s="307"/>
      <c r="T192" s="297"/>
      <c r="U192" s="307"/>
      <c r="V192" s="295"/>
      <c r="W192" s="307">
        <v>126458.5</v>
      </c>
      <c r="X192" s="298"/>
      <c r="Y192" s="307"/>
      <c r="Z192" s="298"/>
      <c r="AA192" s="307"/>
      <c r="AB192" s="298"/>
      <c r="AC192" s="307">
        <f>70.62+7285.45+119286.95</f>
        <v>126643.01999999999</v>
      </c>
      <c r="AD192" s="298"/>
      <c r="AE192" s="307"/>
      <c r="AF192" s="308"/>
      <c r="AG192" s="307">
        <f>3681.01+9-1</f>
        <v>3689.01</v>
      </c>
      <c r="AH192" s="308"/>
      <c r="AI192" s="307"/>
      <c r="AJ192" s="308"/>
      <c r="AK192" s="307">
        <f>2747.72+1-1</f>
        <v>2747.72</v>
      </c>
      <c r="AL192" s="308"/>
      <c r="AM192" s="307">
        <f>299.22+2141.83</f>
        <v>2441.0500000000002</v>
      </c>
      <c r="AN192" s="308"/>
      <c r="AO192" s="307"/>
      <c r="AP192" s="308"/>
      <c r="AQ192" s="307"/>
      <c r="AR192" s="308"/>
      <c r="AS192" s="307">
        <v>733</v>
      </c>
      <c r="AT192" s="308"/>
      <c r="AU192" s="307">
        <v>-733</v>
      </c>
      <c r="AV192" s="308"/>
      <c r="AW192" s="307"/>
      <c r="AX192" s="308"/>
      <c r="AY192" s="309">
        <f t="shared" si="28"/>
        <v>261979.3</v>
      </c>
      <c r="AZ192" s="294"/>
      <c r="BA192" s="308"/>
      <c r="BB192" s="294"/>
      <c r="BC192" s="295"/>
      <c r="BD192" s="294"/>
      <c r="BE192" s="295">
        <f t="shared" si="27"/>
        <v>261979.3</v>
      </c>
      <c r="BF192" s="294"/>
      <c r="BG192" s="295"/>
    </row>
    <row r="193" spans="1:61" x14ac:dyDescent="0.2">
      <c r="A193" s="317"/>
      <c r="B193" s="294" t="s">
        <v>128</v>
      </c>
      <c r="C193" s="294"/>
      <c r="D193" s="294"/>
      <c r="E193" s="294"/>
      <c r="F193" s="294"/>
      <c r="G193" s="294"/>
      <c r="H193" s="294"/>
      <c r="I193" s="294"/>
      <c r="J193" s="294"/>
      <c r="K193" s="299">
        <v>850000</v>
      </c>
      <c r="L193" s="294"/>
      <c r="M193" s="299">
        <v>-350000</v>
      </c>
      <c r="N193" s="294"/>
      <c r="O193" s="299">
        <f>SUM(K193:N193)</f>
        <v>500000</v>
      </c>
      <c r="P193" s="322"/>
      <c r="Q193" s="296">
        <f>SUBTOTAL(9,Q182:Q192)</f>
        <v>181514.9</v>
      </c>
      <c r="R193" s="296"/>
      <c r="S193" s="296">
        <f>SUBTOTAL(9,S182:S192)</f>
        <v>0</v>
      </c>
      <c r="T193" s="296"/>
      <c r="U193" s="296">
        <f>SUBTOTAL(9,U182:U192)</f>
        <v>5253.82</v>
      </c>
      <c r="V193" s="296"/>
      <c r="W193" s="296">
        <f>SUBTOTAL(9,W182:W192)</f>
        <v>128603.5</v>
      </c>
      <c r="X193" s="296"/>
      <c r="Y193" s="296">
        <f>SUBTOTAL(9,Y182:Y192)</f>
        <v>0</v>
      </c>
      <c r="Z193" s="296"/>
      <c r="AA193" s="296">
        <f>SUBTOTAL(9,AA182:AA192)</f>
        <v>3489.5</v>
      </c>
      <c r="AB193" s="296"/>
      <c r="AC193" s="296">
        <f>SUBTOTAL(9,AC182:AC192)</f>
        <v>265295.78999999998</v>
      </c>
      <c r="AD193" s="296"/>
      <c r="AE193" s="296">
        <f>SUBTOTAL(9,AE182:AE192)</f>
        <v>0</v>
      </c>
      <c r="AF193" s="296"/>
      <c r="AG193" s="296">
        <f>SUBTOTAL(9,AG182:AG192)</f>
        <v>27840.92</v>
      </c>
      <c r="AH193" s="296"/>
      <c r="AI193" s="296">
        <f>SUBTOTAL(9,AI182:AI192)</f>
        <v>0</v>
      </c>
      <c r="AJ193" s="296"/>
      <c r="AK193" s="296">
        <f>SUBTOTAL(9,AK182:AK192)</f>
        <v>146513.88999999998</v>
      </c>
      <c r="AL193" s="296"/>
      <c r="AM193" s="296">
        <f>SUBTOTAL(9,AM182:AM192)</f>
        <v>7904.43</v>
      </c>
      <c r="AN193" s="296"/>
      <c r="AO193" s="296">
        <f>SUBTOTAL(9,AO182:AO192)</f>
        <v>0</v>
      </c>
      <c r="AP193" s="296"/>
      <c r="AQ193" s="296">
        <f>SUBTOTAL(9,AQ182:AQ192)</f>
        <v>252208.46</v>
      </c>
      <c r="AR193" s="296"/>
      <c r="AS193" s="296">
        <f>SUBTOTAL(9,AS182:AS192)</f>
        <v>50197</v>
      </c>
      <c r="AT193" s="296"/>
      <c r="AU193" s="296">
        <f>SUBTOTAL(9,AU182:AU192)</f>
        <v>-733</v>
      </c>
      <c r="AV193" s="296"/>
      <c r="AW193" s="296">
        <f>SUBTOTAL(9,AW182:AW192)</f>
        <v>0</v>
      </c>
      <c r="AX193" s="296"/>
      <c r="AY193" s="296">
        <f>SUBTOTAL(9,AY182:AY192)</f>
        <v>1068089.21</v>
      </c>
      <c r="AZ193" s="294"/>
      <c r="BA193" s="328">
        <f>SUBTOTAL(9,BA182:BA190)</f>
        <v>0</v>
      </c>
      <c r="BB193" s="294"/>
      <c r="BC193" s="329">
        <f>IF(+O193-AY193+BA193&gt;0,O193-AY193+BA193,0)</f>
        <v>0</v>
      </c>
      <c r="BD193" s="294"/>
      <c r="BE193" s="329">
        <f t="shared" si="27"/>
        <v>1068089.21</v>
      </c>
      <c r="BF193" s="294"/>
      <c r="BG193" s="328">
        <f>+O193-BE193</f>
        <v>-568089.21</v>
      </c>
    </row>
    <row r="194" spans="1:61" x14ac:dyDescent="0.2">
      <c r="A194" s="112"/>
      <c r="B194" s="322"/>
      <c r="C194" s="31"/>
      <c r="D194" s="294"/>
      <c r="E194" s="294"/>
      <c r="F194" s="294"/>
      <c r="G194" s="294"/>
      <c r="H194" s="294"/>
      <c r="I194" s="294"/>
      <c r="J194" s="294"/>
      <c r="K194" s="332"/>
      <c r="L194" s="294"/>
      <c r="M194" s="332"/>
      <c r="N194" s="294"/>
      <c r="O194" s="332"/>
      <c r="P194" s="294"/>
      <c r="Q194" s="308"/>
      <c r="R194" s="297"/>
      <c r="S194" s="308"/>
      <c r="T194" s="297"/>
      <c r="U194" s="308"/>
      <c r="V194" s="295"/>
      <c r="W194" s="308"/>
      <c r="X194" s="298"/>
      <c r="Y194" s="308"/>
      <c r="Z194" s="298"/>
      <c r="AA194" s="308"/>
      <c r="AB194" s="298"/>
      <c r="AC194" s="308"/>
      <c r="AD194" s="298"/>
      <c r="AE194" s="308"/>
      <c r="AF194" s="308"/>
      <c r="AG194" s="308"/>
      <c r="AH194" s="308"/>
      <c r="AI194" s="308"/>
      <c r="AJ194" s="308"/>
      <c r="AK194" s="308"/>
      <c r="AL194" s="308"/>
      <c r="AM194" s="308"/>
      <c r="AN194" s="308"/>
      <c r="AO194" s="308"/>
      <c r="AP194" s="308"/>
      <c r="AQ194" s="308"/>
      <c r="AR194" s="308"/>
      <c r="AS194" s="308"/>
      <c r="AT194" s="308"/>
      <c r="AU194" s="308"/>
      <c r="AV194" s="308"/>
      <c r="AW194" s="308"/>
      <c r="AX194" s="308"/>
      <c r="AY194" s="332"/>
      <c r="AZ194" s="294"/>
      <c r="BA194" s="308"/>
      <c r="BB194" s="294"/>
      <c r="BC194" s="332"/>
      <c r="BD194" s="294"/>
      <c r="BE194" s="332"/>
      <c r="BF194" s="294"/>
      <c r="BG194" s="332"/>
    </row>
    <row r="195" spans="1:61" x14ac:dyDescent="0.2">
      <c r="A195" s="112" t="s">
        <v>364</v>
      </c>
      <c r="B195" s="322"/>
      <c r="C195" s="31" t="s">
        <v>0</v>
      </c>
      <c r="D195" s="294"/>
      <c r="E195" s="294"/>
      <c r="F195" s="294"/>
      <c r="G195" s="294" t="s">
        <v>365</v>
      </c>
      <c r="H195" s="294"/>
      <c r="I195" s="294"/>
      <c r="J195" s="294"/>
      <c r="K195" s="299">
        <v>0</v>
      </c>
      <c r="L195" s="294"/>
      <c r="M195" s="299">
        <v>1000000</v>
      </c>
      <c r="N195" s="294"/>
      <c r="O195" s="299">
        <f>SUM(K195:N195)</f>
        <v>1000000</v>
      </c>
      <c r="P195" s="294"/>
      <c r="Q195" s="296">
        <v>0</v>
      </c>
      <c r="R195" s="297"/>
      <c r="S195" s="296">
        <v>0</v>
      </c>
      <c r="T195" s="297"/>
      <c r="U195" s="296">
        <v>0</v>
      </c>
      <c r="V195" s="295"/>
      <c r="W195" s="296"/>
      <c r="X195" s="298"/>
      <c r="Y195" s="296"/>
      <c r="Z195" s="298"/>
      <c r="AA195" s="296"/>
      <c r="AB195" s="298"/>
      <c r="AC195" s="296">
        <v>121527.11</v>
      </c>
      <c r="AD195" s="298"/>
      <c r="AE195" s="296">
        <v>58914</v>
      </c>
      <c r="AF195" s="296"/>
      <c r="AG195" s="296">
        <v>47610</v>
      </c>
      <c r="AH195" s="296"/>
      <c r="AI195" s="296"/>
      <c r="AJ195" s="296"/>
      <c r="AK195" s="296"/>
      <c r="AL195" s="296"/>
      <c r="AM195" s="296"/>
      <c r="AN195" s="296"/>
      <c r="AO195" s="296"/>
      <c r="AP195" s="296"/>
      <c r="AQ195" s="296"/>
      <c r="AR195" s="296"/>
      <c r="AS195" s="296"/>
      <c r="AT195" s="296"/>
      <c r="AU195" s="296"/>
      <c r="AV195" s="296"/>
      <c r="AW195" s="296"/>
      <c r="AX195" s="296"/>
      <c r="AY195" s="295">
        <f>SUM(P195:AX195)</f>
        <v>228051.11</v>
      </c>
      <c r="AZ195" s="294"/>
      <c r="BA195" s="296">
        <f>-650000-121949</f>
        <v>-771949</v>
      </c>
      <c r="BB195" s="294"/>
      <c r="BC195" s="295">
        <f>IF(+O195-AY195+BA195&gt;0,O195-AY195+BA195,0)</f>
        <v>0</v>
      </c>
      <c r="BD195" s="294"/>
      <c r="BE195" s="295">
        <f t="shared" si="27"/>
        <v>228051.11</v>
      </c>
      <c r="BF195" s="294"/>
      <c r="BG195" s="295">
        <f>+O195-BE195</f>
        <v>771948.89</v>
      </c>
    </row>
    <row r="196" spans="1:61" x14ac:dyDescent="0.2">
      <c r="A196" s="112"/>
      <c r="B196" s="322"/>
      <c r="C196" s="31"/>
      <c r="D196" s="294"/>
      <c r="E196" s="294"/>
      <c r="F196" s="294"/>
      <c r="G196" s="294"/>
      <c r="H196" s="294"/>
      <c r="I196" s="294"/>
      <c r="J196" s="294"/>
      <c r="K196" s="332"/>
      <c r="L196" s="294"/>
      <c r="M196" s="332"/>
      <c r="N196" s="294"/>
      <c r="O196" s="332"/>
      <c r="P196" s="294"/>
      <c r="Q196" s="308"/>
      <c r="R196" s="297"/>
      <c r="S196" s="308"/>
      <c r="T196" s="297"/>
      <c r="U196" s="308"/>
      <c r="V196" s="295"/>
      <c r="W196" s="308"/>
      <c r="X196" s="298"/>
      <c r="Y196" s="308"/>
      <c r="Z196" s="298"/>
      <c r="AA196" s="308"/>
      <c r="AB196" s="298"/>
      <c r="AC196" s="308"/>
      <c r="AD196" s="298"/>
      <c r="AE196" s="308"/>
      <c r="AF196" s="308"/>
      <c r="AG196" s="308"/>
      <c r="AH196" s="308"/>
      <c r="AI196" s="308"/>
      <c r="AJ196" s="308"/>
      <c r="AK196" s="308"/>
      <c r="AL196" s="308"/>
      <c r="AM196" s="308"/>
      <c r="AN196" s="308"/>
      <c r="AO196" s="308"/>
      <c r="AP196" s="308"/>
      <c r="AQ196" s="308"/>
      <c r="AR196" s="308"/>
      <c r="AS196" s="308"/>
      <c r="AT196" s="308"/>
      <c r="AU196" s="308"/>
      <c r="AV196" s="308"/>
      <c r="AW196" s="308"/>
      <c r="AX196" s="308"/>
      <c r="AY196" s="332"/>
      <c r="AZ196" s="294"/>
      <c r="BA196" s="308"/>
      <c r="BB196" s="294"/>
      <c r="BC196" s="332"/>
      <c r="BD196" s="294"/>
      <c r="BE196" s="332"/>
      <c r="BF196" s="294"/>
      <c r="BG196" s="332"/>
    </row>
    <row r="197" spans="1:61" x14ac:dyDescent="0.2">
      <c r="A197" s="312"/>
      <c r="B197" s="363" t="s">
        <v>108</v>
      </c>
      <c r="C197" s="364"/>
      <c r="D197" s="294"/>
      <c r="E197" s="294"/>
      <c r="F197" s="294"/>
      <c r="G197" s="294"/>
      <c r="H197" s="294"/>
      <c r="I197" s="294"/>
      <c r="J197" s="294"/>
      <c r="K197" s="299">
        <f>K159+K161+K179+K193+K195</f>
        <v>2850000</v>
      </c>
      <c r="L197" s="294"/>
      <c r="M197" s="299">
        <f>M159+M161+M179+M193+M195</f>
        <v>17487</v>
      </c>
      <c r="N197" s="294"/>
      <c r="O197" s="299">
        <f>O159+O161+O179+O193+O195</f>
        <v>2867487</v>
      </c>
      <c r="P197" s="294"/>
      <c r="Q197" s="296">
        <f>Q159+Q161+Q179+Q193+Q195</f>
        <v>443676.68000000005</v>
      </c>
      <c r="R197" s="297"/>
      <c r="S197" s="296">
        <f>S159+S161+S179+S193+S195</f>
        <v>76317.943333333329</v>
      </c>
      <c r="T197" s="297"/>
      <c r="U197" s="296">
        <f>U159+U161+U179+U193+U195</f>
        <v>769677.86</v>
      </c>
      <c r="V197" s="295"/>
      <c r="W197" s="296">
        <f>W159+W161+W179+W193+W195</f>
        <v>133015.22</v>
      </c>
      <c r="X197" s="298"/>
      <c r="Y197" s="296">
        <f>Y159+Y161+Y179+Y193+Y195</f>
        <v>-19953.080000000002</v>
      </c>
      <c r="Z197" s="298"/>
      <c r="AA197" s="296">
        <f>AA159+AA161+AA179+AA193+AA195</f>
        <v>7003.38</v>
      </c>
      <c r="AB197" s="298"/>
      <c r="AC197" s="296">
        <f>AC159+AC161+AC179+AC193+AC195</f>
        <v>618122.23</v>
      </c>
      <c r="AD197" s="298"/>
      <c r="AE197" s="296">
        <f>AE159+AE161+AE179+AE193+AE195</f>
        <v>100497.45</v>
      </c>
      <c r="AF197" s="296"/>
      <c r="AG197" s="296">
        <f>AG159+AG161+AG179+AG193+AG195</f>
        <v>140034.97999999998</v>
      </c>
      <c r="AH197" s="296"/>
      <c r="AI197" s="296">
        <f>AI159+AI161+AI179+AI193+AI195</f>
        <v>77226.17</v>
      </c>
      <c r="AJ197" s="296"/>
      <c r="AK197" s="296">
        <f>AK159+AK161+AK179+AK193+AK195</f>
        <v>172219.96999999997</v>
      </c>
      <c r="AL197" s="296"/>
      <c r="AM197" s="296">
        <f>AM159+AM161+AM179+AM193+AM195</f>
        <v>11175.460000000001</v>
      </c>
      <c r="AN197" s="296"/>
      <c r="AO197" s="296">
        <f>AO159+AO161+AO179+AO193+AO195</f>
        <v>86795.900000000009</v>
      </c>
      <c r="AP197" s="296"/>
      <c r="AQ197" s="296">
        <f>AQ159+AQ161+AQ179+AQ193+AQ195</f>
        <v>318222.02</v>
      </c>
      <c r="AR197" s="296"/>
      <c r="AS197" s="296">
        <f>AS159+AS161+AS179+AS193+AS195</f>
        <v>54725</v>
      </c>
      <c r="AT197" s="296"/>
      <c r="AU197" s="296">
        <f>AU159+AU161+AU179+AU193+AU195</f>
        <v>-5261</v>
      </c>
      <c r="AV197" s="296"/>
      <c r="AW197" s="296">
        <f>AW159+AW161+AW179+AW193+AW195</f>
        <v>0</v>
      </c>
      <c r="AX197" s="296"/>
      <c r="AY197" s="299">
        <f>AY159+AY161+AY179+AY193+AY195</f>
        <v>2983496.1833333331</v>
      </c>
      <c r="AZ197" s="294"/>
      <c r="BA197" s="296">
        <f>BA159+BA161+BA179+BA193+BA195</f>
        <v>-628887</v>
      </c>
      <c r="BB197" s="294"/>
      <c r="BC197" s="299">
        <f>BC159+BC161+BC179+BC193+BC195</f>
        <v>0</v>
      </c>
      <c r="BD197" s="294"/>
      <c r="BE197" s="299">
        <f t="shared" si="27"/>
        <v>2983496.1833333331</v>
      </c>
      <c r="BF197" s="294"/>
      <c r="BG197" s="296">
        <f>+O197-BE197</f>
        <v>-116009.18333333312</v>
      </c>
    </row>
    <row r="198" spans="1:61" ht="13.5" thickBot="1" x14ac:dyDescent="0.25">
      <c r="A198" s="180" t="s">
        <v>187</v>
      </c>
      <c r="B198" s="365"/>
      <c r="C198" s="122"/>
      <c r="D198" s="294"/>
      <c r="E198" s="294"/>
      <c r="F198" s="294"/>
      <c r="G198" s="294"/>
      <c r="H198" s="294"/>
      <c r="I198" s="294"/>
      <c r="J198" s="294"/>
      <c r="K198" s="318">
        <f>K197+K152</f>
        <v>123921212.472</v>
      </c>
      <c r="L198" s="294"/>
      <c r="M198" s="318">
        <f>M197+M152</f>
        <v>-179227</v>
      </c>
      <c r="N198" s="294"/>
      <c r="O198" s="318">
        <f>O197+O152</f>
        <v>123741985.472</v>
      </c>
      <c r="P198" s="294"/>
      <c r="Q198" s="320">
        <f>Q197+Q152</f>
        <v>61516764.230000004</v>
      </c>
      <c r="R198" s="297"/>
      <c r="S198" s="320">
        <f>S197+S152</f>
        <v>5269296.293333333</v>
      </c>
      <c r="T198" s="297"/>
      <c r="U198" s="320">
        <f>U197+U152</f>
        <v>7536552.3799999999</v>
      </c>
      <c r="V198" s="295"/>
      <c r="W198" s="320">
        <f>W197+W152</f>
        <v>6111434.6600000001</v>
      </c>
      <c r="X198" s="298"/>
      <c r="Y198" s="320">
        <f>Y197+Y152</f>
        <v>7809255.54</v>
      </c>
      <c r="Z198" s="298"/>
      <c r="AA198" s="320">
        <f>AA197+AA152</f>
        <v>4255817.59</v>
      </c>
      <c r="AB198" s="298"/>
      <c r="AC198" s="320">
        <f>AC197+AC152</f>
        <v>6965819.5500000007</v>
      </c>
      <c r="AD198" s="298"/>
      <c r="AE198" s="320">
        <f>AE197+AE152</f>
        <v>7593243.7999999998</v>
      </c>
      <c r="AF198" s="314"/>
      <c r="AG198" s="320">
        <f>AG197+AG152</f>
        <v>6489464.9899999984</v>
      </c>
      <c r="AH198" s="314"/>
      <c r="AI198" s="320">
        <f>AI197+AI152</f>
        <v>7724026.6499999994</v>
      </c>
      <c r="AJ198" s="314"/>
      <c r="AK198" s="320">
        <f>AK197+AK152</f>
        <v>1383720.8800000001</v>
      </c>
      <c r="AL198" s="314"/>
      <c r="AM198" s="320">
        <f>AM197+AM152</f>
        <v>1930064.02</v>
      </c>
      <c r="AN198" s="314"/>
      <c r="AO198" s="320">
        <f>AO197+AO152</f>
        <v>2051014.2599999998</v>
      </c>
      <c r="AP198" s="314"/>
      <c r="AQ198" s="320">
        <f>AQ197+AQ152</f>
        <v>1141784.1499999999</v>
      </c>
      <c r="AR198" s="314"/>
      <c r="AS198" s="320">
        <f>AS197+AS152</f>
        <v>54725</v>
      </c>
      <c r="AT198" s="314"/>
      <c r="AU198" s="320">
        <f>AU197+AU152</f>
        <v>-5261</v>
      </c>
      <c r="AV198" s="314"/>
      <c r="AW198" s="320">
        <f>AW197+AW152</f>
        <v>0</v>
      </c>
      <c r="AX198" s="314"/>
      <c r="AY198" s="318">
        <f>AY197+AY152</f>
        <v>127827721.99333334</v>
      </c>
      <c r="AZ198" s="294"/>
      <c r="BA198" s="320">
        <f>BA197+BA152</f>
        <v>82551.330000000075</v>
      </c>
      <c r="BB198" s="294"/>
      <c r="BC198" s="318">
        <f>BC197+BC152+BC33</f>
        <v>173194.04199999993</v>
      </c>
      <c r="BD198" s="294"/>
      <c r="BE198" s="318">
        <f>+BC198+AY198-1</f>
        <v>128000915.03533334</v>
      </c>
      <c r="BF198" s="294"/>
      <c r="BG198" s="320">
        <f>+O198-BE198</f>
        <v>-4258929.5633333325</v>
      </c>
      <c r="BI198" s="39"/>
    </row>
    <row r="199" spans="1:61" ht="5.25" customHeight="1" thickTop="1" x14ac:dyDescent="0.2">
      <c r="A199" s="344"/>
      <c r="B199" s="346"/>
      <c r="C199" s="346"/>
      <c r="D199" s="294"/>
      <c r="E199" s="294"/>
      <c r="F199" s="294"/>
      <c r="G199" s="294"/>
      <c r="H199" s="294"/>
      <c r="I199" s="294"/>
      <c r="J199" s="294"/>
      <c r="K199" s="295"/>
      <c r="L199" s="294"/>
      <c r="M199" s="295"/>
      <c r="N199" s="294"/>
      <c r="O199" s="295"/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5"/>
      <c r="AZ199" s="294"/>
      <c r="BA199" s="298"/>
      <c r="BB199" s="294"/>
      <c r="BC199" s="295"/>
      <c r="BD199" s="294"/>
      <c r="BE199" s="295"/>
      <c r="BF199" s="294"/>
      <c r="BG199" s="298"/>
    </row>
    <row r="200" spans="1:61" ht="13.5" thickBot="1" x14ac:dyDescent="0.25">
      <c r="A200" s="180" t="s">
        <v>420</v>
      </c>
      <c r="B200" s="346"/>
      <c r="C200" s="346"/>
      <c r="D200" s="294"/>
      <c r="E200" s="294"/>
      <c r="F200" s="294"/>
      <c r="G200" s="294"/>
      <c r="H200" s="294"/>
      <c r="I200" s="294"/>
      <c r="J200" s="294"/>
      <c r="K200" s="366">
        <f>K198/460</f>
        <v>269393.94015652174</v>
      </c>
      <c r="L200" s="294"/>
      <c r="M200" s="295"/>
      <c r="N200" s="294"/>
      <c r="O200" s="366">
        <f>O198/460</f>
        <v>269004.31624347827</v>
      </c>
      <c r="P200" s="294"/>
      <c r="Q200" s="298"/>
      <c r="R200" s="297"/>
      <c r="S200" s="298"/>
      <c r="T200" s="297"/>
      <c r="U200" s="298"/>
      <c r="V200" s="295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5"/>
      <c r="AZ200" s="294"/>
      <c r="BA200" s="298"/>
      <c r="BB200" s="294"/>
      <c r="BC200" s="295"/>
      <c r="BD200" s="294"/>
      <c r="BE200" s="366">
        <f>BE198/460</f>
        <v>278262.85877246375</v>
      </c>
      <c r="BF200" s="294"/>
      <c r="BG200" s="295"/>
    </row>
    <row r="201" spans="1:61" customFormat="1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7"/>
      <c r="AB201" s="367"/>
      <c r="AC201" s="369"/>
      <c r="AD201" s="367"/>
      <c r="AE201" s="369"/>
      <c r="AF201" s="367"/>
      <c r="AG201" s="369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367"/>
      <c r="BB201" s="367"/>
      <c r="BC201" s="367"/>
      <c r="BD201" s="367"/>
      <c r="BE201" s="367"/>
      <c r="BF201" s="367"/>
      <c r="BG201" s="295"/>
    </row>
    <row r="202" spans="1:61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8"/>
      <c r="S202" s="367"/>
      <c r="T202" s="368"/>
      <c r="U202" s="367"/>
      <c r="V202" s="367"/>
      <c r="W202" s="367"/>
      <c r="X202" s="367"/>
      <c r="Y202" s="367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367"/>
      <c r="BB202" s="367"/>
      <c r="BC202" s="367"/>
      <c r="BD202" s="367"/>
      <c r="BE202" s="367"/>
      <c r="BF202" s="367"/>
      <c r="BG202" s="295"/>
    </row>
    <row r="203" spans="1:61" customFormat="1" x14ac:dyDescent="0.2">
      <c r="A203" s="370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9"/>
      <c r="R203" s="368"/>
      <c r="S203" s="369"/>
      <c r="T203" s="368"/>
      <c r="U203" s="369"/>
      <c r="V203" s="367"/>
      <c r="W203" s="369"/>
      <c r="X203" s="367"/>
      <c r="Y203" s="369"/>
      <c r="Z203" s="367"/>
      <c r="AA203" s="369"/>
      <c r="AB203" s="367"/>
      <c r="AC203" s="369"/>
      <c r="AD203" s="367"/>
      <c r="AE203" s="369"/>
      <c r="AF203" s="367"/>
      <c r="AG203" s="367"/>
      <c r="AH203" s="367"/>
      <c r="AI203" s="367"/>
      <c r="AJ203" s="367"/>
      <c r="AK203" s="367"/>
      <c r="AL203" s="367"/>
      <c r="AM203" s="367"/>
      <c r="AN203" s="367"/>
      <c r="AO203" s="367"/>
      <c r="AP203" s="367"/>
      <c r="AQ203" s="367"/>
      <c r="AR203" s="367"/>
      <c r="AS203" s="367"/>
      <c r="AT203" s="367"/>
      <c r="AU203" s="367"/>
      <c r="AV203" s="367"/>
      <c r="AW203" s="367"/>
      <c r="AX203" s="367"/>
      <c r="AY203" s="367"/>
      <c r="AZ203" s="367"/>
      <c r="BA203" s="367"/>
      <c r="BB203" s="367"/>
      <c r="BC203" s="367"/>
      <c r="BD203" s="367"/>
      <c r="BE203" s="367"/>
      <c r="BF203" s="367"/>
      <c r="BG203" s="295"/>
    </row>
    <row r="204" spans="1:61" x14ac:dyDescent="0.2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5"/>
      <c r="L204" s="294"/>
      <c r="M204" s="295"/>
      <c r="N204" s="294"/>
      <c r="O204" s="295"/>
      <c r="P204" s="294"/>
      <c r="Q204" s="298"/>
      <c r="R204" s="297"/>
      <c r="S204" s="298"/>
      <c r="T204" s="297"/>
      <c r="U204" s="298"/>
      <c r="V204" s="295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5"/>
      <c r="AZ204" s="294"/>
      <c r="BA204" s="298"/>
      <c r="BB204" s="294"/>
      <c r="BC204" s="295"/>
      <c r="BD204" s="294"/>
      <c r="BE204" s="295"/>
      <c r="BF204" s="294"/>
      <c r="BG204" s="295"/>
    </row>
    <row r="205" spans="1:61" s="41" customFormat="1" x14ac:dyDescent="0.2">
      <c r="A205" s="370" t="s">
        <v>421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299">
        <v>0</v>
      </c>
      <c r="L205" s="370"/>
      <c r="M205" s="299"/>
      <c r="N205" s="370"/>
      <c r="O205" s="299">
        <f>SUM(K205:N205)</f>
        <v>0</v>
      </c>
      <c r="P205" s="370"/>
      <c r="Q205" s="296"/>
      <c r="R205" s="371"/>
      <c r="S205" s="296"/>
      <c r="T205" s="371"/>
      <c r="U205" s="296">
        <v>0</v>
      </c>
      <c r="V205" s="299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9">
        <f>SUM(P205:AR205)</f>
        <v>0</v>
      </c>
      <c r="AZ205" s="370"/>
      <c r="BA205" s="296">
        <v>0</v>
      </c>
      <c r="BB205" s="370"/>
      <c r="BC205" s="299">
        <f>IF(+O205-AY205+BA205&gt;0,O205-AY205+BA205,0)</f>
        <v>0</v>
      </c>
      <c r="BD205" s="370"/>
      <c r="BE205" s="299">
        <f>+BC205+AY205</f>
        <v>0</v>
      </c>
      <c r="BF205" s="370"/>
      <c r="BG205" s="299">
        <f>+O205-BE205</f>
        <v>0</v>
      </c>
    </row>
    <row r="206" spans="1:61" x14ac:dyDescent="0.2">
      <c r="A206" s="370" t="s">
        <v>534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5"/>
      <c r="L206" s="294"/>
      <c r="M206" s="295"/>
      <c r="N206" s="294"/>
      <c r="O206" s="295"/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378">
        <f>+[1]Deprec!$D$29</f>
        <v>-1725105.6680733333</v>
      </c>
      <c r="AZ206" s="294"/>
      <c r="BA206" s="298"/>
      <c r="BB206" s="294"/>
      <c r="BC206" s="295"/>
      <c r="BD206" s="294"/>
      <c r="BE206" s="299">
        <f>+AY206</f>
        <v>-1725105.6680733333</v>
      </c>
      <c r="BF206" s="294"/>
      <c r="BG206" s="295"/>
    </row>
    <row r="207" spans="1:61" ht="13.5" thickBot="1" x14ac:dyDescent="0.25">
      <c r="A207" s="180" t="s">
        <v>422</v>
      </c>
      <c r="B207" s="365"/>
      <c r="C207" s="294"/>
      <c r="D207" s="294"/>
      <c r="E207" s="294"/>
      <c r="F207" s="294"/>
      <c r="G207" s="294"/>
      <c r="H207" s="294"/>
      <c r="I207" s="294"/>
      <c r="J207" s="294"/>
      <c r="K207" s="372">
        <f>+K198+K205</f>
        <v>123921212.472</v>
      </c>
      <c r="L207" s="294"/>
      <c r="M207" s="372">
        <f>+M198+M205</f>
        <v>-179227</v>
      </c>
      <c r="N207" s="294"/>
      <c r="O207" s="372">
        <f>+O198+O205</f>
        <v>123741985.472</v>
      </c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372">
        <f>+AY198+AY205+AY206</f>
        <v>126102616.32526001</v>
      </c>
      <c r="AZ207" s="294"/>
      <c r="BA207" s="298"/>
      <c r="BB207" s="294"/>
      <c r="BC207" s="372">
        <f>+BC198+BC205</f>
        <v>173194.04199999993</v>
      </c>
      <c r="BD207" s="294"/>
      <c r="BE207" s="372">
        <f>+BE198+BE205+BE206</f>
        <v>126275809.36726001</v>
      </c>
      <c r="BF207" s="294"/>
      <c r="BG207" s="372">
        <f>+BG198+BG205</f>
        <v>-4258929.5633333325</v>
      </c>
    </row>
    <row r="208" spans="1:61" ht="4.5" customHeight="1" thickTop="1" x14ac:dyDescent="0.2">
      <c r="A208" s="344"/>
      <c r="B208" s="346"/>
      <c r="C208" s="294"/>
      <c r="D208" s="294"/>
      <c r="E208" s="294"/>
      <c r="F208" s="294"/>
      <c r="G208" s="294"/>
      <c r="H208" s="294"/>
      <c r="I208" s="294"/>
      <c r="J208" s="294"/>
      <c r="K208" s="295"/>
      <c r="L208" s="294"/>
      <c r="M208" s="295"/>
      <c r="N208" s="294"/>
      <c r="O208" s="295"/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5"/>
      <c r="AZ208" s="294"/>
      <c r="BA208" s="298"/>
      <c r="BB208" s="294"/>
      <c r="BC208" s="295"/>
      <c r="BD208" s="294"/>
      <c r="BE208" s="295"/>
      <c r="BF208" s="294"/>
      <c r="BG208" s="295"/>
    </row>
    <row r="209" spans="1:59" ht="13.5" thickBot="1" x14ac:dyDescent="0.25">
      <c r="A209" s="180" t="s">
        <v>420</v>
      </c>
      <c r="B209" s="346"/>
      <c r="C209" s="294"/>
      <c r="D209" s="294"/>
      <c r="E209" s="294"/>
      <c r="F209" s="294"/>
      <c r="G209" s="294"/>
      <c r="H209" s="294"/>
      <c r="I209" s="294"/>
      <c r="J209" s="294"/>
      <c r="K209" s="366">
        <f>K207/$K$3</f>
        <v>270570.33290829696</v>
      </c>
      <c r="L209" s="294"/>
      <c r="M209" s="295"/>
      <c r="N209" s="294"/>
      <c r="O209" s="366">
        <f>O207/$K$3</f>
        <v>270179.00758078601</v>
      </c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5"/>
      <c r="AZ209" s="294"/>
      <c r="BA209" s="298"/>
      <c r="BB209" s="294"/>
      <c r="BC209" s="295"/>
      <c r="BD209" s="294"/>
      <c r="BE209" s="366">
        <f>BE207/$K$3</f>
        <v>275711.37416432315</v>
      </c>
      <c r="BF209" s="294"/>
      <c r="BG209" s="295"/>
    </row>
    <row r="210" spans="1:59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5"/>
      <c r="AZ210" s="294"/>
      <c r="BA210" s="298"/>
      <c r="BB210" s="294"/>
      <c r="BC210" s="295"/>
      <c r="BD210" s="294"/>
      <c r="BE210" s="295"/>
      <c r="BF210" s="294"/>
      <c r="BG210" s="295"/>
    </row>
    <row r="211" spans="1:59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5"/>
      <c r="AZ211" s="294"/>
      <c r="BA211" s="298"/>
      <c r="BB211" s="294"/>
      <c r="BC211" s="295"/>
      <c r="BD211" s="294"/>
      <c r="BE211" s="295"/>
      <c r="BF211" s="294"/>
      <c r="BG211" s="373" t="str">
        <f ca="1">CELL("filename")</f>
        <v>O:\Fin_Ops\Engysvc\PowerPlants\TVA Plants\TVA Draw Schedules\[TVADraw020800.xls]New Albany</v>
      </c>
    </row>
    <row r="212" spans="1:59" x14ac:dyDescent="0.2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5"/>
      <c r="L212" s="294"/>
      <c r="M212" s="295"/>
      <c r="N212" s="294"/>
      <c r="O212" s="295"/>
      <c r="P212" s="294"/>
      <c r="Q212" s="298"/>
      <c r="R212" s="297"/>
      <c r="S212" s="298"/>
      <c r="T212" s="297"/>
      <c r="U212" s="298"/>
      <c r="V212" s="295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5"/>
      <c r="AZ212" s="294"/>
      <c r="BA212" s="298"/>
      <c r="BB212" s="294"/>
      <c r="BC212" s="295"/>
      <c r="BD212" s="294"/>
      <c r="BE212" s="295"/>
      <c r="BF212" s="294"/>
      <c r="BG212" s="295"/>
    </row>
    <row r="214" spans="1:59" x14ac:dyDescent="0.2">
      <c r="B214" s="41" t="s">
        <v>473</v>
      </c>
    </row>
    <row r="216" spans="1:59" x14ac:dyDescent="0.2">
      <c r="B216" s="6" t="s">
        <v>474</v>
      </c>
      <c r="O216" s="8">
        <f>885.42+4983.56+68142828.45+19073516.93</f>
        <v>87222214.360000014</v>
      </c>
      <c r="U216" s="131">
        <f>0+0-Q216</f>
        <v>0</v>
      </c>
      <c r="W216" s="131">
        <f>68142828.45-U216</f>
        <v>68142828.450000003</v>
      </c>
      <c r="BE216" s="8">
        <f>990137.39+124858360.24</f>
        <v>125848497.63</v>
      </c>
    </row>
    <row r="220" spans="1:59" x14ac:dyDescent="0.2">
      <c r="B220" s="6" t="s">
        <v>541</v>
      </c>
      <c r="O220" s="8">
        <f>SUM(O216:O219)</f>
        <v>87222214.360000014</v>
      </c>
      <c r="R220" s="131"/>
      <c r="T220" s="131"/>
      <c r="U220" s="131">
        <f t="shared" ref="U220:Z220" si="29">+U198</f>
        <v>7536552.3799999999</v>
      </c>
      <c r="V220" s="131">
        <f t="shared" si="29"/>
        <v>0</v>
      </c>
      <c r="W220" s="131">
        <f t="shared" si="29"/>
        <v>6111434.6600000001</v>
      </c>
      <c r="X220" s="131">
        <f t="shared" si="29"/>
        <v>0</v>
      </c>
      <c r="Y220" s="131">
        <f t="shared" si="29"/>
        <v>7809255.54</v>
      </c>
      <c r="Z220" s="131">
        <f t="shared" si="29"/>
        <v>0</v>
      </c>
      <c r="BE220" s="8">
        <f>+AY207-AY206-AY115-AY111+U111+Q111</f>
        <v>125843133.49333332</v>
      </c>
    </row>
    <row r="223" spans="1:59" x14ac:dyDescent="0.2">
      <c r="B223" s="6" t="s">
        <v>476</v>
      </c>
      <c r="O223" s="8">
        <f>O220-Q220</f>
        <v>87222214.360000014</v>
      </c>
      <c r="R223" s="131"/>
      <c r="T223" s="131"/>
      <c r="U223" s="131">
        <f t="shared" ref="U223:Z223" si="30">+U216-U220</f>
        <v>-7536552.3799999999</v>
      </c>
      <c r="V223" s="131">
        <f t="shared" si="30"/>
        <v>0</v>
      </c>
      <c r="W223" s="131">
        <f t="shared" si="30"/>
        <v>62031393.790000007</v>
      </c>
      <c r="X223" s="131">
        <f t="shared" si="30"/>
        <v>0</v>
      </c>
      <c r="Y223" s="131">
        <f t="shared" si="30"/>
        <v>-7809255.54</v>
      </c>
      <c r="Z223" s="131">
        <f t="shared" si="30"/>
        <v>0</v>
      </c>
      <c r="BE223" s="8">
        <f>+BE216-BE220</f>
        <v>5364.1366666704416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3" max="16383" man="1"/>
  </rowBreaks>
  <colBreaks count="1" manualBreakCount="1">
    <brk id="6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4"/>
  <sheetViews>
    <sheetView view="pageBreakPreview" zoomScale="75" zoomScaleNormal="75" zoomScaleSheetLayoutView="75" workbookViewId="0">
      <pane xSplit="9" ySplit="6" topLeftCell="J82" activePane="bottomRight" state="frozen"/>
      <selection activeCell="A16" sqref="A16"/>
      <selection pane="topRight" activeCell="A16" sqref="A16"/>
      <selection pane="bottomLeft" activeCell="A16" sqref="A16"/>
      <selection pane="bottomRight" activeCell="AQ1" sqref="AQ1:AW65536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hidden="1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hidden="1" customWidth="1"/>
    <col min="38" max="38" width="1.28515625" style="157" hidden="1" customWidth="1"/>
    <col min="39" max="39" width="17.140625" style="157" hidden="1" customWidth="1"/>
    <col min="40" max="40" width="1.7109375" style="157" hidden="1" customWidth="1"/>
    <col min="41" max="41" width="22.85546875" style="157" hidden="1" customWidth="1"/>
    <col min="42" max="42" width="1.28515625" style="157" customWidth="1"/>
    <col min="43" max="43" width="22.85546875" style="157" hidden="1" customWidth="1"/>
    <col min="44" max="44" width="0.85546875" style="6" hidden="1" customWidth="1"/>
    <col min="45" max="45" width="22.85546875" style="157" hidden="1" customWidth="1"/>
    <col min="46" max="46" width="0.85546875" style="6" hidden="1" customWidth="1"/>
    <col min="47" max="47" width="22.85546875" style="157" hidden="1" customWidth="1"/>
    <col min="48" max="48" width="0.85546875" style="6" hidden="1" customWidth="1"/>
    <col min="49" max="49" width="22.85546875" style="157" hidden="1" customWidth="1"/>
    <col min="50" max="50" width="0.85546875" style="6" customWidth="1"/>
    <col min="51" max="51" width="22" style="6" customWidth="1"/>
    <col min="52" max="52" width="2.7109375" style="6" customWidth="1"/>
    <col min="53" max="53" width="24.5703125" style="157" customWidth="1"/>
    <col min="54" max="54" width="2.7109375" style="6" customWidth="1"/>
    <col min="55" max="55" width="23.5703125" style="6" customWidth="1"/>
    <col min="56" max="56" width="0.85546875" style="6" customWidth="1"/>
    <col min="57" max="57" width="22" style="6" customWidth="1"/>
    <col min="58" max="58" width="3.28515625" style="6" customWidth="1"/>
    <col min="59" max="59" width="15" style="8" bestFit="1" customWidth="1"/>
    <col min="60" max="60" width="0.85546875" style="6" customWidth="1"/>
    <col min="61" max="61" width="50" style="6" hidden="1" customWidth="1"/>
    <col min="62" max="62" width="0" style="6" hidden="1" customWidth="1"/>
    <col min="63" max="16384" width="9.140625" style="6"/>
  </cols>
  <sheetData>
    <row r="1" spans="1:61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S1" s="168"/>
      <c r="AU1" s="168"/>
      <c r="AW1" s="168"/>
      <c r="BA1" s="168"/>
      <c r="BG1" s="147"/>
    </row>
    <row r="2" spans="1:61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S2" s="168"/>
      <c r="AU2" s="168"/>
      <c r="AW2" s="168"/>
      <c r="BA2" s="168"/>
      <c r="BG2" s="147"/>
    </row>
    <row r="3" spans="1:61" s="36" customFormat="1" ht="15.75" x14ac:dyDescent="0.25">
      <c r="A3" s="219" t="s">
        <v>488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S3" s="168"/>
      <c r="AU3" s="168"/>
      <c r="AW3" s="168"/>
      <c r="BA3" s="168"/>
      <c r="BC3" s="170">
        <f ca="1">NOW()</f>
        <v>36564.457616203705</v>
      </c>
      <c r="BE3" s="170"/>
      <c r="BG3" s="169" t="str">
        <f>Summary!A4</f>
        <v>Revision # 61</v>
      </c>
    </row>
    <row r="4" spans="1:61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338</v>
      </c>
      <c r="V4" s="148"/>
      <c r="W4" s="149" t="s">
        <v>338</v>
      </c>
      <c r="X4" s="148"/>
      <c r="Y4" s="149" t="s">
        <v>338</v>
      </c>
      <c r="Z4" s="148"/>
      <c r="AA4" s="149" t="s">
        <v>338</v>
      </c>
      <c r="AB4" s="148"/>
      <c r="AC4" s="149" t="s">
        <v>338</v>
      </c>
      <c r="AD4" s="148"/>
      <c r="AE4" s="149" t="s">
        <v>338</v>
      </c>
      <c r="AF4" s="149"/>
      <c r="AG4" s="149" t="s">
        <v>338</v>
      </c>
      <c r="AH4" s="149"/>
      <c r="AI4" s="149" t="s">
        <v>338</v>
      </c>
      <c r="AJ4" s="149"/>
      <c r="AK4" s="149" t="s">
        <v>338</v>
      </c>
      <c r="AL4" s="149"/>
      <c r="AM4" s="149" t="s">
        <v>338</v>
      </c>
      <c r="AN4" s="149"/>
      <c r="AO4" s="149" t="s">
        <v>338</v>
      </c>
      <c r="AP4" s="149"/>
      <c r="AQ4" s="149" t="s">
        <v>338</v>
      </c>
      <c r="AS4" s="149" t="s">
        <v>338</v>
      </c>
      <c r="AU4" s="149" t="s">
        <v>277</v>
      </c>
      <c r="AW4" s="149" t="s">
        <v>277</v>
      </c>
      <c r="AY4" s="150"/>
      <c r="BA4" s="149" t="s">
        <v>345</v>
      </c>
      <c r="BC4" s="150"/>
      <c r="BE4" s="150"/>
      <c r="BG4" s="150"/>
    </row>
    <row r="5" spans="1:61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339</v>
      </c>
      <c r="V5" s="148"/>
      <c r="W5" s="149" t="s">
        <v>339</v>
      </c>
      <c r="X5" s="148"/>
      <c r="Y5" s="149" t="s">
        <v>339</v>
      </c>
      <c r="Z5" s="148"/>
      <c r="AA5" s="149" t="s">
        <v>339</v>
      </c>
      <c r="AB5" s="148"/>
      <c r="AC5" s="149" t="s">
        <v>339</v>
      </c>
      <c r="AD5" s="148"/>
      <c r="AE5" s="149" t="s">
        <v>339</v>
      </c>
      <c r="AF5" s="149"/>
      <c r="AG5" s="149" t="s">
        <v>339</v>
      </c>
      <c r="AH5" s="149"/>
      <c r="AI5" s="149" t="s">
        <v>339</v>
      </c>
      <c r="AJ5" s="149"/>
      <c r="AK5" s="149" t="s">
        <v>339</v>
      </c>
      <c r="AL5" s="149"/>
      <c r="AM5" s="149" t="s">
        <v>339</v>
      </c>
      <c r="AN5" s="149"/>
      <c r="AO5" s="149" t="s">
        <v>339</v>
      </c>
      <c r="AP5" s="149"/>
      <c r="AQ5" s="149" t="s">
        <v>339</v>
      </c>
      <c r="AS5" s="149" t="s">
        <v>339</v>
      </c>
      <c r="AU5" s="149" t="s">
        <v>339</v>
      </c>
      <c r="AW5" s="149" t="s">
        <v>339</v>
      </c>
      <c r="AY5" s="150" t="s">
        <v>190</v>
      </c>
      <c r="BA5" s="149" t="s">
        <v>346</v>
      </c>
      <c r="BC5" s="150" t="s">
        <v>161</v>
      </c>
      <c r="BE5" s="150" t="s">
        <v>366</v>
      </c>
      <c r="BG5" s="150"/>
    </row>
    <row r="6" spans="1:61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539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3">
        <v>36556</v>
      </c>
      <c r="AU6" s="153">
        <v>36585</v>
      </c>
      <c r="AW6" s="153">
        <v>36616</v>
      </c>
      <c r="AY6" s="155" t="s">
        <v>342</v>
      </c>
      <c r="BA6" s="153" t="s">
        <v>347</v>
      </c>
      <c r="BC6" s="155" t="s">
        <v>110</v>
      </c>
      <c r="BE6" s="155" t="s">
        <v>367</v>
      </c>
      <c r="BG6" s="155" t="s">
        <v>111</v>
      </c>
      <c r="BI6" s="150" t="s">
        <v>5</v>
      </c>
    </row>
    <row r="7" spans="1:61" x14ac:dyDescent="0.2">
      <c r="A7" s="216"/>
      <c r="B7" s="64"/>
      <c r="C7" s="111"/>
      <c r="I7" s="6"/>
      <c r="Q7" s="132" t="s">
        <v>540</v>
      </c>
      <c r="R7" s="228"/>
      <c r="S7" s="132" t="s">
        <v>540</v>
      </c>
      <c r="T7" s="228"/>
      <c r="U7" s="132" t="str">
        <f>+Summary!$O$3</f>
        <v>as of 02/04/00</v>
      </c>
      <c r="V7" s="131"/>
      <c r="W7" s="132" t="str">
        <f>+Summary!$O$3</f>
        <v>as of 02/04/00</v>
      </c>
      <c r="X7" s="131"/>
      <c r="Y7" s="132" t="str">
        <f>+Summary!$O$3</f>
        <v>as of 02/04/00</v>
      </c>
      <c r="Z7" s="131"/>
      <c r="AA7" s="132" t="str">
        <f>+Summary!$O$3</f>
        <v>as of 02/04/00</v>
      </c>
      <c r="AB7" s="131"/>
      <c r="AC7" s="132" t="str">
        <f>+Summary!$O$3</f>
        <v>as of 02/04/00</v>
      </c>
      <c r="AD7" s="131"/>
      <c r="AE7" s="132" t="str">
        <f>+Summary!$O$3</f>
        <v>as of 02/04/00</v>
      </c>
      <c r="AF7" s="132"/>
      <c r="AG7" s="132" t="str">
        <f>+Summary!$O$3</f>
        <v>as of 02/04/00</v>
      </c>
      <c r="AH7" s="132"/>
      <c r="AI7" s="132" t="str">
        <f>+Summary!$O$3</f>
        <v>as of 02/04/00</v>
      </c>
      <c r="AJ7" s="132"/>
      <c r="AK7" s="132" t="str">
        <f>+Summary!$O$3</f>
        <v>as of 02/04/00</v>
      </c>
      <c r="AL7" s="132"/>
      <c r="AM7" s="132" t="str">
        <f>+Summary!$O$3</f>
        <v>as of 02/04/00</v>
      </c>
      <c r="AN7" s="132"/>
      <c r="AO7" s="132" t="str">
        <f>+Summary!$O$3</f>
        <v>as of 02/04/00</v>
      </c>
      <c r="AP7" s="132"/>
      <c r="AQ7" s="132" t="str">
        <f>+Summary!$O$3</f>
        <v>as of 02/04/00</v>
      </c>
      <c r="AS7" s="132" t="str">
        <f>+Summary!$O$3</f>
        <v>as of 02/04/00</v>
      </c>
      <c r="AU7" s="132" t="str">
        <f>+Summary!$O$3</f>
        <v>as of 02/04/00</v>
      </c>
      <c r="AW7" s="132" t="str">
        <f>+Summary!$O$3</f>
        <v>as of 02/04/00</v>
      </c>
      <c r="AY7" s="10" t="str">
        <f>+Summary!$O$3</f>
        <v>as of 02/04/00</v>
      </c>
      <c r="BA7" s="132" t="str">
        <f>+Summary!$O$3</f>
        <v>as of 02/04/00</v>
      </c>
      <c r="BC7" s="10"/>
      <c r="BE7" s="10"/>
      <c r="BG7" s="10"/>
    </row>
    <row r="8" spans="1:61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G8" s="6"/>
    </row>
    <row r="9" spans="1:61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131"/>
      <c r="AU9" s="131"/>
      <c r="AW9" s="131"/>
      <c r="AY9" s="8">
        <f>SUM(P9:AX9)</f>
        <v>99688927.920000002</v>
      </c>
      <c r="BA9" s="131">
        <v>0</v>
      </c>
      <c r="BC9" s="8">
        <f t="shared" ref="BC9:BC16" si="0">IF(+O9-AY9+BA9&gt;0,O9-AY9+BA9,0)</f>
        <v>0</v>
      </c>
      <c r="BE9" s="8">
        <f>+BC9+AY9</f>
        <v>99688927.920000002</v>
      </c>
      <c r="BG9" s="12">
        <f t="shared" ref="BG9:BG21" si="1">O9-AY9-BC9</f>
        <v>-688927.92000000179</v>
      </c>
      <c r="BI9" s="6" t="s">
        <v>510</v>
      </c>
    </row>
    <row r="10" spans="1:61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Y10" s="8">
        <f t="shared" ref="AY10:AY20" si="3">SUM(P10:AX10)</f>
        <v>0</v>
      </c>
      <c r="BA10" s="131">
        <v>0</v>
      </c>
      <c r="BC10" s="8">
        <f t="shared" si="0"/>
        <v>160800</v>
      </c>
      <c r="BE10" s="8">
        <f t="shared" ref="BE10:BE81" si="4">+BC10+AY10</f>
        <v>160800</v>
      </c>
      <c r="BG10" s="12">
        <f t="shared" si="1"/>
        <v>0</v>
      </c>
    </row>
    <row r="11" spans="1:61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Y11" s="8">
        <f t="shared" si="3"/>
        <v>0</v>
      </c>
      <c r="BA11" s="131"/>
      <c r="BC11" s="8">
        <f t="shared" si="0"/>
        <v>11700</v>
      </c>
      <c r="BE11" s="8">
        <f t="shared" si="4"/>
        <v>11700</v>
      </c>
      <c r="BG11" s="12">
        <f t="shared" si="1"/>
        <v>0</v>
      </c>
    </row>
    <row r="12" spans="1:61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Y12" s="8">
        <f t="shared" si="3"/>
        <v>0</v>
      </c>
      <c r="BA12" s="131"/>
      <c r="BC12" s="8">
        <f t="shared" si="0"/>
        <v>30000</v>
      </c>
      <c r="BE12" s="8">
        <f t="shared" si="4"/>
        <v>30000</v>
      </c>
      <c r="BG12" s="12">
        <f t="shared" si="1"/>
        <v>0</v>
      </c>
    </row>
    <row r="13" spans="1:61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Y13" s="8">
        <f t="shared" si="3"/>
        <v>0</v>
      </c>
      <c r="BA13" s="131"/>
      <c r="BC13" s="8">
        <f t="shared" si="0"/>
        <v>11400</v>
      </c>
      <c r="BE13" s="8">
        <f t="shared" si="4"/>
        <v>11400</v>
      </c>
      <c r="BG13" s="12">
        <f t="shared" si="1"/>
        <v>0</v>
      </c>
    </row>
    <row r="14" spans="1:61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Y14" s="8">
        <f t="shared" si="3"/>
        <v>0</v>
      </c>
      <c r="BA14" s="131"/>
      <c r="BC14" s="8">
        <f t="shared" si="0"/>
        <v>11700</v>
      </c>
      <c r="BE14" s="8">
        <f t="shared" si="4"/>
        <v>11700</v>
      </c>
      <c r="BG14" s="12">
        <f t="shared" si="1"/>
        <v>0</v>
      </c>
    </row>
    <row r="15" spans="1:61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Y15" s="8">
        <f t="shared" si="3"/>
        <v>0</v>
      </c>
      <c r="BA15" s="131"/>
      <c r="BC15" s="8">
        <f t="shared" si="0"/>
        <v>13680</v>
      </c>
      <c r="BE15" s="8">
        <f t="shared" si="4"/>
        <v>13680</v>
      </c>
      <c r="BG15" s="12">
        <f t="shared" si="1"/>
        <v>0</v>
      </c>
    </row>
    <row r="16" spans="1:61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Y16" s="8">
        <f t="shared" si="3"/>
        <v>0</v>
      </c>
      <c r="BA16" s="131"/>
      <c r="BC16" s="8">
        <f t="shared" si="0"/>
        <v>99900</v>
      </c>
      <c r="BE16" s="8">
        <f t="shared" si="4"/>
        <v>99900</v>
      </c>
      <c r="BG16" s="12">
        <f t="shared" si="1"/>
        <v>0</v>
      </c>
    </row>
    <row r="17" spans="1:61" x14ac:dyDescent="0.2">
      <c r="A17" s="218"/>
      <c r="B17" s="31" t="s">
        <v>413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Y17" s="8">
        <f t="shared" si="3"/>
        <v>0</v>
      </c>
      <c r="BA17" s="131"/>
      <c r="BC17" s="8">
        <v>-40200</v>
      </c>
      <c r="BE17" s="8">
        <f>+BC17+AY17</f>
        <v>-40200</v>
      </c>
      <c r="BG17" s="12">
        <f t="shared" si="1"/>
        <v>40200</v>
      </c>
      <c r="BI17" s="6" t="s">
        <v>401</v>
      </c>
    </row>
    <row r="18" spans="1:61" x14ac:dyDescent="0.2">
      <c r="A18" s="218"/>
      <c r="B18" s="31" t="s">
        <v>478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Y18" s="8">
        <f t="shared" si="3"/>
        <v>0</v>
      </c>
      <c r="BA18" s="131">
        <v>31200</v>
      </c>
      <c r="BC18" s="8">
        <f>IF(+O18-AY18+BA18&gt;0,O18-AY18+BA18,0)</f>
        <v>31200</v>
      </c>
      <c r="BE18" s="8">
        <f>+BC18+AY18</f>
        <v>31200</v>
      </c>
      <c r="BG18" s="12">
        <f t="shared" si="1"/>
        <v>-31200</v>
      </c>
    </row>
    <row r="19" spans="1:61" x14ac:dyDescent="0.2">
      <c r="A19" s="218"/>
      <c r="B19" s="31" t="s">
        <v>546</v>
      </c>
      <c r="C19" s="114"/>
      <c r="E19" s="7"/>
      <c r="K19" s="5"/>
      <c r="M19" s="5"/>
      <c r="O19" s="5"/>
      <c r="U19" s="131"/>
      <c r="W19" s="131"/>
      <c r="AO19" s="157">
        <v>1500000</v>
      </c>
      <c r="AY19" s="8">
        <f t="shared" si="3"/>
        <v>1500000</v>
      </c>
      <c r="BA19" s="131">
        <v>1500000</v>
      </c>
      <c r="BC19" s="8">
        <f>IF(+O19-AY19+BA19&gt;0,O19-AY19+BA19,0)</f>
        <v>0</v>
      </c>
      <c r="BE19" s="8">
        <f>+BC19+AY19</f>
        <v>1500000</v>
      </c>
      <c r="BG19" s="12">
        <f t="shared" si="1"/>
        <v>-1500000</v>
      </c>
    </row>
    <row r="20" spans="1:61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Y20" s="8">
        <f t="shared" si="3"/>
        <v>0</v>
      </c>
      <c r="BC20" s="8">
        <f>IF(+O20-AY20+BA20&gt;0,O20-AY20+BA20,0)</f>
        <v>110000</v>
      </c>
      <c r="BE20" s="8">
        <f t="shared" si="4"/>
        <v>110000</v>
      </c>
      <c r="BG20" s="12">
        <f t="shared" si="1"/>
        <v>0</v>
      </c>
      <c r="BI20" s="8"/>
    </row>
    <row r="21" spans="1:61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38">
        <f>SUM(AS9:AS20)</f>
        <v>0</v>
      </c>
      <c r="AU21" s="138">
        <f>SUM(AU9:AU20)</f>
        <v>0</v>
      </c>
      <c r="AW21" s="138">
        <f>SUM(AW9:AW20)</f>
        <v>0</v>
      </c>
      <c r="AY21" s="107">
        <f>SUM(AY9:AY20)</f>
        <v>101188927.92</v>
      </c>
      <c r="BA21" s="138">
        <f>SUM(BA9:BA20)</f>
        <v>1531200</v>
      </c>
      <c r="BC21" s="107">
        <f>SUM(BC9:BC20)</f>
        <v>440180</v>
      </c>
      <c r="BE21" s="107">
        <f>SUM(BE9:BE20)</f>
        <v>101629107.92</v>
      </c>
      <c r="BG21" s="107">
        <f t="shared" si="1"/>
        <v>-2179927.9200000018</v>
      </c>
    </row>
    <row r="22" spans="1:61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35"/>
      <c r="AU22" s="135"/>
      <c r="AW22" s="135"/>
      <c r="AY22" s="16"/>
      <c r="BA22" s="135"/>
      <c r="BC22" s="16"/>
      <c r="BE22" s="16"/>
      <c r="BG22" s="16"/>
    </row>
    <row r="23" spans="1:61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131"/>
      <c r="AU23" s="131"/>
      <c r="AW23" s="131"/>
      <c r="AY23" s="8">
        <f t="shared" ref="AY23:AY33" si="5">SUM(P23:AX23)</f>
        <v>6150000</v>
      </c>
      <c r="BA23" s="131"/>
      <c r="BC23" s="8">
        <f>6150000-AY23</f>
        <v>0</v>
      </c>
      <c r="BE23" s="264">
        <f t="shared" si="4"/>
        <v>6150000</v>
      </c>
      <c r="BG23" s="12">
        <f t="shared" ref="BG23:BG33" si="6">O23-AY23-BC23</f>
        <v>0</v>
      </c>
      <c r="BI23" s="6" t="s">
        <v>508</v>
      </c>
    </row>
    <row r="24" spans="1:61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131"/>
      <c r="AU24" s="131"/>
      <c r="AW24" s="131"/>
      <c r="AY24" s="8">
        <f t="shared" si="5"/>
        <v>165430</v>
      </c>
      <c r="BA24" s="131">
        <v>0</v>
      </c>
      <c r="BC24" s="8">
        <f>165430-AY24</f>
        <v>0</v>
      </c>
      <c r="BE24" s="8">
        <f t="shared" si="4"/>
        <v>165430</v>
      </c>
      <c r="BG24" s="12">
        <f t="shared" si="6"/>
        <v>-2950</v>
      </c>
    </row>
    <row r="25" spans="1:61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131"/>
      <c r="AU25" s="131"/>
      <c r="AW25" s="131"/>
      <c r="AY25" s="8">
        <f t="shared" si="5"/>
        <v>75355.600000000006</v>
      </c>
      <c r="BA25" s="131">
        <v>0</v>
      </c>
      <c r="BC25" s="8">
        <f>75356-AY25</f>
        <v>0.39999999999417923</v>
      </c>
      <c r="BE25" s="8">
        <f t="shared" si="4"/>
        <v>75356</v>
      </c>
      <c r="BG25" s="12">
        <f t="shared" si="6"/>
        <v>-15576</v>
      </c>
    </row>
    <row r="26" spans="1:61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131"/>
      <c r="AU26" s="131"/>
      <c r="AW26" s="131"/>
      <c r="AY26" s="8">
        <f t="shared" si="5"/>
        <v>3320690</v>
      </c>
      <c r="BA26" s="131">
        <v>0</v>
      </c>
      <c r="BC26" s="8">
        <f>1678940+1641750-AY26</f>
        <v>0</v>
      </c>
      <c r="BE26" s="8">
        <f t="shared" si="4"/>
        <v>3320690</v>
      </c>
      <c r="BG26" s="12">
        <f t="shared" si="6"/>
        <v>0</v>
      </c>
    </row>
    <row r="27" spans="1:61" x14ac:dyDescent="0.2">
      <c r="A27" s="218"/>
      <c r="B27" s="31" t="s">
        <v>511</v>
      </c>
      <c r="C27" s="114"/>
      <c r="E27" s="7"/>
      <c r="O27" s="8">
        <f t="shared" si="2"/>
        <v>0</v>
      </c>
      <c r="U27" s="131"/>
      <c r="AC27" s="131"/>
      <c r="AY27" s="8">
        <f t="shared" si="5"/>
        <v>0</v>
      </c>
      <c r="BA27" s="131">
        <v>0</v>
      </c>
      <c r="BC27" s="8">
        <v>0</v>
      </c>
      <c r="BE27" s="8">
        <f t="shared" si="4"/>
        <v>0</v>
      </c>
      <c r="BG27" s="12">
        <f t="shared" si="6"/>
        <v>0</v>
      </c>
    </row>
    <row r="28" spans="1:61" x14ac:dyDescent="0.2">
      <c r="A28" s="218"/>
      <c r="B28" s="31" t="s">
        <v>512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131"/>
      <c r="AU28" s="131"/>
      <c r="AW28" s="131"/>
      <c r="AY28" s="8">
        <f t="shared" si="5"/>
        <v>442800</v>
      </c>
      <c r="BA28" s="131">
        <v>0</v>
      </c>
      <c r="BC28" s="8">
        <f>442800-AY28</f>
        <v>0</v>
      </c>
      <c r="BE28" s="8">
        <f t="shared" si="4"/>
        <v>442800</v>
      </c>
      <c r="BG28" s="12">
        <f t="shared" si="6"/>
        <v>-442800</v>
      </c>
    </row>
    <row r="29" spans="1:61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Y29" s="8">
        <f t="shared" si="5"/>
        <v>0</v>
      </c>
      <c r="BA29" s="131">
        <v>0</v>
      </c>
      <c r="BC29" s="8">
        <v>0</v>
      </c>
      <c r="BE29" s="8">
        <f t="shared" si="4"/>
        <v>0</v>
      </c>
      <c r="BG29" s="12">
        <f t="shared" si="6"/>
        <v>25000</v>
      </c>
    </row>
    <row r="30" spans="1:61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Y30" s="8">
        <f t="shared" si="5"/>
        <v>0</v>
      </c>
      <c r="BA30" s="131">
        <v>0</v>
      </c>
      <c r="BC30" s="8">
        <v>0</v>
      </c>
      <c r="BE30" s="8">
        <f t="shared" si="4"/>
        <v>0</v>
      </c>
      <c r="BG30" s="12">
        <f t="shared" si="6"/>
        <v>146850</v>
      </c>
    </row>
    <row r="31" spans="1:61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Y31" s="8">
        <f t="shared" si="5"/>
        <v>0</v>
      </c>
      <c r="BA31" s="131">
        <v>0</v>
      </c>
      <c r="BC31" s="8">
        <v>0</v>
      </c>
      <c r="BE31" s="8">
        <f t="shared" si="4"/>
        <v>0</v>
      </c>
      <c r="BG31" s="12">
        <f t="shared" si="6"/>
        <v>154950</v>
      </c>
    </row>
    <row r="32" spans="1:61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Y32" s="8">
        <f t="shared" si="5"/>
        <v>0</v>
      </c>
      <c r="BA32" s="131">
        <v>0</v>
      </c>
      <c r="BC32" s="8">
        <v>0</v>
      </c>
      <c r="BE32" s="8">
        <f t="shared" si="4"/>
        <v>0</v>
      </c>
      <c r="BG32" s="12">
        <f t="shared" si="6"/>
        <v>10000</v>
      </c>
    </row>
    <row r="33" spans="1:61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Y33" s="8">
        <f t="shared" si="5"/>
        <v>132445</v>
      </c>
      <c r="BA33" s="131">
        <v>0</v>
      </c>
      <c r="BC33" s="8">
        <f>IF(+O33-AY33+BA33&gt;0,O33-AY33+BA33,0)</f>
        <v>0</v>
      </c>
      <c r="BE33" s="8">
        <f t="shared" si="4"/>
        <v>132445</v>
      </c>
      <c r="BG33" s="35">
        <f t="shared" si="6"/>
        <v>-112445</v>
      </c>
    </row>
    <row r="34" spans="1:61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38">
        <f>SUM(AS23:AS33)</f>
        <v>0</v>
      </c>
      <c r="AU34" s="138">
        <f>SUM(AU23:AU33)</f>
        <v>0</v>
      </c>
      <c r="AW34" s="138">
        <f>SUM(AW23:AW33)</f>
        <v>0</v>
      </c>
      <c r="AY34" s="107">
        <f>SUM(AY23:AY33)</f>
        <v>10286720.6</v>
      </c>
      <c r="BA34" s="138">
        <f>SUM(BA23:BA33)</f>
        <v>0</v>
      </c>
      <c r="BC34" s="107">
        <f>SUM(BC23:BC33)</f>
        <v>0.39999999999417923</v>
      </c>
      <c r="BE34" s="107">
        <f>SUM(BE23:BE33)</f>
        <v>10286721</v>
      </c>
      <c r="BG34" s="12">
        <f>SUM(BG23:BG33)</f>
        <v>-236971</v>
      </c>
    </row>
    <row r="35" spans="1:61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35"/>
      <c r="AU35" s="135"/>
      <c r="AW35" s="135"/>
      <c r="AY35" s="16"/>
      <c r="BA35" s="135"/>
      <c r="BC35" s="16"/>
      <c r="BE35" s="16"/>
      <c r="BG35" s="12"/>
    </row>
    <row r="36" spans="1:61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34">
        <f>AS34+AS21</f>
        <v>0</v>
      </c>
      <c r="AU36" s="134">
        <f>AU34+AU21</f>
        <v>0</v>
      </c>
      <c r="AW36" s="134">
        <f>AW34+AW21</f>
        <v>0</v>
      </c>
      <c r="AY36" s="15">
        <f>AY34+AY21</f>
        <v>111475648.52</v>
      </c>
      <c r="BA36" s="131">
        <f>BA34+BA21</f>
        <v>1531200</v>
      </c>
      <c r="BC36" s="15">
        <f>BC34+BC21</f>
        <v>440180.4</v>
      </c>
      <c r="BE36" s="15">
        <f t="shared" si="4"/>
        <v>111915828.92</v>
      </c>
      <c r="BG36" s="12">
        <f>O36-AY36-BC36</f>
        <v>-2416898.9199999957</v>
      </c>
      <c r="BI36" s="80" t="s">
        <v>402</v>
      </c>
    </row>
    <row r="37" spans="1:61" x14ac:dyDescent="0.2">
      <c r="A37" s="221"/>
      <c r="B37" s="117"/>
      <c r="C37" s="118"/>
      <c r="E37" s="7"/>
      <c r="U37" s="131"/>
      <c r="BA37" s="131"/>
    </row>
    <row r="38" spans="1:61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S38" s="131"/>
      <c r="AU38" s="131"/>
      <c r="AW38" s="131"/>
      <c r="BA38" s="131"/>
    </row>
    <row r="39" spans="1:61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143">
        <v>751</v>
      </c>
      <c r="AU39" s="143"/>
      <c r="AW39" s="143"/>
      <c r="AY39" s="8">
        <f>SUM(P39:AX39)</f>
        <v>535898.29999999993</v>
      </c>
      <c r="BA39" s="131">
        <f>451000-397500+62200+22800-2277+3390</f>
        <v>139613</v>
      </c>
      <c r="BC39" s="8">
        <f>IF(+O39-AY39+BA39&gt;0,O39-AY39+BA39,0)</f>
        <v>1214.7000000000698</v>
      </c>
      <c r="BE39" s="8">
        <f t="shared" si="4"/>
        <v>537113</v>
      </c>
      <c r="BG39" s="12">
        <f>O39-AY39-BC39</f>
        <v>-139613</v>
      </c>
      <c r="BI39" s="131"/>
    </row>
    <row r="40" spans="1:61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Y40" s="8">
        <f>SUM(P40:AX40)</f>
        <v>0</v>
      </c>
      <c r="BA40" s="131">
        <v>-12200</v>
      </c>
      <c r="BC40" s="8">
        <f>IF(+O40-AY40+BA40&gt;0,O40-AY40+BA40,0)</f>
        <v>0</v>
      </c>
      <c r="BE40" s="8">
        <f t="shared" si="4"/>
        <v>0</v>
      </c>
      <c r="BG40" s="12">
        <f>O40-AY40-BC40</f>
        <v>12200</v>
      </c>
    </row>
    <row r="41" spans="1:61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131"/>
      <c r="AU41" s="131"/>
      <c r="AW41" s="131"/>
      <c r="AY41" s="8">
        <f>SUM(P41:AX41)</f>
        <v>39063.529999999992</v>
      </c>
      <c r="BA41" s="131">
        <f>47300-24500-8236</f>
        <v>14564</v>
      </c>
      <c r="BC41" s="8">
        <f>IF(+O41-AY41+BA41&gt;0,O41-AY41+BA41,0)</f>
        <v>0.47000000000844011</v>
      </c>
      <c r="BE41" s="8">
        <f t="shared" si="4"/>
        <v>39064</v>
      </c>
      <c r="BG41" s="12">
        <f>O41-AY41-BC41</f>
        <v>-14564</v>
      </c>
    </row>
    <row r="42" spans="1:61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131"/>
      <c r="AU42" s="131"/>
      <c r="AW42" s="131"/>
      <c r="AY42" s="8">
        <f>SUM(P42:AX42)</f>
        <v>78836.709999999992</v>
      </c>
      <c r="BA42" s="131">
        <f>137000-115300-50000</f>
        <v>-28300</v>
      </c>
      <c r="BC42" s="8">
        <f>IF(+O42-AY42+BA42&gt;0,O42-AY42+BA42,0)</f>
        <v>8163.2900000000081</v>
      </c>
      <c r="BE42" s="8">
        <f t="shared" si="4"/>
        <v>87000</v>
      </c>
      <c r="BG42" s="12">
        <f>O42-AY42-BC42</f>
        <v>28300</v>
      </c>
    </row>
    <row r="43" spans="1:61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Y43" s="8">
        <f>SUM(P43:AX43)</f>
        <v>122777.20999999999</v>
      </c>
      <c r="BA43" s="131">
        <f>122777-70600</f>
        <v>52177</v>
      </c>
      <c r="BC43" s="8">
        <f>IF(+O43-AY43+BA43&gt;0,O43-AY43+BA43,0)</f>
        <v>0</v>
      </c>
      <c r="BE43" s="8">
        <f t="shared" si="4"/>
        <v>122777.20999999999</v>
      </c>
      <c r="BG43" s="35">
        <f>O43-AY43-BC43</f>
        <v>-52177.209999999992</v>
      </c>
    </row>
    <row r="44" spans="1:61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38">
        <f>SUM(AS39:AS43)</f>
        <v>751</v>
      </c>
      <c r="AU44" s="138">
        <f>SUM(AU39:AU43)</f>
        <v>0</v>
      </c>
      <c r="AW44" s="138">
        <f>SUM(AW39:AW43)</f>
        <v>0</v>
      </c>
      <c r="AY44" s="107">
        <f>SUM(AY39:AY43)</f>
        <v>776575.74999999988</v>
      </c>
      <c r="BA44" s="138">
        <f>SUM(BA39:BA43)</f>
        <v>165854</v>
      </c>
      <c r="BC44" s="107">
        <f>SUM(BC39:BC43)</f>
        <v>9378.4600000000864</v>
      </c>
      <c r="BE44" s="107">
        <f>SUM(BE39:BE43)</f>
        <v>785954.21</v>
      </c>
      <c r="BG44" s="107">
        <f>SUM(BG39:BG43)</f>
        <v>-165854.21</v>
      </c>
    </row>
    <row r="45" spans="1:61" x14ac:dyDescent="0.2">
      <c r="A45" s="120"/>
      <c r="B45" s="31"/>
      <c r="C45" s="114"/>
      <c r="E45" s="7"/>
      <c r="G45" s="6"/>
      <c r="U45" s="131"/>
    </row>
    <row r="46" spans="1:61" x14ac:dyDescent="0.2">
      <c r="A46" s="113"/>
      <c r="B46" s="31"/>
      <c r="C46" s="114"/>
      <c r="E46" s="7"/>
      <c r="U46" s="131"/>
    </row>
    <row r="47" spans="1:61" x14ac:dyDescent="0.2">
      <c r="A47" s="112" t="s">
        <v>34</v>
      </c>
      <c r="B47" s="31"/>
      <c r="C47" s="114"/>
      <c r="E47" s="7"/>
      <c r="G47" s="6"/>
      <c r="U47" s="131"/>
    </row>
    <row r="48" spans="1:61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7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131"/>
      <c r="AT48" s="8"/>
      <c r="AU48" s="131"/>
      <c r="AV48" s="8"/>
      <c r="AW48" s="131"/>
      <c r="AX48" s="8"/>
      <c r="AY48" s="8">
        <f t="shared" ref="AY48:AY69" si="8">SUM(P48:AX48)</f>
        <v>0</v>
      </c>
      <c r="AZ48" s="8"/>
      <c r="BA48" s="131">
        <f>78000-21792+14000+22229+2000-116229</f>
        <v>-21792</v>
      </c>
      <c r="BB48" s="8"/>
      <c r="BC48" s="8">
        <f t="shared" ref="BC48:BC69" si="9">IF(+O48-AY48+BA48&gt;0,O48-AY48+BA48,0)</f>
        <v>0</v>
      </c>
      <c r="BD48" s="8"/>
      <c r="BE48" s="8">
        <f t="shared" si="4"/>
        <v>0</v>
      </c>
      <c r="BF48" s="8"/>
      <c r="BG48" s="12">
        <f t="shared" ref="BG48:BG70" si="10">O48-AY48-BC48</f>
        <v>21792</v>
      </c>
    </row>
    <row r="49" spans="1:60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7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131"/>
      <c r="AT49" s="8"/>
      <c r="AU49" s="131"/>
      <c r="AV49" s="8"/>
      <c r="AW49" s="131"/>
      <c r="AX49" s="8"/>
      <c r="AY49" s="8">
        <f t="shared" si="8"/>
        <v>0</v>
      </c>
      <c r="AZ49" s="8"/>
      <c r="BA49" s="131">
        <f>625130-785499+5000-1100+2000-631030</f>
        <v>-785499</v>
      </c>
      <c r="BB49" s="8"/>
      <c r="BC49" s="8">
        <f t="shared" si="9"/>
        <v>0</v>
      </c>
      <c r="BD49" s="8"/>
      <c r="BE49" s="8">
        <f t="shared" si="4"/>
        <v>0</v>
      </c>
      <c r="BF49" s="8"/>
      <c r="BG49" s="12">
        <f t="shared" si="10"/>
        <v>785499</v>
      </c>
    </row>
    <row r="50" spans="1:60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7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131"/>
      <c r="AT50" s="8"/>
      <c r="AU50" s="131"/>
      <c r="AV50" s="8"/>
      <c r="AW50" s="131"/>
      <c r="AX50" s="8"/>
      <c r="AY50" s="8">
        <f t="shared" si="8"/>
        <v>0</v>
      </c>
      <c r="AZ50" s="8"/>
      <c r="BA50" s="131">
        <f>23860-18330+500+4000-28360</f>
        <v>-18330</v>
      </c>
      <c r="BB50" s="8"/>
      <c r="BC50" s="8">
        <f t="shared" si="9"/>
        <v>0</v>
      </c>
      <c r="BD50" s="8"/>
      <c r="BE50" s="8">
        <f t="shared" si="4"/>
        <v>0</v>
      </c>
      <c r="BF50" s="8"/>
      <c r="BG50" s="12">
        <f t="shared" si="10"/>
        <v>18330</v>
      </c>
    </row>
    <row r="51" spans="1:60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7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131"/>
      <c r="AT51" s="8"/>
      <c r="AU51" s="131"/>
      <c r="AV51" s="8"/>
      <c r="AW51" s="131"/>
      <c r="AX51" s="8"/>
      <c r="AY51" s="8">
        <f t="shared" si="8"/>
        <v>0.41999999998370185</v>
      </c>
      <c r="AZ51" s="8"/>
      <c r="BA51" s="131">
        <f>226692-357180-3886-222806</f>
        <v>-357180</v>
      </c>
      <c r="BB51" s="8"/>
      <c r="BC51" s="8">
        <f t="shared" si="9"/>
        <v>0</v>
      </c>
      <c r="BD51" s="8"/>
      <c r="BE51" s="8">
        <f t="shared" si="4"/>
        <v>0.41999999998370185</v>
      </c>
      <c r="BF51" s="8"/>
      <c r="BG51" s="12">
        <f t="shared" si="10"/>
        <v>357179.58</v>
      </c>
    </row>
    <row r="52" spans="1:60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7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131"/>
      <c r="AT52" s="8"/>
      <c r="AU52" s="131"/>
      <c r="AV52" s="8"/>
      <c r="AW52" s="131"/>
      <c r="AX52" s="8"/>
      <c r="AY52" s="8">
        <f t="shared" si="8"/>
        <v>0</v>
      </c>
      <c r="AZ52" s="8"/>
      <c r="BA52" s="131">
        <v>-125690</v>
      </c>
      <c r="BB52" s="8"/>
      <c r="BC52" s="8">
        <f t="shared" si="9"/>
        <v>0</v>
      </c>
      <c r="BD52" s="8"/>
      <c r="BE52" s="8">
        <f t="shared" si="4"/>
        <v>0</v>
      </c>
      <c r="BF52" s="8"/>
      <c r="BG52" s="12">
        <f t="shared" si="10"/>
        <v>125690</v>
      </c>
    </row>
    <row r="53" spans="1:60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7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131"/>
      <c r="AT53" s="8"/>
      <c r="AU53" s="131"/>
      <c r="AV53" s="8"/>
      <c r="AW53" s="131"/>
      <c r="AX53" s="8"/>
      <c r="AY53" s="8">
        <f t="shared" si="8"/>
        <v>0</v>
      </c>
      <c r="AZ53" s="8"/>
      <c r="BA53" s="131">
        <f>99951-2762+916-100867</f>
        <v>-2762</v>
      </c>
      <c r="BB53" s="8"/>
      <c r="BC53" s="8">
        <f t="shared" si="9"/>
        <v>0</v>
      </c>
      <c r="BD53" s="8">
        <v>0</v>
      </c>
      <c r="BE53" s="8">
        <f t="shared" si="4"/>
        <v>0</v>
      </c>
      <c r="BF53" s="8"/>
      <c r="BG53" s="12">
        <f t="shared" si="10"/>
        <v>2762</v>
      </c>
      <c r="BH53" s="6">
        <v>0</v>
      </c>
    </row>
    <row r="54" spans="1:60" x14ac:dyDescent="0.2">
      <c r="A54" s="112"/>
      <c r="B54" s="31" t="s">
        <v>403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131"/>
      <c r="AT54" s="8"/>
      <c r="AU54" s="131"/>
      <c r="AV54" s="8"/>
      <c r="AW54" s="131"/>
      <c r="AX54" s="8"/>
      <c r="AY54" s="8">
        <f t="shared" si="8"/>
        <v>0</v>
      </c>
      <c r="AZ54" s="8"/>
      <c r="BA54" s="131">
        <f>2891+920+3000+6700-13511</f>
        <v>0</v>
      </c>
      <c r="BB54" s="8"/>
      <c r="BC54" s="8">
        <f t="shared" si="9"/>
        <v>0</v>
      </c>
      <c r="BD54" s="8"/>
      <c r="BE54" s="8">
        <f>+BC54+AY54</f>
        <v>0</v>
      </c>
      <c r="BF54" s="8"/>
      <c r="BG54" s="12">
        <f t="shared" si="10"/>
        <v>0</v>
      </c>
    </row>
    <row r="55" spans="1:60" x14ac:dyDescent="0.2">
      <c r="A55" s="112"/>
      <c r="B55" s="31" t="s">
        <v>424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131"/>
      <c r="AT55" s="8"/>
      <c r="AU55" s="131"/>
      <c r="AV55" s="8"/>
      <c r="AW55" s="131"/>
      <c r="AX55" s="8"/>
      <c r="AY55" s="8">
        <f t="shared" si="8"/>
        <v>0</v>
      </c>
      <c r="AZ55" s="8"/>
      <c r="BA55" s="131">
        <f>920-920</f>
        <v>0</v>
      </c>
      <c r="BB55" s="8"/>
      <c r="BC55" s="8">
        <f t="shared" si="9"/>
        <v>0</v>
      </c>
      <c r="BD55" s="8"/>
      <c r="BE55" s="8">
        <f>+BC55+AY55</f>
        <v>0</v>
      </c>
      <c r="BF55" s="8"/>
      <c r="BG55" s="12">
        <f t="shared" si="10"/>
        <v>0</v>
      </c>
    </row>
    <row r="56" spans="1:60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7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131"/>
      <c r="AT56" s="8"/>
      <c r="AU56" s="131"/>
      <c r="AV56" s="8"/>
      <c r="AW56" s="131"/>
      <c r="AX56" s="8"/>
      <c r="AY56" s="8">
        <f t="shared" si="8"/>
        <v>0</v>
      </c>
      <c r="AZ56" s="8"/>
      <c r="BA56" s="131">
        <f>121350-192677-7000+8318-122668</f>
        <v>-192677</v>
      </c>
      <c r="BB56" s="8"/>
      <c r="BC56" s="8">
        <f t="shared" si="9"/>
        <v>0</v>
      </c>
      <c r="BD56" s="8"/>
      <c r="BE56" s="8">
        <f t="shared" si="4"/>
        <v>0</v>
      </c>
      <c r="BF56" s="8"/>
      <c r="BG56" s="12">
        <f t="shared" si="10"/>
        <v>192677</v>
      </c>
    </row>
    <row r="57" spans="1:60" x14ac:dyDescent="0.2">
      <c r="A57" s="112"/>
      <c r="B57" s="31" t="s">
        <v>427</v>
      </c>
      <c r="C57" s="114"/>
      <c r="E57" s="7" t="s">
        <v>17</v>
      </c>
      <c r="G57" s="7" t="s">
        <v>254</v>
      </c>
      <c r="K57" s="5">
        <v>30000</v>
      </c>
      <c r="O57" s="5">
        <f t="shared" si="7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131"/>
      <c r="AT57" s="8"/>
      <c r="AU57" s="131"/>
      <c r="AV57" s="8"/>
      <c r="AW57" s="131"/>
      <c r="AX57" s="8"/>
      <c r="AY57" s="8">
        <f t="shared" si="8"/>
        <v>0</v>
      </c>
      <c r="AZ57" s="8"/>
      <c r="BA57" s="131">
        <v>-30000</v>
      </c>
      <c r="BB57" s="8"/>
      <c r="BC57" s="8">
        <f t="shared" si="9"/>
        <v>0</v>
      </c>
      <c r="BD57" s="8"/>
      <c r="BE57" s="8">
        <f t="shared" si="4"/>
        <v>0</v>
      </c>
      <c r="BF57" s="8"/>
      <c r="BG57" s="12">
        <f t="shared" si="10"/>
        <v>30000</v>
      </c>
    </row>
    <row r="58" spans="1:60" x14ac:dyDescent="0.2">
      <c r="A58" s="112"/>
      <c r="B58" s="31" t="s">
        <v>428</v>
      </c>
      <c r="C58" s="114"/>
      <c r="E58" s="7" t="s">
        <v>17</v>
      </c>
      <c r="G58" s="7" t="s">
        <v>254</v>
      </c>
      <c r="K58" s="5">
        <v>44197</v>
      </c>
      <c r="O58" s="5">
        <f t="shared" si="7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131"/>
      <c r="AT58" s="8"/>
      <c r="AU58" s="131"/>
      <c r="AV58" s="8"/>
      <c r="AW58" s="131"/>
      <c r="AX58" s="8"/>
      <c r="AY58" s="8">
        <f t="shared" si="8"/>
        <v>0</v>
      </c>
      <c r="AZ58" s="8"/>
      <c r="BA58" s="131">
        <f>38712-44197-38712</f>
        <v>-44197</v>
      </c>
      <c r="BB58" s="8"/>
      <c r="BC58" s="8">
        <f t="shared" si="9"/>
        <v>0</v>
      </c>
      <c r="BD58" s="8"/>
      <c r="BE58" s="8">
        <f t="shared" si="4"/>
        <v>0</v>
      </c>
      <c r="BF58" s="8"/>
      <c r="BG58" s="12">
        <f t="shared" si="10"/>
        <v>44197</v>
      </c>
    </row>
    <row r="59" spans="1:60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7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131"/>
      <c r="AT59" s="8"/>
      <c r="AU59" s="131"/>
      <c r="AV59" s="8"/>
      <c r="AW59" s="131"/>
      <c r="AX59" s="8"/>
      <c r="AY59" s="8">
        <f t="shared" si="8"/>
        <v>0</v>
      </c>
      <c r="AZ59" s="8"/>
      <c r="BA59" s="131">
        <f>16002-49514+1615-17617</f>
        <v>-49514</v>
      </c>
      <c r="BB59" s="8"/>
      <c r="BC59" s="8">
        <f t="shared" si="9"/>
        <v>0</v>
      </c>
      <c r="BD59" s="8"/>
      <c r="BE59" s="8">
        <f t="shared" si="4"/>
        <v>0</v>
      </c>
      <c r="BF59" s="8"/>
      <c r="BG59" s="12">
        <f t="shared" si="10"/>
        <v>49514</v>
      </c>
    </row>
    <row r="60" spans="1:60" x14ac:dyDescent="0.2">
      <c r="A60" s="112"/>
      <c r="B60" s="31" t="s">
        <v>379</v>
      </c>
      <c r="C60" s="114"/>
      <c r="E60" s="7" t="s">
        <v>17</v>
      </c>
      <c r="G60" s="7" t="s">
        <v>254</v>
      </c>
      <c r="K60" s="5">
        <v>58003</v>
      </c>
      <c r="O60" s="182">
        <f t="shared" si="7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131"/>
      <c r="AT60" s="8"/>
      <c r="AU60" s="131"/>
      <c r="AV60" s="8"/>
      <c r="AW60" s="131"/>
      <c r="AX60" s="8"/>
      <c r="AY60" s="8">
        <f t="shared" si="8"/>
        <v>0.34999999999854481</v>
      </c>
      <c r="AZ60" s="8"/>
      <c r="BA60" s="131">
        <f>-11000-47003</f>
        <v>-58003</v>
      </c>
      <c r="BB60" s="8"/>
      <c r="BC60" s="8">
        <f t="shared" si="9"/>
        <v>0</v>
      </c>
      <c r="BD60" s="8"/>
      <c r="BE60" s="8">
        <f t="shared" si="4"/>
        <v>0.34999999999854481</v>
      </c>
      <c r="BF60" s="8"/>
      <c r="BG60" s="12">
        <f t="shared" si="10"/>
        <v>58002.65</v>
      </c>
    </row>
    <row r="61" spans="1:60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7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131"/>
      <c r="AT61" s="8"/>
      <c r="AU61" s="131"/>
      <c r="AV61" s="8"/>
      <c r="AW61" s="131"/>
      <c r="AX61" s="8"/>
      <c r="AY61" s="8">
        <f t="shared" si="8"/>
        <v>0</v>
      </c>
      <c r="AZ61" s="8"/>
      <c r="BA61" s="131">
        <f>300000-643354+175-4399-295776</f>
        <v>-643354</v>
      </c>
      <c r="BB61" s="8"/>
      <c r="BC61" s="8">
        <f t="shared" si="9"/>
        <v>0</v>
      </c>
      <c r="BD61" s="8"/>
      <c r="BE61" s="8">
        <f t="shared" si="4"/>
        <v>0</v>
      </c>
      <c r="BF61" s="8"/>
      <c r="BG61" s="12">
        <f t="shared" si="10"/>
        <v>643354</v>
      </c>
    </row>
    <row r="62" spans="1:60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7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131"/>
      <c r="AT62" s="8"/>
      <c r="AU62" s="131"/>
      <c r="AV62" s="8"/>
      <c r="AW62" s="131"/>
      <c r="AX62" s="8"/>
      <c r="AY62" s="8">
        <f t="shared" si="8"/>
        <v>0</v>
      </c>
      <c r="AZ62" s="8"/>
      <c r="BA62" s="131">
        <v>-66337</v>
      </c>
      <c r="BB62" s="8"/>
      <c r="BC62" s="8">
        <f t="shared" si="9"/>
        <v>0</v>
      </c>
      <c r="BD62" s="8"/>
      <c r="BE62" s="8">
        <f t="shared" si="4"/>
        <v>0</v>
      </c>
      <c r="BF62" s="8"/>
      <c r="BG62" s="12">
        <f t="shared" si="10"/>
        <v>66337</v>
      </c>
    </row>
    <row r="63" spans="1:60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7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131"/>
      <c r="AT63" s="8"/>
      <c r="AU63" s="131"/>
      <c r="AV63" s="8"/>
      <c r="AW63" s="131"/>
      <c r="AX63" s="8"/>
      <c r="AY63" s="8">
        <f t="shared" si="8"/>
        <v>0</v>
      </c>
      <c r="AZ63" s="8"/>
      <c r="BA63" s="131">
        <f>-10000+490-980-6285</f>
        <v>-16775</v>
      </c>
      <c r="BB63" s="8"/>
      <c r="BC63" s="8">
        <f t="shared" si="9"/>
        <v>0</v>
      </c>
      <c r="BD63" s="8"/>
      <c r="BE63" s="8">
        <f t="shared" si="4"/>
        <v>0</v>
      </c>
      <c r="BF63" s="8"/>
      <c r="BG63" s="12">
        <f t="shared" si="10"/>
        <v>16775</v>
      </c>
    </row>
    <row r="64" spans="1:60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7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131"/>
      <c r="AT64" s="8"/>
      <c r="AU64" s="131"/>
      <c r="AV64" s="8"/>
      <c r="AW64" s="131"/>
      <c r="AX64" s="8"/>
      <c r="AY64" s="8">
        <f t="shared" si="8"/>
        <v>0</v>
      </c>
      <c r="AZ64" s="8"/>
      <c r="BA64" s="131">
        <v>-8102</v>
      </c>
      <c r="BB64" s="8"/>
      <c r="BC64" s="8">
        <f t="shared" si="9"/>
        <v>0</v>
      </c>
      <c r="BD64" s="8"/>
      <c r="BE64" s="8">
        <f t="shared" si="4"/>
        <v>0</v>
      </c>
      <c r="BF64" s="8"/>
      <c r="BG64" s="12">
        <f t="shared" si="10"/>
        <v>8102</v>
      </c>
    </row>
    <row r="65" spans="1:61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7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131"/>
      <c r="AT65" s="8"/>
      <c r="AU65" s="131"/>
      <c r="AV65" s="8"/>
      <c r="AW65" s="131"/>
      <c r="AX65" s="8"/>
      <c r="AY65" s="8">
        <f t="shared" si="8"/>
        <v>0</v>
      </c>
      <c r="AZ65" s="8"/>
      <c r="BA65" s="131">
        <f>20488-17156+73865-180+155-94328</f>
        <v>-17156</v>
      </c>
      <c r="BB65" s="8"/>
      <c r="BC65" s="8">
        <f t="shared" si="9"/>
        <v>0</v>
      </c>
      <c r="BD65" s="8"/>
      <c r="BE65" s="8">
        <f t="shared" si="4"/>
        <v>0</v>
      </c>
      <c r="BF65" s="8"/>
      <c r="BG65" s="12">
        <f t="shared" si="10"/>
        <v>17156</v>
      </c>
    </row>
    <row r="66" spans="1:61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7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131"/>
      <c r="AT66" s="8"/>
      <c r="AU66" s="131"/>
      <c r="AV66" s="8"/>
      <c r="AW66" s="131"/>
      <c r="AX66" s="8"/>
      <c r="AY66" s="8">
        <f t="shared" si="8"/>
        <v>0</v>
      </c>
      <c r="AZ66" s="8"/>
      <c r="BA66" s="131">
        <f>-200000-102918-246082</f>
        <v>-549000</v>
      </c>
      <c r="BB66" s="8"/>
      <c r="BC66" s="8">
        <f t="shared" si="9"/>
        <v>0</v>
      </c>
      <c r="BD66" s="8"/>
      <c r="BE66" s="8">
        <f t="shared" si="4"/>
        <v>0</v>
      </c>
      <c r="BF66" s="8"/>
      <c r="BG66" s="12">
        <f t="shared" si="10"/>
        <v>549000</v>
      </c>
    </row>
    <row r="67" spans="1:61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7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131"/>
      <c r="AT67" s="8"/>
      <c r="AU67" s="131"/>
      <c r="AV67" s="8"/>
      <c r="AW67" s="131"/>
      <c r="AX67" s="8"/>
      <c r="AY67" s="8">
        <f t="shared" si="8"/>
        <v>0</v>
      </c>
      <c r="AZ67" s="8"/>
      <c r="BA67" s="131">
        <f>76524-95788-76524+35000+15509-50509</f>
        <v>-95788</v>
      </c>
      <c r="BB67" s="8"/>
      <c r="BC67" s="8">
        <f t="shared" si="9"/>
        <v>0</v>
      </c>
      <c r="BD67" s="8"/>
      <c r="BE67" s="8">
        <f t="shared" si="4"/>
        <v>0</v>
      </c>
      <c r="BF67" s="8"/>
      <c r="BG67" s="12">
        <f t="shared" si="10"/>
        <v>95788</v>
      </c>
    </row>
    <row r="68" spans="1:61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7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131"/>
      <c r="AT68" s="8"/>
      <c r="AU68" s="131"/>
      <c r="AV68" s="8"/>
      <c r="AW68" s="131"/>
      <c r="AX68" s="8"/>
      <c r="AY68" s="8">
        <f t="shared" si="8"/>
        <v>0</v>
      </c>
      <c r="AZ68" s="8"/>
      <c r="BA68" s="131">
        <f>72029-106000-16900-16001-39128</f>
        <v>-106000</v>
      </c>
      <c r="BB68" s="8"/>
      <c r="BC68" s="8">
        <f t="shared" si="9"/>
        <v>0</v>
      </c>
      <c r="BD68" s="8"/>
      <c r="BE68" s="8">
        <f t="shared" si="4"/>
        <v>0</v>
      </c>
      <c r="BF68" s="8"/>
      <c r="BG68" s="12">
        <f t="shared" si="10"/>
        <v>106000</v>
      </c>
    </row>
    <row r="69" spans="1:61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7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131"/>
      <c r="AT69" s="8"/>
      <c r="AU69" s="131"/>
      <c r="AV69" s="8"/>
      <c r="AW69" s="131"/>
      <c r="AX69" s="8"/>
      <c r="AY69" s="8">
        <f t="shared" si="8"/>
        <v>0</v>
      </c>
      <c r="AZ69" s="8"/>
      <c r="BA69" s="131">
        <f>-20118-871+50000-52839</f>
        <v>-23828</v>
      </c>
      <c r="BB69" s="8"/>
      <c r="BC69" s="8">
        <f t="shared" si="9"/>
        <v>0</v>
      </c>
      <c r="BD69" s="8"/>
      <c r="BE69" s="264">
        <f t="shared" si="4"/>
        <v>0</v>
      </c>
      <c r="BF69" s="8"/>
      <c r="BG69" s="35">
        <f t="shared" si="10"/>
        <v>23828</v>
      </c>
      <c r="BI69" s="157"/>
    </row>
    <row r="70" spans="1:61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38">
        <f>SUM(AS48:AS69)</f>
        <v>0</v>
      </c>
      <c r="AU70" s="138">
        <f>SUM(AU48:AU69)</f>
        <v>0</v>
      </c>
      <c r="AW70" s="138">
        <f>SUM(AW48:AW69)</f>
        <v>0</v>
      </c>
      <c r="AY70" s="107">
        <f>SUM(AY48:AY69)</f>
        <v>0.76999999998224666</v>
      </c>
      <c r="BA70" s="138">
        <f>SUM(BA48:BA69)</f>
        <v>-3211984</v>
      </c>
      <c r="BC70" s="107">
        <f>SUM(BC48:BC69)</f>
        <v>0</v>
      </c>
      <c r="BE70" s="107">
        <f t="shared" si="4"/>
        <v>0.76999999998224666</v>
      </c>
      <c r="BG70" s="107">
        <f t="shared" si="10"/>
        <v>3211983.23</v>
      </c>
    </row>
    <row r="71" spans="1:61" x14ac:dyDescent="0.2">
      <c r="A71" s="113"/>
      <c r="B71" s="31"/>
      <c r="C71" s="114"/>
      <c r="E71" s="7"/>
      <c r="O71" s="45"/>
      <c r="U71" s="131"/>
    </row>
    <row r="72" spans="1:61" x14ac:dyDescent="0.2">
      <c r="A72" s="121" t="s">
        <v>45</v>
      </c>
      <c r="B72" s="31"/>
      <c r="C72" s="114"/>
      <c r="E72" s="7"/>
      <c r="O72" s="45"/>
      <c r="U72" s="131"/>
      <c r="BG72" s="8">
        <f t="shared" ref="BG72:BG98" si="11">O72-AY72-BC72</f>
        <v>0</v>
      </c>
    </row>
    <row r="73" spans="1:61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2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131"/>
      <c r="AT73" s="8"/>
      <c r="AU73" s="131"/>
      <c r="AV73" s="8"/>
      <c r="AW73" s="131"/>
      <c r="AX73" s="8"/>
      <c r="AY73" s="8">
        <f t="shared" ref="AY73:AY97" si="13">SUM(P73:AX73)</f>
        <v>84555</v>
      </c>
      <c r="AZ73" s="8"/>
      <c r="BA73" s="131">
        <f>62500-28593+100000-77945</f>
        <v>55962</v>
      </c>
      <c r="BB73" s="8"/>
      <c r="BC73" s="8">
        <f t="shared" ref="BC73:BC97" si="14">IF(+O73-AY73+BA73&gt;0,O73-AY73+BA73,0)</f>
        <v>0</v>
      </c>
      <c r="BD73" s="8"/>
      <c r="BE73" s="8">
        <f t="shared" si="4"/>
        <v>84555</v>
      </c>
      <c r="BF73" s="8"/>
      <c r="BG73" s="12">
        <f t="shared" si="11"/>
        <v>-55962</v>
      </c>
      <c r="BI73" s="6" t="s">
        <v>412</v>
      </c>
    </row>
    <row r="74" spans="1:61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2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131"/>
      <c r="AT74" s="8"/>
      <c r="AU74" s="131"/>
      <c r="AV74" s="8"/>
      <c r="AW74" s="131"/>
      <c r="AX74" s="8"/>
      <c r="AY74" s="8">
        <f t="shared" si="13"/>
        <v>450867</v>
      </c>
      <c r="AZ74" s="8"/>
      <c r="BA74" s="131">
        <f>845+118530-9574-24727-18595-17972+10055</f>
        <v>58562</v>
      </c>
      <c r="BB74" s="8"/>
      <c r="BC74" s="8">
        <f t="shared" si="14"/>
        <v>0</v>
      </c>
      <c r="BD74" s="8"/>
      <c r="BE74" s="8">
        <f t="shared" si="4"/>
        <v>450867</v>
      </c>
      <c r="BF74" s="8"/>
      <c r="BG74" s="12">
        <f t="shared" si="11"/>
        <v>-58562</v>
      </c>
    </row>
    <row r="75" spans="1:61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2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131"/>
      <c r="AT75" s="8"/>
      <c r="AU75" s="131"/>
      <c r="AV75" s="8"/>
      <c r="AW75" s="131"/>
      <c r="AX75" s="8"/>
      <c r="AY75" s="8">
        <f t="shared" si="13"/>
        <v>807631</v>
      </c>
      <c r="AZ75" s="8"/>
      <c r="BA75" s="131">
        <f>668414-329754+63305+76904+32208-14130-19070</f>
        <v>477877</v>
      </c>
      <c r="BB75" s="8"/>
      <c r="BC75" s="8">
        <f t="shared" si="14"/>
        <v>0</v>
      </c>
      <c r="BD75" s="8"/>
      <c r="BE75" s="8">
        <f t="shared" si="4"/>
        <v>807631</v>
      </c>
      <c r="BF75" s="8"/>
      <c r="BG75" s="12">
        <f t="shared" si="11"/>
        <v>-477877</v>
      </c>
    </row>
    <row r="76" spans="1:61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2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131"/>
      <c r="AT76" s="8"/>
      <c r="AU76" s="131"/>
      <c r="AV76" s="8"/>
      <c r="AW76" s="131"/>
      <c r="AX76" s="8"/>
      <c r="AY76" s="8">
        <f t="shared" si="13"/>
        <v>262652</v>
      </c>
      <c r="AZ76" s="8"/>
      <c r="BA76" s="131">
        <f>528331-468032-70400-144686-46697-1579+873-3190</f>
        <v>-205380</v>
      </c>
      <c r="BB76" s="8"/>
      <c r="BC76" s="8">
        <f t="shared" si="14"/>
        <v>0</v>
      </c>
      <c r="BD76" s="8"/>
      <c r="BE76" s="8">
        <f t="shared" si="4"/>
        <v>262652</v>
      </c>
      <c r="BF76" s="8"/>
      <c r="BG76" s="12">
        <f t="shared" si="11"/>
        <v>205380</v>
      </c>
    </row>
    <row r="77" spans="1:61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2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131"/>
      <c r="AT77" s="8"/>
      <c r="AU77" s="131"/>
      <c r="AV77" s="8"/>
      <c r="AW77" s="131"/>
      <c r="AX77" s="8"/>
      <c r="AY77" s="8">
        <f t="shared" si="13"/>
        <v>1518653</v>
      </c>
      <c r="AZ77" s="8"/>
      <c r="BA77" s="131">
        <f>1676591-1299267-40000+53432-143729-42917+33025-15971-1778</f>
        <v>219386</v>
      </c>
      <c r="BB77" s="8"/>
      <c r="BC77" s="12">
        <f>IF(+O77-AY77+BA77&gt;0,O77-AY77+BA77,0)</f>
        <v>0</v>
      </c>
      <c r="BD77" s="8"/>
      <c r="BE77" s="8">
        <f t="shared" si="4"/>
        <v>1518653</v>
      </c>
      <c r="BF77" s="8"/>
      <c r="BG77" s="12">
        <f t="shared" si="11"/>
        <v>-219386</v>
      </c>
    </row>
    <row r="78" spans="1:61" x14ac:dyDescent="0.2">
      <c r="A78" s="113"/>
      <c r="B78" s="31" t="s">
        <v>387</v>
      </c>
      <c r="C78" s="114"/>
      <c r="E78" s="7"/>
      <c r="G78" s="7" t="s">
        <v>254</v>
      </c>
      <c r="K78" s="5">
        <v>72359</v>
      </c>
      <c r="M78" s="5"/>
      <c r="O78" s="182">
        <f t="shared" si="12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131"/>
      <c r="AT78" s="8"/>
      <c r="AU78" s="131"/>
      <c r="AV78" s="8"/>
      <c r="AW78" s="131"/>
      <c r="AX78" s="8"/>
      <c r="AY78" s="8">
        <f t="shared" si="13"/>
        <v>88008</v>
      </c>
      <c r="AZ78" s="8"/>
      <c r="BA78" s="131">
        <f>14103+12577-433-7220-3378</f>
        <v>15649</v>
      </c>
      <c r="BB78" s="8"/>
      <c r="BC78" s="8">
        <f t="shared" si="14"/>
        <v>0</v>
      </c>
      <c r="BD78" s="8"/>
      <c r="BE78" s="8">
        <f t="shared" si="4"/>
        <v>88008</v>
      </c>
      <c r="BF78" s="8"/>
      <c r="BG78" s="12">
        <f t="shared" si="11"/>
        <v>-15649</v>
      </c>
    </row>
    <row r="79" spans="1:61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2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131"/>
      <c r="AT79" s="8"/>
      <c r="AU79" s="131"/>
      <c r="AV79" s="8"/>
      <c r="AW79" s="131"/>
      <c r="AX79" s="8"/>
      <c r="AY79" s="8">
        <f t="shared" si="13"/>
        <v>202483</v>
      </c>
      <c r="AZ79" s="8"/>
      <c r="BA79" s="131">
        <f>2610-1707+9776-340-71005+71110</f>
        <v>10444</v>
      </c>
      <c r="BB79" s="8"/>
      <c r="BC79" s="8">
        <f t="shared" si="14"/>
        <v>0</v>
      </c>
      <c r="BD79" s="8"/>
      <c r="BE79" s="8">
        <f t="shared" si="4"/>
        <v>202483</v>
      </c>
      <c r="BF79" s="8"/>
      <c r="BG79" s="12">
        <f t="shared" si="11"/>
        <v>-10444</v>
      </c>
    </row>
    <row r="80" spans="1:61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2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131"/>
      <c r="AT80" s="8"/>
      <c r="AU80" s="131"/>
      <c r="AV80" s="8"/>
      <c r="AW80" s="131"/>
      <c r="AX80" s="8"/>
      <c r="AY80" s="8">
        <f t="shared" si="13"/>
        <v>46980</v>
      </c>
      <c r="AZ80" s="8"/>
      <c r="BA80" s="131">
        <f>-79153+46980</f>
        <v>-32173</v>
      </c>
      <c r="BB80" s="8"/>
      <c r="BC80" s="8">
        <f t="shared" si="14"/>
        <v>0</v>
      </c>
      <c r="BD80" s="8"/>
      <c r="BE80" s="8">
        <f t="shared" si="4"/>
        <v>46980</v>
      </c>
      <c r="BF80" s="8"/>
      <c r="BG80" s="12">
        <f t="shared" si="11"/>
        <v>32173</v>
      </c>
    </row>
    <row r="81" spans="1:61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2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131"/>
      <c r="AT81" s="8"/>
      <c r="AU81" s="131"/>
      <c r="AV81" s="8"/>
      <c r="AW81" s="131"/>
      <c r="AX81" s="8"/>
      <c r="AY81" s="8">
        <f t="shared" si="13"/>
        <v>338622</v>
      </c>
      <c r="AZ81" s="8"/>
      <c r="BA81" s="131">
        <f>57311+3585-22421+22606-48843</f>
        <v>12238</v>
      </c>
      <c r="BB81" s="8"/>
      <c r="BC81" s="8">
        <f t="shared" si="14"/>
        <v>0</v>
      </c>
      <c r="BD81" s="8"/>
      <c r="BE81" s="8">
        <f t="shared" si="4"/>
        <v>338622</v>
      </c>
      <c r="BF81" s="8"/>
      <c r="BG81" s="12">
        <f t="shared" si="11"/>
        <v>-12238</v>
      </c>
    </row>
    <row r="82" spans="1:61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2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131"/>
      <c r="AT82" s="8"/>
      <c r="AU82" s="131"/>
      <c r="AV82" s="8"/>
      <c r="AW82" s="131"/>
      <c r="AX82" s="8"/>
      <c r="AY82" s="8">
        <f t="shared" si="13"/>
        <v>0</v>
      </c>
      <c r="AZ82" s="8"/>
      <c r="BA82" s="131"/>
      <c r="BB82" s="8"/>
      <c r="BC82" s="8">
        <f t="shared" si="14"/>
        <v>0</v>
      </c>
      <c r="BD82" s="8"/>
      <c r="BE82" s="8">
        <f t="shared" ref="BE82:BE147" si="15">+BC82+AY82</f>
        <v>0</v>
      </c>
      <c r="BF82" s="8"/>
      <c r="BG82" s="12">
        <f t="shared" si="11"/>
        <v>0</v>
      </c>
    </row>
    <row r="83" spans="1:61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2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131"/>
      <c r="AT83" s="8"/>
      <c r="AU83" s="131"/>
      <c r="AV83" s="8"/>
      <c r="AW83" s="131"/>
      <c r="AX83" s="8"/>
      <c r="AY83" s="8">
        <f t="shared" si="13"/>
        <v>306441</v>
      </c>
      <c r="AZ83" s="8"/>
      <c r="BA83" s="131">
        <f>48852+15000+15231-4267+116229+6523+2702+2621-4998+17257</f>
        <v>215150</v>
      </c>
      <c r="BB83" s="8"/>
      <c r="BC83" s="8">
        <f t="shared" si="14"/>
        <v>0</v>
      </c>
      <c r="BD83" s="8"/>
      <c r="BE83" s="264">
        <f t="shared" si="15"/>
        <v>306441</v>
      </c>
      <c r="BF83" s="8"/>
      <c r="BG83" s="12">
        <f t="shared" si="11"/>
        <v>-215150</v>
      </c>
    </row>
    <row r="84" spans="1:61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2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131"/>
      <c r="AT84" s="8"/>
      <c r="AU84" s="131"/>
      <c r="AV84" s="8"/>
      <c r="AW84" s="131"/>
      <c r="AX84" s="8"/>
      <c r="AY84" s="8">
        <f t="shared" si="13"/>
        <v>0</v>
      </c>
      <c r="AZ84" s="8"/>
      <c r="BA84" s="131">
        <f>0</f>
        <v>0</v>
      </c>
      <c r="BB84" s="8"/>
      <c r="BC84" s="8">
        <f t="shared" si="14"/>
        <v>0</v>
      </c>
      <c r="BD84" s="8"/>
      <c r="BE84" s="8">
        <f t="shared" si="15"/>
        <v>0</v>
      </c>
      <c r="BF84" s="8"/>
      <c r="BG84" s="12">
        <f t="shared" si="11"/>
        <v>0</v>
      </c>
    </row>
    <row r="85" spans="1:61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2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131"/>
      <c r="AT85" s="8"/>
      <c r="AU85" s="131"/>
      <c r="AV85" s="8"/>
      <c r="AW85" s="131"/>
      <c r="AX85" s="8"/>
      <c r="AY85" s="8">
        <f t="shared" si="13"/>
        <v>409599</v>
      </c>
      <c r="AZ85" s="8"/>
      <c r="BA85" s="131">
        <f>70885+427466-240368+712-712</f>
        <v>257983</v>
      </c>
      <c r="BB85" s="8"/>
      <c r="BC85" s="8">
        <f t="shared" si="14"/>
        <v>0</v>
      </c>
      <c r="BD85" s="8"/>
      <c r="BE85" s="8">
        <f t="shared" si="15"/>
        <v>409599</v>
      </c>
      <c r="BF85" s="8"/>
      <c r="BG85" s="12">
        <f t="shared" si="11"/>
        <v>-257983</v>
      </c>
    </row>
    <row r="86" spans="1:61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2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131"/>
      <c r="AT86" s="8"/>
      <c r="AU86" s="131"/>
      <c r="AV86" s="8"/>
      <c r="AW86" s="131"/>
      <c r="AX86" s="8"/>
      <c r="AY86" s="8">
        <f t="shared" si="13"/>
        <v>0</v>
      </c>
      <c r="AZ86" s="8"/>
      <c r="BA86" s="131"/>
      <c r="BB86" s="8"/>
      <c r="BC86" s="8">
        <f t="shared" si="14"/>
        <v>0</v>
      </c>
      <c r="BD86" s="8"/>
      <c r="BE86" s="8">
        <f t="shared" si="15"/>
        <v>0</v>
      </c>
      <c r="BF86" s="8"/>
      <c r="BG86" s="12">
        <f t="shared" si="11"/>
        <v>0</v>
      </c>
    </row>
    <row r="87" spans="1:61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2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131"/>
      <c r="AT87" s="8"/>
      <c r="AU87" s="131"/>
      <c r="AV87" s="8"/>
      <c r="AW87" s="131"/>
      <c r="AX87" s="8"/>
      <c r="AY87" s="8">
        <f t="shared" si="13"/>
        <v>2608654</v>
      </c>
      <c r="AZ87" s="8"/>
      <c r="BA87" s="131">
        <f>550632-566895-4509+75000+100000+77531+631030+28360+222806+100867+13511+122668+38712+17617+124548+51452+209+335+152+1+5180-210</f>
        <v>1588997</v>
      </c>
      <c r="BB87" s="8"/>
      <c r="BC87" s="12">
        <f>IF(+O87-AY87+BA87&gt;0,O87-AY87+BA87,0)</f>
        <v>0</v>
      </c>
      <c r="BD87" s="8"/>
      <c r="BE87" s="264">
        <f t="shared" si="15"/>
        <v>2608654</v>
      </c>
      <c r="BF87" s="8"/>
      <c r="BG87" s="12">
        <f t="shared" si="11"/>
        <v>-2041759</v>
      </c>
      <c r="BI87" s="157" t="s">
        <v>498</v>
      </c>
    </row>
    <row r="88" spans="1:61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2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131"/>
      <c r="AT88" s="8"/>
      <c r="AU88" s="131"/>
      <c r="AV88" s="8"/>
      <c r="AW88" s="131"/>
      <c r="AX88" s="8"/>
      <c r="AY88" s="8">
        <f t="shared" si="13"/>
        <v>0</v>
      </c>
      <c r="AZ88" s="8"/>
      <c r="BA88" s="131">
        <f>180000-92834-30000+26000-176000</f>
        <v>-92834</v>
      </c>
      <c r="BB88" s="8"/>
      <c r="BC88" s="8">
        <f t="shared" si="14"/>
        <v>0</v>
      </c>
      <c r="BD88" s="8"/>
      <c r="BE88" s="8">
        <f t="shared" si="15"/>
        <v>0</v>
      </c>
      <c r="BF88" s="8"/>
      <c r="BG88" s="12">
        <f t="shared" si="11"/>
        <v>92834</v>
      </c>
    </row>
    <row r="89" spans="1:61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2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131"/>
      <c r="AT89" s="8"/>
      <c r="AU89" s="131"/>
      <c r="AV89" s="8"/>
      <c r="AW89" s="131"/>
      <c r="AX89" s="8"/>
      <c r="AY89" s="8">
        <f t="shared" si="13"/>
        <v>999267</v>
      </c>
      <c r="AZ89" s="8"/>
      <c r="BA89" s="131">
        <f>18803+879767-239590+113794+327471-330993-327471</f>
        <v>441781</v>
      </c>
      <c r="BB89" s="8"/>
      <c r="BC89" s="8">
        <f t="shared" si="14"/>
        <v>0</v>
      </c>
      <c r="BD89" s="8"/>
      <c r="BE89" s="8">
        <f t="shared" si="15"/>
        <v>999267</v>
      </c>
      <c r="BF89" s="8"/>
      <c r="BG89" s="12">
        <f t="shared" si="11"/>
        <v>-441781</v>
      </c>
    </row>
    <row r="90" spans="1:61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2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131"/>
      <c r="AT90" s="8"/>
      <c r="AU90" s="131"/>
      <c r="AV90" s="8"/>
      <c r="AW90" s="131"/>
      <c r="AX90" s="8"/>
      <c r="AY90" s="8">
        <f t="shared" si="13"/>
        <v>464441</v>
      </c>
      <c r="AZ90" s="8"/>
      <c r="BA90" s="131">
        <f>291034-321922+43561+47003+295776+6016-15000+15708-10-136523+5692</f>
        <v>231335</v>
      </c>
      <c r="BB90" s="8"/>
      <c r="BC90" s="8">
        <f t="shared" si="14"/>
        <v>0</v>
      </c>
      <c r="BD90" s="8"/>
      <c r="BE90" s="8">
        <f t="shared" si="15"/>
        <v>464441</v>
      </c>
      <c r="BF90" s="8"/>
      <c r="BG90" s="12">
        <f t="shared" si="11"/>
        <v>-231335</v>
      </c>
    </row>
    <row r="91" spans="1:61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2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131"/>
      <c r="AT91" s="8"/>
      <c r="AU91" s="131"/>
      <c r="AV91" s="8"/>
      <c r="AW91" s="131"/>
      <c r="AX91" s="8"/>
      <c r="AY91" s="8">
        <f t="shared" si="13"/>
        <v>98986</v>
      </c>
      <c r="AZ91" s="8"/>
      <c r="BA91" s="131">
        <f>-185756-44415+13401</f>
        <v>-216770</v>
      </c>
      <c r="BB91" s="8"/>
      <c r="BC91" s="8">
        <f t="shared" si="14"/>
        <v>0</v>
      </c>
      <c r="BD91" s="8"/>
      <c r="BE91" s="12">
        <f t="shared" si="15"/>
        <v>98986</v>
      </c>
      <c r="BF91" s="8"/>
      <c r="BG91" s="12">
        <f t="shared" si="11"/>
        <v>216770</v>
      </c>
    </row>
    <row r="92" spans="1:61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2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131"/>
      <c r="AT92" s="8"/>
      <c r="AU92" s="131"/>
      <c r="AV92" s="8"/>
      <c r="AW92" s="131"/>
      <c r="AX92" s="8"/>
      <c r="AY92" s="8">
        <f t="shared" si="13"/>
        <v>410225</v>
      </c>
      <c r="AZ92" s="8"/>
      <c r="BA92" s="131">
        <f>276887+10625+1500</f>
        <v>289012</v>
      </c>
      <c r="BB92" s="8"/>
      <c r="BC92" s="8">
        <f t="shared" si="14"/>
        <v>0</v>
      </c>
      <c r="BD92" s="8"/>
      <c r="BE92" s="8">
        <f t="shared" si="15"/>
        <v>410225</v>
      </c>
      <c r="BF92" s="8"/>
      <c r="BG92" s="12">
        <f t="shared" si="11"/>
        <v>-289012</v>
      </c>
    </row>
    <row r="93" spans="1:61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2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131"/>
      <c r="AT93" s="8"/>
      <c r="AU93" s="131"/>
      <c r="AV93" s="8"/>
      <c r="AW93" s="131"/>
      <c r="AX93" s="8"/>
      <c r="AY93" s="8">
        <f t="shared" si="13"/>
        <v>0</v>
      </c>
      <c r="AZ93" s="8"/>
      <c r="BA93" s="131"/>
      <c r="BB93" s="8"/>
      <c r="BC93" s="8">
        <f t="shared" si="14"/>
        <v>0</v>
      </c>
      <c r="BD93" s="8"/>
      <c r="BE93" s="8">
        <f t="shared" si="15"/>
        <v>0</v>
      </c>
      <c r="BF93" s="8"/>
      <c r="BG93" s="12">
        <f t="shared" si="11"/>
        <v>0</v>
      </c>
    </row>
    <row r="94" spans="1:61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2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131"/>
      <c r="AT94" s="8"/>
      <c r="AU94" s="131"/>
      <c r="AV94" s="8"/>
      <c r="AW94" s="131"/>
      <c r="AX94" s="8"/>
      <c r="AY94" s="8">
        <f t="shared" si="13"/>
        <v>3359547</v>
      </c>
      <c r="AZ94" s="8"/>
      <c r="BA94" s="131">
        <f>103299+18412+1543616-484968+4036-520000+109846+83132+6285+94328+246082+50509+16001+52839+39128+20909+5319-218752+9446+9812-283267+127909</f>
        <v>1033921</v>
      </c>
      <c r="BB94" s="8"/>
      <c r="BC94" s="8">
        <f t="shared" si="14"/>
        <v>0</v>
      </c>
      <c r="BD94" s="8"/>
      <c r="BE94" s="8">
        <f t="shared" si="15"/>
        <v>3359547</v>
      </c>
      <c r="BF94" s="8"/>
      <c r="BG94" s="12">
        <f t="shared" si="11"/>
        <v>-1033921</v>
      </c>
    </row>
    <row r="95" spans="1:61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2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131"/>
      <c r="AT95" s="8"/>
      <c r="AU95" s="131"/>
      <c r="AV95" s="8"/>
      <c r="AW95" s="131"/>
      <c r="AX95" s="8"/>
      <c r="AY95" s="8">
        <f t="shared" si="13"/>
        <v>4698860.2</v>
      </c>
      <c r="AZ95" s="8"/>
      <c r="BA95" s="131">
        <f>4821110-5107662-127464+86561+2667+47113-177083+45956</f>
        <v>-408802</v>
      </c>
      <c r="BB95" s="8"/>
      <c r="BC95" s="8">
        <f t="shared" si="14"/>
        <v>0</v>
      </c>
      <c r="BD95" s="8"/>
      <c r="BE95" s="12">
        <f t="shared" si="15"/>
        <v>4698860.2</v>
      </c>
      <c r="BF95" s="8"/>
      <c r="BG95" s="34">
        <f t="shared" si="11"/>
        <v>408801.79999999981</v>
      </c>
    </row>
    <row r="96" spans="1:61" x14ac:dyDescent="0.2">
      <c r="A96" s="113"/>
      <c r="B96" s="31" t="s">
        <v>425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2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131"/>
      <c r="AT96" s="8"/>
      <c r="AU96" s="131"/>
      <c r="AV96" s="8"/>
      <c r="AW96" s="131"/>
      <c r="AX96" s="8"/>
      <c r="AY96" s="8">
        <f t="shared" si="13"/>
        <v>364</v>
      </c>
      <c r="AZ96" s="8"/>
      <c r="BA96" s="131">
        <f>29229+13142+14079+318-56404</f>
        <v>364</v>
      </c>
      <c r="BB96" s="8"/>
      <c r="BC96" s="8">
        <f t="shared" si="14"/>
        <v>0</v>
      </c>
      <c r="BD96" s="8"/>
      <c r="BE96" s="8">
        <f t="shared" si="15"/>
        <v>364</v>
      </c>
      <c r="BF96" s="8"/>
      <c r="BG96" s="34">
        <f t="shared" si="11"/>
        <v>-364</v>
      </c>
    </row>
    <row r="97" spans="1:61" x14ac:dyDescent="0.2">
      <c r="A97" s="113"/>
      <c r="B97" s="31" t="s">
        <v>533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131"/>
      <c r="AT97" s="8"/>
      <c r="AU97" s="131"/>
      <c r="AV97" s="8"/>
      <c r="AW97" s="131"/>
      <c r="AX97" s="8"/>
      <c r="AY97" s="8">
        <f t="shared" si="13"/>
        <v>189675.18000000002</v>
      </c>
      <c r="AZ97" s="8"/>
      <c r="BA97" s="131">
        <v>0</v>
      </c>
      <c r="BB97" s="8"/>
      <c r="BC97" s="8">
        <f t="shared" si="14"/>
        <v>0</v>
      </c>
      <c r="BD97" s="8"/>
      <c r="BE97" s="8">
        <f t="shared" si="15"/>
        <v>189675.18000000002</v>
      </c>
      <c r="BF97" s="8"/>
      <c r="BG97" s="34">
        <f t="shared" si="11"/>
        <v>-189675.18000000002</v>
      </c>
    </row>
    <row r="98" spans="1:61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>SUM(U73:U97)</f>
        <v>122182.7</v>
      </c>
      <c r="V98" s="138"/>
      <c r="W98" s="138">
        <f>SUM(W73:W97)</f>
        <v>307623.5</v>
      </c>
      <c r="X98" s="138"/>
      <c r="Y98" s="138">
        <f>SUM(Y73:Y97)</f>
        <v>1152720</v>
      </c>
      <c r="Z98" s="138"/>
      <c r="AA98" s="138">
        <f>SUM(AA73:AA97)</f>
        <v>0</v>
      </c>
      <c r="AB98" s="138"/>
      <c r="AC98" s="138">
        <f>SUM(AC73:AC97)</f>
        <v>2771933</v>
      </c>
      <c r="AD98" s="138"/>
      <c r="AE98" s="138">
        <f>SUM(AE73:AE97)</f>
        <v>1931796</v>
      </c>
      <c r="AF98" s="138"/>
      <c r="AG98" s="138">
        <f>SUM(AG73:AG97)</f>
        <v>6052695</v>
      </c>
      <c r="AH98" s="138"/>
      <c r="AI98" s="138">
        <f>SUM(AI73:AI97)</f>
        <v>3119977</v>
      </c>
      <c r="AJ98" s="138"/>
      <c r="AK98" s="138">
        <f>SUM(AK73:AK97)</f>
        <v>923802.7</v>
      </c>
      <c r="AL98" s="138"/>
      <c r="AM98" s="138">
        <f>SUM(AM73:AM97)</f>
        <v>438997.48</v>
      </c>
      <c r="AN98" s="138"/>
      <c r="AO98" s="138">
        <f>SUM(AO73:AO97)</f>
        <v>432769</v>
      </c>
      <c r="AP98" s="138"/>
      <c r="AQ98" s="138">
        <f>SUM(AQ73:AQ97)</f>
        <v>0</v>
      </c>
      <c r="AR98" s="138"/>
      <c r="AS98" s="138">
        <f>SUM(AS73:AS97)</f>
        <v>0</v>
      </c>
      <c r="AT98" s="138"/>
      <c r="AU98" s="138">
        <f>SUM(AU73:AU97)</f>
        <v>0</v>
      </c>
      <c r="AV98" s="138"/>
      <c r="AW98" s="138">
        <f>SUM(AW73:AW97)</f>
        <v>0</v>
      </c>
      <c r="AX98" s="138"/>
      <c r="AY98" s="138">
        <f>SUM(AY73:AY97)</f>
        <v>17346510.379999999</v>
      </c>
      <c r="BA98" s="138">
        <f>SUM(BA73:BA96)</f>
        <v>3952702</v>
      </c>
      <c r="BC98" s="107">
        <f>SUM(BC73:BC96)</f>
        <v>0</v>
      </c>
      <c r="BE98" s="107">
        <f t="shared" si="15"/>
        <v>17346510.379999999</v>
      </c>
      <c r="BG98" s="107">
        <f t="shared" si="11"/>
        <v>-4595139.379999999</v>
      </c>
    </row>
    <row r="99" spans="1:61" x14ac:dyDescent="0.2">
      <c r="A99" s="113"/>
      <c r="B99" s="31"/>
      <c r="C99" s="114"/>
      <c r="E99" s="7"/>
      <c r="O99" s="45"/>
      <c r="U99" s="131"/>
      <c r="BG99" s="12"/>
    </row>
    <row r="100" spans="1:61" x14ac:dyDescent="0.2">
      <c r="A100" s="121" t="s">
        <v>248</v>
      </c>
      <c r="B100" s="31"/>
      <c r="C100" s="114"/>
      <c r="E100" s="7"/>
      <c r="O100" s="45"/>
      <c r="U100" s="131"/>
      <c r="BG100" s="12"/>
    </row>
    <row r="101" spans="1:61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131"/>
      <c r="AT101" s="8"/>
      <c r="AU101" s="131"/>
      <c r="AV101" s="8"/>
      <c r="AW101" s="131"/>
      <c r="AX101" s="8"/>
      <c r="AY101" s="8">
        <f>SUM(P101:AX101)</f>
        <v>869436</v>
      </c>
      <c r="AZ101" s="8"/>
      <c r="BA101" s="131">
        <f>268179-502431+72539-22482-46870+2043+48884</f>
        <v>-180138</v>
      </c>
      <c r="BB101" s="8"/>
      <c r="BC101" s="12">
        <f>IF(+O101-AY101+BA101&gt;0,O101-AY101+BA101,0)</f>
        <v>0</v>
      </c>
      <c r="BD101" s="8"/>
      <c r="BE101" s="12">
        <f t="shared" si="15"/>
        <v>869436</v>
      </c>
      <c r="BF101" s="8"/>
      <c r="BG101" s="12">
        <f t="shared" ref="BG101:BG106" si="16">O101-AY101-BC101</f>
        <v>-367005</v>
      </c>
    </row>
    <row r="102" spans="1:61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131"/>
      <c r="AT102" s="8"/>
      <c r="AU102" s="131"/>
      <c r="AV102" s="8"/>
      <c r="AW102" s="131"/>
      <c r="AX102" s="8"/>
      <c r="AY102" s="8">
        <f>SUM(P102:AX102)</f>
        <v>47079</v>
      </c>
      <c r="AZ102" s="8"/>
      <c r="BA102" s="131">
        <f>36569-72888+15268+11706+25-16489</f>
        <v>-25809</v>
      </c>
      <c r="BB102" s="8"/>
      <c r="BC102" s="8">
        <f>IF(+O102-AY102+BA102&gt;0,O102-AY102+BA102,0)</f>
        <v>0</v>
      </c>
      <c r="BD102" s="8"/>
      <c r="BE102" s="8">
        <f t="shared" si="15"/>
        <v>47079</v>
      </c>
      <c r="BF102" s="8"/>
      <c r="BG102" s="12">
        <f t="shared" si="16"/>
        <v>25809</v>
      </c>
    </row>
    <row r="103" spans="1:61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131"/>
      <c r="AT103" s="8"/>
      <c r="AU103" s="131"/>
      <c r="AV103" s="8"/>
      <c r="AW103" s="131"/>
      <c r="AX103" s="8"/>
      <c r="AY103" s="8">
        <f>SUM(P103:AX103)</f>
        <v>951103</v>
      </c>
      <c r="AZ103" s="8"/>
      <c r="BA103" s="131">
        <f>843894-944679+25513+117814-25215+1390-46248+33955</f>
        <v>6424</v>
      </c>
      <c r="BB103" s="8"/>
      <c r="BC103" s="8">
        <f>IF(+O103-AY103+BA103&gt;0,O103-AY103+BA103,0)</f>
        <v>0</v>
      </c>
      <c r="BD103" s="8"/>
      <c r="BE103" s="8">
        <f t="shared" si="15"/>
        <v>951103</v>
      </c>
      <c r="BF103" s="8"/>
      <c r="BG103" s="12">
        <f t="shared" si="16"/>
        <v>-6424</v>
      </c>
    </row>
    <row r="104" spans="1:61" x14ac:dyDescent="0.2">
      <c r="A104" s="121"/>
      <c r="B104" s="31" t="s">
        <v>527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131"/>
      <c r="AT104" s="8"/>
      <c r="AU104" s="131"/>
      <c r="AV104" s="8"/>
      <c r="AW104" s="131"/>
      <c r="AX104" s="8"/>
      <c r="AY104" s="8">
        <f>SUM(P104:AX104)</f>
        <v>6034321</v>
      </c>
      <c r="AZ104" s="8"/>
      <c r="BA104" s="131">
        <f>3238604-4215187+169686+779497-55138+70426+118441-94958+49461+21963+67707-1039110</f>
        <v>-888608</v>
      </c>
      <c r="BB104" s="8"/>
      <c r="BC104" s="8">
        <f>IF(+O104-AY104+BA104&gt;0,O104-AY104+BA104,0)</f>
        <v>0</v>
      </c>
      <c r="BD104" s="8"/>
      <c r="BE104" s="8">
        <f>+BC104+AY104</f>
        <v>6034321</v>
      </c>
      <c r="BF104" s="8"/>
      <c r="BG104" s="12">
        <f t="shared" si="16"/>
        <v>888608</v>
      </c>
    </row>
    <row r="105" spans="1:61" x14ac:dyDescent="0.2">
      <c r="A105" s="121"/>
      <c r="B105" s="31" t="s">
        <v>526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131"/>
      <c r="AT105" s="8"/>
      <c r="AU105" s="131"/>
      <c r="AV105" s="8"/>
      <c r="AW105" s="131"/>
      <c r="AX105" s="8"/>
      <c r="AY105" s="8">
        <f>SUM(P105:AX105)</f>
        <v>3237666</v>
      </c>
      <c r="AZ105" s="8"/>
      <c r="BA105" s="131">
        <f>844909-917579+230285+493009+48664+1525471+1583734+7916+115420-181730-1858136+428124-104000</f>
        <v>2216087</v>
      </c>
      <c r="BB105" s="8"/>
      <c r="BC105" s="8">
        <f>IF(+O105-AY105+BA105&gt;0,O105-AY105+BA105,0)</f>
        <v>0</v>
      </c>
      <c r="BD105" s="8"/>
      <c r="BE105" s="8">
        <f t="shared" si="15"/>
        <v>3237666</v>
      </c>
      <c r="BF105" s="8"/>
      <c r="BG105" s="35">
        <f t="shared" si="16"/>
        <v>-2320087</v>
      </c>
    </row>
    <row r="106" spans="1:61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38">
        <f>SUM(AS101:AS105)</f>
        <v>0</v>
      </c>
      <c r="AU106" s="138">
        <f>SUM(AU101:AU105)</f>
        <v>0</v>
      </c>
      <c r="AW106" s="138">
        <f>SUM(AW101:AW105)</f>
        <v>0</v>
      </c>
      <c r="AY106" s="107">
        <f>SUM(AY101:AY105)</f>
        <v>11139605</v>
      </c>
      <c r="BA106" s="138">
        <f>SUM(BA101:BA105)</f>
        <v>1127956</v>
      </c>
      <c r="BC106" s="107">
        <f>SUM(BC101:BC105)</f>
        <v>0</v>
      </c>
      <c r="BE106" s="107">
        <f t="shared" si="15"/>
        <v>11139605</v>
      </c>
      <c r="BG106" s="107">
        <f t="shared" si="16"/>
        <v>-1779099</v>
      </c>
    </row>
    <row r="107" spans="1:61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G107" s="12"/>
    </row>
    <row r="108" spans="1:61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134"/>
      <c r="AU108" s="134"/>
      <c r="AW108" s="134"/>
      <c r="AY108" s="8">
        <f>SUM(P108:AX108)</f>
        <v>492894.77</v>
      </c>
      <c r="BA108" s="134">
        <f>649600-173692+16987</f>
        <v>492895</v>
      </c>
      <c r="BC108" s="8">
        <f>IF(+O108-AY108+BA108&gt;0,O108-AY108+BA108,0)</f>
        <v>0.22999999998137355</v>
      </c>
      <c r="BE108" s="8">
        <f t="shared" si="15"/>
        <v>492895</v>
      </c>
      <c r="BG108" s="12">
        <f>O108-AY108-BC108</f>
        <v>-492895</v>
      </c>
    </row>
    <row r="109" spans="1:61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G109" s="12"/>
    </row>
    <row r="110" spans="1:61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G110" s="12"/>
    </row>
    <row r="111" spans="1:61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Y111" s="8"/>
      <c r="BC111" s="8">
        <f>IF(+O111-AY111+BA111&gt;0,O111-AY111+BA111,0)</f>
        <v>0</v>
      </c>
      <c r="BE111" s="8">
        <f t="shared" si="15"/>
        <v>0</v>
      </c>
      <c r="BG111" s="12">
        <f>O111-AY111-BC111</f>
        <v>0</v>
      </c>
      <c r="BI111" s="27"/>
    </row>
    <row r="112" spans="1:61" x14ac:dyDescent="0.2">
      <c r="A112" s="121" t="s">
        <v>543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131"/>
      <c r="AU112" s="131"/>
      <c r="AW112" s="131"/>
      <c r="AY112" s="8">
        <f>SUM(P112:AX112)</f>
        <v>283000</v>
      </c>
      <c r="BA112" s="131">
        <v>283000</v>
      </c>
      <c r="BC112" s="8">
        <f>IF(+O112-AY112+BA112&gt;0,O112-AY112+BA112,0)</f>
        <v>0</v>
      </c>
      <c r="BE112" s="8">
        <f t="shared" si="15"/>
        <v>283000</v>
      </c>
      <c r="BG112" s="35">
        <f>O112-AY112-BC112</f>
        <v>-283000</v>
      </c>
      <c r="BI112" s="27"/>
    </row>
    <row r="113" spans="1:61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38">
        <f>SUM(AS111:AS112)</f>
        <v>0</v>
      </c>
      <c r="AU113" s="138">
        <f>SUM(AU111:AU112)</f>
        <v>0</v>
      </c>
      <c r="AW113" s="138">
        <f>SUM(AW111:AW112)</f>
        <v>0</v>
      </c>
      <c r="AY113" s="107">
        <f>SUM(AY111:AY112)</f>
        <v>283000</v>
      </c>
      <c r="BA113" s="138">
        <f>SUM(BA111:BA112)</f>
        <v>283000</v>
      </c>
      <c r="BC113" s="107">
        <f>SUM(BC111:BC112)</f>
        <v>0</v>
      </c>
      <c r="BE113" s="107">
        <f t="shared" si="15"/>
        <v>283000</v>
      </c>
      <c r="BG113" s="107">
        <f>O113-AY113-BC113</f>
        <v>-283000</v>
      </c>
      <c r="BI113" s="27"/>
    </row>
    <row r="114" spans="1:61" x14ac:dyDescent="0.2">
      <c r="A114" s="121"/>
      <c r="B114" s="31"/>
      <c r="C114" s="114"/>
      <c r="E114" s="7"/>
      <c r="G114" s="28"/>
      <c r="U114" s="131"/>
      <c r="BG114" s="12"/>
      <c r="BI114" s="27"/>
    </row>
    <row r="115" spans="1:61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BC115" s="8">
        <f>IF(+O115-AY115+BA115&gt;0,O115-AY115+BA115,0)</f>
        <v>0</v>
      </c>
      <c r="BE115" s="8">
        <f t="shared" si="15"/>
        <v>0</v>
      </c>
      <c r="BG115" s="12">
        <f>O115-AY115-BC115</f>
        <v>0</v>
      </c>
      <c r="BI115" s="27"/>
    </row>
    <row r="116" spans="1:61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G116" s="12"/>
    </row>
    <row r="117" spans="1:61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34">
        <f>AS115+AS113+AS108+AS106+AS98+AS70</f>
        <v>0</v>
      </c>
      <c r="AU117" s="134">
        <f>AU115+AU113+AU108+AU106+AU98+AU70</f>
        <v>0</v>
      </c>
      <c r="AW117" s="134">
        <f>AW115+AW113+AW108+AW106+AW98+AW70</f>
        <v>0</v>
      </c>
      <c r="AY117" s="15">
        <f>AY115+AY113+AY108+AY106+AY98+AY70</f>
        <v>29262010.919999998</v>
      </c>
      <c r="BA117" s="134">
        <f>BA115+BA113+BA108+BA106+BA98+BA70</f>
        <v>2644569</v>
      </c>
      <c r="BC117" s="15">
        <f>BC115+BC113+BC108+BC106+BC98+BC70</f>
        <v>0.22999999998137355</v>
      </c>
      <c r="BE117" s="15">
        <f t="shared" si="15"/>
        <v>29262011.149999999</v>
      </c>
      <c r="BG117" s="15">
        <f>O117-AY117-BC117</f>
        <v>-3938150.149999998</v>
      </c>
    </row>
    <row r="118" spans="1:61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G118" s="12"/>
    </row>
    <row r="119" spans="1:61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140">
        <f>AS117+AS44+AS36</f>
        <v>751</v>
      </c>
      <c r="AT119" s="23"/>
      <c r="AU119" s="140">
        <f>AU117+AU44+AU36</f>
        <v>0</v>
      </c>
      <c r="AV119" s="23"/>
      <c r="AW119" s="140">
        <f>AW117+AW44+AW36</f>
        <v>0</v>
      </c>
      <c r="AX119" s="23"/>
      <c r="AY119" s="25">
        <f>AY117+AY44+AY36</f>
        <v>141514235.19</v>
      </c>
      <c r="AZ119" s="23"/>
      <c r="BA119" s="140">
        <f>BA117+BA44+BA36</f>
        <v>4341623</v>
      </c>
      <c r="BB119" s="23"/>
      <c r="BC119" s="25">
        <f>BC117+BC44</f>
        <v>9378.6900000000678</v>
      </c>
      <c r="BD119" s="23"/>
      <c r="BE119" s="25">
        <f t="shared" si="15"/>
        <v>141523613.88</v>
      </c>
      <c r="BF119" s="23"/>
      <c r="BG119" s="25">
        <f>O119-AY119-BC119</f>
        <v>-6080722.879999998</v>
      </c>
      <c r="BH119" s="23"/>
      <c r="BI119" s="80"/>
    </row>
    <row r="120" spans="1:61" x14ac:dyDescent="0.2">
      <c r="A120" s="113"/>
      <c r="B120" s="31"/>
      <c r="C120" s="114"/>
      <c r="E120" s="7"/>
      <c r="U120" s="131"/>
    </row>
    <row r="121" spans="1:61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267">
        <v>0</v>
      </c>
      <c r="AU121" s="267">
        <v>0</v>
      </c>
      <c r="AW121" s="267">
        <v>0</v>
      </c>
      <c r="AY121" s="8">
        <f>SUM(P121:AX121)</f>
        <v>568578.43999999994</v>
      </c>
      <c r="BA121" s="131">
        <f>706219-659539+83333.33-218863-1-2110</f>
        <v>-90960.67</v>
      </c>
      <c r="BC121" s="8">
        <f>IF(+O121-AY121+BA121&gt;0,O121-AY121+BA121,0)</f>
        <v>0</v>
      </c>
      <c r="BE121" s="8">
        <f t="shared" si="15"/>
        <v>568578.43999999994</v>
      </c>
      <c r="BG121" s="12">
        <f>O121-AY121-BC121</f>
        <v>90960.560000000056</v>
      </c>
      <c r="BI121" s="27"/>
    </row>
    <row r="122" spans="1:61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Y122" s="8">
        <f>SUM(P122:AX122)</f>
        <v>6111</v>
      </c>
      <c r="BA122" s="131">
        <f>-25000-6111</f>
        <v>-31111</v>
      </c>
      <c r="BC122" s="8">
        <f>IF(+O122-AY122+BA122&gt;0,O122-AY122+BA122,0)-6110</f>
        <v>-6110</v>
      </c>
      <c r="BE122" s="8">
        <f t="shared" si="15"/>
        <v>1</v>
      </c>
      <c r="BG122" s="12">
        <f>O122-AY122-BC122</f>
        <v>24999</v>
      </c>
    </row>
    <row r="123" spans="1:61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0</v>
      </c>
      <c r="AU123" s="107">
        <f>SUM(AU121:AU122)</f>
        <v>0</v>
      </c>
      <c r="AW123" s="107">
        <f>SUM(AW121:AW122)</f>
        <v>0</v>
      </c>
      <c r="AY123" s="107">
        <f>SUM(AY121:AY122)</f>
        <v>574689.43999999994</v>
      </c>
      <c r="BA123" s="107">
        <f>SUM(BA121:BA122)</f>
        <v>-122071.67</v>
      </c>
      <c r="BC123" s="107">
        <f>SUM(BC121:BC122)</f>
        <v>-6110</v>
      </c>
      <c r="BE123" s="107">
        <f>SUM(BE121:BE122)</f>
        <v>568579.43999999994</v>
      </c>
      <c r="BG123" s="107">
        <f>O123-AY123-BC123</f>
        <v>115959.56000000006</v>
      </c>
    </row>
    <row r="124" spans="1:61" x14ac:dyDescent="0.2">
      <c r="A124" s="113"/>
      <c r="B124" s="31"/>
      <c r="C124" s="114"/>
      <c r="E124" s="7"/>
      <c r="U124" s="131"/>
      <c r="AY124" s="8"/>
      <c r="BC124" s="8"/>
      <c r="BE124" s="8"/>
    </row>
    <row r="125" spans="1:61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131">
        <v>0</v>
      </c>
      <c r="AU125" s="131">
        <v>0</v>
      </c>
      <c r="AW125" s="131">
        <v>0</v>
      </c>
      <c r="AY125" s="8">
        <f t="shared" ref="AY125:AY135" si="18">SUM(P125:AX125)</f>
        <v>696774.86</v>
      </c>
      <c r="BC125" s="8">
        <f>IF(+O125-AY125+BA125&gt;0,O125-AY125+BA125,0)-91025</f>
        <v>0.14000000001396984</v>
      </c>
      <c r="BE125" s="15">
        <f t="shared" si="15"/>
        <v>696775</v>
      </c>
      <c r="BG125" s="12">
        <f>O125-AY125-BC125</f>
        <v>91025</v>
      </c>
    </row>
    <row r="126" spans="1:61" x14ac:dyDescent="0.2">
      <c r="A126" s="113"/>
      <c r="B126" s="31"/>
      <c r="C126" s="114"/>
      <c r="E126" s="7"/>
      <c r="U126" s="131"/>
    </row>
    <row r="127" spans="1:61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Y127" s="8">
        <f t="shared" si="18"/>
        <v>534643.32999999996</v>
      </c>
      <c r="BC127" s="8">
        <f t="shared" ref="BC127:BC135" si="19">IF(+O127-AY127+BA127&gt;0,O127-AY127+BA127,0)</f>
        <v>0</v>
      </c>
      <c r="BE127" s="8">
        <f t="shared" si="15"/>
        <v>534643.32999999996</v>
      </c>
      <c r="BG127" s="12">
        <f t="shared" ref="BG127:BG136" si="20">O127-AY127-BC127</f>
        <v>-3345.3299999999581</v>
      </c>
    </row>
    <row r="128" spans="1:61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157"/>
      <c r="AU128" s="157"/>
      <c r="AW128" s="157"/>
      <c r="AY128" s="8">
        <f t="shared" si="18"/>
        <v>0</v>
      </c>
      <c r="BA128" s="131">
        <v>-5000</v>
      </c>
      <c r="BC128" s="8">
        <f t="shared" si="19"/>
        <v>0</v>
      </c>
      <c r="BE128" s="8">
        <f t="shared" si="15"/>
        <v>0</v>
      </c>
      <c r="BG128" s="12">
        <f t="shared" si="20"/>
        <v>5000</v>
      </c>
      <c r="BI128" s="6"/>
    </row>
    <row r="129" spans="1:61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157"/>
      <c r="AU129" s="157"/>
      <c r="AW129" s="157"/>
      <c r="AY129" s="8">
        <f t="shared" si="18"/>
        <v>0</v>
      </c>
      <c r="BA129" s="131">
        <v>-80800</v>
      </c>
      <c r="BC129" s="8">
        <f t="shared" si="19"/>
        <v>0</v>
      </c>
      <c r="BE129" s="8">
        <f t="shared" si="15"/>
        <v>0</v>
      </c>
      <c r="BG129" s="12">
        <f t="shared" si="20"/>
        <v>80800</v>
      </c>
      <c r="BI129" s="6"/>
    </row>
    <row r="130" spans="1:61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157"/>
      <c r="AU130" s="157"/>
      <c r="AW130" s="157"/>
      <c r="AY130" s="8">
        <f t="shared" si="18"/>
        <v>0</v>
      </c>
      <c r="BA130" s="131">
        <v>-5000</v>
      </c>
      <c r="BC130" s="8">
        <f t="shared" si="19"/>
        <v>0</v>
      </c>
      <c r="BE130" s="8">
        <f t="shared" si="15"/>
        <v>0</v>
      </c>
      <c r="BG130" s="12">
        <f t="shared" si="20"/>
        <v>5000</v>
      </c>
      <c r="BI130" s="6"/>
    </row>
    <row r="131" spans="1:61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157"/>
      <c r="AU131" s="157"/>
      <c r="AW131" s="157"/>
      <c r="AY131" s="8">
        <f t="shared" si="18"/>
        <v>0</v>
      </c>
      <c r="BA131" s="131"/>
      <c r="BC131" s="8">
        <f t="shared" si="19"/>
        <v>0</v>
      </c>
      <c r="BE131" s="8">
        <f t="shared" si="15"/>
        <v>0</v>
      </c>
      <c r="BG131" s="12">
        <f t="shared" si="20"/>
        <v>0</v>
      </c>
      <c r="BI131" s="6"/>
    </row>
    <row r="132" spans="1:61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157"/>
      <c r="AU132" s="157"/>
      <c r="AW132" s="157"/>
      <c r="AY132" s="8">
        <f t="shared" si="18"/>
        <v>0</v>
      </c>
      <c r="BA132" s="131"/>
      <c r="BC132" s="8">
        <f t="shared" si="19"/>
        <v>0</v>
      </c>
      <c r="BE132" s="8">
        <f t="shared" si="15"/>
        <v>0</v>
      </c>
      <c r="BG132" s="12">
        <f t="shared" si="20"/>
        <v>0</v>
      </c>
      <c r="BI132" s="6"/>
    </row>
    <row r="133" spans="1:61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157"/>
      <c r="AU133" s="157"/>
      <c r="AW133" s="157"/>
      <c r="AY133" s="8">
        <f t="shared" si="18"/>
        <v>1000</v>
      </c>
      <c r="BA133" s="131"/>
      <c r="BC133" s="8">
        <f t="shared" si="19"/>
        <v>0</v>
      </c>
      <c r="BE133" s="8">
        <f t="shared" si="15"/>
        <v>1000</v>
      </c>
      <c r="BG133" s="12">
        <f t="shared" si="20"/>
        <v>0</v>
      </c>
      <c r="BI133" s="6"/>
    </row>
    <row r="134" spans="1:61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157"/>
      <c r="AU134" s="157"/>
      <c r="AW134" s="157"/>
      <c r="AY134" s="8">
        <f t="shared" si="18"/>
        <v>19000</v>
      </c>
      <c r="BA134" s="131"/>
      <c r="BC134" s="8">
        <f t="shared" si="19"/>
        <v>0</v>
      </c>
      <c r="BE134" s="8">
        <f t="shared" si="15"/>
        <v>19000</v>
      </c>
      <c r="BG134" s="12">
        <f t="shared" si="20"/>
        <v>0</v>
      </c>
      <c r="BI134" s="6"/>
    </row>
    <row r="135" spans="1:61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157"/>
      <c r="AU135" s="157"/>
      <c r="AW135" s="157"/>
      <c r="AY135" s="8">
        <f t="shared" si="18"/>
        <v>3050</v>
      </c>
      <c r="BA135" s="131">
        <v>-1950</v>
      </c>
      <c r="BC135" s="8">
        <f t="shared" si="19"/>
        <v>0</v>
      </c>
      <c r="BE135" s="8">
        <f t="shared" si="15"/>
        <v>3050</v>
      </c>
      <c r="BG135" s="12">
        <f t="shared" si="20"/>
        <v>1950</v>
      </c>
      <c r="BI135" s="6"/>
    </row>
    <row r="136" spans="1:61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0</v>
      </c>
      <c r="AU136" s="107">
        <f>SUM(AU127:AU135)</f>
        <v>0</v>
      </c>
      <c r="AW136" s="107">
        <f>SUM(AW127:AW135)</f>
        <v>0</v>
      </c>
      <c r="AY136" s="107">
        <f>SUM(AY127:AY135)</f>
        <v>557693.32999999996</v>
      </c>
      <c r="BA136" s="107">
        <f>SUM(BA127:BA135)</f>
        <v>-92750</v>
      </c>
      <c r="BC136" s="107">
        <f>SUM(BC127:BC135)</f>
        <v>0</v>
      </c>
      <c r="BE136" s="107">
        <f>SUM(BE127:BE135)</f>
        <v>557693.32999999996</v>
      </c>
      <c r="BG136" s="107">
        <f t="shared" si="20"/>
        <v>89404.670000000042</v>
      </c>
      <c r="BI136" s="6"/>
    </row>
    <row r="137" spans="1:61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BE137" s="41"/>
      <c r="BG137" s="15"/>
    </row>
    <row r="138" spans="1:61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Y138" s="8">
        <f>SUM(P138:AX138)</f>
        <v>237352.65</v>
      </c>
      <c r="BC138" s="8">
        <f>IF(+O138-AY138+BA138&gt;0,O138-AY138+BA138,0)</f>
        <v>0</v>
      </c>
      <c r="BE138" s="15">
        <f t="shared" si="15"/>
        <v>237352.65</v>
      </c>
      <c r="BG138" s="12">
        <f>O138-AY138-BC138</f>
        <v>-37352.649999999994</v>
      </c>
    </row>
    <row r="139" spans="1:61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AS139" s="268"/>
      <c r="AU139" s="268"/>
      <c r="AW139" s="268"/>
      <c r="AY139" s="8">
        <f>SUM(P139:AX139)</f>
        <v>0</v>
      </c>
      <c r="BG139" s="12"/>
    </row>
    <row r="140" spans="1:61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G140" s="15"/>
    </row>
    <row r="141" spans="1:61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Y141" s="8">
        <f>SUM(P141:AX141)</f>
        <v>980859</v>
      </c>
      <c r="BC141" s="8">
        <f>IF(+O141-AY141+BA141&gt;0,O141-AY141+BA141,0)</f>
        <v>141</v>
      </c>
      <c r="BE141" s="15">
        <f t="shared" si="15"/>
        <v>981000</v>
      </c>
      <c r="BG141" s="12">
        <f>O141-AY141-BC141</f>
        <v>0</v>
      </c>
      <c r="BI141" s="6" t="s">
        <v>153</v>
      </c>
    </row>
    <row r="142" spans="1:61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G142" s="15"/>
    </row>
    <row r="143" spans="1:61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G143" s="15"/>
      <c r="BI143" s="6" t="s">
        <v>78</v>
      </c>
    </row>
    <row r="144" spans="1:61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131"/>
      <c r="AU144" s="131"/>
      <c r="AW144" s="131"/>
      <c r="AY144" s="8">
        <f>SUM(P144:AX144)</f>
        <v>2845921.43</v>
      </c>
      <c r="BC144" s="8">
        <f>IF(+O144-AY144+BA144&gt;0,O144-AY144+BA144,0)</f>
        <v>0</v>
      </c>
      <c r="BE144" s="8">
        <f t="shared" si="15"/>
        <v>2845921.43</v>
      </c>
      <c r="BG144" s="12">
        <f>O144-AY144-BC144</f>
        <v>-113395.43000000017</v>
      </c>
    </row>
    <row r="145" spans="1:61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131"/>
      <c r="AU145" s="131"/>
      <c r="AW145" s="131"/>
      <c r="AY145" s="8">
        <f>SUM(P145:AX145)</f>
        <v>175512.82</v>
      </c>
      <c r="BC145" s="8">
        <f>IF(+O145-AY145+BA145&gt;0,O145-AY145+BA145,0)</f>
        <v>414712.79600000003</v>
      </c>
      <c r="BE145" s="8">
        <f t="shared" si="15"/>
        <v>590225.61600000004</v>
      </c>
      <c r="BG145" s="12">
        <f>O145-AY145-BC145</f>
        <v>0</v>
      </c>
    </row>
    <row r="146" spans="1:61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Y146" s="8">
        <f>SUM(P146:AX146)</f>
        <v>11826</v>
      </c>
      <c r="BC146" s="8">
        <f>IF(+O146-AY146+BA146&gt;0,O146-AY146+BA146,0)</f>
        <v>0</v>
      </c>
      <c r="BE146" s="8">
        <f t="shared" si="15"/>
        <v>11826</v>
      </c>
      <c r="BG146" s="12">
        <f>O146-AY146-BC146</f>
        <v>0</v>
      </c>
    </row>
    <row r="147" spans="1:61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131"/>
      <c r="AU147" s="131"/>
      <c r="AW147" s="131"/>
      <c r="AY147" s="8">
        <f>SUM(P147:AX147)</f>
        <v>59846.83</v>
      </c>
      <c r="BC147" s="8">
        <f>IF(+O147-AY147+BA147&gt;0,O147-AY147+BA147,0)</f>
        <v>0</v>
      </c>
      <c r="BE147" s="8">
        <f t="shared" si="15"/>
        <v>59846.83</v>
      </c>
      <c r="BG147" s="12">
        <f>O147-AY147-BC147</f>
        <v>-11716.830000000002</v>
      </c>
    </row>
    <row r="148" spans="1:61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0</v>
      </c>
      <c r="AU148" s="107">
        <f>SUM(AU144:AU147)</f>
        <v>0</v>
      </c>
      <c r="AW148" s="107">
        <f>SUM(AW144:AW147)</f>
        <v>0</v>
      </c>
      <c r="AY148" s="107">
        <f>SUM(AY144:AY147)</f>
        <v>3093107.08</v>
      </c>
      <c r="BA148" s="107">
        <f>SUM(BA144:BA147)</f>
        <v>0</v>
      </c>
      <c r="BC148" s="107">
        <f>SUM(BC144:BC147)</f>
        <v>414712.79600000003</v>
      </c>
      <c r="BE148" s="107">
        <f>SUM(BE144:BE147)</f>
        <v>3507819.8760000002</v>
      </c>
      <c r="BG148" s="107">
        <f>O148-AY148-BC148</f>
        <v>-125112.26000000018</v>
      </c>
    </row>
    <row r="149" spans="1:61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G149" s="15"/>
    </row>
    <row r="150" spans="1:61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131"/>
      <c r="AU150" s="131"/>
      <c r="AW150" s="131"/>
      <c r="AY150" s="8">
        <f t="shared" ref="AY150:AY159" si="21">SUM(P150:AX150)</f>
        <v>372977.51999999996</v>
      </c>
      <c r="BA150" s="131">
        <f>-618307+100000</f>
        <v>-518307</v>
      </c>
      <c r="BC150" s="12">
        <f>IF(+O150-AY150+BA150&gt;0,O150-AY150+BA150,0)-287010</f>
        <v>-272977.52</v>
      </c>
      <c r="BE150" s="264">
        <f t="shared" ref="BE150:BE197" si="22">+BC150+AY150</f>
        <v>99999.999999999942</v>
      </c>
      <c r="BG150" s="12">
        <f>O150-AY150-BC150</f>
        <v>805317</v>
      </c>
    </row>
    <row r="151" spans="1:61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S151" s="131"/>
      <c r="AU151" s="131"/>
      <c r="AW151" s="131"/>
      <c r="BG151" s="15"/>
    </row>
    <row r="152" spans="1:61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131"/>
      <c r="AU152" s="131"/>
      <c r="AW152" s="131"/>
      <c r="AY152" s="8">
        <f t="shared" si="21"/>
        <v>222308</v>
      </c>
      <c r="BA152" s="131">
        <v>57950</v>
      </c>
      <c r="BC152" s="8">
        <f>IF(+O152-AY152+BA152&gt;0,O152-AY152+BA152,0)</f>
        <v>2615</v>
      </c>
      <c r="BE152" s="8">
        <f t="shared" si="22"/>
        <v>224923</v>
      </c>
      <c r="BG152" s="12">
        <f>O152-AY152-BC152</f>
        <v>-57950</v>
      </c>
    </row>
    <row r="153" spans="1:61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G153" s="15"/>
      <c r="BI153" s="15"/>
    </row>
    <row r="154" spans="1:61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131"/>
      <c r="AU154" s="131"/>
      <c r="AW154" s="131"/>
      <c r="AY154" s="8">
        <f t="shared" si="21"/>
        <v>53203.58</v>
      </c>
      <c r="BA154" s="131">
        <v>-25000</v>
      </c>
      <c r="BC154" s="8">
        <v>0</v>
      </c>
      <c r="BE154" s="8">
        <f t="shared" si="22"/>
        <v>53203.58</v>
      </c>
      <c r="BG154" s="12">
        <f>O154-AY154-BC154</f>
        <v>60129.42</v>
      </c>
      <c r="BI154" s="15"/>
    </row>
    <row r="155" spans="1:61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G155" s="15"/>
      <c r="BI155" s="15"/>
    </row>
    <row r="156" spans="1:61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Y156" s="8">
        <f t="shared" si="21"/>
        <v>3172038.28</v>
      </c>
      <c r="BA156" s="131">
        <v>0</v>
      </c>
      <c r="BC156" s="8">
        <f>IF(+O156-AY156+BA156&gt;0,O156-AY156+BA156,0)</f>
        <v>0</v>
      </c>
      <c r="BE156" s="8">
        <f t="shared" si="22"/>
        <v>3172038.28</v>
      </c>
      <c r="BG156" s="34">
        <f>O156-AY156-BC156</f>
        <v>-0.27999999979510903</v>
      </c>
      <c r="BH156" s="19"/>
      <c r="BI156" s="15"/>
    </row>
    <row r="157" spans="1:61" x14ac:dyDescent="0.2">
      <c r="A157" s="112"/>
      <c r="B157" s="19" t="s">
        <v>485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Y157" s="8">
        <f t="shared" si="21"/>
        <v>-426988</v>
      </c>
      <c r="BA157" s="131"/>
      <c r="BC157" s="8">
        <v>0</v>
      </c>
      <c r="BE157" s="8">
        <f t="shared" si="22"/>
        <v>-426988</v>
      </c>
      <c r="BG157" s="34">
        <f>O157-AY157-BC157</f>
        <v>117884</v>
      </c>
      <c r="BH157" s="19"/>
      <c r="BI157" s="15"/>
    </row>
    <row r="158" spans="1:61" x14ac:dyDescent="0.2">
      <c r="A158" s="112" t="s">
        <v>483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Y158" s="8">
        <f t="shared" si="21"/>
        <v>40257.51</v>
      </c>
      <c r="BA158" s="131"/>
      <c r="BC158" s="8">
        <f>IF(+O158-AY158+BA158&gt;0,O158-AY158+BA158,0)</f>
        <v>0.48999999999796273</v>
      </c>
      <c r="BE158" s="8">
        <f t="shared" si="22"/>
        <v>40258</v>
      </c>
      <c r="BG158" s="34">
        <f>O158-AY158-BC158</f>
        <v>0</v>
      </c>
      <c r="BH158" s="19"/>
      <c r="BI158" s="15"/>
    </row>
    <row r="159" spans="1:61" x14ac:dyDescent="0.2">
      <c r="A159" s="112" t="s">
        <v>484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Y159" s="8">
        <f t="shared" si="21"/>
        <v>-10399.469999999999</v>
      </c>
      <c r="BA159" s="131"/>
      <c r="BC159" s="8">
        <f>IF(+O159-AY159+BA159&gt;0,O159-AY159+BA159,0)</f>
        <v>0</v>
      </c>
      <c r="BE159" s="8">
        <f>+BC159+AY159</f>
        <v>-10399.469999999999</v>
      </c>
      <c r="BG159" s="34">
        <f>O159-AY159-BC159</f>
        <v>-0.53000000000065484</v>
      </c>
      <c r="BH159" s="19"/>
      <c r="BI159" s="15"/>
    </row>
    <row r="160" spans="1:61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Y160" s="8"/>
      <c r="BA160" s="131"/>
      <c r="BC160" s="8"/>
      <c r="BE160" s="8"/>
      <c r="BG160" s="34"/>
      <c r="BH160" s="19"/>
      <c r="BI160" s="15"/>
    </row>
    <row r="161" spans="1:61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751</v>
      </c>
      <c r="AU161" s="107">
        <f>SUM(AU121:AU159)+AU119-AU148-AU136-AU123</f>
        <v>0</v>
      </c>
      <c r="AW161" s="107">
        <f>SUM(AW121:AW159)+AW119-AW148-AW136-AW123</f>
        <v>0</v>
      </c>
      <c r="AY161" s="107">
        <f>SUM(AY121:AY159)+AY119-AY148-AY136-AY123</f>
        <v>151078108.96999997</v>
      </c>
      <c r="BA161" s="107">
        <f>SUM(BA121:BA159)+BA119-BA148-BA136-BA123</f>
        <v>3641444.33</v>
      </c>
      <c r="BC161" s="107">
        <f>SUM(BC121:BC159)+BC119-BC148-BC136-BC123</f>
        <v>147760.59600000008</v>
      </c>
      <c r="BE161" s="107">
        <f>SUM(BE121:BE159)+BE119-BE148-BE136-BE123</f>
        <v>151225869.56599998</v>
      </c>
      <c r="BG161" s="107">
        <f>SUM(BG121:BG159)+BG119-BG148-BG136-BG123</f>
        <v>-5021418.9499999974</v>
      </c>
      <c r="BH161" s="19"/>
      <c r="BI161" s="15"/>
    </row>
    <row r="162" spans="1:61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G162" s="16"/>
      <c r="BH162" s="19"/>
    </row>
    <row r="163" spans="1:61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Q163" s="131">
        <v>-41667</v>
      </c>
      <c r="AS163" s="131"/>
      <c r="AU163" s="131"/>
      <c r="AW163" s="131"/>
      <c r="AY163" s="8">
        <f t="shared" ref="AY163:AY168" si="23">SUM(P163:AX163)</f>
        <v>979166.33</v>
      </c>
      <c r="BA163" s="131">
        <v>-62500</v>
      </c>
      <c r="BC163" s="8">
        <f>IF(+O163-AY163+BA163&gt;0,O163-AY163+BA163,0)</f>
        <v>0</v>
      </c>
      <c r="BE163" s="8">
        <f t="shared" si="22"/>
        <v>979166.33</v>
      </c>
      <c r="BG163" s="12">
        <f t="shared" ref="BG163:BG168" si="24">O163-AY163-BC163</f>
        <v>20833.670000000042</v>
      </c>
    </row>
    <row r="164" spans="1:61" x14ac:dyDescent="0.2">
      <c r="A164" s="112"/>
      <c r="B164" s="19" t="s">
        <v>331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134"/>
      <c r="AT164" s="15"/>
      <c r="AU164" s="134"/>
      <c r="AV164" s="15"/>
      <c r="AW164" s="134"/>
      <c r="AX164" s="15"/>
      <c r="AY164" s="8">
        <f t="shared" si="23"/>
        <v>55979.166666666664</v>
      </c>
      <c r="AZ164" s="15"/>
      <c r="BA164" s="134">
        <v>0</v>
      </c>
      <c r="BB164" s="15"/>
      <c r="BC164" s="8">
        <f>IF(+O164-AY164+BA164&gt;0,O164-AY164+BA164,0)</f>
        <v>0</v>
      </c>
      <c r="BD164" s="12"/>
      <c r="BE164" s="8">
        <f t="shared" si="22"/>
        <v>55979.166666666664</v>
      </c>
      <c r="BF164" s="12"/>
      <c r="BG164" s="12">
        <f t="shared" si="24"/>
        <v>-55979.166666666664</v>
      </c>
      <c r="BH164" s="15"/>
      <c r="BI164" s="8"/>
    </row>
    <row r="165" spans="1:61" x14ac:dyDescent="0.2">
      <c r="A165" s="112"/>
      <c r="B165" s="19" t="s">
        <v>332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134"/>
      <c r="AT165" s="15"/>
      <c r="AU165" s="134"/>
      <c r="AV165" s="15"/>
      <c r="AW165" s="134"/>
      <c r="AX165" s="15"/>
      <c r="AY165" s="8">
        <f t="shared" si="23"/>
        <v>85866.66333333333</v>
      </c>
      <c r="AZ165" s="15"/>
      <c r="BA165" s="131">
        <v>352817</v>
      </c>
      <c r="BB165" s="15"/>
      <c r="BC165" s="8">
        <v>0</v>
      </c>
      <c r="BD165" s="12"/>
      <c r="BE165" s="8">
        <f t="shared" si="22"/>
        <v>85866.66333333333</v>
      </c>
      <c r="BF165" s="12"/>
      <c r="BG165" s="12">
        <f t="shared" si="24"/>
        <v>-85866.66333333333</v>
      </c>
      <c r="BH165" s="15"/>
    </row>
    <row r="166" spans="1:61" x14ac:dyDescent="0.2">
      <c r="A166" s="112"/>
      <c r="B166" s="19" t="s">
        <v>333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134"/>
      <c r="AT166" s="15"/>
      <c r="AU166" s="134"/>
      <c r="AV166" s="15"/>
      <c r="AW166" s="134"/>
      <c r="AX166" s="15"/>
      <c r="AY166" s="8">
        <f t="shared" si="23"/>
        <v>3333.3333333333335</v>
      </c>
      <c r="AZ166" s="15"/>
      <c r="BA166" s="131"/>
      <c r="BB166" s="15"/>
      <c r="BC166" s="8">
        <f>IF(+O166-AY166+BA166&gt;0,O166-AY166+BA166,0)</f>
        <v>0</v>
      </c>
      <c r="BD166" s="12"/>
      <c r="BE166" s="8">
        <f t="shared" si="22"/>
        <v>3333.3333333333335</v>
      </c>
      <c r="BF166" s="12"/>
      <c r="BG166" s="12">
        <f t="shared" si="24"/>
        <v>-3333.3333333333335</v>
      </c>
      <c r="BH166" s="15"/>
    </row>
    <row r="167" spans="1:61" x14ac:dyDescent="0.2">
      <c r="A167" s="112"/>
      <c r="B167" s="19" t="s">
        <v>518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131"/>
      <c r="AT167" s="15"/>
      <c r="AU167" s="131"/>
      <c r="AV167" s="15"/>
      <c r="AW167" s="131"/>
      <c r="AX167" s="15"/>
      <c r="AY167" s="8">
        <f t="shared" si="23"/>
        <v>0</v>
      </c>
      <c r="AZ167" s="15"/>
      <c r="BA167" s="131"/>
      <c r="BB167" s="15"/>
      <c r="BC167" s="8">
        <f>IF(+O167-AY167+BA167&gt;0,O167-AY167+BA167,0)</f>
        <v>0</v>
      </c>
      <c r="BD167" s="12"/>
      <c r="BE167" s="8">
        <f t="shared" si="22"/>
        <v>0</v>
      </c>
      <c r="BF167" s="12"/>
      <c r="BG167" s="12">
        <f t="shared" si="24"/>
        <v>0</v>
      </c>
      <c r="BH167" s="15"/>
    </row>
    <row r="168" spans="1:61" x14ac:dyDescent="0.2">
      <c r="A168" s="112"/>
      <c r="B168" s="19" t="s">
        <v>547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131"/>
      <c r="AT168" s="15"/>
      <c r="AU168" s="131"/>
      <c r="AV168" s="15"/>
      <c r="AW168" s="131"/>
      <c r="AX168" s="15"/>
      <c r="AY168" s="8">
        <f t="shared" si="23"/>
        <v>119007.22</v>
      </c>
      <c r="AZ168" s="15"/>
      <c r="BA168" s="131">
        <f>25000+4207+4787</f>
        <v>33994</v>
      </c>
      <c r="BB168" s="15"/>
      <c r="BC168" s="8">
        <v>0</v>
      </c>
      <c r="BD168" s="12"/>
      <c r="BE168" s="8">
        <f t="shared" si="22"/>
        <v>119007.22</v>
      </c>
      <c r="BF168" s="12"/>
      <c r="BG168" s="35">
        <f t="shared" si="24"/>
        <v>-119007.22</v>
      </c>
      <c r="BI168" s="8" t="s">
        <v>335</v>
      </c>
    </row>
    <row r="169" spans="1:61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66012.56</v>
      </c>
      <c r="AR169" s="15"/>
      <c r="AS169" s="138">
        <f>SUBTOTAL(9,AS163:AS168)</f>
        <v>0</v>
      </c>
      <c r="AT169" s="15"/>
      <c r="AU169" s="138">
        <f>SUBTOTAL(9,AU163:AU168)</f>
        <v>0</v>
      </c>
      <c r="AV169" s="15"/>
      <c r="AW169" s="138">
        <f>SUBTOTAL(9,AW163:AW168)</f>
        <v>0</v>
      </c>
      <c r="AX169" s="15"/>
      <c r="AY169" s="128">
        <f>SUBTOTAL(9,AY163:AY168)</f>
        <v>1243352.7133333331</v>
      </c>
      <c r="AZ169" s="15"/>
      <c r="BA169" s="142">
        <f>SUBTOTAL(9,BA163:BA168)</f>
        <v>324311</v>
      </c>
      <c r="BB169" s="15"/>
      <c r="BC169" s="128">
        <f>SUBTOTAL(9,BC163:BC168)</f>
        <v>0</v>
      </c>
      <c r="BD169" s="12"/>
      <c r="BE169" s="128">
        <f t="shared" si="22"/>
        <v>1243352.7133333331</v>
      </c>
      <c r="BF169" s="12"/>
      <c r="BG169" s="128">
        <f>SUBTOTAL(9,BG163:BG168)</f>
        <v>-243352.71333333326</v>
      </c>
      <c r="BH169" s="15"/>
    </row>
    <row r="170" spans="1:61" x14ac:dyDescent="0.2">
      <c r="A170" s="113"/>
      <c r="B170" s="31"/>
      <c r="C170" s="114"/>
      <c r="U170" s="131"/>
    </row>
    <row r="171" spans="1:61" x14ac:dyDescent="0.2">
      <c r="A171" s="112" t="s">
        <v>327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Y171" s="8">
        <f>SUM(P171:AX171)</f>
        <v>94021</v>
      </c>
      <c r="BC171" s="8">
        <f>IF(+O171-AY171+BA171&gt;0,O171-AY171+BA171,0)</f>
        <v>0</v>
      </c>
      <c r="BE171" s="8">
        <f t="shared" si="22"/>
        <v>94021</v>
      </c>
      <c r="BG171" s="12">
        <f>O171-AY171-BC171</f>
        <v>-479</v>
      </c>
    </row>
    <row r="172" spans="1:61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131"/>
      <c r="AT172" s="8"/>
      <c r="AU172" s="131"/>
      <c r="AV172" s="8"/>
      <c r="AW172" s="131"/>
      <c r="AX172" s="8"/>
      <c r="AY172" s="8"/>
      <c r="AZ172" s="8"/>
      <c r="BA172" s="131"/>
      <c r="BB172" s="8"/>
      <c r="BC172" s="8"/>
      <c r="BD172" s="8"/>
      <c r="BE172" s="8"/>
      <c r="BF172" s="8"/>
      <c r="BH172" s="8"/>
    </row>
    <row r="173" spans="1:61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BE173" s="6">
        <f t="shared" si="22"/>
        <v>0</v>
      </c>
      <c r="BG173" s="12"/>
    </row>
    <row r="174" spans="1:61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131"/>
      <c r="AT174" s="41"/>
      <c r="AU174" s="131"/>
      <c r="AV174" s="41"/>
      <c r="AW174" s="131"/>
      <c r="AX174" s="41"/>
      <c r="AY174" s="8">
        <f t="shared" ref="AY174:AY183" si="25">SUM(P174:AX174)</f>
        <v>37874.86</v>
      </c>
      <c r="AZ174" s="41"/>
      <c r="BA174" s="161"/>
      <c r="BB174" s="41"/>
      <c r="BC174" s="8"/>
      <c r="BD174" s="41"/>
      <c r="BE174" s="8">
        <f t="shared" si="22"/>
        <v>37874.86</v>
      </c>
      <c r="BF174" s="41"/>
      <c r="BG174" s="12"/>
      <c r="BH174" s="41"/>
    </row>
    <row r="175" spans="1:61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161"/>
      <c r="AT175" s="41"/>
      <c r="AU175" s="161"/>
      <c r="AV175" s="41"/>
      <c r="AW175" s="161"/>
      <c r="AX175" s="41"/>
      <c r="AY175" s="8">
        <f t="shared" si="25"/>
        <v>5024</v>
      </c>
      <c r="AZ175" s="41"/>
      <c r="BA175" s="161"/>
      <c r="BB175" s="41"/>
      <c r="BC175" s="8"/>
      <c r="BD175" s="41"/>
      <c r="BE175" s="8">
        <f t="shared" si="22"/>
        <v>5024</v>
      </c>
      <c r="BF175" s="41"/>
      <c r="BG175" s="12"/>
      <c r="BH175" s="41"/>
    </row>
    <row r="176" spans="1:61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131"/>
      <c r="AT176" s="41"/>
      <c r="AU176" s="131"/>
      <c r="AV176" s="41"/>
      <c r="AW176" s="131"/>
      <c r="AX176" s="41"/>
      <c r="AY176" s="8">
        <f t="shared" si="25"/>
        <v>45911.23</v>
      </c>
      <c r="AZ176" s="41"/>
      <c r="BA176" s="161"/>
      <c r="BB176" s="41"/>
      <c r="BC176" s="8"/>
      <c r="BD176" s="41"/>
      <c r="BE176" s="8">
        <f t="shared" si="22"/>
        <v>45911.23</v>
      </c>
      <c r="BF176" s="41"/>
      <c r="BG176" s="12"/>
      <c r="BH176" s="41"/>
    </row>
    <row r="177" spans="1:60" x14ac:dyDescent="0.2">
      <c r="A177" s="112"/>
      <c r="B177" s="19" t="s">
        <v>504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131"/>
      <c r="AT177" s="41"/>
      <c r="AU177" s="131"/>
      <c r="AV177" s="41"/>
      <c r="AW177" s="131"/>
      <c r="AX177" s="41"/>
      <c r="AY177" s="8">
        <f t="shared" si="25"/>
        <v>304302.76</v>
      </c>
      <c r="AZ177" s="41"/>
      <c r="BA177" s="161"/>
      <c r="BB177" s="41"/>
      <c r="BC177" s="8"/>
      <c r="BD177" s="41"/>
      <c r="BE177" s="8">
        <f t="shared" si="22"/>
        <v>304302.76</v>
      </c>
      <c r="BF177" s="41"/>
      <c r="BG177" s="12"/>
      <c r="BH177" s="41"/>
    </row>
    <row r="178" spans="1:60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161"/>
      <c r="AT178" s="41"/>
      <c r="AU178" s="161"/>
      <c r="AV178" s="41"/>
      <c r="AW178" s="161"/>
      <c r="AX178" s="41"/>
      <c r="AY178" s="8">
        <f t="shared" si="25"/>
        <v>415.84999999999854</v>
      </c>
      <c r="AZ178" s="41"/>
      <c r="BA178" s="134"/>
      <c r="BB178" s="41"/>
      <c r="BC178" s="8"/>
      <c r="BD178" s="41"/>
      <c r="BE178" s="8">
        <f t="shared" si="22"/>
        <v>415.84999999999854</v>
      </c>
      <c r="BF178" s="41"/>
      <c r="BG178" s="12"/>
      <c r="BH178" s="41"/>
    </row>
    <row r="179" spans="1:60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161"/>
      <c r="AT179" s="41"/>
      <c r="AU179" s="161"/>
      <c r="AV179" s="41"/>
      <c r="AW179" s="161"/>
      <c r="AX179" s="41"/>
      <c r="AY179" s="8">
        <f t="shared" si="25"/>
        <v>0</v>
      </c>
      <c r="AZ179" s="41"/>
      <c r="BA179" s="161"/>
      <c r="BB179" s="41"/>
      <c r="BC179" s="8"/>
      <c r="BD179" s="41"/>
      <c r="BE179" s="8">
        <f t="shared" si="22"/>
        <v>0</v>
      </c>
      <c r="BF179" s="41"/>
      <c r="BG179" s="12"/>
      <c r="BH179" s="41"/>
    </row>
    <row r="180" spans="1:60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161"/>
      <c r="AT180" s="41"/>
      <c r="AU180" s="161"/>
      <c r="AV180" s="41"/>
      <c r="AW180" s="161"/>
      <c r="AX180" s="41"/>
      <c r="AY180" s="8">
        <f t="shared" si="25"/>
        <v>18003.830000000002</v>
      </c>
      <c r="AZ180" s="41"/>
      <c r="BA180" s="161"/>
      <c r="BB180" s="41"/>
      <c r="BC180" s="8"/>
      <c r="BD180" s="41"/>
      <c r="BE180" s="8">
        <f t="shared" si="22"/>
        <v>18003.830000000002</v>
      </c>
      <c r="BF180" s="41"/>
      <c r="BG180" s="12"/>
      <c r="BH180" s="41"/>
    </row>
    <row r="181" spans="1:60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161"/>
      <c r="AT181" s="41"/>
      <c r="AU181" s="161"/>
      <c r="AV181" s="41"/>
      <c r="AW181" s="161"/>
      <c r="AX181" s="41"/>
      <c r="AY181" s="8">
        <f t="shared" si="25"/>
        <v>307</v>
      </c>
      <c r="AZ181" s="41"/>
      <c r="BA181" s="161"/>
      <c r="BB181" s="41"/>
      <c r="BC181" s="8"/>
      <c r="BD181" s="41"/>
      <c r="BE181" s="8">
        <f t="shared" si="22"/>
        <v>307</v>
      </c>
      <c r="BF181" s="41"/>
      <c r="BG181" s="12"/>
      <c r="BH181" s="41"/>
    </row>
    <row r="182" spans="1:60" x14ac:dyDescent="0.2">
      <c r="A182" s="112"/>
      <c r="B182" s="19" t="s">
        <v>334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131">
        <v>1099</v>
      </c>
      <c r="AT182" s="41"/>
      <c r="AU182" s="131">
        <v>-1099</v>
      </c>
      <c r="AV182" s="41"/>
      <c r="AW182" s="131"/>
      <c r="AX182" s="41"/>
      <c r="AY182" s="8">
        <f t="shared" si="25"/>
        <v>272407.15000000002</v>
      </c>
      <c r="AZ182" s="41"/>
      <c r="BA182" s="161"/>
      <c r="BB182" s="41"/>
      <c r="BC182" s="8"/>
      <c r="BD182" s="41"/>
      <c r="BE182" s="8">
        <f t="shared" si="22"/>
        <v>272407.15000000002</v>
      </c>
      <c r="BF182" s="41"/>
      <c r="BG182" s="12"/>
      <c r="BH182" s="41"/>
    </row>
    <row r="183" spans="1:60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131"/>
      <c r="AT183" s="41"/>
      <c r="AU183" s="131"/>
      <c r="AV183" s="41"/>
      <c r="AW183" s="131"/>
      <c r="AX183" s="41"/>
      <c r="AY183" s="8">
        <f t="shared" si="25"/>
        <v>57389.279999999999</v>
      </c>
      <c r="AZ183" s="41"/>
      <c r="BA183" s="161"/>
      <c r="BB183" s="41"/>
      <c r="BC183" s="8"/>
      <c r="BD183" s="41"/>
      <c r="BE183" s="8">
        <f t="shared" si="22"/>
        <v>57389.279999999999</v>
      </c>
      <c r="BF183" s="41"/>
      <c r="BG183" s="35"/>
      <c r="BH183" s="41"/>
    </row>
    <row r="184" spans="1:60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38">
        <f>SUM(AS174:AS183)</f>
        <v>1099</v>
      </c>
      <c r="AT184" s="41"/>
      <c r="AU184" s="138">
        <f>SUM(AU174:AU183)</f>
        <v>-1099</v>
      </c>
      <c r="AV184" s="41"/>
      <c r="AW184" s="138">
        <f>SUM(AW174:AW183)</f>
        <v>0</v>
      </c>
      <c r="AX184" s="41"/>
      <c r="AY184" s="107">
        <f>SUM(AY174:AY183)</f>
        <v>741635.96</v>
      </c>
      <c r="AZ184" s="41"/>
      <c r="BA184" s="138">
        <f>SUM(BA174:BA183)</f>
        <v>0</v>
      </c>
      <c r="BB184" s="41"/>
      <c r="BC184" s="107">
        <f>IF(+O184-AY184+BA184&gt;0,O184-AY184+BA184,0)</f>
        <v>0</v>
      </c>
      <c r="BD184" s="41"/>
      <c r="BE184" s="107">
        <f t="shared" si="22"/>
        <v>741635.96</v>
      </c>
      <c r="BF184" s="41"/>
      <c r="BG184" s="12">
        <f>O184-AY184-BC184</f>
        <v>-441635.95999999996</v>
      </c>
      <c r="BH184" s="41"/>
    </row>
    <row r="185" spans="1:60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161"/>
      <c r="AT185" s="41"/>
      <c r="AU185" s="161"/>
      <c r="AV185" s="41"/>
      <c r="AW185" s="161"/>
      <c r="AX185" s="41"/>
      <c r="AY185" s="41"/>
      <c r="AZ185" s="41"/>
      <c r="BA185" s="161"/>
      <c r="BB185" s="41"/>
      <c r="BC185" s="41"/>
      <c r="BD185" s="41"/>
      <c r="BE185" s="41"/>
      <c r="BF185" s="41"/>
      <c r="BG185" s="15"/>
      <c r="BH185" s="41"/>
    </row>
    <row r="186" spans="1:60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161"/>
      <c r="AT186" s="41"/>
      <c r="AU186" s="161"/>
      <c r="AV186" s="41"/>
      <c r="AW186" s="161"/>
      <c r="AX186" s="41"/>
      <c r="AY186" s="41"/>
      <c r="AZ186" s="41"/>
      <c r="BA186" s="161"/>
      <c r="BB186" s="41"/>
      <c r="BC186" s="41"/>
      <c r="BD186" s="41"/>
      <c r="BE186" s="41"/>
      <c r="BF186" s="41"/>
      <c r="BG186" s="16"/>
      <c r="BH186" s="41"/>
    </row>
    <row r="187" spans="1:60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131"/>
      <c r="AT187" s="41"/>
      <c r="AU187" s="131"/>
      <c r="AV187" s="41"/>
      <c r="AW187" s="131"/>
      <c r="AX187" s="41"/>
      <c r="AY187" s="8">
        <f t="shared" ref="AY187:AY192" si="26">SUM(P187:AX187)</f>
        <v>181508.19</v>
      </c>
      <c r="AZ187" s="41"/>
      <c r="BA187" s="161"/>
      <c r="BB187" s="41"/>
      <c r="BC187" s="8"/>
      <c r="BD187" s="41"/>
      <c r="BE187" s="8">
        <f t="shared" si="22"/>
        <v>181508.19</v>
      </c>
      <c r="BF187" s="41"/>
      <c r="BG187" s="12"/>
      <c r="BH187" s="41"/>
    </row>
    <row r="188" spans="1:60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161"/>
      <c r="AT188" s="41"/>
      <c r="AU188" s="161"/>
      <c r="AV188" s="41"/>
      <c r="AW188" s="161"/>
      <c r="AX188" s="41"/>
      <c r="AY188" s="8">
        <f t="shared" si="26"/>
        <v>0</v>
      </c>
      <c r="AZ188" s="41"/>
      <c r="BA188" s="161"/>
      <c r="BB188" s="41"/>
      <c r="BC188" s="8"/>
      <c r="BD188" s="41"/>
      <c r="BE188" s="8">
        <f t="shared" si="22"/>
        <v>0</v>
      </c>
      <c r="BF188" s="41"/>
      <c r="BG188" s="12"/>
      <c r="BH188" s="41"/>
    </row>
    <row r="189" spans="1:60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161"/>
      <c r="AT189" s="41"/>
      <c r="AU189" s="161"/>
      <c r="AV189" s="41"/>
      <c r="AW189" s="161"/>
      <c r="AX189" s="41"/>
      <c r="AY189" s="8">
        <f t="shared" si="26"/>
        <v>5126.21</v>
      </c>
      <c r="AZ189" s="41"/>
      <c r="BA189" s="161"/>
      <c r="BB189" s="41"/>
      <c r="BC189" s="8"/>
      <c r="BD189" s="41"/>
      <c r="BE189" s="8">
        <f t="shared" si="22"/>
        <v>5126.21</v>
      </c>
      <c r="BF189" s="41"/>
      <c r="BG189" s="12"/>
      <c r="BH189" s="41"/>
    </row>
    <row r="190" spans="1:60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131"/>
      <c r="AT190" s="41"/>
      <c r="AU190" s="131"/>
      <c r="AV190" s="41"/>
      <c r="AW190" s="131"/>
      <c r="AX190" s="41"/>
      <c r="AY190" s="8">
        <f t="shared" si="26"/>
        <v>85935.28</v>
      </c>
      <c r="AZ190" s="41"/>
      <c r="BA190" s="161"/>
      <c r="BB190" s="41"/>
      <c r="BC190" s="8"/>
      <c r="BD190" s="41"/>
      <c r="BE190" s="8">
        <f t="shared" si="22"/>
        <v>85935.28</v>
      </c>
      <c r="BF190" s="41"/>
      <c r="BG190" s="34"/>
      <c r="BH190" s="41"/>
    </row>
    <row r="191" spans="1:60" x14ac:dyDescent="0.2">
      <c r="A191" s="112"/>
      <c r="B191" s="322" t="s">
        <v>548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</v>
      </c>
      <c r="AR191" s="308"/>
      <c r="AS191" s="308">
        <v>49464</v>
      </c>
      <c r="AT191" s="308"/>
      <c r="AU191" s="308"/>
      <c r="AV191" s="308"/>
      <c r="AW191" s="308"/>
      <c r="AX191" s="308"/>
      <c r="AY191" s="8">
        <f t="shared" si="26"/>
        <v>301672</v>
      </c>
      <c r="AZ191" s="294"/>
      <c r="BA191" s="308"/>
      <c r="BB191" s="294"/>
      <c r="BC191" s="295"/>
      <c r="BD191" s="294"/>
      <c r="BE191" s="295">
        <f t="shared" si="22"/>
        <v>301672</v>
      </c>
      <c r="BF191" s="294"/>
      <c r="BG191" s="295"/>
    </row>
    <row r="192" spans="1:60" x14ac:dyDescent="0.2">
      <c r="A192" s="112"/>
      <c r="B192" s="19" t="s">
        <v>334</v>
      </c>
      <c r="C192" s="114"/>
      <c r="K192" s="33"/>
      <c r="M192" s="33"/>
      <c r="O192" s="33"/>
      <c r="P192" s="41"/>
      <c r="Q192" s="133"/>
      <c r="R192" s="232"/>
      <c r="S192" s="133"/>
      <c r="T192" s="232"/>
      <c r="U192" s="134"/>
      <c r="V192" s="161"/>
      <c r="W192" s="131">
        <v>150775</v>
      </c>
      <c r="X192" s="161"/>
      <c r="Y192" s="161"/>
      <c r="Z192" s="161"/>
      <c r="AA192" s="161"/>
      <c r="AB192" s="41"/>
      <c r="AC192" s="131">
        <f>7285.45+70.62+119286.95+1</f>
        <v>126644.01999999999</v>
      </c>
      <c r="AD192" s="41"/>
      <c r="AE192" s="161"/>
      <c r="AF192" s="161"/>
      <c r="AG192" s="131">
        <f>3681.01+4433.71+12507.56</f>
        <v>20622.28</v>
      </c>
      <c r="AH192" s="131"/>
      <c r="AI192" s="131"/>
      <c r="AJ192" s="131"/>
      <c r="AK192" s="131">
        <f>2747.71+316.3</f>
        <v>3064.01</v>
      </c>
      <c r="AL192" s="131"/>
      <c r="AM192" s="131">
        <f>500+532.88+299.22+2141.83</f>
        <v>3473.9300000000003</v>
      </c>
      <c r="AN192" s="131"/>
      <c r="AO192" s="131">
        <f>2233.33+2000</f>
        <v>4233.33</v>
      </c>
      <c r="AP192" s="131"/>
      <c r="AQ192" s="131"/>
      <c r="AR192" s="41"/>
      <c r="AS192" s="131"/>
      <c r="AT192" s="41"/>
      <c r="AU192" s="131"/>
      <c r="AV192" s="41"/>
      <c r="AW192" s="131"/>
      <c r="AX192" s="41"/>
      <c r="AY192" s="8">
        <f t="shared" si="26"/>
        <v>308812.57000000007</v>
      </c>
      <c r="AZ192" s="41"/>
      <c r="BA192" s="161"/>
      <c r="BB192" s="41"/>
      <c r="BC192" s="8"/>
      <c r="BD192" s="41"/>
      <c r="BE192" s="8">
        <f t="shared" si="22"/>
        <v>308812.57000000007</v>
      </c>
      <c r="BF192" s="41"/>
      <c r="BG192" s="35"/>
      <c r="BH192" s="41"/>
    </row>
    <row r="193" spans="1:61" x14ac:dyDescent="0.2">
      <c r="A193" s="112"/>
      <c r="B193" s="19" t="s">
        <v>128</v>
      </c>
      <c r="C193" s="114"/>
      <c r="K193" s="16">
        <v>850000</v>
      </c>
      <c r="M193" s="16">
        <v>-550000</v>
      </c>
      <c r="O193" s="16">
        <f>SUM(K193:N193)</f>
        <v>300000</v>
      </c>
      <c r="P193" s="41"/>
      <c r="Q193" s="134">
        <f>SUM(Q187:Q190)</f>
        <v>105274.23000000001</v>
      </c>
      <c r="R193" s="232"/>
      <c r="S193" s="134">
        <f>SUM(S187:S190)</f>
        <v>0</v>
      </c>
      <c r="T193" s="232"/>
      <c r="U193" s="138">
        <f t="shared" ref="U193:AB193" si="27">SUM(U187:U192)</f>
        <v>6483.79</v>
      </c>
      <c r="V193" s="138">
        <f t="shared" si="27"/>
        <v>0</v>
      </c>
      <c r="W193" s="138">
        <f t="shared" si="27"/>
        <v>150775</v>
      </c>
      <c r="X193" s="138">
        <f t="shared" si="27"/>
        <v>0</v>
      </c>
      <c r="Y193" s="138">
        <f t="shared" si="27"/>
        <v>0</v>
      </c>
      <c r="Z193" s="138">
        <f t="shared" si="27"/>
        <v>0</v>
      </c>
      <c r="AA193" s="138">
        <f t="shared" si="27"/>
        <v>0</v>
      </c>
      <c r="AB193" s="138">
        <f t="shared" si="27"/>
        <v>0</v>
      </c>
      <c r="AC193" s="138">
        <f>SUM(AC187:AC192)</f>
        <v>221476.09999999998</v>
      </c>
      <c r="AD193" s="138">
        <f>SUM(AD187:AD192)</f>
        <v>0</v>
      </c>
      <c r="AE193" s="138">
        <f>SUM(AE187:AE192)</f>
        <v>0</v>
      </c>
      <c r="AF193" s="138"/>
      <c r="AG193" s="138">
        <f>SUM(AG187:AG192)</f>
        <v>51988.2</v>
      </c>
      <c r="AH193" s="138"/>
      <c r="AI193" s="138">
        <f>SUM(AI187:AI192)</f>
        <v>0</v>
      </c>
      <c r="AJ193" s="138"/>
      <c r="AK193" s="138">
        <f>SUM(AK187:AK192)</f>
        <v>33731.379999999997</v>
      </c>
      <c r="AL193" s="138"/>
      <c r="AM193" s="138">
        <f>SUM(AM187:AM192)</f>
        <v>3473.9300000000003</v>
      </c>
      <c r="AN193" s="138"/>
      <c r="AO193" s="138">
        <f>SUM(AO187:AO192)</f>
        <v>8179.62</v>
      </c>
      <c r="AP193" s="138"/>
      <c r="AQ193" s="138">
        <f t="shared" ref="AQ193:AY193" si="28">SUM(AQ187:AQ192)</f>
        <v>252208</v>
      </c>
      <c r="AR193" s="138">
        <f t="shared" si="28"/>
        <v>0</v>
      </c>
      <c r="AS193" s="138">
        <f t="shared" si="28"/>
        <v>49464</v>
      </c>
      <c r="AT193" s="138">
        <f t="shared" si="28"/>
        <v>0</v>
      </c>
      <c r="AU193" s="138">
        <f t="shared" si="28"/>
        <v>0</v>
      </c>
      <c r="AV193" s="138">
        <f t="shared" si="28"/>
        <v>0</v>
      </c>
      <c r="AW193" s="138">
        <f t="shared" si="28"/>
        <v>0</v>
      </c>
      <c r="AX193" s="138">
        <f t="shared" si="28"/>
        <v>0</v>
      </c>
      <c r="AY193" s="138">
        <f t="shared" si="28"/>
        <v>883054.25</v>
      </c>
      <c r="AZ193" s="41"/>
      <c r="BA193" s="138">
        <f>SUM(BA187:BA190)</f>
        <v>0</v>
      </c>
      <c r="BB193" s="41"/>
      <c r="BC193" s="107">
        <f>IF(+O193-AY193+BA193&gt;0,O193-AY193+BA193,0)</f>
        <v>0</v>
      </c>
      <c r="BD193" s="41"/>
      <c r="BE193" s="107">
        <f t="shared" si="22"/>
        <v>883054.25</v>
      </c>
      <c r="BF193" s="41"/>
      <c r="BG193" s="12">
        <f>O193-AY193-BC193</f>
        <v>-583054.25</v>
      </c>
      <c r="BH193" s="41"/>
    </row>
    <row r="194" spans="1:61" x14ac:dyDescent="0.2">
      <c r="A194" s="112"/>
      <c r="B194" s="19"/>
      <c r="C194" s="114"/>
      <c r="K194" s="16"/>
      <c r="M194" s="16"/>
      <c r="O194" s="16"/>
      <c r="P194" s="41"/>
      <c r="Q194" s="135"/>
      <c r="R194" s="232"/>
      <c r="S194" s="135"/>
      <c r="T194" s="232"/>
      <c r="U194" s="134"/>
      <c r="V194" s="161"/>
      <c r="W194" s="161"/>
      <c r="X194" s="161"/>
      <c r="Y194" s="161"/>
      <c r="Z194" s="161"/>
      <c r="AA194" s="161"/>
      <c r="AB194" s="41"/>
      <c r="AC194" s="161"/>
      <c r="AD194" s="4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41"/>
      <c r="AS194" s="161"/>
      <c r="AT194" s="41"/>
      <c r="AU194" s="161"/>
      <c r="AV194" s="41"/>
      <c r="AW194" s="161"/>
      <c r="AX194" s="41"/>
      <c r="AY194" s="41"/>
      <c r="AZ194" s="41"/>
      <c r="BA194" s="161"/>
      <c r="BB194" s="41"/>
      <c r="BC194" s="41"/>
      <c r="BD194" s="41"/>
      <c r="BE194" s="41"/>
      <c r="BF194" s="41"/>
      <c r="BG194" s="16"/>
      <c r="BH194" s="41"/>
    </row>
    <row r="195" spans="1:61" x14ac:dyDescent="0.2">
      <c r="A195" s="112" t="s">
        <v>364</v>
      </c>
      <c r="B195" s="19"/>
      <c r="C195" s="114" t="s">
        <v>0</v>
      </c>
      <c r="E195" s="7"/>
      <c r="G195" s="7" t="s">
        <v>365</v>
      </c>
      <c r="K195" s="15">
        <v>0</v>
      </c>
      <c r="M195" s="15">
        <v>1000000</v>
      </c>
      <c r="O195" s="15">
        <f>SUM(K195:N195)</f>
        <v>1000000</v>
      </c>
      <c r="Q195" s="134">
        <v>0</v>
      </c>
      <c r="R195" s="224"/>
      <c r="S195" s="134">
        <v>0</v>
      </c>
      <c r="T195" s="224"/>
      <c r="U195" s="134">
        <v>0</v>
      </c>
      <c r="V195" s="8"/>
      <c r="W195" s="134"/>
      <c r="X195" s="131"/>
      <c r="Y195" s="134"/>
      <c r="Z195" s="131"/>
      <c r="AA195" s="134">
        <v>10000</v>
      </c>
      <c r="AB195" s="131"/>
      <c r="AC195" s="134">
        <v>53741.07</v>
      </c>
      <c r="AD195" s="131"/>
      <c r="AE195" s="134">
        <f>71014-10000</f>
        <v>61014</v>
      </c>
      <c r="AF195" s="134"/>
      <c r="AG195" s="134">
        <v>11281</v>
      </c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8">
        <f>SUM(P195:AX195)</f>
        <v>136036.07</v>
      </c>
      <c r="BA195" s="134">
        <f>-650000-213964</f>
        <v>-863964</v>
      </c>
      <c r="BC195" s="8">
        <f>IF(+O195-AY195+BA195&gt;0,O195-AY195+BA195,0)</f>
        <v>0</v>
      </c>
      <c r="BE195" s="8">
        <f t="shared" si="22"/>
        <v>136036.07</v>
      </c>
      <c r="BG195" s="12">
        <f>O195-AY195-BC195</f>
        <v>863963.92999999993</v>
      </c>
    </row>
    <row r="196" spans="1:61" x14ac:dyDescent="0.2">
      <c r="A196" s="112"/>
      <c r="B196" s="19"/>
      <c r="C196" s="114"/>
      <c r="K196" s="16"/>
      <c r="M196" s="16"/>
      <c r="O196" s="16"/>
      <c r="P196" s="41"/>
      <c r="Q196" s="135"/>
      <c r="R196" s="232"/>
      <c r="S196" s="135"/>
      <c r="T196" s="232"/>
      <c r="U196" s="134"/>
      <c r="V196" s="161"/>
      <c r="W196" s="161"/>
      <c r="X196" s="161"/>
      <c r="Y196" s="161"/>
      <c r="Z196" s="161"/>
      <c r="AA196" s="161"/>
      <c r="AB196" s="41"/>
      <c r="AC196" s="161"/>
      <c r="AD196" s="4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41"/>
      <c r="AS196" s="161"/>
      <c r="AT196" s="41"/>
      <c r="AU196" s="161"/>
      <c r="AV196" s="41"/>
      <c r="AW196" s="161"/>
      <c r="AX196" s="41"/>
      <c r="AY196" s="41"/>
      <c r="AZ196" s="41"/>
      <c r="BA196" s="161"/>
      <c r="BB196" s="41"/>
      <c r="BC196" s="41"/>
      <c r="BD196" s="41"/>
      <c r="BE196" s="41"/>
      <c r="BF196" s="41"/>
      <c r="BG196" s="16"/>
      <c r="BH196" s="41"/>
    </row>
    <row r="197" spans="1:61" x14ac:dyDescent="0.2">
      <c r="A197" s="113"/>
      <c r="B197" s="166" t="s">
        <v>108</v>
      </c>
      <c r="C197" s="114"/>
      <c r="K197" s="15">
        <f>K169+K171+K184+K193+K195</f>
        <v>2850000</v>
      </c>
      <c r="M197" s="15">
        <f>M169+M171+M184+M193+M195</f>
        <v>-250000</v>
      </c>
      <c r="O197" s="15">
        <f>O169+O171+O184+O193+O195</f>
        <v>2693542</v>
      </c>
      <c r="Q197" s="134">
        <f>Q169+Q171+Q184+Q193+Q195</f>
        <v>271926.91000000003</v>
      </c>
      <c r="S197" s="134">
        <f>S169+S171+S184+S193+S195</f>
        <v>71281.943333333329</v>
      </c>
      <c r="U197" s="134">
        <f>U169+U171+U184+U193+U195</f>
        <v>976595.77000000014</v>
      </c>
      <c r="W197" s="134">
        <f>W169+W171+W184+W193+W195</f>
        <v>154476.5</v>
      </c>
      <c r="Y197" s="134">
        <f>Y169+Y171+Y184+Y193+Y195</f>
        <v>-21839.15</v>
      </c>
      <c r="AA197" s="134">
        <f>AA169+AA171+AA184+AA193+AA195</f>
        <v>12187.8</v>
      </c>
      <c r="AC197" s="134">
        <f>AC169+AC171+AC184+AC193+AC195</f>
        <v>564200.90999999992</v>
      </c>
      <c r="AE197" s="134">
        <f>AE169+AE171+AE184+AE193+AE195</f>
        <v>135175.59999999998</v>
      </c>
      <c r="AF197" s="134"/>
      <c r="AG197" s="134">
        <f>AG169+AG171+AG184+AG193+AG195</f>
        <v>173238.77999999997</v>
      </c>
      <c r="AH197" s="134"/>
      <c r="AI197" s="134">
        <f>AI169+AI171+AI184+AI193+AI195</f>
        <v>67695.360000000001</v>
      </c>
      <c r="AJ197" s="134"/>
      <c r="AK197" s="134">
        <f>AK169+AK171+AK184+AK193+AK195</f>
        <v>63228.21</v>
      </c>
      <c r="AL197" s="134"/>
      <c r="AM197" s="134">
        <f>AM169+AM171+AM184+AM193+AM195</f>
        <v>6744.9600000000009</v>
      </c>
      <c r="AN197" s="134"/>
      <c r="AO197" s="134">
        <f>AO169+AO171+AO184+AO193+AO195</f>
        <v>255501.84000000003</v>
      </c>
      <c r="AP197" s="134"/>
      <c r="AQ197" s="134">
        <f>AQ169+AQ171+AQ184+AQ193+AQ195</f>
        <v>318220.56</v>
      </c>
      <c r="AS197" s="134">
        <f>AS169+AS171+AS184+AS193+AS195</f>
        <v>50563</v>
      </c>
      <c r="AU197" s="134">
        <f>AU169+AU171+AU184+AU193+AU195</f>
        <v>-1099</v>
      </c>
      <c r="AW197" s="134">
        <f>AW169+AW171+AW184+AW193+AW195</f>
        <v>0</v>
      </c>
      <c r="AY197" s="15">
        <f>AY169+AY171+AY184+AY193+AY195</f>
        <v>3098099.9933333327</v>
      </c>
      <c r="BA197" s="134">
        <f>BA169+BA171+BA184+BA193+BA195</f>
        <v>-539653</v>
      </c>
      <c r="BC197" s="15">
        <f>BC169+BC171+BC184+BC193+BC195</f>
        <v>0</v>
      </c>
      <c r="BE197" s="15">
        <f t="shared" si="22"/>
        <v>3098099.9933333327</v>
      </c>
      <c r="BG197" s="15">
        <f>O197-AY197-BC197</f>
        <v>-404557.99333333271</v>
      </c>
    </row>
    <row r="198" spans="1:61" x14ac:dyDescent="0.2">
      <c r="A198" s="113"/>
      <c r="B198" s="162"/>
      <c r="C198" s="114"/>
      <c r="K198" s="15"/>
      <c r="M198" s="15"/>
      <c r="O198" s="15"/>
      <c r="Q198" s="134"/>
      <c r="S198" s="134"/>
      <c r="U198" s="131"/>
      <c r="BG198" s="15"/>
    </row>
    <row r="199" spans="1:61" ht="13.5" thickBot="1" x14ac:dyDescent="0.25">
      <c r="A199" s="126" t="s">
        <v>160</v>
      </c>
      <c r="B199" s="109"/>
      <c r="C199" s="23"/>
      <c r="K199" s="18">
        <f>K197+K161</f>
        <v>153583726.616</v>
      </c>
      <c r="M199" s="18">
        <f>M197+M161</f>
        <v>-4779276</v>
      </c>
      <c r="O199" s="18">
        <f>O197+O161</f>
        <v>148897992.616</v>
      </c>
      <c r="Q199" s="136">
        <f>Q197+Q161</f>
        <v>43104547.390000001</v>
      </c>
      <c r="S199" s="136">
        <f>S197+S161</f>
        <v>-307452.65666666662</v>
      </c>
      <c r="U199" s="136">
        <f>U197+U161</f>
        <v>13359456.790000001</v>
      </c>
      <c r="W199" s="136">
        <f>W197+W161</f>
        <v>8406455.9499999993</v>
      </c>
      <c r="Y199" s="136">
        <f>Y197+Y161</f>
        <v>14908822.879999999</v>
      </c>
      <c r="AA199" s="136">
        <f>AA197+AA161</f>
        <v>16489517.34</v>
      </c>
      <c r="AC199" s="136">
        <f>AC197+AC161</f>
        <v>20302856.510000002</v>
      </c>
      <c r="AE199" s="136">
        <f>AE197+AE161</f>
        <v>4857453.8099999996</v>
      </c>
      <c r="AF199" s="135"/>
      <c r="AG199" s="136">
        <f>AG197+AG161</f>
        <v>10786328.009999998</v>
      </c>
      <c r="AH199" s="135"/>
      <c r="AI199" s="136">
        <f>AI197+AI161</f>
        <v>8407850.629999999</v>
      </c>
      <c r="AJ199" s="135"/>
      <c r="AK199" s="136">
        <f>AK197+AK161</f>
        <v>3884763.6500000004</v>
      </c>
      <c r="AL199" s="136"/>
      <c r="AM199" s="136">
        <f>AM197+AM161</f>
        <v>1214486.8699999999</v>
      </c>
      <c r="AN199" s="135"/>
      <c r="AO199" s="136">
        <f>AO197+AO161</f>
        <v>7585107.0299999993</v>
      </c>
      <c r="AP199" s="135"/>
      <c r="AQ199" s="136">
        <f>AQ197+AQ161</f>
        <v>1125799.76</v>
      </c>
      <c r="AS199" s="136">
        <f>AS197+AS161</f>
        <v>51314</v>
      </c>
      <c r="AU199" s="136">
        <f>AU197+AU161</f>
        <v>-1099</v>
      </c>
      <c r="AW199" s="136">
        <f>AW197+AW161</f>
        <v>0</v>
      </c>
      <c r="AY199" s="18">
        <f>AY197+AY161</f>
        <v>154176208.96333331</v>
      </c>
      <c r="BA199" s="136">
        <f>BA197+BA161</f>
        <v>3101791.33</v>
      </c>
      <c r="BC199" s="18">
        <f>BC197+BC161+BC36</f>
        <v>587940.99600000004</v>
      </c>
      <c r="BE199" s="18">
        <f>+BC199+AY199</f>
        <v>154764149.9593333</v>
      </c>
      <c r="BG199" s="18">
        <f>O199-AY199-BC199</f>
        <v>-5866157.3433333123</v>
      </c>
      <c r="BI199" s="8"/>
    </row>
    <row r="200" spans="1:61" ht="7.5" customHeight="1" thickTop="1" x14ac:dyDescent="0.2">
      <c r="A200" s="38"/>
      <c r="B200" s="23"/>
      <c r="C200" s="23"/>
      <c r="U200" s="131"/>
    </row>
    <row r="201" spans="1:61" ht="13.5" thickBot="1" x14ac:dyDescent="0.25">
      <c r="A201" s="126" t="s">
        <v>194</v>
      </c>
      <c r="B201" s="23"/>
      <c r="C201" s="23"/>
      <c r="K201" s="167">
        <f>K199/450</f>
        <v>341297.17025777779</v>
      </c>
      <c r="O201" s="167">
        <f>O199/450</f>
        <v>330884.42803555552</v>
      </c>
      <c r="U201" s="131"/>
      <c r="AC201" s="131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S201" s="267"/>
      <c r="AU201" s="267"/>
      <c r="AW201" s="267"/>
      <c r="BE201" s="167">
        <f>BE199/450</f>
        <v>343920.33324296289</v>
      </c>
    </row>
    <row r="202" spans="1:61" customFormat="1" x14ac:dyDescent="0.2">
      <c r="R202" s="225"/>
      <c r="T202" s="225"/>
      <c r="AC202" s="89"/>
      <c r="AE202" s="89"/>
      <c r="BG202" s="8"/>
    </row>
    <row r="203" spans="1:61" customFormat="1" x14ac:dyDescent="0.2">
      <c r="A203" s="41"/>
      <c r="R203" s="225"/>
      <c r="T203" s="225"/>
      <c r="AA203" s="89"/>
      <c r="AC203" s="89"/>
      <c r="AE203" s="89"/>
      <c r="BG203" s="8"/>
    </row>
    <row r="204" spans="1:61" customFormat="1" x14ac:dyDescent="0.2">
      <c r="A204" s="41"/>
      <c r="Q204" s="89"/>
      <c r="R204" s="225"/>
      <c r="S204" s="89"/>
      <c r="T204" s="225"/>
      <c r="U204" s="89"/>
      <c r="W204" s="89"/>
      <c r="Y204" s="89"/>
      <c r="AA204" s="89"/>
      <c r="AC204" s="89"/>
      <c r="AE204" s="89"/>
      <c r="BG204" s="8"/>
    </row>
    <row r="205" spans="1:61" x14ac:dyDescent="0.2">
      <c r="I205" s="6"/>
      <c r="R205" s="224"/>
      <c r="T205" s="224"/>
      <c r="U205" s="131"/>
      <c r="V205" s="8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8"/>
      <c r="BA205" s="131"/>
      <c r="BC205" s="8"/>
      <c r="BE205" s="8"/>
    </row>
    <row r="206" spans="1:61" s="41" customFormat="1" x14ac:dyDescent="0.2">
      <c r="A206" s="41" t="s">
        <v>421</v>
      </c>
      <c r="G206" s="11"/>
      <c r="K206" s="15">
        <v>0</v>
      </c>
      <c r="M206" s="15"/>
      <c r="O206" s="15">
        <f>SUM(K206:N206)</f>
        <v>0</v>
      </c>
      <c r="Q206" s="134">
        <v>0</v>
      </c>
      <c r="R206" s="244"/>
      <c r="S206" s="134">
        <v>0</v>
      </c>
      <c r="T206" s="244"/>
      <c r="U206" s="134">
        <v>0</v>
      </c>
      <c r="V206" s="15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5">
        <f>SUM(P206:AR206)</f>
        <v>0</v>
      </c>
      <c r="BA206" s="134">
        <v>0</v>
      </c>
      <c r="BC206" s="15">
        <f>IF(+O206-AY206+BA206&gt;0,O206-AY206+BA206,0)</f>
        <v>0</v>
      </c>
      <c r="BE206" s="15">
        <f>+BC206+AY206</f>
        <v>0</v>
      </c>
      <c r="BG206" s="15">
        <f>+O206-BE206</f>
        <v>0</v>
      </c>
    </row>
    <row r="207" spans="1:61" x14ac:dyDescent="0.2">
      <c r="A207" s="41" t="s">
        <v>535</v>
      </c>
      <c r="I207" s="6"/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33">
        <f>+[1]Deprec!$F$29</f>
        <v>-2099365.1001033327</v>
      </c>
      <c r="BA207" s="131"/>
      <c r="BC207" s="8"/>
      <c r="BE207" s="15">
        <f>+AY207</f>
        <v>-2099365.1001033327</v>
      </c>
    </row>
    <row r="208" spans="1:61" ht="13.5" thickBot="1" x14ac:dyDescent="0.25">
      <c r="A208" s="126" t="s">
        <v>423</v>
      </c>
      <c r="B208" s="109"/>
      <c r="I208" s="6"/>
      <c r="K208" s="245">
        <f>+K199+K206</f>
        <v>153583726.616</v>
      </c>
      <c r="M208" s="245">
        <f>+M199+M206</f>
        <v>-4779276</v>
      </c>
      <c r="O208" s="245">
        <f>+O199+O206</f>
        <v>148897992.616</v>
      </c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245">
        <f>+AY199+AY206+AY207</f>
        <v>152076843.86322999</v>
      </c>
      <c r="BA208" s="131"/>
      <c r="BC208" s="245">
        <f>+BC199+BC206</f>
        <v>587940.99600000004</v>
      </c>
      <c r="BE208" s="245">
        <f>+BE199+BE206+BE207</f>
        <v>152664784.85922998</v>
      </c>
      <c r="BG208" s="245">
        <f>+BG199+BG206</f>
        <v>-5866157.3433333123</v>
      </c>
    </row>
    <row r="209" spans="1:59" ht="4.5" customHeight="1" thickTop="1" x14ac:dyDescent="0.2">
      <c r="A209" s="38"/>
      <c r="B209" s="23"/>
      <c r="I209" s="6"/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8"/>
      <c r="BA209" s="131"/>
      <c r="BC209" s="8"/>
      <c r="BE209" s="8"/>
    </row>
    <row r="210" spans="1:59" ht="13.5" thickBot="1" x14ac:dyDescent="0.25">
      <c r="A210" s="126" t="s">
        <v>420</v>
      </c>
      <c r="B210" s="23"/>
      <c r="I210" s="6"/>
      <c r="K210" s="127">
        <f>K208/$K$3</f>
        <v>347474.49460633483</v>
      </c>
      <c r="O210" s="127">
        <f>O208/$K$3</f>
        <v>336873.28646153846</v>
      </c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8"/>
      <c r="BA210" s="131"/>
      <c r="BC210" s="8"/>
      <c r="BE210" s="127">
        <f>BE208/$K$3</f>
        <v>345395.4408579864</v>
      </c>
    </row>
    <row r="211" spans="1:59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8"/>
      <c r="BA211" s="131"/>
      <c r="BC211" s="8"/>
      <c r="BE211" s="8"/>
    </row>
    <row r="212" spans="1:59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8"/>
      <c r="BA212" s="131"/>
      <c r="BC212" s="8"/>
      <c r="BE212" s="8"/>
      <c r="BG212" s="187" t="str">
        <f ca="1">CELL("filename")</f>
        <v>O:\Fin_Ops\Engysvc\PowerPlants\TVA Plants\TVA Draw Schedules\[TVADraw020800.xls]New Albany</v>
      </c>
    </row>
    <row r="213" spans="1:59" x14ac:dyDescent="0.2">
      <c r="I213" s="6"/>
      <c r="R213" s="224"/>
      <c r="T213" s="224"/>
      <c r="U213" s="131"/>
      <c r="V213" s="8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8"/>
      <c r="BA213" s="131"/>
      <c r="BC213" s="8"/>
      <c r="BE213" s="8"/>
    </row>
    <row r="215" spans="1:59" x14ac:dyDescent="0.2">
      <c r="B215" s="41" t="s">
        <v>473</v>
      </c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8"/>
      <c r="BA215" s="131"/>
      <c r="BC215" s="8"/>
      <c r="BE215" s="8"/>
    </row>
    <row r="216" spans="1:59" x14ac:dyDescent="0.2">
      <c r="I216" s="6"/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8"/>
      <c r="BA216" s="131"/>
      <c r="BC216" s="8"/>
      <c r="BE216" s="8"/>
    </row>
    <row r="217" spans="1:59" x14ac:dyDescent="0.2">
      <c r="B217" s="6" t="s">
        <v>474</v>
      </c>
      <c r="I217" s="6"/>
      <c r="O217" s="8">
        <f>8735.19+10772844.84+6382.91+-10779227.75+6859219.62+24454869.33+49086841.63</f>
        <v>80409665.769999996</v>
      </c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8"/>
      <c r="BA217" s="131"/>
      <c r="BC217" s="8"/>
      <c r="BE217" s="8">
        <f>152650097.61+260426.98</f>
        <v>152910524.59</v>
      </c>
    </row>
    <row r="218" spans="1:59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8"/>
      <c r="BA218" s="131"/>
      <c r="BC218" s="8"/>
      <c r="BE218" s="8"/>
    </row>
    <row r="219" spans="1:59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8"/>
      <c r="BA219" s="131"/>
      <c r="BC219" s="8"/>
      <c r="BE219" s="8"/>
    </row>
    <row r="220" spans="1:59" x14ac:dyDescent="0.2">
      <c r="I220" s="6"/>
      <c r="R220" s="224"/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8"/>
      <c r="BA220" s="131"/>
      <c r="BC220" s="8"/>
      <c r="BE220" s="8"/>
    </row>
    <row r="221" spans="1:59" x14ac:dyDescent="0.2">
      <c r="B221" s="6" t="s">
        <v>475</v>
      </c>
      <c r="I221" s="6"/>
      <c r="O221" s="8">
        <f>SUM(O217:O220)</f>
        <v>80409665.769999996</v>
      </c>
      <c r="Q221" s="131">
        <f>AY199</f>
        <v>154176208.96333331</v>
      </c>
      <c r="R221" s="224"/>
      <c r="S221" s="131">
        <f>BA199</f>
        <v>3101791.33</v>
      </c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8"/>
      <c r="BA221" s="131"/>
      <c r="BC221" s="8"/>
      <c r="BE221" s="8">
        <f>+AY208-AI121-AG121-AE121-AC121-AA121-AY125-AK121-1430-AY207-AM121</f>
        <v>152909425.6633333</v>
      </c>
    </row>
    <row r="222" spans="1:59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8"/>
      <c r="BA222" s="131"/>
      <c r="BC222" s="8"/>
      <c r="BE222" s="8"/>
    </row>
    <row r="223" spans="1:59" x14ac:dyDescent="0.2">
      <c r="I223" s="6"/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8"/>
      <c r="BA223" s="131"/>
      <c r="BC223" s="8"/>
      <c r="BE223" s="8"/>
    </row>
    <row r="224" spans="1:59" x14ac:dyDescent="0.2">
      <c r="B224" s="6" t="s">
        <v>476</v>
      </c>
      <c r="I224" s="6"/>
      <c r="O224" s="8" t="e">
        <f>O221-#REF!</f>
        <v>#REF!</v>
      </c>
      <c r="R224" s="224"/>
      <c r="T224" s="224"/>
      <c r="U224" s="131"/>
      <c r="V224" s="8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8"/>
      <c r="BA224" s="131"/>
      <c r="BC224" s="8"/>
      <c r="BE224" s="8">
        <f>+BE217-BE221</f>
        <v>1098.9266667068005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9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293"/>
  <sheetViews>
    <sheetView view="pageBreakPreview" zoomScale="60" zoomScaleNormal="75" workbookViewId="0">
      <pane xSplit="9" ySplit="6" topLeftCell="J32" activePane="bottomRight" state="frozen"/>
      <selection activeCell="A16" sqref="A16"/>
      <selection pane="topRight" activeCell="A16" sqref="A16"/>
      <selection pane="bottomLeft" activeCell="A16" sqref="A16"/>
      <selection pane="bottomRight" activeCell="B32" sqref="B32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.42578125" style="8" hidden="1" customWidth="1"/>
    <col min="16" max="16" width="2.28515625" style="6" hidden="1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1.7109375" style="143" hidden="1" customWidth="1"/>
    <col min="36" max="36" width="1.28515625" style="143" hidden="1" customWidth="1"/>
    <col min="37" max="37" width="19.14062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40625" style="143" hidden="1" customWidth="1"/>
    <col min="42" max="42" width="2.28515625" style="143" customWidth="1"/>
    <col min="43" max="43" width="21.140625" style="143" hidden="1" customWidth="1"/>
    <col min="44" max="44" width="2.140625" style="6" hidden="1" customWidth="1"/>
    <col min="45" max="45" width="21.140625" style="143" hidden="1" customWidth="1"/>
    <col min="46" max="46" width="2.140625" style="6" hidden="1" customWidth="1"/>
    <col min="47" max="47" width="21.140625" style="143" hidden="1" customWidth="1"/>
    <col min="48" max="48" width="2.140625" style="6" hidden="1" customWidth="1"/>
    <col min="49" max="49" width="21.140625" style="143" hidden="1" customWidth="1"/>
    <col min="50" max="50" width="2.140625" style="6" customWidth="1"/>
    <col min="51" max="51" width="24.7109375" style="8" customWidth="1"/>
    <col min="52" max="52" width="0.85546875" style="6" customWidth="1"/>
    <col min="53" max="53" width="23.140625" style="143" customWidth="1"/>
    <col min="54" max="54" width="0.85546875" style="6" customWidth="1"/>
    <col min="55" max="55" width="26.140625" style="8" customWidth="1"/>
    <col min="56" max="56" width="1.7109375" style="8" customWidth="1"/>
    <col min="57" max="57" width="20.85546875" style="8" customWidth="1"/>
    <col min="58" max="58" width="1.7109375" style="8" customWidth="1"/>
    <col min="59" max="59" width="21.7109375" style="8" customWidth="1"/>
    <col min="60" max="60" width="0.85546875" style="6" customWidth="1"/>
    <col min="61" max="61" width="63.42578125" style="6" hidden="1" customWidth="1"/>
    <col min="62" max="62" width="15.140625" style="8" hidden="1" customWidth="1"/>
    <col min="63" max="63" width="13.28515625" style="6" hidden="1" customWidth="1"/>
    <col min="64" max="64" width="0" style="6" hidden="1" customWidth="1"/>
    <col min="65" max="16384" width="9.140625" style="6"/>
  </cols>
  <sheetData>
    <row r="1" spans="1:63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74"/>
      <c r="AU1" s="174"/>
      <c r="AW1" s="174"/>
      <c r="AY1" s="169"/>
      <c r="BA1" s="174"/>
      <c r="BC1" s="169"/>
      <c r="BD1" s="169"/>
      <c r="BE1" s="169"/>
      <c r="BF1" s="169"/>
      <c r="BG1" s="147"/>
      <c r="BJ1" s="147"/>
    </row>
    <row r="2" spans="1:63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74"/>
      <c r="AU2" s="174"/>
      <c r="AW2" s="174"/>
      <c r="AY2" s="147"/>
      <c r="BA2" s="174"/>
      <c r="BC2" s="147"/>
      <c r="BD2" s="147"/>
      <c r="BE2" s="147"/>
      <c r="BF2" s="147"/>
      <c r="BG2" s="147"/>
      <c r="BJ2" s="147"/>
    </row>
    <row r="3" spans="1:63" s="36" customFormat="1" ht="15.75" x14ac:dyDescent="0.25">
      <c r="A3" s="219" t="s">
        <v>549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174"/>
      <c r="AU3" s="174"/>
      <c r="AW3" s="174"/>
      <c r="AY3" s="46"/>
      <c r="BA3" s="174"/>
      <c r="BC3" s="46">
        <f ca="1">NOW()</f>
        <v>36564.457616203705</v>
      </c>
      <c r="BE3" s="46"/>
      <c r="BG3" s="169" t="str">
        <f>Summary!A4</f>
        <v>Revision # 61</v>
      </c>
      <c r="BJ3" s="147"/>
    </row>
    <row r="4" spans="1:63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338</v>
      </c>
      <c r="V4" s="148"/>
      <c r="W4" s="175" t="s">
        <v>338</v>
      </c>
      <c r="X4" s="148"/>
      <c r="Y4" s="175" t="s">
        <v>338</v>
      </c>
      <c r="Z4" s="148"/>
      <c r="AA4" s="175" t="s">
        <v>338</v>
      </c>
      <c r="AB4" s="148"/>
      <c r="AC4" s="175" t="s">
        <v>338</v>
      </c>
      <c r="AD4" s="148"/>
      <c r="AE4" s="175" t="s">
        <v>338</v>
      </c>
      <c r="AF4" s="175"/>
      <c r="AG4" s="175" t="s">
        <v>338</v>
      </c>
      <c r="AH4" s="175"/>
      <c r="AI4" s="175" t="s">
        <v>338</v>
      </c>
      <c r="AJ4" s="175"/>
      <c r="AK4" s="175" t="s">
        <v>338</v>
      </c>
      <c r="AL4" s="175"/>
      <c r="AM4" s="175" t="s">
        <v>338</v>
      </c>
      <c r="AN4" s="175"/>
      <c r="AO4" s="175" t="s">
        <v>338</v>
      </c>
      <c r="AP4" s="175"/>
      <c r="AQ4" s="175" t="s">
        <v>338</v>
      </c>
      <c r="AS4" s="175" t="s">
        <v>338</v>
      </c>
      <c r="AU4" s="175" t="s">
        <v>277</v>
      </c>
      <c r="AW4" s="175" t="s">
        <v>277</v>
      </c>
      <c r="AY4" s="150"/>
      <c r="BA4" s="149" t="s">
        <v>345</v>
      </c>
      <c r="BC4" s="150"/>
      <c r="BE4" s="150"/>
      <c r="BG4" s="150"/>
      <c r="BJ4" s="147"/>
    </row>
    <row r="5" spans="1:63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339</v>
      </c>
      <c r="V5" s="148"/>
      <c r="W5" s="175" t="s">
        <v>339</v>
      </c>
      <c r="X5" s="148"/>
      <c r="Y5" s="175" t="s">
        <v>339</v>
      </c>
      <c r="Z5" s="148"/>
      <c r="AA5" s="175" t="s">
        <v>339</v>
      </c>
      <c r="AB5" s="148"/>
      <c r="AC5" s="175" t="s">
        <v>339</v>
      </c>
      <c r="AD5" s="148"/>
      <c r="AE5" s="175" t="s">
        <v>339</v>
      </c>
      <c r="AF5" s="175"/>
      <c r="AG5" s="175" t="s">
        <v>339</v>
      </c>
      <c r="AH5" s="175"/>
      <c r="AI5" s="175" t="s">
        <v>339</v>
      </c>
      <c r="AJ5" s="175"/>
      <c r="AK5" s="175" t="s">
        <v>339</v>
      </c>
      <c r="AL5" s="175"/>
      <c r="AM5" s="175" t="s">
        <v>339</v>
      </c>
      <c r="AN5" s="175"/>
      <c r="AO5" s="175" t="s">
        <v>339</v>
      </c>
      <c r="AP5" s="175"/>
      <c r="AQ5" s="175" t="s">
        <v>339</v>
      </c>
      <c r="AS5" s="175" t="s">
        <v>339</v>
      </c>
      <c r="AU5" s="175" t="s">
        <v>339</v>
      </c>
      <c r="AW5" s="175" t="s">
        <v>339</v>
      </c>
      <c r="AY5" s="150" t="s">
        <v>190</v>
      </c>
      <c r="BA5" s="149" t="s">
        <v>346</v>
      </c>
      <c r="BC5" s="150" t="s">
        <v>161</v>
      </c>
      <c r="BE5" s="150" t="s">
        <v>366</v>
      </c>
      <c r="BG5" s="150"/>
      <c r="BJ5" s="147"/>
    </row>
    <row r="6" spans="1:63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539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76">
        <v>36556</v>
      </c>
      <c r="AU6" s="176">
        <v>36585</v>
      </c>
      <c r="AW6" s="176">
        <v>36616</v>
      </c>
      <c r="AY6" s="155" t="s">
        <v>342</v>
      </c>
      <c r="BA6" s="153" t="s">
        <v>347</v>
      </c>
      <c r="BC6" s="155" t="s">
        <v>110</v>
      </c>
      <c r="BE6" s="155" t="s">
        <v>367</v>
      </c>
      <c r="BG6" s="155" t="s">
        <v>111</v>
      </c>
      <c r="BI6" s="150" t="s">
        <v>5</v>
      </c>
      <c r="BJ6" s="147"/>
      <c r="BK6" s="36" t="s">
        <v>407</v>
      </c>
    </row>
    <row r="7" spans="1:63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540</v>
      </c>
      <c r="R7" s="227"/>
      <c r="S7" s="175" t="s">
        <v>540</v>
      </c>
      <c r="T7" s="227"/>
      <c r="U7" s="175" t="str">
        <f>+Summary!$O$3</f>
        <v>as of 02/04/00</v>
      </c>
      <c r="V7" s="148"/>
      <c r="W7" s="175" t="str">
        <f>+Summary!$O$3</f>
        <v>as of 02/04/00</v>
      </c>
      <c r="X7" s="148"/>
      <c r="Y7" s="175" t="str">
        <f>+Summary!$O$3</f>
        <v>as of 02/04/00</v>
      </c>
      <c r="Z7" s="148"/>
      <c r="AA7" s="175" t="str">
        <f>+Summary!$O$3</f>
        <v>as of 02/04/00</v>
      </c>
      <c r="AB7" s="148"/>
      <c r="AC7" s="175" t="str">
        <f>+Summary!$O$3</f>
        <v>as of 02/04/00</v>
      </c>
      <c r="AD7" s="148"/>
      <c r="AE7" s="175" t="str">
        <f>+Summary!$O$3</f>
        <v>as of 02/04/00</v>
      </c>
      <c r="AF7" s="175"/>
      <c r="AG7" s="175" t="str">
        <f>+Summary!$O$3</f>
        <v>as of 02/04/00</v>
      </c>
      <c r="AH7" s="175"/>
      <c r="AI7" s="175" t="str">
        <f>+Summary!$O$3</f>
        <v>as of 02/04/00</v>
      </c>
      <c r="AJ7" s="175"/>
      <c r="AK7" s="175" t="str">
        <f>+Summary!$O$3</f>
        <v>as of 02/04/00</v>
      </c>
      <c r="AL7" s="175"/>
      <c r="AM7" s="175" t="str">
        <f>+Summary!$O$3</f>
        <v>as of 02/04/00</v>
      </c>
      <c r="AN7" s="175"/>
      <c r="AO7" s="175" t="str">
        <f>+Summary!$O$3</f>
        <v>as of 02/04/00</v>
      </c>
      <c r="AP7" s="175"/>
      <c r="AQ7" s="175" t="str">
        <f>+Summary!$O$3</f>
        <v>as of 02/04/00</v>
      </c>
      <c r="AS7" s="175" t="str">
        <f>+Summary!$O$3</f>
        <v>as of 02/04/00</v>
      </c>
      <c r="AU7" s="175" t="str">
        <f>+Summary!$O$3</f>
        <v>as of 02/04/00</v>
      </c>
      <c r="AW7" s="175" t="str">
        <f>+Summary!$O$3</f>
        <v>as of 02/04/00</v>
      </c>
      <c r="AY7" s="150" t="str">
        <f>+Summary!$O$3</f>
        <v>as of 02/04/00</v>
      </c>
      <c r="BA7" s="132" t="str">
        <f>+Summary!$O$3</f>
        <v>as of 02/04/00</v>
      </c>
      <c r="BC7" s="150"/>
      <c r="BE7" s="150"/>
      <c r="BG7" s="150"/>
      <c r="BJ7" s="147"/>
    </row>
    <row r="8" spans="1:63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177"/>
      <c r="AU8" s="177"/>
      <c r="AW8" s="177"/>
      <c r="AY8" s="6"/>
      <c r="BA8" s="177"/>
      <c r="BC8" s="6"/>
      <c r="BD8" s="6"/>
      <c r="BE8" s="6"/>
      <c r="BF8" s="6"/>
      <c r="BG8" s="6"/>
    </row>
    <row r="9" spans="1:63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Y9" s="45">
        <f>SUM(P9:AX9)</f>
        <v>1347000</v>
      </c>
      <c r="BC9" s="8">
        <f>IF(+O9-AY9+BA9&gt;0,O9-AY9+BA9,0)</f>
        <v>0</v>
      </c>
      <c r="BD9" s="6"/>
      <c r="BE9" s="8">
        <f>+BC9+AY9</f>
        <v>1347000</v>
      </c>
      <c r="BF9" s="6"/>
      <c r="BG9" s="8">
        <f t="shared" ref="BG9:BG24" si="1">O9-AY9-BC9</f>
        <v>0</v>
      </c>
      <c r="BH9" s="12"/>
      <c r="BI9" s="47" t="s">
        <v>405</v>
      </c>
      <c r="BJ9" s="8">
        <v>-1347000</v>
      </c>
      <c r="BK9" s="39">
        <f>+BE9+BJ9</f>
        <v>0</v>
      </c>
    </row>
    <row r="10" spans="1:63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Y10" s="45">
        <f t="shared" ref="AY10:AY24" si="2">SUM(P10:AX10)</f>
        <v>359732.63</v>
      </c>
      <c r="BA10" s="143">
        <v>0</v>
      </c>
      <c r="BC10" s="8">
        <v>0</v>
      </c>
      <c r="BD10" s="6"/>
      <c r="BE10" s="8">
        <f t="shared" ref="BE10:BE120" si="3">+BC10+AY10</f>
        <v>359732.63</v>
      </c>
      <c r="BF10" s="6"/>
      <c r="BG10" s="8">
        <f t="shared" si="1"/>
        <v>140267.37</v>
      </c>
      <c r="BH10" s="12"/>
      <c r="BI10" s="47" t="s">
        <v>429</v>
      </c>
      <c r="BJ10" s="8">
        <v>-611136</v>
      </c>
      <c r="BK10" s="39">
        <f t="shared" ref="BK10:BK24" si="4">+BE10+BJ10</f>
        <v>-251403.37</v>
      </c>
    </row>
    <row r="11" spans="1:63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Y11" s="45">
        <f t="shared" si="2"/>
        <v>134700</v>
      </c>
      <c r="BC11" s="8">
        <f>IF(+O11-AY11+BA11&gt;0,O11-AY11+BA11,0)</f>
        <v>0</v>
      </c>
      <c r="BD11" s="6"/>
      <c r="BE11" s="8">
        <f t="shared" si="3"/>
        <v>134700</v>
      </c>
      <c r="BF11" s="6"/>
      <c r="BG11" s="8">
        <f t="shared" si="1"/>
        <v>0</v>
      </c>
      <c r="BH11" s="12"/>
      <c r="BI11" s="47"/>
      <c r="BK11" s="39">
        <f t="shared" si="4"/>
        <v>134700</v>
      </c>
    </row>
    <row r="12" spans="1:63" x14ac:dyDescent="0.2">
      <c r="A12" s="218"/>
      <c r="B12" s="31" t="s">
        <v>370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Y12" s="45">
        <f t="shared" si="2"/>
        <v>27502774</v>
      </c>
      <c r="BC12" s="8">
        <v>0</v>
      </c>
      <c r="BD12" s="6"/>
      <c r="BE12" s="8">
        <f t="shared" si="3"/>
        <v>27502774</v>
      </c>
      <c r="BF12" s="6"/>
      <c r="BG12" s="8">
        <f t="shared" si="1"/>
        <v>226</v>
      </c>
      <c r="BH12" s="12"/>
      <c r="BI12" s="47" t="s">
        <v>116</v>
      </c>
      <c r="BK12" s="39">
        <f t="shared" si="4"/>
        <v>27502774</v>
      </c>
    </row>
    <row r="13" spans="1:63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Y13" s="45">
        <f t="shared" si="2"/>
        <v>-700000</v>
      </c>
      <c r="BC13" s="8">
        <f>O13-AY13+BA13</f>
        <v>0</v>
      </c>
      <c r="BD13" s="6"/>
      <c r="BE13" s="131">
        <f t="shared" si="3"/>
        <v>-700000</v>
      </c>
      <c r="BF13" s="6"/>
      <c r="BG13" s="8">
        <f t="shared" si="1"/>
        <v>0</v>
      </c>
      <c r="BH13" s="12"/>
      <c r="BI13" s="47"/>
      <c r="BK13" s="39">
        <f t="shared" si="4"/>
        <v>-700000</v>
      </c>
    </row>
    <row r="14" spans="1:63" x14ac:dyDescent="0.2">
      <c r="A14" s="218"/>
      <c r="B14" s="31" t="s">
        <v>497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U14" s="143">
        <v>900000</v>
      </c>
      <c r="AY14" s="45">
        <f t="shared" si="2"/>
        <v>3650277.4</v>
      </c>
      <c r="BC14" s="8">
        <v>0</v>
      </c>
      <c r="BD14" s="6"/>
      <c r="BE14" s="8">
        <f t="shared" si="3"/>
        <v>3650277.4</v>
      </c>
      <c r="BF14" s="6"/>
      <c r="BG14" s="8">
        <f t="shared" si="1"/>
        <v>-50277.399999999907</v>
      </c>
      <c r="BH14" s="12"/>
      <c r="BI14" s="47"/>
      <c r="BK14" s="39">
        <f t="shared" si="4"/>
        <v>3650277.4</v>
      </c>
    </row>
    <row r="15" spans="1:63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Y15" s="45">
        <f t="shared" si="2"/>
        <v>1812450</v>
      </c>
      <c r="BA15" s="143">
        <v>0</v>
      </c>
      <c r="BC15" s="8">
        <f>IF(+O15-AY15+BA15&gt;0,O15-AY15+BA15,0)</f>
        <v>0</v>
      </c>
      <c r="BD15" s="6"/>
      <c r="BE15" s="8">
        <f t="shared" si="3"/>
        <v>1812450</v>
      </c>
      <c r="BF15" s="6"/>
      <c r="BG15" s="8">
        <f t="shared" si="1"/>
        <v>-504790</v>
      </c>
      <c r="BH15" s="12"/>
      <c r="BI15" s="47"/>
      <c r="BJ15" s="8">
        <v>-1375178</v>
      </c>
      <c r="BK15" s="39">
        <f t="shared" si="4"/>
        <v>437272</v>
      </c>
    </row>
    <row r="16" spans="1:63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Y16" s="45">
        <f t="shared" si="2"/>
        <v>3729046.0700000003</v>
      </c>
      <c r="BA16" s="143">
        <f>2254002</f>
        <v>2254002</v>
      </c>
      <c r="BC16" s="8">
        <f>IF(+O16-AY16+BA16&gt;0,O16-AY16+BA16,0)</f>
        <v>0</v>
      </c>
      <c r="BD16" s="6"/>
      <c r="BE16" s="264">
        <f>+BC16+AY16</f>
        <v>3729046.0700000003</v>
      </c>
      <c r="BF16" s="6"/>
      <c r="BG16" s="8">
        <f t="shared" si="1"/>
        <v>-2455021.0700000003</v>
      </c>
      <c r="BH16" s="12"/>
      <c r="BI16" s="47" t="s">
        <v>406</v>
      </c>
      <c r="BJ16" s="8">
        <f>1000000-1274025</f>
        <v>-274025</v>
      </c>
      <c r="BK16" s="39">
        <f>+BE16+BJ16</f>
        <v>3455021.0700000003</v>
      </c>
    </row>
    <row r="17" spans="1:63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Y17" s="45">
        <f t="shared" si="2"/>
        <v>-200500</v>
      </c>
      <c r="BC17" s="8">
        <f>O17-AY17+BA17</f>
        <v>0</v>
      </c>
      <c r="BD17" s="6"/>
      <c r="BE17" s="131">
        <f t="shared" si="3"/>
        <v>-200500</v>
      </c>
      <c r="BF17" s="6"/>
      <c r="BG17" s="8">
        <f t="shared" si="1"/>
        <v>0</v>
      </c>
      <c r="BH17" s="12"/>
      <c r="BI17" s="47"/>
      <c r="BK17" s="39">
        <f t="shared" si="4"/>
        <v>-200500</v>
      </c>
    </row>
    <row r="18" spans="1:63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Y18" s="45">
        <f t="shared" si="2"/>
        <v>-100000</v>
      </c>
      <c r="BC18" s="8">
        <f>O18-AY18+BA18</f>
        <v>0</v>
      </c>
      <c r="BD18" s="6"/>
      <c r="BE18" s="131">
        <f t="shared" si="3"/>
        <v>-100000</v>
      </c>
      <c r="BF18" s="6"/>
      <c r="BG18" s="8">
        <f t="shared" si="1"/>
        <v>0</v>
      </c>
      <c r="BH18" s="12"/>
      <c r="BI18" s="47"/>
      <c r="BK18" s="39">
        <f t="shared" si="4"/>
        <v>-100000</v>
      </c>
    </row>
    <row r="19" spans="1:63" x14ac:dyDescent="0.2">
      <c r="A19" s="218"/>
      <c r="B19" s="31" t="s">
        <v>553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Y19" s="45">
        <f t="shared" si="2"/>
        <v>14347</v>
      </c>
      <c r="BC19" s="8">
        <v>0</v>
      </c>
      <c r="BD19" s="6"/>
      <c r="BE19" s="8">
        <f t="shared" si="3"/>
        <v>14347</v>
      </c>
      <c r="BF19" s="6"/>
      <c r="BG19" s="8">
        <f t="shared" si="1"/>
        <v>74835</v>
      </c>
      <c r="BH19" s="12"/>
      <c r="BI19" s="47"/>
      <c r="BK19" s="39">
        <f t="shared" si="4"/>
        <v>14347</v>
      </c>
    </row>
    <row r="20" spans="1:63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Y20" s="45">
        <f t="shared" si="2"/>
        <v>9167.59</v>
      </c>
      <c r="BC20" s="8">
        <f>IF(+O20-AY20+BA20&gt;0,O20-AY20+BA20,0)</f>
        <v>0</v>
      </c>
      <c r="BD20" s="6"/>
      <c r="BE20" s="8">
        <f t="shared" si="3"/>
        <v>9167.59</v>
      </c>
      <c r="BF20" s="6"/>
      <c r="BG20" s="8">
        <f t="shared" si="1"/>
        <v>-9167.59</v>
      </c>
      <c r="BH20" s="12"/>
      <c r="BI20" s="8"/>
      <c r="BJ20" s="8">
        <v>-10680</v>
      </c>
      <c r="BK20" s="39">
        <f t="shared" si="4"/>
        <v>-1512.4099999999999</v>
      </c>
    </row>
    <row r="21" spans="1:63" x14ac:dyDescent="0.2">
      <c r="A21" s="113"/>
      <c r="B21" s="31" t="s">
        <v>371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Y21" s="45">
        <f t="shared" si="2"/>
        <v>0</v>
      </c>
      <c r="BC21" s="8">
        <f>IF(+O21-AY21+BA21&gt;0,O21-AY21+BA21,0)</f>
        <v>0</v>
      </c>
      <c r="BD21" s="6"/>
      <c r="BE21" s="8">
        <f>+BC21+AY21</f>
        <v>0</v>
      </c>
      <c r="BF21" s="6"/>
      <c r="BG21" s="8">
        <f t="shared" si="1"/>
        <v>0</v>
      </c>
      <c r="BH21" s="12"/>
      <c r="BI21" s="47"/>
      <c r="BK21" s="39">
        <f t="shared" si="4"/>
        <v>0</v>
      </c>
    </row>
    <row r="22" spans="1:63" x14ac:dyDescent="0.2">
      <c r="A22" s="113"/>
      <c r="B22" s="31" t="s">
        <v>315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Y22" s="45">
        <f t="shared" si="2"/>
        <v>8607522.9600000009</v>
      </c>
      <c r="BC22" s="12">
        <v>0</v>
      </c>
      <c r="BD22" s="6"/>
      <c r="BE22" s="264">
        <f>+BC22+AY22</f>
        <v>8607522.9600000009</v>
      </c>
      <c r="BF22" s="6"/>
      <c r="BG22" s="8">
        <f t="shared" si="1"/>
        <v>-1232522.9600000009</v>
      </c>
      <c r="BH22" s="12"/>
      <c r="BI22" s="47" t="s">
        <v>517</v>
      </c>
      <c r="BJ22" s="8">
        <f>6725000-185651</f>
        <v>6539349</v>
      </c>
      <c r="BK22" s="39">
        <f t="shared" si="4"/>
        <v>15146871.960000001</v>
      </c>
    </row>
    <row r="23" spans="1:63" x14ac:dyDescent="0.2">
      <c r="A23" s="165"/>
      <c r="B23" s="31" t="s">
        <v>546</v>
      </c>
      <c r="C23" s="114"/>
      <c r="K23" s="5"/>
      <c r="L23" s="5"/>
      <c r="M23" s="5"/>
      <c r="N23" s="5"/>
      <c r="O23" s="5"/>
      <c r="V23" s="12"/>
      <c r="AO23" s="143">
        <v>1500000</v>
      </c>
      <c r="AY23" s="45">
        <f t="shared" si="2"/>
        <v>1500000</v>
      </c>
      <c r="BA23" s="143">
        <v>1500000</v>
      </c>
      <c r="BC23" s="8">
        <v>0</v>
      </c>
      <c r="BD23" s="6"/>
      <c r="BE23" s="264">
        <f>+BC23+AY23</f>
        <v>1500000</v>
      </c>
      <c r="BF23" s="6"/>
      <c r="BG23" s="8">
        <f t="shared" si="1"/>
        <v>-1500000</v>
      </c>
      <c r="BH23" s="12"/>
      <c r="BI23" s="47"/>
      <c r="BK23" s="39"/>
    </row>
    <row r="24" spans="1:63" x14ac:dyDescent="0.2">
      <c r="A24" s="218"/>
      <c r="B24" s="31" t="s">
        <v>314</v>
      </c>
      <c r="C24" s="114" t="s">
        <v>316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Y24" s="45">
        <f t="shared" si="2"/>
        <v>35464589.010000005</v>
      </c>
      <c r="BC24" s="8">
        <v>0</v>
      </c>
      <c r="BD24" s="6"/>
      <c r="BE24" s="264">
        <f t="shared" si="3"/>
        <v>35464589.010000005</v>
      </c>
      <c r="BF24" s="6"/>
      <c r="BG24" s="8">
        <f t="shared" si="1"/>
        <v>-8679193.0100000054</v>
      </c>
      <c r="BH24" s="12"/>
      <c r="BI24" s="143">
        <f>-396000-1291080+126037.25+47164.53+13431.12+56577.48+268566.61+77785.14+536002.1+49578.57+14147.3+680938.26+1339270+2678540+14561.54+81471.53+8313.94+35380.36+3470.23</f>
        <v>4344155.9600000018</v>
      </c>
      <c r="BJ24" s="8">
        <v>-1164043</v>
      </c>
      <c r="BK24" s="39">
        <f t="shared" si="4"/>
        <v>34300546.010000005</v>
      </c>
    </row>
    <row r="25" spans="1:63" x14ac:dyDescent="0.2">
      <c r="A25" s="218"/>
      <c r="B25" s="31" t="s">
        <v>404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0</v>
      </c>
      <c r="AU25" s="181">
        <f>SUBTOTAL(9,AU9:AU24)</f>
        <v>900000</v>
      </c>
      <c r="AW25" s="181">
        <f>SUBTOTAL(9,AW9:AW24)</f>
        <v>0</v>
      </c>
      <c r="AY25" s="181">
        <f>SUBTOTAL(9,AY9:AY24)</f>
        <v>83131106.660000011</v>
      </c>
      <c r="BA25" s="181">
        <f>SUBTOTAL(9,BA9:BA24)</f>
        <v>3754002</v>
      </c>
      <c r="BC25" s="181">
        <f>SUM(BC9:BC24)</f>
        <v>0</v>
      </c>
      <c r="BD25" s="6"/>
      <c r="BE25" s="181">
        <f>SUM(BE9:BE24)</f>
        <v>83131106.660000011</v>
      </c>
      <c r="BF25" s="6"/>
      <c r="BG25" s="181">
        <f>SUM(BG9:BG24)</f>
        <v>-14215643.660000006</v>
      </c>
      <c r="BH25" s="8"/>
      <c r="BI25" s="8"/>
      <c r="BJ25" s="8">
        <f>SUM(BJ9:BJ24)</f>
        <v>1757287</v>
      </c>
      <c r="BK25" s="39">
        <f>+BE25+BJ25</f>
        <v>84888393.660000011</v>
      </c>
    </row>
    <row r="26" spans="1:63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Y26" s="45"/>
      <c r="BD26" s="6"/>
      <c r="BE26" s="131"/>
      <c r="BF26" s="6"/>
      <c r="BH26" s="12"/>
      <c r="BI26" s="47"/>
    </row>
    <row r="27" spans="1:63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Y27" s="45">
        <f t="shared" ref="AY27:AY40" si="6">SUM(P27:AX27)</f>
        <v>7891256.5300000003</v>
      </c>
      <c r="BC27" s="8">
        <v>0</v>
      </c>
      <c r="BD27" s="6"/>
      <c r="BE27" s="131">
        <f t="shared" si="3"/>
        <v>7891256.5300000003</v>
      </c>
      <c r="BF27" s="6"/>
      <c r="BG27" s="8">
        <f>O27-AY27-BC27</f>
        <v>-2526156.5300000003</v>
      </c>
      <c r="BH27" s="12"/>
      <c r="BI27" s="47"/>
      <c r="BJ27" s="8">
        <v>-5488215</v>
      </c>
      <c r="BK27" s="39">
        <f>+BE27+BJ27</f>
        <v>2403041.5300000003</v>
      </c>
    </row>
    <row r="28" spans="1:63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Y28" s="45">
        <f t="shared" si="6"/>
        <v>0</v>
      </c>
      <c r="BC28" s="8">
        <f>IF(+O28-AY28+BA28&gt;0,O28-AY28+BA28,0)</f>
        <v>0</v>
      </c>
      <c r="BD28" s="6"/>
      <c r="BE28" s="8">
        <f t="shared" si="3"/>
        <v>0</v>
      </c>
      <c r="BF28" s="6"/>
      <c r="BG28" s="8">
        <f>O28-AY28-BC28</f>
        <v>0</v>
      </c>
      <c r="BH28" s="12"/>
      <c r="BI28" s="47"/>
    </row>
    <row r="29" spans="1:63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Y29" s="45"/>
      <c r="BD29" s="6"/>
      <c r="BF29" s="6"/>
      <c r="BH29" s="12"/>
      <c r="BI29" s="47"/>
    </row>
    <row r="30" spans="1:63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Y30" s="45">
        <f t="shared" si="6"/>
        <v>6202450.9500000002</v>
      </c>
      <c r="BC30" s="8">
        <v>0</v>
      </c>
      <c r="BD30" s="6"/>
      <c r="BE30" s="264">
        <f t="shared" si="3"/>
        <v>6202450.9500000002</v>
      </c>
      <c r="BF30" s="6"/>
      <c r="BG30" s="8">
        <f t="shared" ref="BG30:BG40" si="7">O30-AY30-BC30</f>
        <v>-52450.950000000186</v>
      </c>
      <c r="BH30" s="12"/>
      <c r="BI30" s="8"/>
      <c r="BK30" s="39">
        <f t="shared" ref="BK30:BK43" si="8">+BE30+BJ30</f>
        <v>6202450.9500000002</v>
      </c>
    </row>
    <row r="31" spans="1:63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Y31" s="45">
        <f t="shared" si="6"/>
        <v>165430</v>
      </c>
      <c r="BC31" s="8">
        <f>165430-AY31</f>
        <v>0</v>
      </c>
      <c r="BD31" s="6"/>
      <c r="BE31" s="8">
        <f t="shared" si="3"/>
        <v>165430</v>
      </c>
      <c r="BF31" s="6"/>
      <c r="BG31" s="8">
        <f t="shared" si="7"/>
        <v>0</v>
      </c>
      <c r="BH31" s="12"/>
      <c r="BI31" s="8"/>
      <c r="BK31" s="39">
        <f t="shared" si="8"/>
        <v>165430</v>
      </c>
    </row>
    <row r="32" spans="1:63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Y32" s="45">
        <f t="shared" si="6"/>
        <v>75356</v>
      </c>
      <c r="BC32" s="8">
        <f>75356-AY32</f>
        <v>0</v>
      </c>
      <c r="BD32" s="6"/>
      <c r="BE32" s="8">
        <f t="shared" si="3"/>
        <v>75356</v>
      </c>
      <c r="BF32" s="6"/>
      <c r="BG32" s="8">
        <f t="shared" si="7"/>
        <v>0</v>
      </c>
      <c r="BH32" s="12"/>
      <c r="BI32" s="8"/>
      <c r="BK32" s="39">
        <f t="shared" si="8"/>
        <v>75356</v>
      </c>
    </row>
    <row r="33" spans="1:63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Y33" s="45">
        <f t="shared" si="6"/>
        <v>4177338.96</v>
      </c>
      <c r="BA33" s="143">
        <v>0</v>
      </c>
      <c r="BC33" s="8">
        <v>0</v>
      </c>
      <c r="BD33" s="6"/>
      <c r="BE33" s="8">
        <f t="shared" si="3"/>
        <v>4177338.96</v>
      </c>
      <c r="BF33" s="6"/>
      <c r="BG33" s="8">
        <f t="shared" si="7"/>
        <v>-17178.959999999963</v>
      </c>
      <c r="BH33" s="12"/>
      <c r="BI33" s="8"/>
      <c r="BK33" s="39">
        <f t="shared" si="8"/>
        <v>4177338.96</v>
      </c>
    </row>
    <row r="34" spans="1:63" x14ac:dyDescent="0.2">
      <c r="A34" s="113"/>
      <c r="B34" s="31" t="s">
        <v>511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Y34" s="45">
        <f t="shared" si="6"/>
        <v>0</v>
      </c>
      <c r="BA34" s="143">
        <v>0</v>
      </c>
      <c r="BC34" s="8">
        <f>IF(+O34-AY34+BA34&gt;0,O34-AY34+BA34,0)</f>
        <v>0</v>
      </c>
      <c r="BD34" s="6"/>
      <c r="BE34" s="8">
        <f t="shared" si="3"/>
        <v>0</v>
      </c>
      <c r="BF34" s="6"/>
      <c r="BG34" s="8">
        <f t="shared" si="7"/>
        <v>0</v>
      </c>
      <c r="BH34" s="12"/>
      <c r="BI34" s="8"/>
      <c r="BK34" s="39"/>
    </row>
    <row r="35" spans="1:63" x14ac:dyDescent="0.2">
      <c r="A35" s="113"/>
      <c r="B35" s="31" t="s">
        <v>514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Y35" s="45">
        <f t="shared" si="6"/>
        <v>601800</v>
      </c>
      <c r="BA35" s="143">
        <v>0</v>
      </c>
      <c r="BC35" s="8">
        <f>601800-AY35</f>
        <v>0</v>
      </c>
      <c r="BD35" s="6"/>
      <c r="BE35" s="8">
        <f t="shared" si="3"/>
        <v>601800</v>
      </c>
      <c r="BF35" s="6"/>
      <c r="BG35" s="8">
        <f t="shared" si="7"/>
        <v>-601800</v>
      </c>
      <c r="BH35" s="12"/>
      <c r="BI35" s="8"/>
      <c r="BK35" s="39"/>
    </row>
    <row r="36" spans="1:63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Y36" s="45">
        <f t="shared" si="6"/>
        <v>0</v>
      </c>
      <c r="BC36" s="8">
        <v>0</v>
      </c>
      <c r="BD36" s="6"/>
      <c r="BE36" s="8">
        <f t="shared" si="3"/>
        <v>0</v>
      </c>
      <c r="BF36" s="6"/>
      <c r="BG36" s="8">
        <f t="shared" si="7"/>
        <v>25000</v>
      </c>
      <c r="BH36" s="12"/>
      <c r="BI36" s="8"/>
      <c r="BK36" s="39">
        <f t="shared" si="8"/>
        <v>0</v>
      </c>
    </row>
    <row r="37" spans="1:63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Y37" s="45">
        <f t="shared" si="6"/>
        <v>0</v>
      </c>
      <c r="BC37" s="8">
        <v>0</v>
      </c>
      <c r="BD37" s="6"/>
      <c r="BE37" s="8">
        <f t="shared" si="3"/>
        <v>0</v>
      </c>
      <c r="BF37" s="6"/>
      <c r="BG37" s="8">
        <f t="shared" si="7"/>
        <v>146850</v>
      </c>
      <c r="BH37" s="12"/>
      <c r="BI37" s="8"/>
      <c r="BK37" s="39">
        <f t="shared" si="8"/>
        <v>0</v>
      </c>
    </row>
    <row r="38" spans="1:63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Y38" s="45">
        <f t="shared" si="6"/>
        <v>0</v>
      </c>
      <c r="BC38" s="8">
        <v>0</v>
      </c>
      <c r="BD38" s="6"/>
      <c r="BE38" s="8">
        <f t="shared" si="3"/>
        <v>0</v>
      </c>
      <c r="BF38" s="6"/>
      <c r="BG38" s="8">
        <f t="shared" si="7"/>
        <v>154950</v>
      </c>
      <c r="BH38" s="12"/>
      <c r="BI38" s="8"/>
      <c r="BK38" s="39">
        <f t="shared" si="8"/>
        <v>0</v>
      </c>
    </row>
    <row r="39" spans="1:63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Y39" s="45">
        <f t="shared" si="6"/>
        <v>0</v>
      </c>
      <c r="BC39" s="8">
        <v>0</v>
      </c>
      <c r="BD39" s="6"/>
      <c r="BE39" s="8">
        <f t="shared" si="3"/>
        <v>0</v>
      </c>
      <c r="BF39" s="6"/>
      <c r="BG39" s="8">
        <f t="shared" si="7"/>
        <v>10000</v>
      </c>
      <c r="BH39" s="12"/>
      <c r="BI39" s="8"/>
      <c r="BK39" s="39">
        <f t="shared" si="8"/>
        <v>0</v>
      </c>
    </row>
    <row r="40" spans="1:63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44"/>
      <c r="AU40" s="144"/>
      <c r="AW40" s="144"/>
      <c r="AY40" s="129">
        <f t="shared" si="6"/>
        <v>114500</v>
      </c>
      <c r="BA40" s="144"/>
      <c r="BC40" s="14">
        <v>0</v>
      </c>
      <c r="BD40" s="6"/>
      <c r="BE40" s="35">
        <f t="shared" si="3"/>
        <v>114500</v>
      </c>
      <c r="BF40" s="6"/>
      <c r="BG40" s="14">
        <f t="shared" si="7"/>
        <v>-114500</v>
      </c>
      <c r="BH40" s="34"/>
      <c r="BI40" s="21"/>
      <c r="BK40" s="39">
        <f t="shared" si="8"/>
        <v>114500</v>
      </c>
    </row>
    <row r="41" spans="1:63" x14ac:dyDescent="0.2">
      <c r="A41" s="113"/>
      <c r="B41" s="31" t="s">
        <v>469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0</v>
      </c>
      <c r="AU41" s="20">
        <f>SUBTOTAL(9,AU30:AU40)</f>
        <v>0</v>
      </c>
      <c r="AW41" s="20">
        <f>SUBTOTAL(9,AW30:AW40)</f>
        <v>0</v>
      </c>
      <c r="AY41" s="20">
        <f>SUBTOTAL(9,AY30:AY40)</f>
        <v>11336875.91</v>
      </c>
      <c r="BA41" s="20">
        <f>SUM(BA27:BA40)</f>
        <v>0</v>
      </c>
      <c r="BC41" s="20">
        <f>SUM(BC30:BC40)</f>
        <v>0</v>
      </c>
      <c r="BD41" s="6"/>
      <c r="BE41" s="20">
        <f>SUM(BE30:BE40)</f>
        <v>11336875.91</v>
      </c>
      <c r="BF41" s="6"/>
      <c r="BG41" s="20">
        <f>SUM(BG30:BG40)</f>
        <v>-449129.91000000015</v>
      </c>
      <c r="BH41" s="34"/>
      <c r="BI41" s="21"/>
      <c r="BK41" s="39"/>
    </row>
    <row r="42" spans="1:63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Y42" s="13"/>
      <c r="BA42" s="13"/>
      <c r="BC42" s="13"/>
      <c r="BD42" s="6"/>
      <c r="BE42" s="13"/>
      <c r="BF42" s="6"/>
      <c r="BG42" s="13"/>
      <c r="BH42" s="34"/>
      <c r="BI42" s="21"/>
      <c r="BK42" s="39"/>
    </row>
    <row r="43" spans="1:63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0</v>
      </c>
      <c r="AU43" s="15">
        <f>AU25+AU27+AU28+AU41</f>
        <v>900000</v>
      </c>
      <c r="AW43" s="15">
        <f>AW25+AW27+AW28+AW41</f>
        <v>0</v>
      </c>
      <c r="AY43" s="15">
        <f>AY25+AY27+AY28+AY41</f>
        <v>102359239.10000001</v>
      </c>
      <c r="BA43" s="15">
        <f>+BA41+BA25</f>
        <v>3754002</v>
      </c>
      <c r="BC43" s="15">
        <f>BC25+BC27+BC28+BC41</f>
        <v>0</v>
      </c>
      <c r="BD43" s="6"/>
      <c r="BE43" s="15">
        <f>BE25+BE27+BE28+BE41</f>
        <v>102359239.10000001</v>
      </c>
      <c r="BF43" s="6"/>
      <c r="BG43" s="15">
        <f>BG25+BG27+BG28+BG41</f>
        <v>-17190930.100000005</v>
      </c>
      <c r="BH43" s="12"/>
      <c r="BI43" s="15"/>
      <c r="BJ43" s="8">
        <f>SUM(BJ25:BJ40)</f>
        <v>-3730928</v>
      </c>
      <c r="BK43" s="39">
        <f t="shared" si="8"/>
        <v>98628311.100000009</v>
      </c>
    </row>
    <row r="44" spans="1:63" x14ac:dyDescent="0.2">
      <c r="A44" s="113"/>
      <c r="B44" s="171"/>
      <c r="C44" s="114"/>
      <c r="V44" s="12"/>
      <c r="AY44" s="45"/>
      <c r="BD44" s="6"/>
      <c r="BF44" s="6"/>
      <c r="BH44" s="8"/>
      <c r="BI44" s="8"/>
    </row>
    <row r="45" spans="1:63" x14ac:dyDescent="0.2">
      <c r="A45" s="112" t="s">
        <v>27</v>
      </c>
      <c r="B45" s="19"/>
      <c r="C45" s="114"/>
      <c r="V45" s="12"/>
      <c r="AY45" s="45"/>
      <c r="BD45" s="6"/>
      <c r="BF45" s="6"/>
      <c r="BH45" s="8"/>
      <c r="BI45" s="8"/>
    </row>
    <row r="46" spans="1:63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S46" s="143">
        <v>751</v>
      </c>
      <c r="AY46" s="45">
        <f>SUM(P46:AX46)</f>
        <v>810449.73999999987</v>
      </c>
      <c r="BA46" s="143">
        <f>570000-397500+72200+189000+34800</f>
        <v>468500</v>
      </c>
      <c r="BC46" s="8">
        <f>IF(+O46-AY46+BA46&gt;0,O46-AY46+BA46,0)</f>
        <v>55550.260000000126</v>
      </c>
      <c r="BD46" s="6"/>
      <c r="BE46" s="8">
        <f t="shared" si="3"/>
        <v>866000</v>
      </c>
      <c r="BF46" s="6"/>
      <c r="BG46" s="8">
        <f>O46-AY46-BC46</f>
        <v>-468500</v>
      </c>
      <c r="BH46" s="12"/>
      <c r="BI46" s="131"/>
    </row>
    <row r="47" spans="1:63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Y47" s="45">
        <f>SUM(P47:AX47)</f>
        <v>0</v>
      </c>
      <c r="BA47" s="143">
        <v>-12200</v>
      </c>
      <c r="BC47" s="8">
        <f>IF(+O47-AY47+BA47&gt;0,O47-AY47+BA47,0)</f>
        <v>0</v>
      </c>
      <c r="BD47" s="6"/>
      <c r="BE47" s="8">
        <f t="shared" si="3"/>
        <v>0</v>
      </c>
      <c r="BF47" s="6"/>
      <c r="BG47" s="8">
        <f>O47-AY47-BC47</f>
        <v>12200</v>
      </c>
      <c r="BH47" s="12"/>
      <c r="BI47" s="8"/>
    </row>
    <row r="48" spans="1:63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Y48" s="45">
        <f>SUM(P48:AX48)</f>
        <v>39063.519999999997</v>
      </c>
      <c r="BA48" s="143">
        <f>47300-24500-7300</f>
        <v>15500</v>
      </c>
      <c r="BC48" s="8">
        <f>IF(+O48-AY48+BA48&gt;0,O48-AY48+BA48,0)</f>
        <v>936.4800000000032</v>
      </c>
      <c r="BD48" s="6"/>
      <c r="BE48" s="8">
        <f t="shared" si="3"/>
        <v>40000</v>
      </c>
      <c r="BF48" s="6"/>
      <c r="BG48" s="8">
        <f>O48-AY48-BC48</f>
        <v>-15500</v>
      </c>
      <c r="BH48" s="12"/>
      <c r="BI48" s="8"/>
    </row>
    <row r="49" spans="1:63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173"/>
      <c r="AT49" s="19"/>
      <c r="AU49" s="173"/>
      <c r="AV49" s="19"/>
      <c r="AW49" s="173"/>
      <c r="AX49" s="19"/>
      <c r="AY49" s="45">
        <f>SUM(P49:AX49)</f>
        <v>159905.75</v>
      </c>
      <c r="BA49" s="173">
        <f>160000-115300-60000-24652+89652</f>
        <v>49700</v>
      </c>
      <c r="BC49" s="21">
        <f>IF(+O49-AY49+BA49&gt;0,O49-AY49+BA49,0)</f>
        <v>5094.25</v>
      </c>
      <c r="BD49" s="19"/>
      <c r="BE49" s="383">
        <f t="shared" si="3"/>
        <v>165000</v>
      </c>
      <c r="BF49" s="19"/>
      <c r="BG49" s="8">
        <f>O49-AY49-BC49</f>
        <v>-49700</v>
      </c>
      <c r="BH49" s="34"/>
      <c r="BI49" s="21"/>
    </row>
    <row r="50" spans="1:63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144"/>
      <c r="AT50" s="19"/>
      <c r="AU50" s="144"/>
      <c r="AV50" s="19"/>
      <c r="AW50" s="144"/>
      <c r="AX50" s="19"/>
      <c r="AY50" s="45">
        <f>SUM(P50:AX50)</f>
        <v>128678.89000000001</v>
      </c>
      <c r="BA50" s="144">
        <f>128679-92331</f>
        <v>36348</v>
      </c>
      <c r="BC50" s="14">
        <f>IF(+O50-AY50+BA50&gt;0,O50-AY50+BA50,0)</f>
        <v>0.10999999998603016</v>
      </c>
      <c r="BD50" s="19"/>
      <c r="BE50" s="384">
        <f t="shared" si="3"/>
        <v>128679</v>
      </c>
      <c r="BF50" s="19"/>
      <c r="BG50" s="8">
        <f>O50-AY50-BC50</f>
        <v>-36348</v>
      </c>
      <c r="BH50" s="34"/>
      <c r="BI50" s="21"/>
    </row>
    <row r="51" spans="1:63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41">
        <f>SUM(AS46:AS50)</f>
        <v>751</v>
      </c>
      <c r="AU51" s="141">
        <f>SUM(AU46:AU50)</f>
        <v>0</v>
      </c>
      <c r="AW51" s="141">
        <f>SUM(AW46:AW50)</f>
        <v>0</v>
      </c>
      <c r="AY51" s="108">
        <f>SUM(AY46:AY50)</f>
        <v>1138097.8999999999</v>
      </c>
      <c r="BA51" s="141">
        <f>SUM(BA46:BA50)</f>
        <v>557848</v>
      </c>
      <c r="BC51" s="15">
        <f>SUM(BC46:BC50)</f>
        <v>61581.100000000115</v>
      </c>
      <c r="BD51" s="6"/>
      <c r="BE51" s="15">
        <f>SUM(BE46:BE50)</f>
        <v>1199679</v>
      </c>
      <c r="BF51" s="6"/>
      <c r="BG51" s="107">
        <f>SUM(BG46:BG50)</f>
        <v>-557848</v>
      </c>
      <c r="BH51" s="34"/>
      <c r="BI51" s="15"/>
      <c r="BK51" s="39">
        <f>+BE51+BK43</f>
        <v>99827990.100000009</v>
      </c>
    </row>
    <row r="52" spans="1:63" x14ac:dyDescent="0.2">
      <c r="A52" s="120"/>
      <c r="B52" s="31"/>
      <c r="C52" s="114"/>
      <c r="V52" s="12"/>
      <c r="AY52" s="45"/>
      <c r="BD52" s="6"/>
      <c r="BF52" s="6"/>
      <c r="BH52" s="8"/>
      <c r="BI52" s="8"/>
    </row>
    <row r="53" spans="1:63" x14ac:dyDescent="0.2">
      <c r="A53" s="113"/>
      <c r="B53" s="31"/>
      <c r="C53" s="114"/>
      <c r="G53" s="6"/>
      <c r="V53" s="12"/>
      <c r="AY53" s="45"/>
      <c r="BD53" s="6"/>
      <c r="BF53" s="6"/>
      <c r="BH53" s="8"/>
      <c r="BI53" s="8"/>
    </row>
    <row r="54" spans="1:63" x14ac:dyDescent="0.2">
      <c r="A54" s="112" t="s">
        <v>34</v>
      </c>
      <c r="B54" s="31"/>
      <c r="C54" s="114"/>
      <c r="G54" s="6"/>
      <c r="V54" s="12"/>
      <c r="AY54" s="45"/>
      <c r="BD54" s="6"/>
      <c r="BF54" s="6"/>
      <c r="BH54" s="8"/>
      <c r="BI54" s="8"/>
    </row>
    <row r="55" spans="1:63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Y55" s="45">
        <f t="shared" ref="AY55:AY79" si="9">SUM(P55:AX55)</f>
        <v>0</v>
      </c>
      <c r="BA55" s="143">
        <f>22467+59781+8871-151224</f>
        <v>-60105</v>
      </c>
      <c r="BC55" s="8">
        <f t="shared" ref="BC55:BC79" si="10">IF(+O55-AY55+BA55&gt;0,O55-AY55+BA55,0)</f>
        <v>0</v>
      </c>
      <c r="BD55" s="6"/>
      <c r="BE55" s="8">
        <f t="shared" si="3"/>
        <v>0</v>
      </c>
      <c r="BF55" s="6"/>
      <c r="BG55" s="8">
        <f t="shared" ref="BG55:BG79" si="11">O55-AY55-BC55</f>
        <v>60105</v>
      </c>
      <c r="BH55" s="12"/>
      <c r="BI55" s="8"/>
    </row>
    <row r="56" spans="1:63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2">SUM(K56:N56)</f>
        <v>636961</v>
      </c>
      <c r="V56" s="12"/>
      <c r="AY56" s="45">
        <f t="shared" si="9"/>
        <v>0</v>
      </c>
      <c r="BA56" s="143">
        <f>-139681+2608-499888</f>
        <v>-636961</v>
      </c>
      <c r="BC56" s="8">
        <f t="shared" si="10"/>
        <v>0</v>
      </c>
      <c r="BD56" s="6"/>
      <c r="BE56" s="8">
        <f t="shared" si="3"/>
        <v>0</v>
      </c>
      <c r="BF56" s="6"/>
      <c r="BG56" s="8">
        <f t="shared" si="11"/>
        <v>636961</v>
      </c>
      <c r="BH56" s="12"/>
      <c r="BI56" s="8"/>
    </row>
    <row r="57" spans="1:63" x14ac:dyDescent="0.2">
      <c r="A57" s="113"/>
      <c r="B57" s="31" t="s">
        <v>376</v>
      </c>
      <c r="C57" s="114"/>
      <c r="K57" s="5"/>
      <c r="M57" s="5">
        <v>16500</v>
      </c>
      <c r="O57" s="5">
        <f t="shared" si="12"/>
        <v>16500</v>
      </c>
      <c r="V57" s="12"/>
      <c r="AY57" s="45">
        <f t="shared" si="9"/>
        <v>0</v>
      </c>
      <c r="BA57" s="143">
        <f>10720-224-26996</f>
        <v>-16500</v>
      </c>
      <c r="BC57" s="8">
        <f t="shared" si="10"/>
        <v>0</v>
      </c>
      <c r="BD57" s="6"/>
      <c r="BE57" s="8">
        <f t="shared" si="3"/>
        <v>0</v>
      </c>
      <c r="BF57" s="6"/>
      <c r="BG57" s="8">
        <f t="shared" si="11"/>
        <v>16500</v>
      </c>
      <c r="BH57" s="12"/>
      <c r="BI57" s="8"/>
    </row>
    <row r="58" spans="1:63" x14ac:dyDescent="0.2">
      <c r="A58" s="113"/>
      <c r="B58" s="31" t="s">
        <v>377</v>
      </c>
      <c r="C58" s="114"/>
      <c r="K58" s="5"/>
      <c r="M58" s="5">
        <v>375110</v>
      </c>
      <c r="O58" s="5">
        <f t="shared" si="12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Y58" s="45">
        <f t="shared" si="9"/>
        <v>-0.20000000001164153</v>
      </c>
      <c r="BA58" s="143">
        <f>376211-375110-152824-223387</f>
        <v>-375110</v>
      </c>
      <c r="BC58" s="8">
        <v>0</v>
      </c>
      <c r="BD58" s="6"/>
      <c r="BE58" s="8">
        <f t="shared" si="3"/>
        <v>-0.20000000001164153</v>
      </c>
      <c r="BF58" s="6"/>
      <c r="BG58" s="8">
        <f t="shared" si="11"/>
        <v>375110.2</v>
      </c>
      <c r="BH58" s="12"/>
      <c r="BI58" s="8"/>
    </row>
    <row r="59" spans="1:63" x14ac:dyDescent="0.2">
      <c r="A59" s="113"/>
      <c r="B59" s="31" t="s">
        <v>225</v>
      </c>
      <c r="C59" s="114"/>
      <c r="K59" s="5"/>
      <c r="M59" s="5">
        <v>132000</v>
      </c>
      <c r="O59" s="5">
        <f t="shared" si="12"/>
        <v>132000</v>
      </c>
      <c r="V59" s="12"/>
      <c r="AY59" s="45">
        <f t="shared" si="9"/>
        <v>0</v>
      </c>
      <c r="BA59" s="143">
        <f>-116457+943-16486</f>
        <v>-132000</v>
      </c>
      <c r="BC59" s="8">
        <f t="shared" si="10"/>
        <v>0</v>
      </c>
      <c r="BD59" s="6"/>
      <c r="BE59" s="8">
        <f t="shared" si="3"/>
        <v>0</v>
      </c>
      <c r="BF59" s="6"/>
      <c r="BG59" s="8">
        <f t="shared" si="11"/>
        <v>132000</v>
      </c>
      <c r="BH59" s="12"/>
      <c r="BI59" s="8"/>
    </row>
    <row r="60" spans="1:63" x14ac:dyDescent="0.2">
      <c r="A60" s="113"/>
      <c r="B60" s="31" t="s">
        <v>378</v>
      </c>
      <c r="C60" s="114"/>
      <c r="K60" s="5"/>
      <c r="M60" s="5">
        <v>586658</v>
      </c>
      <c r="O60" s="5">
        <f t="shared" si="12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Y60" s="45">
        <f t="shared" si="9"/>
        <v>0</v>
      </c>
      <c r="BA60" s="143">
        <f>161754-586658+27872-189626</f>
        <v>-586658</v>
      </c>
      <c r="BC60" s="8">
        <f t="shared" si="10"/>
        <v>0</v>
      </c>
      <c r="BD60" s="6"/>
      <c r="BE60" s="8">
        <f t="shared" si="3"/>
        <v>0</v>
      </c>
      <c r="BF60" s="6"/>
      <c r="BG60" s="8">
        <f t="shared" si="11"/>
        <v>586658</v>
      </c>
      <c r="BH60" s="12"/>
      <c r="BI60" s="8"/>
    </row>
    <row r="61" spans="1:63" x14ac:dyDescent="0.2">
      <c r="A61" s="113"/>
      <c r="B61" s="31" t="s">
        <v>403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Y61" s="45">
        <f t="shared" si="9"/>
        <v>0</v>
      </c>
      <c r="BA61" s="143">
        <f>7900+12835+31765-14607-37893</f>
        <v>0</v>
      </c>
      <c r="BC61" s="8">
        <f t="shared" si="10"/>
        <v>0</v>
      </c>
      <c r="BD61" s="6"/>
      <c r="BE61" s="8">
        <f>+BC61+AY61</f>
        <v>0</v>
      </c>
      <c r="BF61" s="6"/>
      <c r="BG61" s="8">
        <f t="shared" si="11"/>
        <v>0</v>
      </c>
      <c r="BH61" s="12"/>
      <c r="BI61" s="8"/>
    </row>
    <row r="62" spans="1:63" x14ac:dyDescent="0.2">
      <c r="A62" s="113"/>
      <c r="B62" s="31" t="s">
        <v>217</v>
      </c>
      <c r="C62" s="114"/>
      <c r="K62" s="5"/>
      <c r="M62" s="5">
        <v>202350</v>
      </c>
      <c r="O62" s="5">
        <f t="shared" si="12"/>
        <v>202350</v>
      </c>
      <c r="V62" s="12"/>
      <c r="AY62" s="45">
        <f t="shared" si="9"/>
        <v>0</v>
      </c>
      <c r="BA62" s="143">
        <f>32701-235051</f>
        <v>-202350</v>
      </c>
      <c r="BC62" s="8">
        <f t="shared" si="10"/>
        <v>0</v>
      </c>
      <c r="BD62" s="6"/>
      <c r="BE62" s="8">
        <f t="shared" si="3"/>
        <v>0</v>
      </c>
      <c r="BF62" s="6"/>
      <c r="BG62" s="8">
        <f t="shared" si="11"/>
        <v>202350</v>
      </c>
      <c r="BH62" s="12"/>
      <c r="BI62" s="8"/>
    </row>
    <row r="63" spans="1:63" x14ac:dyDescent="0.2">
      <c r="A63" s="113"/>
      <c r="B63" s="31" t="s">
        <v>218</v>
      </c>
      <c r="C63" s="114"/>
      <c r="K63" s="5"/>
      <c r="M63" s="5">
        <v>46416</v>
      </c>
      <c r="O63" s="5">
        <f t="shared" si="12"/>
        <v>46416</v>
      </c>
      <c r="V63" s="12"/>
      <c r="AY63" s="45">
        <f t="shared" si="9"/>
        <v>0</v>
      </c>
      <c r="BA63" s="143">
        <f>-5101-1292-40023</f>
        <v>-46416</v>
      </c>
      <c r="BC63" s="8">
        <f t="shared" si="10"/>
        <v>0</v>
      </c>
      <c r="BD63" s="6"/>
      <c r="BE63" s="8">
        <f t="shared" si="3"/>
        <v>0</v>
      </c>
      <c r="BF63" s="6"/>
      <c r="BG63" s="8">
        <f t="shared" si="11"/>
        <v>46416</v>
      </c>
      <c r="BH63" s="12"/>
      <c r="BI63" s="8"/>
    </row>
    <row r="64" spans="1:63" x14ac:dyDescent="0.2">
      <c r="A64" s="113"/>
      <c r="B64" s="31" t="s">
        <v>219</v>
      </c>
      <c r="C64" s="114"/>
      <c r="K64" s="5"/>
      <c r="M64" s="5">
        <v>99000</v>
      </c>
      <c r="O64" s="5">
        <f t="shared" si="12"/>
        <v>99000</v>
      </c>
      <c r="V64" s="12"/>
      <c r="AY64" s="45">
        <f t="shared" si="9"/>
        <v>0</v>
      </c>
      <c r="BA64" s="143">
        <f>-45768+1297-54529</f>
        <v>-99000</v>
      </c>
      <c r="BC64" s="8">
        <f t="shared" si="10"/>
        <v>0</v>
      </c>
      <c r="BD64" s="6"/>
      <c r="BE64" s="8">
        <f t="shared" si="3"/>
        <v>0</v>
      </c>
      <c r="BF64" s="6"/>
      <c r="BG64" s="8">
        <f t="shared" si="11"/>
        <v>99000</v>
      </c>
      <c r="BH64" s="12"/>
      <c r="BI64" s="8"/>
    </row>
    <row r="65" spans="1:61" x14ac:dyDescent="0.2">
      <c r="A65" s="113"/>
      <c r="B65" s="31" t="s">
        <v>379</v>
      </c>
      <c r="C65" s="114"/>
      <c r="K65" s="5"/>
      <c r="M65" s="5">
        <v>57202</v>
      </c>
      <c r="O65" s="5">
        <f t="shared" si="12"/>
        <v>57202</v>
      </c>
      <c r="U65" s="143">
        <f>1000+10290.7</f>
        <v>11290.7</v>
      </c>
      <c r="V65" s="12"/>
      <c r="AG65" s="143">
        <v>-11291</v>
      </c>
      <c r="AY65" s="45">
        <f t="shared" si="9"/>
        <v>-0.2999999999992724</v>
      </c>
      <c r="BA65" s="143">
        <f>-32332-1535-23335</f>
        <v>-57202</v>
      </c>
      <c r="BC65" s="8">
        <v>0</v>
      </c>
      <c r="BD65" s="6"/>
      <c r="BE65" s="8">
        <f t="shared" si="3"/>
        <v>-0.2999999999992724</v>
      </c>
      <c r="BF65" s="6"/>
      <c r="BG65" s="8">
        <f t="shared" si="11"/>
        <v>57202.3</v>
      </c>
      <c r="BH65" s="12"/>
      <c r="BI65" s="8"/>
    </row>
    <row r="66" spans="1:61" x14ac:dyDescent="0.2">
      <c r="A66" s="113"/>
      <c r="B66" s="31" t="s">
        <v>220</v>
      </c>
      <c r="C66" s="114"/>
      <c r="K66" s="5"/>
      <c r="M66" s="5">
        <v>420261</v>
      </c>
      <c r="O66" s="5">
        <f t="shared" si="12"/>
        <v>420261</v>
      </c>
      <c r="V66" s="12"/>
      <c r="AY66" s="45">
        <f t="shared" si="9"/>
        <v>0</v>
      </c>
      <c r="BA66" s="143">
        <f>-70261-39138-310862</f>
        <v>-420261</v>
      </c>
      <c r="BC66" s="8">
        <f t="shared" si="10"/>
        <v>0</v>
      </c>
      <c r="BD66" s="6"/>
      <c r="BE66" s="8">
        <f t="shared" si="3"/>
        <v>0</v>
      </c>
      <c r="BF66" s="6"/>
      <c r="BG66" s="8">
        <f t="shared" si="11"/>
        <v>420261</v>
      </c>
      <c r="BH66" s="12"/>
      <c r="BI66" s="8"/>
    </row>
    <row r="67" spans="1:61" x14ac:dyDescent="0.2">
      <c r="A67" s="113"/>
      <c r="B67" s="31" t="s">
        <v>221</v>
      </c>
      <c r="C67" s="114"/>
      <c r="K67" s="5"/>
      <c r="M67" s="5">
        <v>69600</v>
      </c>
      <c r="O67" s="5">
        <f t="shared" si="12"/>
        <v>69600</v>
      </c>
      <c r="V67" s="12"/>
      <c r="AY67" s="45">
        <f t="shared" si="9"/>
        <v>0</v>
      </c>
      <c r="BA67" s="143">
        <f>-67871+315-2044</f>
        <v>-69600</v>
      </c>
      <c r="BC67" s="8">
        <f t="shared" si="10"/>
        <v>0</v>
      </c>
      <c r="BD67" s="6"/>
      <c r="BE67" s="8">
        <f t="shared" si="3"/>
        <v>0</v>
      </c>
      <c r="BF67" s="6"/>
      <c r="BG67" s="8">
        <f t="shared" si="11"/>
        <v>69600</v>
      </c>
      <c r="BH67" s="12"/>
      <c r="BI67" s="8"/>
    </row>
    <row r="68" spans="1:61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Y68" s="45">
        <f t="shared" si="9"/>
        <v>0</v>
      </c>
      <c r="BA68" s="143">
        <f>8800-30800+1382-10182</f>
        <v>-30800</v>
      </c>
      <c r="BC68" s="8">
        <f t="shared" si="10"/>
        <v>0</v>
      </c>
      <c r="BD68" s="6"/>
      <c r="BE68" s="8">
        <f>+BC68+AY68</f>
        <v>0</v>
      </c>
      <c r="BF68" s="6"/>
      <c r="BG68" s="8">
        <f t="shared" si="11"/>
        <v>30800</v>
      </c>
      <c r="BH68" s="12"/>
      <c r="BI68" s="8"/>
    </row>
    <row r="69" spans="1:61" x14ac:dyDescent="0.2">
      <c r="A69" s="113"/>
      <c r="B69" s="31" t="s">
        <v>223</v>
      </c>
      <c r="C69" s="114"/>
      <c r="K69" s="5"/>
      <c r="M69" s="5"/>
      <c r="O69" s="5">
        <f t="shared" si="12"/>
        <v>0</v>
      </c>
      <c r="V69" s="12"/>
      <c r="AY69" s="45">
        <f t="shared" si="9"/>
        <v>0</v>
      </c>
      <c r="BC69" s="8">
        <f t="shared" si="10"/>
        <v>0</v>
      </c>
      <c r="BD69" s="6"/>
      <c r="BE69" s="8">
        <f t="shared" si="3"/>
        <v>0</v>
      </c>
      <c r="BF69" s="6"/>
      <c r="BG69" s="8">
        <f t="shared" si="11"/>
        <v>0</v>
      </c>
      <c r="BH69" s="12"/>
      <c r="BI69" s="8"/>
    </row>
    <row r="70" spans="1:61" x14ac:dyDescent="0.2">
      <c r="A70" s="113"/>
      <c r="B70" s="31" t="s">
        <v>381</v>
      </c>
      <c r="C70" s="114"/>
      <c r="K70" s="5"/>
      <c r="M70" s="5">
        <v>945000</v>
      </c>
      <c r="O70" s="5">
        <f>SUM(K70:N70)</f>
        <v>945000</v>
      </c>
      <c r="V70" s="12"/>
      <c r="AY70" s="45">
        <f t="shared" si="9"/>
        <v>0</v>
      </c>
      <c r="BA70" s="143">
        <f>16606-945000+8394+65000-5040-84960</f>
        <v>-945000</v>
      </c>
      <c r="BC70" s="8">
        <f t="shared" si="10"/>
        <v>0</v>
      </c>
      <c r="BD70" s="6"/>
      <c r="BE70" s="8">
        <f>+BC70+AY70</f>
        <v>0</v>
      </c>
      <c r="BF70" s="6"/>
      <c r="BG70" s="8">
        <f t="shared" si="11"/>
        <v>945000</v>
      </c>
      <c r="BH70" s="12"/>
      <c r="BI70" s="8"/>
    </row>
    <row r="71" spans="1:61" x14ac:dyDescent="0.2">
      <c r="A71" s="113"/>
      <c r="B71" s="31" t="s">
        <v>380</v>
      </c>
      <c r="C71" s="114"/>
      <c r="K71" s="5"/>
      <c r="M71" s="5"/>
      <c r="O71" s="5">
        <f t="shared" si="12"/>
        <v>0</v>
      </c>
      <c r="V71" s="12"/>
      <c r="AY71" s="45">
        <f t="shared" si="9"/>
        <v>0</v>
      </c>
      <c r="BA71" s="143">
        <f>142000-120000+2581-24581</f>
        <v>0</v>
      </c>
      <c r="BC71" s="8">
        <f t="shared" si="10"/>
        <v>0</v>
      </c>
      <c r="BD71" s="6"/>
      <c r="BE71" s="8">
        <f t="shared" si="3"/>
        <v>0</v>
      </c>
      <c r="BF71" s="6"/>
      <c r="BG71" s="8">
        <f t="shared" si="11"/>
        <v>0</v>
      </c>
      <c r="BH71" s="12"/>
      <c r="BI71" s="8"/>
    </row>
    <row r="72" spans="1:61" x14ac:dyDescent="0.2">
      <c r="A72" s="113"/>
      <c r="B72" s="31" t="s">
        <v>382</v>
      </c>
      <c r="C72" s="114"/>
      <c r="K72" s="5"/>
      <c r="M72" s="5">
        <v>549000</v>
      </c>
      <c r="O72" s="5">
        <f t="shared" si="12"/>
        <v>549000</v>
      </c>
      <c r="V72" s="12"/>
      <c r="W72" s="143">
        <v>38094</v>
      </c>
      <c r="AG72" s="143">
        <v>-38094</v>
      </c>
      <c r="AY72" s="45">
        <f t="shared" si="9"/>
        <v>0</v>
      </c>
      <c r="BA72" s="143">
        <f>-139624-409376</f>
        <v>-549000</v>
      </c>
      <c r="BC72" s="8">
        <f t="shared" si="10"/>
        <v>0</v>
      </c>
      <c r="BD72" s="6"/>
      <c r="BE72" s="8">
        <f t="shared" si="3"/>
        <v>0</v>
      </c>
      <c r="BF72" s="6"/>
      <c r="BG72" s="8">
        <f t="shared" si="11"/>
        <v>549000</v>
      </c>
      <c r="BH72" s="12"/>
      <c r="BI72" s="8"/>
    </row>
    <row r="73" spans="1:61" x14ac:dyDescent="0.2">
      <c r="A73" s="113"/>
      <c r="B73" s="31" t="s">
        <v>383</v>
      </c>
      <c r="C73" s="114"/>
      <c r="K73" s="5"/>
      <c r="M73" s="5">
        <v>120000</v>
      </c>
      <c r="O73" s="5">
        <f t="shared" si="12"/>
        <v>120000</v>
      </c>
      <c r="U73" s="143">
        <v>0</v>
      </c>
      <c r="V73" s="12"/>
      <c r="AY73" s="45">
        <f t="shared" si="9"/>
        <v>0</v>
      </c>
      <c r="BA73" s="143">
        <v>-120000</v>
      </c>
      <c r="BC73" s="8">
        <f t="shared" si="10"/>
        <v>0</v>
      </c>
      <c r="BD73" s="6"/>
      <c r="BE73" s="8">
        <f t="shared" si="3"/>
        <v>0</v>
      </c>
      <c r="BF73" s="6"/>
      <c r="BG73" s="8">
        <f t="shared" si="11"/>
        <v>120000</v>
      </c>
      <c r="BH73" s="12"/>
      <c r="BI73" s="8"/>
    </row>
    <row r="74" spans="1:61" x14ac:dyDescent="0.2">
      <c r="A74" s="113"/>
      <c r="B74" s="31" t="s">
        <v>228</v>
      </c>
      <c r="C74" s="114"/>
      <c r="K74" s="5"/>
      <c r="M74" s="5">
        <v>6000</v>
      </c>
      <c r="O74" s="5">
        <f t="shared" si="12"/>
        <v>6000</v>
      </c>
      <c r="Q74" s="234"/>
      <c r="S74" s="234">
        <f>11760.8+4410.3</f>
        <v>16171.099999999999</v>
      </c>
      <c r="V74" s="12"/>
      <c r="AG74" s="143">
        <v>-16171</v>
      </c>
      <c r="AY74" s="45">
        <f t="shared" si="9"/>
        <v>9.9999999998544808E-2</v>
      </c>
      <c r="BA74" s="143">
        <f>110718-6000-54528-56190</f>
        <v>-6000</v>
      </c>
      <c r="BC74" s="8">
        <f t="shared" si="10"/>
        <v>0</v>
      </c>
      <c r="BD74" s="6"/>
      <c r="BE74" s="8">
        <f t="shared" si="3"/>
        <v>9.9999999998544808E-2</v>
      </c>
      <c r="BF74" s="6"/>
      <c r="BG74" s="8">
        <f t="shared" si="11"/>
        <v>5999.9000000000015</v>
      </c>
      <c r="BH74" s="12"/>
      <c r="BI74" s="8"/>
    </row>
    <row r="75" spans="1:61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Y75" s="45">
        <f t="shared" si="9"/>
        <v>0</v>
      </c>
      <c r="BC75" s="8">
        <f t="shared" si="10"/>
        <v>0</v>
      </c>
      <c r="BD75" s="6"/>
      <c r="BE75" s="8">
        <f t="shared" si="3"/>
        <v>0</v>
      </c>
      <c r="BF75" s="6"/>
      <c r="BG75" s="8">
        <f t="shared" si="11"/>
        <v>0</v>
      </c>
      <c r="BH75" s="12"/>
      <c r="BI75" s="8"/>
    </row>
    <row r="76" spans="1:61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Y76" s="45">
        <f t="shared" si="9"/>
        <v>0</v>
      </c>
      <c r="BA76" s="143">
        <v>0</v>
      </c>
      <c r="BC76" s="8">
        <f t="shared" si="10"/>
        <v>0</v>
      </c>
      <c r="BD76" s="6"/>
      <c r="BE76" s="8">
        <f t="shared" si="3"/>
        <v>0</v>
      </c>
      <c r="BF76" s="6"/>
      <c r="BG76" s="8">
        <f t="shared" si="11"/>
        <v>0</v>
      </c>
      <c r="BH76" s="12"/>
      <c r="BI76" s="8"/>
    </row>
    <row r="77" spans="1:61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Y77" s="45">
        <f t="shared" si="9"/>
        <v>0</v>
      </c>
      <c r="BC77" s="8">
        <f t="shared" si="10"/>
        <v>0</v>
      </c>
      <c r="BD77" s="6"/>
      <c r="BE77" s="8">
        <f t="shared" si="3"/>
        <v>0</v>
      </c>
      <c r="BF77" s="6"/>
      <c r="BG77" s="8">
        <f t="shared" si="11"/>
        <v>0</v>
      </c>
      <c r="BH77" s="12"/>
      <c r="BI77" s="8"/>
    </row>
    <row r="78" spans="1:61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173"/>
      <c r="AU78" s="173"/>
      <c r="AW78" s="173"/>
      <c r="AY78" s="45">
        <f t="shared" si="9"/>
        <v>0</v>
      </c>
      <c r="BC78" s="8">
        <f t="shared" si="10"/>
        <v>0</v>
      </c>
      <c r="BD78" s="6"/>
      <c r="BE78" s="8">
        <f t="shared" si="3"/>
        <v>0</v>
      </c>
      <c r="BF78" s="6"/>
      <c r="BG78" s="8">
        <f t="shared" si="11"/>
        <v>0</v>
      </c>
      <c r="BH78" s="12"/>
      <c r="BI78" s="8"/>
    </row>
    <row r="79" spans="1:61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144"/>
      <c r="AU79" s="144"/>
      <c r="AW79" s="144"/>
      <c r="AY79" s="45">
        <f t="shared" si="9"/>
        <v>0</v>
      </c>
      <c r="BA79" s="144"/>
      <c r="BC79" s="14">
        <f t="shared" si="10"/>
        <v>0</v>
      </c>
      <c r="BD79" s="6"/>
      <c r="BE79" s="14">
        <f t="shared" si="3"/>
        <v>0</v>
      </c>
      <c r="BF79" s="6"/>
      <c r="BG79" s="14">
        <f t="shared" si="11"/>
        <v>0</v>
      </c>
      <c r="BH79" s="12"/>
      <c r="BI79" s="8"/>
    </row>
    <row r="80" spans="1:61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41">
        <f>SUM(AS55:AS79)</f>
        <v>0</v>
      </c>
      <c r="AU80" s="141">
        <f>SUM(AU55:AU79)</f>
        <v>0</v>
      </c>
      <c r="AW80" s="141">
        <f>SUM(AW55:AW79)</f>
        <v>0</v>
      </c>
      <c r="AY80" s="108">
        <f>SUM(AY55:AY79)</f>
        <v>-0.40000000001236913</v>
      </c>
      <c r="BA80" s="141">
        <f>SUM(BA55:BA79)</f>
        <v>-4352963</v>
      </c>
      <c r="BC80" s="15">
        <f>SUM(BC55:BC79)</f>
        <v>0</v>
      </c>
      <c r="BD80" s="6"/>
      <c r="BE80" s="15">
        <f>SUM(BE55:BE79)</f>
        <v>-0.40000000001236913</v>
      </c>
      <c r="BF80" s="6"/>
      <c r="BG80" s="15">
        <f>SUM(BG55:BG79)</f>
        <v>4352963.4000000004</v>
      </c>
      <c r="BH80" s="12"/>
      <c r="BI80" s="15"/>
    </row>
    <row r="81" spans="1:62" x14ac:dyDescent="0.2">
      <c r="A81" s="113"/>
      <c r="B81" s="31"/>
      <c r="C81" s="114"/>
      <c r="G81" s="6"/>
      <c r="V81" s="12"/>
      <c r="AY81" s="45"/>
      <c r="BD81" s="6"/>
      <c r="BF81" s="6"/>
      <c r="BH81" s="8"/>
      <c r="BI81" s="8"/>
    </row>
    <row r="82" spans="1:62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143"/>
      <c r="AU82" s="143"/>
      <c r="AW82" s="143"/>
      <c r="AY82" s="45"/>
      <c r="BA82" s="143"/>
      <c r="BC82" s="45"/>
      <c r="BE82" s="45"/>
      <c r="BG82" s="45"/>
      <c r="BH82" s="45"/>
      <c r="BI82" s="45"/>
      <c r="BJ82" s="45"/>
    </row>
    <row r="83" spans="1:62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143"/>
      <c r="AU83" s="143"/>
      <c r="AW83" s="143"/>
      <c r="AY83" s="45">
        <f>SUM(P83:AX83)</f>
        <v>0</v>
      </c>
      <c r="BA83" s="143"/>
      <c r="BC83" s="45">
        <f>IF(+O83-AY83+BA83&gt;0,O83-AY83+BA83,0)</f>
        <v>0</v>
      </c>
      <c r="BE83" s="45">
        <f t="shared" si="3"/>
        <v>0</v>
      </c>
      <c r="BG83" s="8">
        <f>O83-AY83-BC83</f>
        <v>0</v>
      </c>
      <c r="BH83" s="82"/>
      <c r="BI83" s="45"/>
      <c r="BJ83" s="45"/>
    </row>
    <row r="84" spans="1:62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143"/>
      <c r="AU84" s="143"/>
      <c r="AW84" s="143"/>
      <c r="AY84" s="45">
        <f>SUM(P84:AX84)</f>
        <v>0</v>
      </c>
      <c r="BA84" s="143"/>
      <c r="BC84" s="45">
        <f>IF(+O84-AY84+BA84&gt;0,O84-AY84+BA84,0)</f>
        <v>0</v>
      </c>
      <c r="BE84" s="45">
        <f t="shared" si="3"/>
        <v>0</v>
      </c>
      <c r="BG84" s="8">
        <f>O84-AY84-BC84</f>
        <v>0</v>
      </c>
      <c r="BH84" s="82"/>
      <c r="BI84" s="45"/>
      <c r="BJ84" s="45"/>
    </row>
    <row r="85" spans="1:62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143"/>
      <c r="AU85" s="143"/>
      <c r="AW85" s="143"/>
      <c r="AY85" s="45">
        <f>SUM(P85:AX85)</f>
        <v>0</v>
      </c>
      <c r="BA85" s="143"/>
      <c r="BC85" s="45">
        <f>IF(+O85-AY85+BA85&gt;0,O85-AY85+BA85,0)</f>
        <v>0</v>
      </c>
      <c r="BE85" s="45">
        <f t="shared" si="3"/>
        <v>0</v>
      </c>
      <c r="BG85" s="8">
        <f>O85-AY85-BC85</f>
        <v>0</v>
      </c>
      <c r="BH85" s="82"/>
      <c r="BI85" s="45"/>
      <c r="BJ85" s="45"/>
    </row>
    <row r="86" spans="1:62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144"/>
      <c r="AU86" s="144"/>
      <c r="AW86" s="144"/>
      <c r="AY86" s="45">
        <f>SUM(P86:AX86)</f>
        <v>0</v>
      </c>
      <c r="BA86" s="144"/>
      <c r="BC86" s="129">
        <f>IF(+O86-AY86+BA86&gt;0,O86-AY86+BA86,0)</f>
        <v>0</v>
      </c>
      <c r="BE86" s="129">
        <f t="shared" si="3"/>
        <v>0</v>
      </c>
      <c r="BG86" s="14">
        <f>O86-AY86-BC86</f>
        <v>0</v>
      </c>
      <c r="BH86" s="183"/>
      <c r="BI86" s="172"/>
      <c r="BJ86" s="45"/>
    </row>
    <row r="87" spans="1:62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41">
        <f>SUM(AS83:AS86)</f>
        <v>0</v>
      </c>
      <c r="AU87" s="141">
        <f>SUM(AU83:AU86)</f>
        <v>0</v>
      </c>
      <c r="AW87" s="141">
        <f>SUM(AW83:AW86)</f>
        <v>0</v>
      </c>
      <c r="AY87" s="108">
        <f>SUM(AY83:AY86)</f>
        <v>0</v>
      </c>
      <c r="BA87" s="141">
        <f>SUM(BA83:BA86)</f>
        <v>0</v>
      </c>
      <c r="BC87" s="29">
        <f>SUM(BC83:BC86)</f>
        <v>0</v>
      </c>
      <c r="BE87" s="29">
        <f>SUM(BE83:BE86)</f>
        <v>0</v>
      </c>
      <c r="BG87" s="29">
        <f>SUM(BG83:BG86)</f>
        <v>0</v>
      </c>
      <c r="BH87" s="82"/>
      <c r="BI87" s="29"/>
      <c r="BJ87" s="45"/>
    </row>
    <row r="88" spans="1:62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143"/>
      <c r="AU88" s="143"/>
      <c r="AW88" s="143"/>
      <c r="AY88" s="45"/>
      <c r="BA88" s="143"/>
      <c r="BC88" s="45"/>
      <c r="BE88" s="45"/>
      <c r="BG88" s="45"/>
      <c r="BH88" s="45"/>
      <c r="BI88" s="45"/>
      <c r="BJ88" s="45"/>
    </row>
    <row r="89" spans="1:62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143"/>
      <c r="AU89" s="143"/>
      <c r="AW89" s="143"/>
      <c r="AY89" s="45"/>
      <c r="BA89" s="143"/>
      <c r="BC89" s="45"/>
      <c r="BE89" s="45"/>
      <c r="BG89" s="45"/>
      <c r="BH89" s="45"/>
      <c r="BI89" s="45"/>
      <c r="BJ89" s="45"/>
    </row>
    <row r="90" spans="1:62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3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143"/>
      <c r="AU90" s="143"/>
      <c r="AW90" s="143"/>
      <c r="AY90" s="45">
        <f t="shared" ref="AY90:AY120" si="14">SUM(P90:AX90)</f>
        <v>911058</v>
      </c>
      <c r="BA90" s="143">
        <f>503700-491386+28414+651300-255000+23957-104497+91598</f>
        <v>448086</v>
      </c>
      <c r="BC90" s="45">
        <f t="shared" ref="BC90:BC120" si="15">IF(+O90-AY90+BA90&gt;0,O90-AY90+BA90,0)</f>
        <v>0</v>
      </c>
      <c r="BE90" s="45">
        <f t="shared" si="3"/>
        <v>911058</v>
      </c>
      <c r="BG90" s="8">
        <f t="shared" ref="BG90:BG120" si="16">O90-AY90-BC90</f>
        <v>-448086</v>
      </c>
      <c r="BH90" s="45"/>
      <c r="BI90" s="45"/>
      <c r="BJ90" s="45"/>
    </row>
    <row r="91" spans="1:62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3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143"/>
      <c r="AU91" s="143"/>
      <c r="AW91" s="143"/>
      <c r="AY91" s="45">
        <f t="shared" si="14"/>
        <v>246160</v>
      </c>
      <c r="BA91" s="143">
        <f>479771-532399-100027-142782+8830-139173</f>
        <v>-425780</v>
      </c>
      <c r="BC91" s="82">
        <f>IF(+O91-AY91+BA91&gt;0,O91-AY91+BA91,0)</f>
        <v>0</v>
      </c>
      <c r="BE91" s="45">
        <f t="shared" si="3"/>
        <v>246160</v>
      </c>
      <c r="BG91" s="8">
        <f t="shared" si="16"/>
        <v>286239</v>
      </c>
      <c r="BH91" s="45"/>
      <c r="BI91" s="45"/>
      <c r="BJ91" s="45"/>
    </row>
    <row r="92" spans="1:62" s="27" customFormat="1" x14ac:dyDescent="0.2">
      <c r="A92" s="121"/>
      <c r="B92" s="31" t="s">
        <v>385</v>
      </c>
      <c r="C92" s="114"/>
      <c r="E92" s="28"/>
      <c r="I92" s="28"/>
      <c r="K92" s="45"/>
      <c r="M92" s="45">
        <v>738930</v>
      </c>
      <c r="O92" s="182">
        <f t="shared" si="13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143"/>
      <c r="AU92" s="143"/>
      <c r="AW92" s="143"/>
      <c r="AY92" s="45">
        <f t="shared" si="14"/>
        <v>471391</v>
      </c>
      <c r="BA92" s="143">
        <f>-10000-83395-148747-2321+52164-75240</f>
        <v>-267539</v>
      </c>
      <c r="BC92" s="45">
        <f t="shared" si="15"/>
        <v>0</v>
      </c>
      <c r="BE92" s="45">
        <f t="shared" si="3"/>
        <v>471391</v>
      </c>
      <c r="BG92" s="8">
        <f t="shared" si="16"/>
        <v>267539</v>
      </c>
      <c r="BH92" s="45"/>
      <c r="BI92" s="45"/>
      <c r="BJ92" s="45"/>
    </row>
    <row r="93" spans="1:62" s="27" customFormat="1" x14ac:dyDescent="0.2">
      <c r="A93" s="121"/>
      <c r="B93" s="31" t="s">
        <v>386</v>
      </c>
      <c r="C93" s="114"/>
      <c r="E93" s="28"/>
      <c r="I93" s="28"/>
      <c r="K93" s="45"/>
      <c r="M93" s="45">
        <v>401168</v>
      </c>
      <c r="O93" s="182">
        <f t="shared" si="13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143"/>
      <c r="AU93" s="143"/>
      <c r="AW93" s="143"/>
      <c r="AY93" s="45">
        <f t="shared" si="14"/>
        <v>260819</v>
      </c>
      <c r="BA93" s="143">
        <f>371835-401168-21811-80259+5424-832-15767+2229</f>
        <v>-140349</v>
      </c>
      <c r="BC93" s="45">
        <f t="shared" si="15"/>
        <v>0</v>
      </c>
      <c r="BE93" s="45">
        <f t="shared" si="3"/>
        <v>260819</v>
      </c>
      <c r="BG93" s="8">
        <f t="shared" si="16"/>
        <v>140349</v>
      </c>
      <c r="BH93" s="45"/>
      <c r="BI93" s="45"/>
      <c r="BJ93" s="45"/>
    </row>
    <row r="94" spans="1:62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3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143"/>
      <c r="AU94" s="143"/>
      <c r="AW94" s="143"/>
      <c r="AY94" s="45">
        <f t="shared" si="14"/>
        <v>1428156</v>
      </c>
      <c r="BA94" s="143">
        <f>1541099-1766324+121244-154855+1610-1100-83542+3700</f>
        <v>-338168</v>
      </c>
      <c r="BC94" s="45">
        <f t="shared" si="15"/>
        <v>0</v>
      </c>
      <c r="BE94" s="45">
        <f t="shared" si="3"/>
        <v>1428156</v>
      </c>
      <c r="BG94" s="8">
        <f t="shared" si="16"/>
        <v>338168</v>
      </c>
      <c r="BH94" s="45"/>
      <c r="BI94" s="45"/>
      <c r="BJ94" s="45"/>
    </row>
    <row r="95" spans="1:62" s="27" customFormat="1" x14ac:dyDescent="0.2">
      <c r="A95" s="121"/>
      <c r="B95" s="31" t="s">
        <v>387</v>
      </c>
      <c r="C95" s="114"/>
      <c r="E95" s="28"/>
      <c r="I95" s="28"/>
      <c r="K95" s="45"/>
      <c r="M95" s="45">
        <v>72583</v>
      </c>
      <c r="O95" s="182">
        <f t="shared" si="13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143"/>
      <c r="AU95" s="143"/>
      <c r="AW95" s="143"/>
      <c r="AY95" s="45">
        <f t="shared" si="14"/>
        <v>32747</v>
      </c>
      <c r="BA95" s="143">
        <f>-10531-21133-6522-1650</f>
        <v>-39836</v>
      </c>
      <c r="BC95" s="45">
        <f t="shared" si="15"/>
        <v>0</v>
      </c>
      <c r="BE95" s="45">
        <f t="shared" si="3"/>
        <v>32747</v>
      </c>
      <c r="BG95" s="8">
        <f t="shared" si="16"/>
        <v>39836</v>
      </c>
      <c r="BH95" s="45"/>
      <c r="BI95" s="45"/>
      <c r="BJ95" s="45"/>
    </row>
    <row r="96" spans="1:62" s="27" customFormat="1" x14ac:dyDescent="0.2">
      <c r="A96" s="121"/>
      <c r="B96" s="31" t="s">
        <v>388</v>
      </c>
      <c r="C96" s="114"/>
      <c r="E96" s="28"/>
      <c r="I96" s="28"/>
      <c r="K96" s="45"/>
      <c r="M96" s="45">
        <v>24454</v>
      </c>
      <c r="O96" s="182">
        <f t="shared" si="13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143"/>
      <c r="AU96" s="143"/>
      <c r="AW96" s="143"/>
      <c r="AY96" s="45">
        <f t="shared" si="14"/>
        <v>116546</v>
      </c>
      <c r="BA96" s="143">
        <f>62086+32108-2102</f>
        <v>92092</v>
      </c>
      <c r="BC96" s="45">
        <f t="shared" si="15"/>
        <v>0</v>
      </c>
      <c r="BE96" s="45">
        <f t="shared" si="3"/>
        <v>116546</v>
      </c>
      <c r="BG96" s="8">
        <f t="shared" si="16"/>
        <v>-92092</v>
      </c>
      <c r="BH96" s="45"/>
      <c r="BI96" s="45"/>
      <c r="BJ96" s="45"/>
    </row>
    <row r="97" spans="1:62" s="27" customFormat="1" x14ac:dyDescent="0.2">
      <c r="A97" s="121"/>
      <c r="B97" s="31" t="s">
        <v>389</v>
      </c>
      <c r="C97" s="114"/>
      <c r="E97" s="28"/>
      <c r="I97" s="28"/>
      <c r="K97" s="45"/>
      <c r="M97" s="45">
        <v>35400</v>
      </c>
      <c r="O97" s="182">
        <f t="shared" si="13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143"/>
      <c r="AU97" s="143"/>
      <c r="AW97" s="143"/>
      <c r="AY97" s="45">
        <f t="shared" si="14"/>
        <v>62370</v>
      </c>
      <c r="BA97" s="143">
        <f>24600+6925-4524-324+293</f>
        <v>26970</v>
      </c>
      <c r="BC97" s="45">
        <f t="shared" si="15"/>
        <v>0</v>
      </c>
      <c r="BE97" s="45">
        <f t="shared" si="3"/>
        <v>62370</v>
      </c>
      <c r="BG97" s="8">
        <f t="shared" si="16"/>
        <v>-26970</v>
      </c>
      <c r="BH97" s="45"/>
      <c r="BI97" s="45"/>
      <c r="BJ97" s="45"/>
    </row>
    <row r="98" spans="1:62" s="27" customFormat="1" x14ac:dyDescent="0.2">
      <c r="A98" s="121"/>
      <c r="B98" s="31" t="s">
        <v>390</v>
      </c>
      <c r="C98" s="114"/>
      <c r="E98" s="28"/>
      <c r="I98" s="28"/>
      <c r="K98" s="45"/>
      <c r="M98" s="45">
        <v>297005</v>
      </c>
      <c r="O98" s="182">
        <f t="shared" si="13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143"/>
      <c r="AU98" s="143"/>
      <c r="AW98" s="143"/>
      <c r="AY98" s="45">
        <f t="shared" si="14"/>
        <v>441094</v>
      </c>
      <c r="BA98" s="143">
        <f>93111+24201+18128+7101</f>
        <v>142541</v>
      </c>
      <c r="BC98" s="45">
        <f t="shared" si="15"/>
        <v>0</v>
      </c>
      <c r="BE98" s="45">
        <f t="shared" si="3"/>
        <v>441094</v>
      </c>
      <c r="BG98" s="8">
        <f t="shared" si="16"/>
        <v>-144089</v>
      </c>
      <c r="BH98" s="45"/>
      <c r="BI98" s="45"/>
      <c r="BJ98" s="45"/>
    </row>
    <row r="99" spans="1:62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3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143"/>
      <c r="AU99" s="143"/>
      <c r="AW99" s="143"/>
      <c r="AY99" s="45">
        <f t="shared" si="14"/>
        <v>0</v>
      </c>
      <c r="BA99" s="143"/>
      <c r="BC99" s="45">
        <f t="shared" si="15"/>
        <v>0</v>
      </c>
      <c r="BE99" s="45">
        <f t="shared" si="3"/>
        <v>0</v>
      </c>
      <c r="BG99" s="8">
        <f t="shared" si="16"/>
        <v>0</v>
      </c>
      <c r="BH99" s="45"/>
      <c r="BI99" s="45"/>
      <c r="BJ99" s="45"/>
    </row>
    <row r="100" spans="1:62" s="27" customFormat="1" x14ac:dyDescent="0.2">
      <c r="A100" s="121"/>
      <c r="B100" s="31" t="s">
        <v>391</v>
      </c>
      <c r="C100" s="114"/>
      <c r="E100" s="28"/>
      <c r="I100" s="28"/>
      <c r="K100" s="45"/>
      <c r="M100" s="45">
        <v>53364</v>
      </c>
      <c r="O100" s="182">
        <f t="shared" si="13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143"/>
      <c r="AU100" s="143"/>
      <c r="AW100" s="143"/>
      <c r="AY100" s="45">
        <f t="shared" si="14"/>
        <v>243038</v>
      </c>
      <c r="BA100" s="143">
        <f>23319+8681-216+151224-100+7075-7898+7589</f>
        <v>189674</v>
      </c>
      <c r="BC100" s="45">
        <f t="shared" si="15"/>
        <v>0</v>
      </c>
      <c r="BE100" s="45">
        <f t="shared" si="3"/>
        <v>243038</v>
      </c>
      <c r="BG100" s="8">
        <f t="shared" si="16"/>
        <v>-189674</v>
      </c>
      <c r="BH100" s="45"/>
      <c r="BI100" s="45"/>
      <c r="BJ100" s="45"/>
    </row>
    <row r="101" spans="1:62" s="27" customFormat="1" x14ac:dyDescent="0.2">
      <c r="A101" s="121"/>
      <c r="B101" s="31" t="s">
        <v>392</v>
      </c>
      <c r="C101" s="114"/>
      <c r="E101" s="28"/>
      <c r="I101" s="28"/>
      <c r="K101" s="45"/>
      <c r="M101" s="45">
        <v>0</v>
      </c>
      <c r="O101" s="182">
        <f t="shared" si="13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143"/>
      <c r="AU101" s="143"/>
      <c r="AW101" s="143"/>
      <c r="AY101" s="45">
        <f t="shared" si="14"/>
        <v>0</v>
      </c>
      <c r="BA101" s="143">
        <f>5000-5000</f>
        <v>0</v>
      </c>
      <c r="BC101" s="45">
        <f t="shared" si="15"/>
        <v>0</v>
      </c>
      <c r="BE101" s="45">
        <f t="shared" si="3"/>
        <v>0</v>
      </c>
      <c r="BG101" s="8">
        <f t="shared" si="16"/>
        <v>0</v>
      </c>
      <c r="BH101" s="45"/>
      <c r="BI101" s="45"/>
      <c r="BJ101" s="45"/>
    </row>
    <row r="102" spans="1:62" s="27" customFormat="1" x14ac:dyDescent="0.2">
      <c r="A102" s="121"/>
      <c r="B102" s="31" t="s">
        <v>393</v>
      </c>
      <c r="C102" s="114"/>
      <c r="E102" s="28"/>
      <c r="I102" s="28"/>
      <c r="K102" s="45"/>
      <c r="M102" s="45">
        <v>84253</v>
      </c>
      <c r="O102" s="182">
        <f t="shared" si="13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143"/>
      <c r="AU102" s="143"/>
      <c r="AW102" s="143"/>
      <c r="AY102" s="45">
        <f t="shared" si="14"/>
        <v>110625</v>
      </c>
      <c r="BA102" s="143">
        <f>28848+12551-5570-9457</f>
        <v>26372</v>
      </c>
      <c r="BC102" s="45">
        <f t="shared" si="15"/>
        <v>0</v>
      </c>
      <c r="BE102" s="45">
        <f t="shared" si="3"/>
        <v>110625</v>
      </c>
      <c r="BG102" s="8">
        <f t="shared" si="16"/>
        <v>-26372</v>
      </c>
      <c r="BH102" s="45"/>
      <c r="BI102" s="45"/>
      <c r="BJ102" s="45"/>
    </row>
    <row r="103" spans="1:62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3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143"/>
      <c r="AU103" s="143"/>
      <c r="AW103" s="143"/>
      <c r="AY103" s="45">
        <f t="shared" si="14"/>
        <v>0</v>
      </c>
      <c r="BA103" s="143"/>
      <c r="BC103" s="45">
        <f t="shared" si="15"/>
        <v>0</v>
      </c>
      <c r="BE103" s="45">
        <f t="shared" si="3"/>
        <v>0</v>
      </c>
      <c r="BG103" s="8">
        <f t="shared" si="16"/>
        <v>0</v>
      </c>
      <c r="BH103" s="45"/>
      <c r="BI103" s="45"/>
      <c r="BJ103" s="45"/>
    </row>
    <row r="104" spans="1:62" s="27" customFormat="1" x14ac:dyDescent="0.2">
      <c r="A104" s="121"/>
      <c r="B104" s="31" t="s">
        <v>391</v>
      </c>
      <c r="C104" s="114"/>
      <c r="E104" s="28"/>
      <c r="I104" s="28"/>
      <c r="K104" s="45"/>
      <c r="M104" s="45">
        <v>597175</v>
      </c>
      <c r="O104" s="182">
        <f t="shared" si="13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143"/>
      <c r="AU104" s="143"/>
      <c r="AW104" s="143"/>
      <c r="AY104" s="45">
        <f t="shared" si="14"/>
        <v>1088795</v>
      </c>
      <c r="BA104" s="143">
        <f>1013275-597175-197392-330032-11244+499888+26996+223387+16486+189626+37893+235051+40023+54529+267268-15268+444+322-1-25403-252020-747401+62368</f>
        <v>491620</v>
      </c>
      <c r="BC104" s="45">
        <f t="shared" si="15"/>
        <v>0</v>
      </c>
      <c r="BE104" s="271">
        <f t="shared" si="3"/>
        <v>1088795</v>
      </c>
      <c r="BG104" s="8">
        <f t="shared" si="16"/>
        <v>-491620</v>
      </c>
      <c r="BH104" s="45"/>
      <c r="BI104" s="45"/>
      <c r="BJ104" s="45"/>
    </row>
    <row r="105" spans="1:62" s="27" customFormat="1" x14ac:dyDescent="0.2">
      <c r="A105" s="121"/>
      <c r="B105" s="31" t="s">
        <v>392</v>
      </c>
      <c r="C105" s="114"/>
      <c r="E105" s="28"/>
      <c r="I105" s="28"/>
      <c r="K105" s="45"/>
      <c r="M105" s="45">
        <v>190000</v>
      </c>
      <c r="O105" s="182">
        <f t="shared" si="13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143"/>
      <c r="AU105" s="143"/>
      <c r="AW105" s="143"/>
      <c r="AY105" s="45">
        <f t="shared" si="14"/>
        <v>0</v>
      </c>
      <c r="BA105" s="143">
        <f>12000+50000-252000+314125-314125</f>
        <v>-190000</v>
      </c>
      <c r="BC105" s="45">
        <f t="shared" si="15"/>
        <v>0</v>
      </c>
      <c r="BE105" s="45">
        <f t="shared" si="3"/>
        <v>0</v>
      </c>
      <c r="BG105" s="8">
        <f t="shared" si="16"/>
        <v>190000</v>
      </c>
      <c r="BH105" s="45"/>
      <c r="BI105" s="45"/>
      <c r="BJ105" s="45"/>
    </row>
    <row r="106" spans="1:62" s="27" customFormat="1" x14ac:dyDescent="0.2">
      <c r="A106" s="121"/>
      <c r="B106" s="31" t="s">
        <v>393</v>
      </c>
      <c r="C106" s="114"/>
      <c r="E106" s="28"/>
      <c r="I106" s="28"/>
      <c r="K106" s="45"/>
      <c r="M106" s="45">
        <v>538044</v>
      </c>
      <c r="O106" s="182">
        <f t="shared" si="13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143"/>
      <c r="AU106" s="143"/>
      <c r="AW106" s="143"/>
      <c r="AY106" s="45">
        <f t="shared" si="14"/>
        <v>589786</v>
      </c>
      <c r="BA106" s="143">
        <f>10026+71314-3064-81670+55136</f>
        <v>51742</v>
      </c>
      <c r="BC106" s="45">
        <f t="shared" si="15"/>
        <v>0</v>
      </c>
      <c r="BE106" s="45">
        <f t="shared" si="3"/>
        <v>589786</v>
      </c>
      <c r="BG106" s="8">
        <f t="shared" si="16"/>
        <v>-51742</v>
      </c>
      <c r="BH106" s="45"/>
      <c r="BI106" s="45"/>
      <c r="BJ106" s="45"/>
    </row>
    <row r="107" spans="1:62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3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143"/>
      <c r="AU107" s="143"/>
      <c r="AW107" s="143"/>
      <c r="AY107" s="45">
        <f t="shared" si="14"/>
        <v>393514</v>
      </c>
      <c r="BA107" s="143">
        <f>-113047-41116+23335+310862+2044+21+15991-12401-24202+1595</f>
        <v>163082</v>
      </c>
      <c r="BC107" s="45">
        <f t="shared" si="15"/>
        <v>0</v>
      </c>
      <c r="BE107" s="271">
        <f t="shared" si="3"/>
        <v>393514</v>
      </c>
      <c r="BG107" s="8">
        <f t="shared" si="16"/>
        <v>-163082</v>
      </c>
      <c r="BH107" s="45"/>
      <c r="BI107" s="45"/>
      <c r="BJ107" s="45"/>
    </row>
    <row r="108" spans="1:62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3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143"/>
      <c r="AU108" s="143"/>
      <c r="AW108" s="143"/>
      <c r="AY108" s="45">
        <f t="shared" si="14"/>
        <v>0</v>
      </c>
      <c r="BA108" s="143">
        <f>-315058-14900</f>
        <v>-329958</v>
      </c>
      <c r="BC108" s="45">
        <f t="shared" si="15"/>
        <v>0</v>
      </c>
      <c r="BE108" s="45">
        <f t="shared" si="3"/>
        <v>0</v>
      </c>
      <c r="BG108" s="8">
        <f t="shared" si="16"/>
        <v>329958</v>
      </c>
      <c r="BH108" s="45"/>
      <c r="BI108" s="45"/>
      <c r="BJ108" s="45"/>
    </row>
    <row r="109" spans="1:62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3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143"/>
      <c r="AU109" s="143"/>
      <c r="AW109" s="143"/>
      <c r="AY109" s="45">
        <f t="shared" si="14"/>
        <v>64650</v>
      </c>
      <c r="BA109" s="143">
        <f>120135+12000-12000-176350</f>
        <v>-56215</v>
      </c>
      <c r="BC109" s="45">
        <f t="shared" si="15"/>
        <v>0</v>
      </c>
      <c r="BE109" s="45">
        <f t="shared" si="3"/>
        <v>64650</v>
      </c>
      <c r="BG109" s="8">
        <f t="shared" si="16"/>
        <v>56215</v>
      </c>
      <c r="BH109" s="45"/>
      <c r="BI109" s="45"/>
      <c r="BJ109" s="45"/>
    </row>
    <row r="110" spans="1:62" s="27" customFormat="1" x14ac:dyDescent="0.2">
      <c r="A110" s="121"/>
      <c r="B110" s="31" t="s">
        <v>394</v>
      </c>
      <c r="C110" s="114"/>
      <c r="E110" s="28"/>
      <c r="I110" s="28"/>
      <c r="K110" s="45"/>
      <c r="M110" s="45">
        <v>1099682</v>
      </c>
      <c r="O110" s="182">
        <f t="shared" si="13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143"/>
      <c r="AU110" s="143"/>
      <c r="AW110" s="143"/>
      <c r="AY110" s="45">
        <f t="shared" si="14"/>
        <v>0</v>
      </c>
      <c r="BA110" s="143">
        <v>-1099682</v>
      </c>
      <c r="BC110" s="45">
        <f t="shared" si="15"/>
        <v>0</v>
      </c>
      <c r="BE110" s="45">
        <f t="shared" si="3"/>
        <v>0</v>
      </c>
      <c r="BG110" s="8">
        <f t="shared" si="16"/>
        <v>1099682</v>
      </c>
      <c r="BH110" s="45"/>
      <c r="BI110" s="45"/>
      <c r="BJ110" s="45"/>
    </row>
    <row r="111" spans="1:62" s="27" customFormat="1" x14ac:dyDescent="0.2">
      <c r="A111" s="121"/>
      <c r="B111" s="31" t="s">
        <v>395</v>
      </c>
      <c r="C111" s="114"/>
      <c r="E111" s="28"/>
      <c r="I111" s="28"/>
      <c r="K111" s="45"/>
      <c r="M111" s="45">
        <v>105810</v>
      </c>
      <c r="O111" s="182">
        <f t="shared" si="13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82"/>
      <c r="AU111" s="82"/>
      <c r="AW111" s="82"/>
      <c r="AY111" s="45">
        <f t="shared" si="14"/>
        <v>3131103</v>
      </c>
      <c r="BA111" s="143">
        <f>2323080-105810+85506+2361586-14919+10182+84960+24581+409376+56190+165+568+674-2424215-515319+728688</f>
        <v>3025293</v>
      </c>
      <c r="BC111" s="271">
        <f t="shared" si="15"/>
        <v>0</v>
      </c>
      <c r="BE111" s="271">
        <f t="shared" si="3"/>
        <v>3131103</v>
      </c>
      <c r="BG111" s="8">
        <f t="shared" si="16"/>
        <v>-3025293</v>
      </c>
      <c r="BH111" s="45"/>
      <c r="BI111" s="45"/>
      <c r="BJ111" s="45"/>
    </row>
    <row r="112" spans="1:62" s="27" customFormat="1" x14ac:dyDescent="0.2">
      <c r="A112" s="121"/>
      <c r="B112" s="31" t="s">
        <v>397</v>
      </c>
      <c r="C112" s="114"/>
      <c r="E112" s="28"/>
      <c r="I112" s="28"/>
      <c r="K112" s="45"/>
      <c r="M112" s="45">
        <v>0</v>
      </c>
      <c r="O112" s="182">
        <f t="shared" si="13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143"/>
      <c r="AU112" s="143"/>
      <c r="AW112" s="143"/>
      <c r="AY112" s="45">
        <f t="shared" si="14"/>
        <v>60091</v>
      </c>
      <c r="BA112" s="143">
        <f>35068+20233+44675+19927-1202-58610</f>
        <v>60091</v>
      </c>
      <c r="BC112" s="45">
        <f t="shared" si="15"/>
        <v>0</v>
      </c>
      <c r="BE112" s="45">
        <f>+BC112+AY112</f>
        <v>60091</v>
      </c>
      <c r="BG112" s="8">
        <f t="shared" si="16"/>
        <v>-60091</v>
      </c>
      <c r="BH112" s="45"/>
      <c r="BI112" s="45"/>
      <c r="BJ112" s="45"/>
    </row>
    <row r="113" spans="1:62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7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143"/>
      <c r="AU113" s="143"/>
      <c r="AW113" s="143"/>
      <c r="AY113" s="45">
        <f t="shared" si="14"/>
        <v>0</v>
      </c>
      <c r="BA113" s="143"/>
      <c r="BC113" s="45">
        <f t="shared" si="15"/>
        <v>0</v>
      </c>
      <c r="BE113" s="45">
        <f t="shared" si="3"/>
        <v>0</v>
      </c>
      <c r="BG113" s="8">
        <f t="shared" si="16"/>
        <v>0</v>
      </c>
      <c r="BH113" s="82"/>
      <c r="BI113" s="45"/>
      <c r="BJ113" s="45"/>
    </row>
    <row r="114" spans="1:62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7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143"/>
      <c r="AU114" s="143"/>
      <c r="AW114" s="143"/>
      <c r="AY114" s="45">
        <f t="shared" si="14"/>
        <v>0</v>
      </c>
      <c r="BA114" s="143"/>
      <c r="BC114" s="45">
        <f t="shared" si="15"/>
        <v>0</v>
      </c>
      <c r="BE114" s="45">
        <f t="shared" si="3"/>
        <v>0</v>
      </c>
      <c r="BG114" s="8">
        <f t="shared" si="16"/>
        <v>0</v>
      </c>
      <c r="BH114" s="82"/>
      <c r="BI114" s="45"/>
      <c r="BJ114" s="45"/>
    </row>
    <row r="115" spans="1:62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7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143"/>
      <c r="AU115" s="143"/>
      <c r="AW115" s="143"/>
      <c r="AY115" s="45">
        <f t="shared" si="14"/>
        <v>0</v>
      </c>
      <c r="BA115" s="143"/>
      <c r="BC115" s="45">
        <f t="shared" si="15"/>
        <v>0</v>
      </c>
      <c r="BE115" s="45">
        <f t="shared" si="3"/>
        <v>0</v>
      </c>
      <c r="BG115" s="8">
        <f t="shared" si="16"/>
        <v>0</v>
      </c>
      <c r="BH115" s="82"/>
      <c r="BI115" s="45"/>
      <c r="BJ115" s="45"/>
    </row>
    <row r="116" spans="1:62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7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143"/>
      <c r="AU116" s="143"/>
      <c r="AW116" s="143"/>
      <c r="AY116" s="45">
        <f t="shared" si="14"/>
        <v>0</v>
      </c>
      <c r="BA116" s="143"/>
      <c r="BC116" s="45">
        <f t="shared" si="15"/>
        <v>0</v>
      </c>
      <c r="BE116" s="45">
        <f t="shared" si="3"/>
        <v>0</v>
      </c>
      <c r="BG116" s="8">
        <f t="shared" si="16"/>
        <v>0</v>
      </c>
      <c r="BH116" s="82"/>
      <c r="BI116" s="45"/>
      <c r="BJ116" s="45"/>
    </row>
    <row r="117" spans="1:62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7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143"/>
      <c r="AU117" s="143"/>
      <c r="AW117" s="143"/>
      <c r="AY117" s="45">
        <f t="shared" si="14"/>
        <v>0</v>
      </c>
      <c r="BA117" s="143"/>
      <c r="BC117" s="45">
        <f t="shared" si="15"/>
        <v>0</v>
      </c>
      <c r="BE117" s="45">
        <f t="shared" si="3"/>
        <v>0</v>
      </c>
      <c r="BG117" s="8">
        <f t="shared" si="16"/>
        <v>0</v>
      </c>
      <c r="BH117" s="82"/>
      <c r="BI117" s="45"/>
      <c r="BJ117" s="45"/>
    </row>
    <row r="118" spans="1:62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7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143"/>
      <c r="AU118" s="143"/>
      <c r="AW118" s="143"/>
      <c r="AY118" s="45">
        <f t="shared" si="14"/>
        <v>8308145.4000000004</v>
      </c>
      <c r="BA118" s="143">
        <f>-354593+203856+6755-204261+90809</f>
        <v>-257434</v>
      </c>
      <c r="BC118" s="45">
        <f t="shared" si="15"/>
        <v>0</v>
      </c>
      <c r="BE118" s="45">
        <f t="shared" si="3"/>
        <v>8308145.4000000004</v>
      </c>
      <c r="BG118" s="8">
        <f t="shared" si="16"/>
        <v>257433.59999999963</v>
      </c>
      <c r="BH118" s="82"/>
      <c r="BI118" s="45"/>
      <c r="BJ118" s="45"/>
    </row>
    <row r="119" spans="1:62" x14ac:dyDescent="0.2">
      <c r="A119" s="113"/>
      <c r="B119" s="31" t="s">
        <v>521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7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3"/>
      <c r="AT119" s="19"/>
      <c r="AU119" s="173"/>
      <c r="AV119" s="19"/>
      <c r="AW119" s="173"/>
      <c r="AX119" s="19"/>
      <c r="AY119" s="45">
        <f t="shared" si="14"/>
        <v>2528260</v>
      </c>
      <c r="AZ119" s="19"/>
      <c r="BA119" s="173">
        <f>1692567+2459246-1623553</f>
        <v>2528260</v>
      </c>
      <c r="BB119" s="19"/>
      <c r="BC119" s="21">
        <f t="shared" si="15"/>
        <v>0</v>
      </c>
      <c r="BD119" s="19"/>
      <c r="BE119" s="21">
        <f t="shared" si="3"/>
        <v>2528260</v>
      </c>
      <c r="BF119" s="19"/>
      <c r="BG119" s="21">
        <f t="shared" si="16"/>
        <v>-2528260</v>
      </c>
      <c r="BH119" s="34"/>
      <c r="BI119" s="21"/>
    </row>
    <row r="120" spans="1:62" x14ac:dyDescent="0.2">
      <c r="A120" s="113"/>
      <c r="B120" s="31" t="s">
        <v>533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3"/>
      <c r="AU120" s="173"/>
      <c r="AW120" s="173"/>
      <c r="AY120" s="45">
        <f t="shared" si="14"/>
        <v>221704.52000000002</v>
      </c>
      <c r="BA120" s="144"/>
      <c r="BC120" s="14">
        <f t="shared" si="15"/>
        <v>0</v>
      </c>
      <c r="BD120" s="6"/>
      <c r="BE120" s="14">
        <f t="shared" si="3"/>
        <v>221704.52000000002</v>
      </c>
      <c r="BF120" s="6"/>
      <c r="BG120" s="14">
        <f t="shared" si="16"/>
        <v>-221704.52000000002</v>
      </c>
      <c r="BH120" s="34"/>
      <c r="BI120" s="21"/>
    </row>
    <row r="121" spans="1:62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0</v>
      </c>
      <c r="AU121" s="107">
        <f>SUM(AU90:AU120)</f>
        <v>0</v>
      </c>
      <c r="AW121" s="107">
        <f>SUM(AW90:AW120)</f>
        <v>0</v>
      </c>
      <c r="AY121" s="107">
        <f>SUM(AY90:AY120)</f>
        <v>20710052.919999998</v>
      </c>
      <c r="BA121" s="15">
        <f>SUM(BA90:BA119)</f>
        <v>4100862</v>
      </c>
      <c r="BC121" s="15">
        <f>SUM(BC90:BC120)</f>
        <v>0</v>
      </c>
      <c r="BD121" s="6"/>
      <c r="BE121" s="15">
        <f>SUM(BE90:BE120)</f>
        <v>20710052.919999998</v>
      </c>
      <c r="BF121" s="6"/>
      <c r="BG121" s="15">
        <f>SUM(BG90:BG120)</f>
        <v>-4463655.92</v>
      </c>
      <c r="BH121" s="12"/>
      <c r="BI121" s="15"/>
    </row>
    <row r="122" spans="1:62" x14ac:dyDescent="0.2">
      <c r="A122" s="113"/>
      <c r="B122" s="31"/>
      <c r="C122" s="114"/>
      <c r="G122" s="6"/>
      <c r="V122" s="12"/>
      <c r="AY122" s="45"/>
      <c r="BD122" s="6"/>
      <c r="BF122" s="6"/>
      <c r="BH122" s="8"/>
      <c r="BI122" s="8"/>
    </row>
    <row r="123" spans="1:62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143"/>
      <c r="AU123" s="143"/>
      <c r="AW123" s="143"/>
      <c r="AY123" s="45"/>
      <c r="BA123" s="143"/>
      <c r="BC123" s="45"/>
      <c r="BE123" s="45"/>
      <c r="BG123" s="45"/>
      <c r="BH123" s="45"/>
      <c r="BI123" s="45"/>
      <c r="BJ123" s="45"/>
    </row>
    <row r="124" spans="1:62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143"/>
      <c r="AU124" s="143"/>
      <c r="AW124" s="143"/>
      <c r="AY124" s="45"/>
      <c r="BA124" s="143"/>
      <c r="BC124" s="45"/>
      <c r="BE124" s="82"/>
      <c r="BG124" s="8"/>
      <c r="BH124" s="45"/>
      <c r="BI124" s="45"/>
      <c r="BJ124" s="45"/>
    </row>
    <row r="125" spans="1:62" s="27" customFormat="1" x14ac:dyDescent="0.2">
      <c r="A125" s="121"/>
      <c r="B125" s="31" t="s">
        <v>396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82"/>
      <c r="AU125" s="82"/>
      <c r="AW125" s="82"/>
      <c r="AY125" s="45">
        <f t="shared" ref="AY125:AY131" si="19">SUM(P125:AX125)</f>
        <v>2272310</v>
      </c>
      <c r="BA125" s="143">
        <f>88085-91209-97940-39686-10472-159204</f>
        <v>-310426</v>
      </c>
      <c r="BC125" s="82">
        <f>IF(+O125-AY125+BA125&gt;0,O125-AY125+BA125,0)</f>
        <v>0</v>
      </c>
      <c r="BE125" s="271">
        <f>+BC125+AY125</f>
        <v>2272310</v>
      </c>
      <c r="BG125" s="8">
        <f t="shared" ref="BG125:BG131" si="20">O125-AY125-BC125</f>
        <v>-1915482</v>
      </c>
      <c r="BH125" s="45"/>
      <c r="BI125" s="45"/>
      <c r="BJ125" s="45"/>
    </row>
    <row r="126" spans="1:62" s="27" customFormat="1" x14ac:dyDescent="0.2">
      <c r="A126" s="121"/>
      <c r="B126" s="31" t="s">
        <v>398</v>
      </c>
      <c r="C126" s="114"/>
      <c r="E126" s="28"/>
      <c r="I126" s="28"/>
      <c r="K126" s="45"/>
      <c r="M126" s="45">
        <v>1194879</v>
      </c>
      <c r="O126" s="182">
        <f t="shared" ref="O126:O131" si="21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143"/>
      <c r="AU126" s="143"/>
      <c r="AW126" s="143"/>
      <c r="AY126" s="45">
        <f t="shared" si="19"/>
        <v>956021</v>
      </c>
      <c r="BA126" s="143">
        <f>951863-1194879-111197+54246+46516+36245-148214+126562</f>
        <v>-238858</v>
      </c>
      <c r="BC126" s="45">
        <f t="shared" ref="BC126:BC131" si="22">IF(+O126-AY126+BA126&gt;0,O126-AY126+BA126,0)</f>
        <v>0</v>
      </c>
      <c r="BE126" s="45">
        <f>+BC126+AY126</f>
        <v>956021</v>
      </c>
      <c r="BG126" s="8">
        <f t="shared" si="20"/>
        <v>238858</v>
      </c>
      <c r="BH126" s="45"/>
      <c r="BI126" s="45"/>
      <c r="BJ126" s="45"/>
    </row>
    <row r="127" spans="1:62" s="27" customFormat="1" ht="13.5" customHeight="1" x14ac:dyDescent="0.2">
      <c r="A127" s="121"/>
      <c r="B127" s="31" t="s">
        <v>527</v>
      </c>
      <c r="C127" s="114"/>
      <c r="E127" s="28"/>
      <c r="I127" s="28"/>
      <c r="K127" s="45"/>
      <c r="M127" s="45">
        <f>2998745+1312553+1463286</f>
        <v>5774584</v>
      </c>
      <c r="O127" s="182">
        <f t="shared" si="21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143"/>
      <c r="AU127" s="143"/>
      <c r="AW127" s="143"/>
      <c r="AY127" s="45">
        <f t="shared" si="19"/>
        <v>6733611</v>
      </c>
      <c r="BA127" s="143">
        <f>2862030-2998745+351093-378248+155246+314000-273311-13504+115571</f>
        <v>134132</v>
      </c>
      <c r="BC127" s="45">
        <f t="shared" si="22"/>
        <v>0</v>
      </c>
      <c r="BE127" s="45">
        <f>+BC127+AY127</f>
        <v>6733611</v>
      </c>
      <c r="BG127" s="8">
        <f t="shared" si="20"/>
        <v>-959027</v>
      </c>
      <c r="BH127" s="45"/>
      <c r="BI127" s="45"/>
      <c r="BJ127" s="45"/>
    </row>
    <row r="128" spans="1:62" s="27" customFormat="1" x14ac:dyDescent="0.2">
      <c r="A128" s="121"/>
      <c r="B128" s="31" t="s">
        <v>526</v>
      </c>
      <c r="C128" s="114"/>
      <c r="E128" s="28"/>
      <c r="I128" s="28"/>
      <c r="K128" s="45"/>
      <c r="M128" s="45">
        <f>1110485+1095310</f>
        <v>2205795</v>
      </c>
      <c r="O128" s="182">
        <f t="shared" si="21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143"/>
      <c r="AU128" s="143"/>
      <c r="AW128" s="143"/>
      <c r="AY128" s="45">
        <f t="shared" si="19"/>
        <v>2062725</v>
      </c>
      <c r="BA128" s="143">
        <f>847378-1110485-113+147785+316190-568870+400000-10364-330743+112532+32000-235394+257014</f>
        <v>-143070</v>
      </c>
      <c r="BC128" s="45">
        <f t="shared" si="22"/>
        <v>0</v>
      </c>
      <c r="BE128" s="45">
        <f>+BC128+AY128</f>
        <v>2062725</v>
      </c>
      <c r="BG128" s="8">
        <f t="shared" si="20"/>
        <v>143070</v>
      </c>
      <c r="BH128" s="45"/>
      <c r="BI128" s="45"/>
      <c r="BJ128" s="45"/>
    </row>
    <row r="129" spans="1:63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1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143"/>
      <c r="AU129" s="143"/>
      <c r="AW129" s="143"/>
      <c r="AY129" s="45">
        <f t="shared" si="19"/>
        <v>0</v>
      </c>
      <c r="BA129" s="143"/>
      <c r="BC129" s="45">
        <f t="shared" si="22"/>
        <v>0</v>
      </c>
      <c r="BE129" s="45">
        <f t="shared" ref="BE129:BE189" si="23">+BC129+AY129</f>
        <v>0</v>
      </c>
      <c r="BG129" s="8">
        <f t="shared" si="20"/>
        <v>0</v>
      </c>
      <c r="BH129" s="82"/>
      <c r="BI129" s="45"/>
      <c r="BJ129" s="45"/>
    </row>
    <row r="130" spans="1:63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1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143"/>
      <c r="AU130" s="143"/>
      <c r="AW130" s="143"/>
      <c r="AY130" s="45">
        <f t="shared" si="19"/>
        <v>0</v>
      </c>
      <c r="BA130" s="143"/>
      <c r="BC130" s="45">
        <f t="shared" si="22"/>
        <v>0</v>
      </c>
      <c r="BE130" s="45">
        <f t="shared" si="23"/>
        <v>0</v>
      </c>
      <c r="BG130" s="8">
        <f t="shared" si="20"/>
        <v>0</v>
      </c>
      <c r="BH130" s="82"/>
      <c r="BI130" s="45"/>
      <c r="BJ130" s="45"/>
    </row>
    <row r="131" spans="1:63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1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144"/>
      <c r="AU131" s="144"/>
      <c r="AW131" s="144"/>
      <c r="AY131" s="45">
        <f t="shared" si="19"/>
        <v>0</v>
      </c>
      <c r="BA131" s="144"/>
      <c r="BC131" s="129">
        <f t="shared" si="22"/>
        <v>0</v>
      </c>
      <c r="BE131" s="129">
        <f t="shared" si="23"/>
        <v>0</v>
      </c>
      <c r="BG131" s="14">
        <f t="shared" si="20"/>
        <v>0</v>
      </c>
      <c r="BH131" s="183"/>
      <c r="BI131" s="172"/>
      <c r="BJ131" s="45"/>
    </row>
    <row r="132" spans="1:63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0</v>
      </c>
      <c r="AU132" s="108">
        <f>SUM(AU124:AU131)</f>
        <v>0</v>
      </c>
      <c r="AW132" s="108">
        <f>SUM(AW124:AW131)</f>
        <v>0</v>
      </c>
      <c r="AY132" s="108">
        <f>SUM(AY124:AY131)</f>
        <v>12024667</v>
      </c>
      <c r="BA132" s="29">
        <f>SUM(BA124:BA131)</f>
        <v>-558222</v>
      </c>
      <c r="BC132" s="29">
        <f>SUM(BC124:BC131)</f>
        <v>0</v>
      </c>
      <c r="BE132" s="29">
        <f>SUM(BE124:BE131)</f>
        <v>12024667</v>
      </c>
      <c r="BG132" s="108">
        <f>SUM(BG124:BG131)</f>
        <v>-2492581</v>
      </c>
      <c r="BH132" s="183"/>
      <c r="BI132" s="29"/>
      <c r="BJ132" s="45"/>
    </row>
    <row r="133" spans="1:63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141"/>
      <c r="AU133" s="141"/>
      <c r="AW133" s="141"/>
      <c r="AY133" s="29"/>
      <c r="BA133" s="141"/>
      <c r="BC133" s="29"/>
      <c r="BE133" s="29"/>
      <c r="BG133" s="29"/>
      <c r="BH133" s="29"/>
      <c r="BI133" s="29"/>
      <c r="BJ133" s="45"/>
    </row>
    <row r="134" spans="1:63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141"/>
      <c r="AU134" s="141"/>
      <c r="AW134" s="141"/>
      <c r="AY134" s="45">
        <f>SUM(P134:AX134)</f>
        <v>536925.14999999991</v>
      </c>
      <c r="BA134" s="141">
        <f>-458401+20326</f>
        <v>-438075</v>
      </c>
      <c r="BC134" s="15">
        <f>IF(+O134-AY134+BA134&gt;0,O134-AY134+BA134,0)</f>
        <v>0</v>
      </c>
      <c r="BD134" s="6"/>
      <c r="BE134" s="15">
        <f t="shared" si="23"/>
        <v>536925.14999999991</v>
      </c>
      <c r="BF134" s="6"/>
      <c r="BG134" s="8">
        <f>O134-AY134-BC134</f>
        <v>438074.85000000009</v>
      </c>
      <c r="BH134" s="34"/>
      <c r="BI134" s="15"/>
    </row>
    <row r="135" spans="1:63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141"/>
      <c r="AU135" s="141"/>
      <c r="AW135" s="141"/>
      <c r="AY135" s="45"/>
      <c r="BA135" s="141"/>
      <c r="BC135" s="15">
        <f>IF(+O135-AY135+BA135&gt;0,O135-AY135+BA135,0)</f>
        <v>0</v>
      </c>
      <c r="BD135" s="6"/>
      <c r="BE135" s="15">
        <f t="shared" si="23"/>
        <v>0</v>
      </c>
      <c r="BF135" s="6"/>
      <c r="BG135" s="8">
        <f>O135-AY135-BC135</f>
        <v>0</v>
      </c>
      <c r="BH135" s="34"/>
      <c r="BI135" s="15"/>
    </row>
    <row r="136" spans="1:63" x14ac:dyDescent="0.2">
      <c r="A136" s="121"/>
      <c r="B136" s="31"/>
      <c r="C136" s="114"/>
      <c r="K136" s="5"/>
      <c r="M136" s="5"/>
      <c r="O136" s="5"/>
      <c r="V136" s="12"/>
      <c r="AY136" s="45"/>
      <c r="BD136" s="6"/>
      <c r="BF136" s="6"/>
      <c r="BH136" s="8"/>
      <c r="BI136" s="8"/>
    </row>
    <row r="137" spans="1:63" x14ac:dyDescent="0.2">
      <c r="A137" s="121" t="s">
        <v>543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Y137" s="45">
        <f>SUM(P137:AX137)</f>
        <v>260000</v>
      </c>
      <c r="BA137" s="143">
        <v>0</v>
      </c>
      <c r="BC137" s="15">
        <v>0</v>
      </c>
      <c r="BD137" s="6"/>
      <c r="BE137" s="15">
        <f t="shared" si="23"/>
        <v>260000</v>
      </c>
      <c r="BF137" s="6"/>
      <c r="BG137" s="8">
        <f>O137-AY137-BC137</f>
        <v>-260000</v>
      </c>
      <c r="BH137" s="8"/>
      <c r="BI137" s="8"/>
    </row>
    <row r="138" spans="1:63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141"/>
      <c r="AU138" s="141"/>
      <c r="AW138" s="141"/>
      <c r="AY138" s="29"/>
      <c r="BA138" s="141"/>
      <c r="BC138" s="15"/>
      <c r="BD138" s="6"/>
      <c r="BE138" s="15"/>
      <c r="BF138" s="6"/>
      <c r="BG138" s="21"/>
      <c r="BH138" s="34"/>
      <c r="BI138" s="15"/>
    </row>
    <row r="139" spans="1:63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141"/>
      <c r="AU139" s="141"/>
      <c r="AW139" s="141"/>
      <c r="AY139" s="45">
        <f>SUM(P139:AR139)</f>
        <v>0</v>
      </c>
      <c r="BA139" s="141"/>
      <c r="BC139" s="16">
        <f>IF(+O139-AY139+BA139&gt;0,O139-AY139+BA139,0)</f>
        <v>0</v>
      </c>
      <c r="BD139" s="6"/>
      <c r="BE139" s="16">
        <f t="shared" si="23"/>
        <v>0</v>
      </c>
      <c r="BF139" s="6"/>
      <c r="BG139" s="8">
        <f>O139-AY139-BC139</f>
        <v>0</v>
      </c>
      <c r="BH139" s="34"/>
      <c r="BI139" s="15"/>
    </row>
    <row r="140" spans="1:63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141"/>
      <c r="AU140" s="141"/>
      <c r="AW140" s="141"/>
      <c r="AY140" s="29"/>
      <c r="BA140" s="141"/>
      <c r="BC140" s="15"/>
      <c r="BD140" s="6"/>
      <c r="BE140" s="15"/>
      <c r="BF140" s="6"/>
      <c r="BH140" s="12"/>
      <c r="BI140" s="15"/>
    </row>
    <row r="141" spans="1:63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141">
        <f>AS139+AS135+AS134+AS132+AS121+AS87+AS80+AS137</f>
        <v>0</v>
      </c>
      <c r="AU141" s="141">
        <f>AU139+AU135+AU134+AU132+AU121+AU87+AU80+AU137</f>
        <v>0</v>
      </c>
      <c r="AW141" s="141">
        <f>AW139+AW135+AW134+AW132+AW121+AW87+AW80+AW137</f>
        <v>0</v>
      </c>
      <c r="AY141" s="29">
        <f>AY139+AY135+AY134+AY132+AY121+AY87+AY80+AY137</f>
        <v>33531644.670000002</v>
      </c>
      <c r="BA141" s="141">
        <f>BA139+BA135+BA134+BA132+BA121+BA87+BA80+BA137</f>
        <v>-1248398</v>
      </c>
      <c r="BC141" s="29">
        <f>BC139+BC135+BC134+BC132+BC121+BC87+BC80+BC13</f>
        <v>0</v>
      </c>
      <c r="BD141" s="6"/>
      <c r="BE141" s="29">
        <f>BE139+BE135+BE134+BE132+BE121+BE87+BE80+BE137</f>
        <v>33531644.670000002</v>
      </c>
      <c r="BF141" s="6"/>
      <c r="BG141" s="29">
        <f>BG139+BG135+BG134+BG132+BG121+BG87+BG80+BG137</f>
        <v>-2425198.67</v>
      </c>
      <c r="BH141" s="34"/>
      <c r="BI141" s="15"/>
      <c r="BK141" s="39">
        <f>+BE141+BK51</f>
        <v>133359634.77000001</v>
      </c>
    </row>
    <row r="142" spans="1:63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141"/>
      <c r="AU142" s="141"/>
      <c r="AW142" s="141"/>
      <c r="AY142" s="29"/>
      <c r="BA142" s="141"/>
      <c r="BC142" s="15"/>
      <c r="BD142" s="6"/>
      <c r="BE142" s="15"/>
      <c r="BF142" s="6"/>
      <c r="BG142" s="15"/>
      <c r="BH142" s="15"/>
      <c r="BI142" s="15"/>
    </row>
    <row r="143" spans="1:63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140">
        <f>AS141+AS51+AS43</f>
        <v>751</v>
      </c>
      <c r="AT143" s="23"/>
      <c r="AU143" s="140">
        <f>AU141+AU51+AU43</f>
        <v>900000</v>
      </c>
      <c r="AV143" s="23"/>
      <c r="AW143" s="140">
        <f>AW141+AW51+AW43</f>
        <v>0</v>
      </c>
      <c r="AX143" s="23"/>
      <c r="AY143" s="25">
        <f>AY141+AY51+AY43</f>
        <v>137028981.67000002</v>
      </c>
      <c r="AZ143" s="23"/>
      <c r="BA143" s="140">
        <f>BA141+BA51+BA43</f>
        <v>3063452</v>
      </c>
      <c r="BB143" s="23"/>
      <c r="BC143" s="25">
        <f>BC141+BC51+BC43+BC137</f>
        <v>61581.100000000115</v>
      </c>
      <c r="BD143" s="23"/>
      <c r="BE143" s="25">
        <f t="shared" si="23"/>
        <v>137090562.77000001</v>
      </c>
      <c r="BF143" s="23"/>
      <c r="BG143" s="25">
        <f>BG141+BG51+BG43</f>
        <v>-20173976.770000003</v>
      </c>
      <c r="BH143" s="25"/>
      <c r="BI143" s="29"/>
      <c r="BJ143" s="45">
        <f>+BJ43</f>
        <v>-3730928</v>
      </c>
      <c r="BK143" s="39">
        <f>+BE143+BJ143</f>
        <v>133359634.77000001</v>
      </c>
    </row>
    <row r="144" spans="1:63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141"/>
      <c r="AU144" s="141"/>
      <c r="AW144" s="141"/>
      <c r="AY144" s="29"/>
      <c r="BA144" s="141"/>
      <c r="BC144" s="29"/>
      <c r="BD144" s="27"/>
      <c r="BE144" s="29"/>
      <c r="BF144" s="27"/>
      <c r="BG144" s="29"/>
      <c r="BH144" s="29"/>
      <c r="BI144" s="29"/>
    </row>
    <row r="145" spans="1:62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141">
        <v>0</v>
      </c>
      <c r="AT145" s="15"/>
      <c r="AU145" s="141">
        <v>0</v>
      </c>
      <c r="AV145" s="15"/>
      <c r="AW145" s="141">
        <v>0</v>
      </c>
      <c r="AX145" s="15"/>
      <c r="AY145" s="45">
        <f>SUM(P145:AX145)</f>
        <v>786608.59</v>
      </c>
      <c r="BA145" s="141">
        <f>706219-668000+83333.33-35845</f>
        <v>85707.33</v>
      </c>
      <c r="BC145" s="8">
        <f>IF(+O145-AY145+BA145&gt;0,O145-AY145+BA145,0)</f>
        <v>0</v>
      </c>
      <c r="BD145" s="27"/>
      <c r="BE145" s="15">
        <f t="shared" si="23"/>
        <v>786608.59</v>
      </c>
      <c r="BF145" s="27"/>
      <c r="BG145" s="8">
        <f>O145-AY145-BC145</f>
        <v>-118608.58999999997</v>
      </c>
      <c r="BH145" s="12"/>
      <c r="BI145" s="27" t="s">
        <v>368</v>
      </c>
    </row>
    <row r="146" spans="1:62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141"/>
      <c r="AT146" s="15"/>
      <c r="AU146" s="141"/>
      <c r="AV146" s="15"/>
      <c r="AW146" s="141"/>
      <c r="AX146" s="15"/>
      <c r="AY146" s="45">
        <f>SUM(P146:AX146)</f>
        <v>0</v>
      </c>
      <c r="BA146" s="141">
        <v>-25000</v>
      </c>
      <c r="BC146" s="8">
        <f>IF(+O146-AY146+BA146&gt;0,O146-AY146+BA146,0)</f>
        <v>0</v>
      </c>
      <c r="BD146" s="27"/>
      <c r="BE146" s="15">
        <f t="shared" si="23"/>
        <v>0</v>
      </c>
      <c r="BF146" s="27"/>
      <c r="BG146" s="8">
        <f>O146-AY146-BC146</f>
        <v>25000</v>
      </c>
      <c r="BH146" s="12"/>
      <c r="BI146" s="27" t="s">
        <v>368</v>
      </c>
    </row>
    <row r="147" spans="1:62" x14ac:dyDescent="0.2">
      <c r="A147" s="112"/>
      <c r="B147" s="115" t="s">
        <v>472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0</v>
      </c>
      <c r="AT147" s="15"/>
      <c r="AU147" s="107">
        <f>SUM(AU145:AU146)</f>
        <v>0</v>
      </c>
      <c r="AV147" s="15"/>
      <c r="AW147" s="107">
        <f>SUM(AW145:AW146)</f>
        <v>0</v>
      </c>
      <c r="AX147" s="15"/>
      <c r="AY147" s="107">
        <f>SUM(AY145:AY146)</f>
        <v>786608.59</v>
      </c>
      <c r="BA147" s="107">
        <f>SUM(BA145:BA146)</f>
        <v>60707.33</v>
      </c>
      <c r="BC147" s="107">
        <f>SUM(BC145:BC146)</f>
        <v>0</v>
      </c>
      <c r="BD147" s="27"/>
      <c r="BE147" s="107">
        <f>SUM(BE145:BE146)</f>
        <v>786608.59</v>
      </c>
      <c r="BF147" s="27"/>
      <c r="BG147" s="107">
        <f>SUM(BG145:BG146)</f>
        <v>-93608.589999999967</v>
      </c>
      <c r="BH147" s="12"/>
      <c r="BI147" s="27"/>
    </row>
    <row r="148" spans="1:62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141"/>
      <c r="AU148" s="141"/>
      <c r="AW148" s="141"/>
      <c r="AY148" s="29"/>
      <c r="BA148" s="141"/>
      <c r="BC148" s="29"/>
      <c r="BD148" s="27"/>
      <c r="BE148" s="29"/>
      <c r="BF148" s="27"/>
      <c r="BG148" s="29"/>
      <c r="BH148" s="29"/>
      <c r="BI148" s="29"/>
    </row>
    <row r="149" spans="1:62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141">
        <v>0</v>
      </c>
      <c r="AU149" s="141">
        <v>0</v>
      </c>
      <c r="AW149" s="141">
        <v>0</v>
      </c>
      <c r="AY149" s="45">
        <f>SUM(P149:AX149)</f>
        <v>748288.08</v>
      </c>
      <c r="BA149" s="141"/>
      <c r="BC149" s="8">
        <f>IF(+O149-AY149+BA149&gt;0,O149-AY149+BA149,0)-64762</f>
        <v>-7.9999999958090484E-2</v>
      </c>
      <c r="BD149" s="27"/>
      <c r="BE149" s="8">
        <f t="shared" si="23"/>
        <v>748288</v>
      </c>
      <c r="BF149" s="27"/>
      <c r="BG149" s="8">
        <f>O149-AY149-BC149</f>
        <v>64762</v>
      </c>
      <c r="BH149" s="12"/>
      <c r="BI149" s="29" t="s">
        <v>121</v>
      </c>
    </row>
    <row r="150" spans="1:62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Y150" s="45"/>
      <c r="BD150" s="27"/>
      <c r="BF150" s="27"/>
      <c r="BH150" s="12"/>
      <c r="BI150" s="29"/>
    </row>
    <row r="151" spans="1:62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Y151" s="45">
        <f>SUM(P151:AX151)</f>
        <v>172609.34</v>
      </c>
      <c r="BC151" s="8">
        <f>IF(+O151-AY151+BA151&gt;0,O151-AY151+BA151,0)</f>
        <v>0</v>
      </c>
      <c r="BD151" s="6"/>
      <c r="BE151" s="8">
        <f t="shared" si="23"/>
        <v>172609.34</v>
      </c>
      <c r="BF151" s="6"/>
      <c r="BG151" s="8">
        <f>O151-AY151-BC151</f>
        <v>-3334.3399999999965</v>
      </c>
      <c r="BH151" s="12"/>
      <c r="BI151" s="8" t="s">
        <v>122</v>
      </c>
    </row>
    <row r="152" spans="1:62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143"/>
      <c r="AT152" s="6"/>
      <c r="AU152" s="143"/>
      <c r="AV152" s="6"/>
      <c r="AW152" s="143"/>
      <c r="AX152" s="6"/>
      <c r="AY152" s="45">
        <f>SUM(P152:AX152)</f>
        <v>0</v>
      </c>
      <c r="BA152" s="143"/>
      <c r="BC152" s="8">
        <v>0</v>
      </c>
      <c r="BD152" s="6"/>
      <c r="BE152" s="8">
        <f t="shared" si="23"/>
        <v>0</v>
      </c>
      <c r="BF152" s="6"/>
      <c r="BG152" s="8">
        <f>O152-AY152-BC152</f>
        <v>150000</v>
      </c>
      <c r="BH152" s="12"/>
      <c r="BI152" s="12"/>
      <c r="BJ152" s="12"/>
    </row>
    <row r="153" spans="1:62" s="43" customFormat="1" x14ac:dyDescent="0.2">
      <c r="A153" s="124"/>
      <c r="B153" s="19" t="s">
        <v>470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0</v>
      </c>
      <c r="AT153" s="6"/>
      <c r="AU153" s="107">
        <f>SUM(AU151:AU152)</f>
        <v>0</v>
      </c>
      <c r="AV153" s="6"/>
      <c r="AW153" s="107">
        <f>SUM(AW151:AW152)</f>
        <v>0</v>
      </c>
      <c r="AX153" s="6"/>
      <c r="AY153" s="107">
        <f>SUM(AY151:AY152)</f>
        <v>172609.34</v>
      </c>
      <c r="BA153" s="107">
        <f>SUM(BA151:BA152)</f>
        <v>0</v>
      </c>
      <c r="BC153" s="107">
        <f>SUM(BC151:BC152)</f>
        <v>0</v>
      </c>
      <c r="BD153" s="6"/>
      <c r="BE153" s="107">
        <f>SUM(BE151:BE152)</f>
        <v>172609.34</v>
      </c>
      <c r="BF153" s="6"/>
      <c r="BG153" s="107">
        <f>SUM(BG151:BG152)</f>
        <v>146665.66</v>
      </c>
      <c r="BH153" s="12"/>
      <c r="BI153" s="12"/>
      <c r="BJ153" s="12"/>
    </row>
    <row r="154" spans="1:62" x14ac:dyDescent="0.2">
      <c r="A154" s="113"/>
      <c r="B154" s="31"/>
      <c r="C154" s="114"/>
      <c r="K154" s="15"/>
      <c r="M154" s="15"/>
      <c r="O154" s="15"/>
      <c r="AY154" s="45"/>
      <c r="BD154" s="6"/>
      <c r="BF154" s="6"/>
      <c r="BH154" s="8"/>
      <c r="BI154" s="8"/>
    </row>
    <row r="155" spans="1:62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Y155" s="45">
        <f>SUM(P155:AX155)</f>
        <v>244098.71000000002</v>
      </c>
      <c r="BC155" s="8">
        <f>IF(+O155-AY155+BA155&gt;0,O155-AY155+BA155,0)</f>
        <v>0</v>
      </c>
      <c r="BD155" s="6"/>
      <c r="BE155" s="8">
        <f t="shared" si="23"/>
        <v>244098.71000000002</v>
      </c>
      <c r="BF155" s="6"/>
      <c r="BG155" s="8">
        <f>O155-AY155-BC155</f>
        <v>-54098.710000000021</v>
      </c>
      <c r="BH155" s="12"/>
      <c r="BI155" s="8"/>
    </row>
    <row r="156" spans="1:62" x14ac:dyDescent="0.2">
      <c r="A156" s="113"/>
      <c r="B156" s="31" t="s">
        <v>334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Y156" s="45">
        <f>SUM(P156:AX156)</f>
        <v>110804.75</v>
      </c>
      <c r="BC156" s="8">
        <f>IF(+O156-AY156+BA156&gt;0,O156-AY156+BA156,0)</f>
        <v>0</v>
      </c>
      <c r="BD156" s="6"/>
      <c r="BE156" s="8">
        <f t="shared" si="23"/>
        <v>110804.75</v>
      </c>
      <c r="BF156" s="6"/>
      <c r="BG156" s="8">
        <f>O156-AY156-BC156</f>
        <v>-110804.75</v>
      </c>
      <c r="BH156" s="8"/>
      <c r="BI156" s="8"/>
    </row>
    <row r="157" spans="1:62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0</v>
      </c>
      <c r="AU157" s="107">
        <f>SUM(AU155:AU156)</f>
        <v>0</v>
      </c>
      <c r="AW157" s="107">
        <f>SUM(AW155:AW156)</f>
        <v>0</v>
      </c>
      <c r="AY157" s="107">
        <f>SUM(AY155:AY156)</f>
        <v>354903.46</v>
      </c>
      <c r="BA157" s="107">
        <f>SUM(BA155:BA156)</f>
        <v>0</v>
      </c>
      <c r="BC157" s="107">
        <f>SUM(BC155:BC156)</f>
        <v>0</v>
      </c>
      <c r="BD157" s="6"/>
      <c r="BE157" s="107">
        <f>SUM(BE155:BE156)</f>
        <v>354903.46</v>
      </c>
      <c r="BF157" s="6"/>
      <c r="BG157" s="107">
        <f>SUM(BG155:BG156)</f>
        <v>-164903.46000000002</v>
      </c>
      <c r="BH157" s="8"/>
      <c r="BI157" s="8"/>
    </row>
    <row r="158" spans="1:62" x14ac:dyDescent="0.2">
      <c r="A158" s="113"/>
      <c r="B158" s="31"/>
      <c r="C158" s="114"/>
      <c r="K158" s="15"/>
      <c r="M158" s="15"/>
      <c r="O158" s="15"/>
      <c r="AY158" s="45"/>
      <c r="BD158" s="6"/>
      <c r="BF158" s="6"/>
      <c r="BH158" s="8"/>
      <c r="BI158" s="8"/>
    </row>
    <row r="159" spans="1:62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Y159" s="45">
        <f>SUM(P159:AX159)</f>
        <v>0</v>
      </c>
      <c r="BC159" s="8">
        <f>IF(+O159-AY159+BA159&gt;0,O159-AY159+BA159,0)</f>
        <v>0</v>
      </c>
      <c r="BD159" s="6"/>
      <c r="BE159" s="8">
        <f t="shared" si="23"/>
        <v>0</v>
      </c>
      <c r="BF159" s="6"/>
      <c r="BG159" s="8">
        <f>O159-AY159-BC159</f>
        <v>0</v>
      </c>
      <c r="BH159" s="12"/>
      <c r="BI159" s="8" t="s">
        <v>124</v>
      </c>
    </row>
    <row r="160" spans="1:62" x14ac:dyDescent="0.2">
      <c r="A160" s="113"/>
      <c r="B160" s="31"/>
      <c r="C160" s="114"/>
      <c r="K160" s="15"/>
      <c r="M160" s="15"/>
      <c r="O160" s="15"/>
      <c r="AY160" s="45"/>
      <c r="BD160" s="6"/>
      <c r="BF160" s="6"/>
      <c r="BH160" s="8"/>
      <c r="BI160" s="8"/>
    </row>
    <row r="161" spans="1:61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Y161" s="45"/>
      <c r="BD161" s="6"/>
      <c r="BE161" s="8">
        <f t="shared" si="23"/>
        <v>0</v>
      </c>
      <c r="BF161" s="6"/>
      <c r="BH161" s="8"/>
      <c r="BI161" s="6" t="s">
        <v>78</v>
      </c>
    </row>
    <row r="162" spans="1:61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Y162" s="45">
        <f>SUM(P162:AX162)</f>
        <v>1719875.44</v>
      </c>
      <c r="BC162" s="8">
        <f>IF(+O162-AY162+BA162&gt;0,O162-AY162+BA162,0)</f>
        <v>0</v>
      </c>
      <c r="BD162" s="6"/>
      <c r="BE162" s="8">
        <f t="shared" si="23"/>
        <v>1719875.44</v>
      </c>
      <c r="BF162" s="6"/>
      <c r="BG162" s="8">
        <f>O162-AY162-BC162</f>
        <v>-45336.439999999944</v>
      </c>
      <c r="BH162" s="12"/>
      <c r="BI162" s="8"/>
    </row>
    <row r="163" spans="1:61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Y163" s="45">
        <f>SUM(P163:AX163)</f>
        <v>247034.29</v>
      </c>
      <c r="BC163" s="8">
        <f>IF(+O163-AY163+BA163&gt;0,O163-AY163+BA163,0)</f>
        <v>114666.13399999999</v>
      </c>
      <c r="BD163" s="6"/>
      <c r="BE163" s="8">
        <f t="shared" si="23"/>
        <v>361700.424</v>
      </c>
      <c r="BF163" s="6"/>
      <c r="BG163" s="8">
        <f>O163-AY163-BC163</f>
        <v>0</v>
      </c>
      <c r="BH163" s="12"/>
      <c r="BI163" s="8"/>
    </row>
    <row r="164" spans="1:61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Y164" s="45">
        <f>SUM(P164:AX164)</f>
        <v>11826</v>
      </c>
      <c r="BC164" s="8">
        <f>IF(+O164-AY164+BA164&gt;0,O164-AY164+BA164,0)</f>
        <v>0</v>
      </c>
      <c r="BD164" s="6"/>
      <c r="BE164" s="8">
        <f t="shared" si="23"/>
        <v>11826</v>
      </c>
      <c r="BF164" s="6"/>
      <c r="BG164" s="8">
        <f>O164-AY164-BC164</f>
        <v>0</v>
      </c>
      <c r="BH164" s="12"/>
      <c r="BI164" s="8"/>
    </row>
    <row r="165" spans="1:61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Y165" s="45">
        <f>SUM(P165:AX165)</f>
        <v>57404.800000000003</v>
      </c>
      <c r="BC165" s="8">
        <f>IF(+O165-AY165+BA165&gt;0,O165-AY165+BA165,0)</f>
        <v>0</v>
      </c>
      <c r="BD165" s="6"/>
      <c r="BE165" s="8">
        <f t="shared" si="23"/>
        <v>57404.800000000003</v>
      </c>
      <c r="BF165" s="6"/>
      <c r="BG165" s="8">
        <f>O165-AY165-BC165</f>
        <v>-23636.800000000003</v>
      </c>
      <c r="BH165" s="12"/>
      <c r="BI165" s="8"/>
    </row>
    <row r="166" spans="1:61" x14ac:dyDescent="0.2">
      <c r="A166" s="112"/>
      <c r="B166" s="19" t="s">
        <v>471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0</v>
      </c>
      <c r="AU166" s="107">
        <f>SUM(AU162:AU165)</f>
        <v>0</v>
      </c>
      <c r="AW166" s="107">
        <f>SUM(AW162:AW165)</f>
        <v>0</v>
      </c>
      <c r="AY166" s="107">
        <f>SUM(AY162:AY165)</f>
        <v>2036140.53</v>
      </c>
      <c r="BA166" s="107">
        <f>SUM(BA162:BA165)</f>
        <v>0</v>
      </c>
      <c r="BC166" s="107">
        <f>SUM(BC162:BC165)</f>
        <v>114666.13399999999</v>
      </c>
      <c r="BD166" s="6"/>
      <c r="BE166" s="107">
        <f>SUM(BE162:BE165)</f>
        <v>2150806.6639999999</v>
      </c>
      <c r="BF166" s="6"/>
      <c r="BG166" s="107">
        <f>SUM(BG162:BG165)</f>
        <v>-68973.239999999947</v>
      </c>
      <c r="BH166" s="12"/>
      <c r="BI166" s="8"/>
    </row>
    <row r="167" spans="1:61" x14ac:dyDescent="0.2">
      <c r="A167" s="113"/>
      <c r="B167" s="31"/>
      <c r="C167" s="114"/>
      <c r="K167" s="15"/>
      <c r="M167" s="15"/>
      <c r="O167" s="15"/>
      <c r="AY167" s="45"/>
      <c r="BD167" s="6"/>
      <c r="BF167" s="6"/>
      <c r="BH167" s="8"/>
      <c r="BI167" s="8"/>
    </row>
    <row r="168" spans="1:61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Y168" s="45">
        <f t="shared" ref="AY168:AY177" si="24">SUM(P168:AX168)</f>
        <v>317836.07</v>
      </c>
      <c r="BA168" s="143">
        <f>-131132+100000</f>
        <v>-31132</v>
      </c>
      <c r="BC168" s="12">
        <f>IF(+O168-AY168+BA168&gt;0,O168-AY168+BA168,0)-231868</f>
        <v>-217836.07</v>
      </c>
      <c r="BD168" s="6"/>
      <c r="BE168" s="8">
        <f t="shared" si="23"/>
        <v>100000</v>
      </c>
      <c r="BF168" s="6"/>
      <c r="BG168" s="8">
        <f>O168-AY168-BC168</f>
        <v>263000</v>
      </c>
      <c r="BH168" s="12"/>
      <c r="BI168" s="8"/>
    </row>
    <row r="169" spans="1:61" x14ac:dyDescent="0.2">
      <c r="A169" s="113"/>
      <c r="B169" s="31"/>
      <c r="C169" s="114"/>
      <c r="K169" s="15"/>
      <c r="M169" s="15"/>
      <c r="O169" s="15"/>
      <c r="AY169" s="45"/>
      <c r="BD169" s="6"/>
      <c r="BF169" s="6"/>
      <c r="BH169" s="8"/>
      <c r="BI169" s="8"/>
    </row>
    <row r="170" spans="1:61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Y170" s="45">
        <f t="shared" si="24"/>
        <v>290638.74</v>
      </c>
      <c r="BA170" s="143">
        <f>55279-64752</f>
        <v>-9473</v>
      </c>
      <c r="BC170" s="8">
        <f>336000+BA170-AY170</f>
        <v>35888.260000000009</v>
      </c>
      <c r="BD170" s="6"/>
      <c r="BE170" s="8">
        <f t="shared" si="23"/>
        <v>326527</v>
      </c>
      <c r="BF170" s="6"/>
      <c r="BG170" s="8">
        <f>O170-AY170-BC170</f>
        <v>-171248</v>
      </c>
      <c r="BH170" s="12"/>
      <c r="BI170" s="8"/>
    </row>
    <row r="171" spans="1:61" x14ac:dyDescent="0.2">
      <c r="A171" s="120"/>
      <c r="B171" s="19"/>
      <c r="C171" s="114"/>
      <c r="K171" s="15"/>
      <c r="M171" s="15"/>
      <c r="O171" s="15"/>
      <c r="AY171" s="45"/>
      <c r="BD171" s="6"/>
      <c r="BF171" s="6"/>
      <c r="BH171" s="8"/>
      <c r="BI171" s="8"/>
    </row>
    <row r="172" spans="1:61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Y172" s="45">
        <f t="shared" si="24"/>
        <v>63623.9</v>
      </c>
      <c r="BA172" s="143">
        <v>-29999</v>
      </c>
      <c r="BC172" s="8">
        <v>0</v>
      </c>
      <c r="BD172" s="6"/>
      <c r="BE172" s="8">
        <f t="shared" si="23"/>
        <v>63623.9</v>
      </c>
      <c r="BF172" s="6"/>
      <c r="BG172" s="8">
        <f>O172-AY172-BC172</f>
        <v>49709.1</v>
      </c>
      <c r="BH172" s="12"/>
      <c r="BI172" s="8"/>
    </row>
    <row r="173" spans="1:61" x14ac:dyDescent="0.2">
      <c r="A173" s="120"/>
      <c r="B173" s="19"/>
      <c r="C173" s="114"/>
      <c r="K173" s="15"/>
      <c r="M173" s="15"/>
      <c r="O173" s="15"/>
      <c r="AY173" s="45"/>
      <c r="BD173" s="6"/>
      <c r="BF173" s="6"/>
      <c r="BH173" s="8"/>
      <c r="BI173" s="8"/>
    </row>
    <row r="174" spans="1:61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3"/>
      <c r="AT174" s="19"/>
      <c r="AU174" s="173"/>
      <c r="AV174" s="19"/>
      <c r="AW174" s="173"/>
      <c r="AX174" s="19"/>
      <c r="AY174" s="45">
        <f t="shared" si="24"/>
        <v>4163904.83</v>
      </c>
      <c r="AZ174" s="19"/>
      <c r="BA174" s="173">
        <v>0</v>
      </c>
      <c r="BB174" s="19"/>
      <c r="BC174" s="21">
        <f>IF(+O174-AY174+BA174&gt;0,O174-AY174+BA174,0)</f>
        <v>0</v>
      </c>
      <c r="BD174" s="19"/>
      <c r="BE174" s="21">
        <f t="shared" si="23"/>
        <v>4163904.83</v>
      </c>
      <c r="BF174" s="19"/>
      <c r="BG174" s="21">
        <f>O174-AY174-BC174</f>
        <v>-1.2628455748781562</v>
      </c>
      <c r="BH174" s="34"/>
      <c r="BI174" s="21"/>
    </row>
    <row r="175" spans="1:61" x14ac:dyDescent="0.2">
      <c r="A175" s="112"/>
      <c r="B175" s="19" t="s">
        <v>486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3"/>
      <c r="AT175" s="19"/>
      <c r="AU175" s="173"/>
      <c r="AV175" s="19"/>
      <c r="AW175" s="173"/>
      <c r="AX175" s="19"/>
      <c r="AY175" s="45">
        <f t="shared" si="24"/>
        <v>-159283</v>
      </c>
      <c r="AZ175" s="19"/>
      <c r="BA175" s="173"/>
      <c r="BB175" s="19"/>
      <c r="BC175" s="21">
        <v>0</v>
      </c>
      <c r="BD175" s="19"/>
      <c r="BE175" s="21">
        <f t="shared" si="23"/>
        <v>-159283</v>
      </c>
      <c r="BF175" s="19"/>
      <c r="BG175" s="21">
        <f>O175-AY175-BC175</f>
        <v>64384</v>
      </c>
      <c r="BH175" s="34"/>
      <c r="BI175" s="21"/>
    </row>
    <row r="176" spans="1:61" x14ac:dyDescent="0.2">
      <c r="A176" s="112" t="s">
        <v>483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3"/>
      <c r="AU176" s="173"/>
      <c r="AW176" s="173"/>
      <c r="AY176" s="45">
        <f t="shared" si="24"/>
        <v>24072.18</v>
      </c>
      <c r="BA176" s="173"/>
      <c r="BC176" s="21">
        <f>IF(+O176-AY176+BA176&gt;0,O176-AY176+BA176,0)</f>
        <v>0</v>
      </c>
      <c r="BD176" s="6"/>
      <c r="BE176" s="21">
        <f t="shared" si="23"/>
        <v>24072.18</v>
      </c>
      <c r="BF176" s="6"/>
      <c r="BG176" s="21">
        <f>O176-AY176-BC176</f>
        <v>-0.18000000000029104</v>
      </c>
      <c r="BH176" s="34"/>
      <c r="BI176" s="21"/>
    </row>
    <row r="177" spans="1:61" x14ac:dyDescent="0.2">
      <c r="A177" s="112" t="s">
        <v>484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3"/>
      <c r="AU177" s="173"/>
      <c r="AW177" s="173"/>
      <c r="AY177" s="45">
        <f t="shared" si="24"/>
        <v>-15668.37</v>
      </c>
      <c r="BA177" s="173"/>
      <c r="BC177" s="21">
        <f>IF(+O177-AY177+BA177&gt;0,O177-AY177+BA177,0)</f>
        <v>0.37000000000080036</v>
      </c>
      <c r="BD177" s="6"/>
      <c r="BE177" s="21">
        <f t="shared" si="23"/>
        <v>-15668</v>
      </c>
      <c r="BF177" s="6"/>
      <c r="BG177" s="21">
        <f>O177-AY177-BC177</f>
        <v>0</v>
      </c>
      <c r="BH177" s="34"/>
      <c r="BI177" s="21"/>
    </row>
    <row r="178" spans="1:61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44"/>
      <c r="AU178" s="144"/>
      <c r="AW178" s="144"/>
      <c r="AY178" s="172"/>
      <c r="BA178" s="173"/>
      <c r="BC178" s="21"/>
      <c r="BD178" s="6"/>
      <c r="BE178" s="21"/>
      <c r="BF178" s="6"/>
      <c r="BG178" s="21"/>
      <c r="BH178" s="34"/>
      <c r="BI178" s="21"/>
    </row>
    <row r="179" spans="1:61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751</v>
      </c>
      <c r="AU179" s="107">
        <f>SUM(AU145:AU177)+AU143-AU153-AU166-AU147-AU157</f>
        <v>900000</v>
      </c>
      <c r="AW179" s="107">
        <f>SUM(AW145:AW177)+AW143-AW153-AW166-AW147-AW157</f>
        <v>0</v>
      </c>
      <c r="AY179" s="107">
        <f>SUM(AY145:AY177)+AY143-AY153-AY166-AY147-AY157</f>
        <v>145812656.02000001</v>
      </c>
      <c r="BA179" s="15">
        <f>SUM(BA145:BA174)+BA143-BA153-BA166-BA147-BA157</f>
        <v>3053555.33</v>
      </c>
      <c r="BC179" s="107">
        <f>SUM(BC145:BC177)+BC143-BC153-BC166-BC147-BC157</f>
        <v>-5700.2859999998473</v>
      </c>
      <c r="BD179" s="6"/>
      <c r="BE179" s="107">
        <f>SUM(BE145:BE177)+BE143-BE153-BE166-BE147-BE157</f>
        <v>145806955.734</v>
      </c>
      <c r="BF179" s="6"/>
      <c r="BG179" s="107">
        <f>SUM(BG145:BG177)+BG143-BG153-BG166-BG147-BG157</f>
        <v>-20084190.74284558</v>
      </c>
      <c r="BH179" s="12"/>
      <c r="BI179" s="15"/>
    </row>
    <row r="180" spans="1:61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141"/>
      <c r="AU180" s="141"/>
      <c r="AW180" s="141"/>
      <c r="AY180" s="29"/>
      <c r="BA180" s="141"/>
      <c r="BC180" s="15"/>
      <c r="BD180" s="6"/>
      <c r="BE180" s="15"/>
      <c r="BF180" s="6"/>
      <c r="BG180" s="15"/>
      <c r="BH180" s="15"/>
      <c r="BI180" s="15"/>
    </row>
    <row r="181" spans="1:61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141"/>
      <c r="AU181" s="141"/>
      <c r="AW181" s="141"/>
      <c r="AY181" s="29"/>
      <c r="BA181" s="141"/>
      <c r="BC181" s="15"/>
      <c r="BD181" s="6"/>
      <c r="BE181" s="15"/>
      <c r="BF181" s="6"/>
      <c r="BG181" s="15"/>
      <c r="BH181" s="15"/>
      <c r="BI181" s="15"/>
    </row>
    <row r="182" spans="1:61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141"/>
      <c r="AU182" s="141"/>
      <c r="AW182" s="141"/>
      <c r="AY182" s="29"/>
      <c r="BA182" s="141"/>
      <c r="BC182" s="15"/>
      <c r="BD182" s="6"/>
      <c r="BE182" s="15"/>
      <c r="BF182" s="6"/>
      <c r="BG182" s="15"/>
      <c r="BH182" s="15"/>
      <c r="BI182" s="15"/>
    </row>
    <row r="183" spans="1:61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>
        <v>-41667</v>
      </c>
      <c r="AS183" s="141"/>
      <c r="AU183" s="141"/>
      <c r="AW183" s="141"/>
      <c r="AY183" s="45">
        <f t="shared" ref="AY183:AY188" si="25">SUM(P183:AX183)</f>
        <v>847916.33</v>
      </c>
      <c r="BA183" s="141">
        <v>-193750</v>
      </c>
      <c r="BC183" s="45">
        <f>IF(+O183-AY183+BA183&gt;0,O183-AY183+BA183,0)</f>
        <v>0</v>
      </c>
      <c r="BD183" s="6"/>
      <c r="BE183" s="45">
        <f t="shared" si="23"/>
        <v>847916.33</v>
      </c>
      <c r="BF183" s="6"/>
      <c r="BG183" s="8">
        <f t="shared" ref="BG183:BG188" si="26">O183-AY183-BC183</f>
        <v>152083.67000000004</v>
      </c>
      <c r="BH183" s="12"/>
      <c r="BI183" s="15"/>
    </row>
    <row r="184" spans="1:61" x14ac:dyDescent="0.2">
      <c r="A184" s="112"/>
      <c r="B184" s="19" t="s">
        <v>331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173"/>
      <c r="AU184" s="173"/>
      <c r="AW184" s="173"/>
      <c r="AY184" s="45">
        <f t="shared" si="25"/>
        <v>55979.166666666664</v>
      </c>
      <c r="BA184" s="173">
        <v>0</v>
      </c>
      <c r="BC184" s="45">
        <f>IF(+O184-AY184+BA184&gt;0,O184-AY184+BA184,0)</f>
        <v>0</v>
      </c>
      <c r="BD184" s="6"/>
      <c r="BE184" s="45">
        <f t="shared" si="23"/>
        <v>55979.166666666664</v>
      </c>
      <c r="BF184" s="6"/>
      <c r="BG184" s="8">
        <f t="shared" si="26"/>
        <v>-55979.166666666664</v>
      </c>
      <c r="BH184" s="12"/>
      <c r="BI184" s="15"/>
    </row>
    <row r="185" spans="1:61" x14ac:dyDescent="0.2">
      <c r="A185" s="112"/>
      <c r="B185" s="19" t="s">
        <v>332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173"/>
      <c r="AU185" s="173"/>
      <c r="AW185" s="173"/>
      <c r="AY185" s="45">
        <f t="shared" si="25"/>
        <v>85866.66333333333</v>
      </c>
      <c r="BA185" s="173">
        <v>352817</v>
      </c>
      <c r="BC185" s="45">
        <v>0</v>
      </c>
      <c r="BD185" s="6"/>
      <c r="BE185" s="45">
        <f t="shared" si="23"/>
        <v>85866.66333333333</v>
      </c>
      <c r="BF185" s="6"/>
      <c r="BG185" s="8">
        <f t="shared" si="26"/>
        <v>-85866.66333333333</v>
      </c>
      <c r="BH185" s="12"/>
      <c r="BI185" s="15"/>
    </row>
    <row r="186" spans="1:61" x14ac:dyDescent="0.2">
      <c r="A186" s="112"/>
      <c r="B186" s="19" t="s">
        <v>333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173"/>
      <c r="AU186" s="173"/>
      <c r="AW186" s="173"/>
      <c r="AY186" s="45">
        <f t="shared" si="25"/>
        <v>3333.3333333333335</v>
      </c>
      <c r="BA186" s="173">
        <v>0</v>
      </c>
      <c r="BC186" s="45">
        <f>IF(+O186-AY186+BA186&gt;0,O186-AY186+BA186,0)</f>
        <v>0</v>
      </c>
      <c r="BD186" s="6"/>
      <c r="BE186" s="45">
        <f t="shared" si="23"/>
        <v>3333.3333333333335</v>
      </c>
      <c r="BF186" s="6"/>
      <c r="BG186" s="8">
        <f t="shared" si="26"/>
        <v>-3333.3333333333335</v>
      </c>
      <c r="BH186" s="12"/>
      <c r="BI186" s="15"/>
    </row>
    <row r="187" spans="1:61" x14ac:dyDescent="0.2">
      <c r="A187" s="112"/>
      <c r="B187" s="19" t="s">
        <v>518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173"/>
      <c r="AU187" s="173"/>
      <c r="AW187" s="173"/>
      <c r="AY187" s="45">
        <f t="shared" si="25"/>
        <v>0</v>
      </c>
      <c r="BA187" s="173"/>
      <c r="BC187" s="45">
        <f>IF(+O187-AY187+BA187&gt;0,O187-AY187+BA187,0)</f>
        <v>0</v>
      </c>
      <c r="BD187" s="6"/>
      <c r="BE187" s="45">
        <f t="shared" si="23"/>
        <v>0</v>
      </c>
      <c r="BF187" s="6"/>
      <c r="BG187" s="8">
        <f t="shared" si="26"/>
        <v>0</v>
      </c>
      <c r="BH187" s="12"/>
      <c r="BI187" s="15"/>
    </row>
    <row r="188" spans="1:61" x14ac:dyDescent="0.2">
      <c r="A188" s="112"/>
      <c r="B188" s="19" t="s">
        <v>369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144"/>
      <c r="AU188" s="144"/>
      <c r="AW188" s="144"/>
      <c r="AY188" s="45">
        <f t="shared" si="25"/>
        <v>119007.20999999999</v>
      </c>
      <c r="BA188" s="144">
        <f>25000+4207+4787</f>
        <v>33994</v>
      </c>
      <c r="BC188" s="45">
        <v>0</v>
      </c>
      <c r="BD188" s="6"/>
      <c r="BE188" s="45">
        <f t="shared" si="23"/>
        <v>119007.20999999999</v>
      </c>
      <c r="BF188" s="6"/>
      <c r="BG188" s="8">
        <f t="shared" si="26"/>
        <v>-119007.20999999999</v>
      </c>
      <c r="BH188" s="12"/>
      <c r="BI188" s="8" t="s">
        <v>335</v>
      </c>
    </row>
    <row r="189" spans="1:61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66012.56</v>
      </c>
      <c r="AS189" s="173">
        <f>SUBTOTAL(9,AS183:AS188)</f>
        <v>0</v>
      </c>
      <c r="AU189" s="173">
        <f>SUBTOTAL(9,AU183:AU188)</f>
        <v>0</v>
      </c>
      <c r="AW189" s="173">
        <f>SUBTOTAL(9,AW183:AW188)</f>
        <v>0</v>
      </c>
      <c r="AY189" s="181">
        <f>SUBTOTAL(9,AY183:AY188)</f>
        <v>1112102.7033333334</v>
      </c>
      <c r="BA189" s="173">
        <f>SUBTOTAL(9,BA183:BA188)</f>
        <v>193061</v>
      </c>
      <c r="BC189" s="181">
        <f>SUBTOTAL(9,BC183:BC188)</f>
        <v>0</v>
      </c>
      <c r="BD189" s="6"/>
      <c r="BE189" s="181">
        <f t="shared" si="23"/>
        <v>1112102.7033333334</v>
      </c>
      <c r="BF189" s="6"/>
      <c r="BG189" s="181">
        <f>SUBTOTAL(9,BG183:BG188)</f>
        <v>-112102.70333333327</v>
      </c>
      <c r="BH189" s="12"/>
      <c r="BI189" s="15"/>
    </row>
    <row r="190" spans="1:61" x14ac:dyDescent="0.2">
      <c r="A190" s="113"/>
      <c r="B190" s="31"/>
      <c r="C190" s="114"/>
      <c r="AY190" s="45"/>
      <c r="BD190" s="6"/>
      <c r="BF190" s="6"/>
      <c r="BH190" s="8"/>
      <c r="BI190" s="8"/>
    </row>
    <row r="191" spans="1:61" x14ac:dyDescent="0.2">
      <c r="A191" s="121" t="s">
        <v>327</v>
      </c>
      <c r="B191" s="31"/>
      <c r="C191" s="114" t="s">
        <v>0</v>
      </c>
      <c r="G191" s="7" t="s">
        <v>329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141"/>
      <c r="AU191" s="141"/>
      <c r="AW191" s="141"/>
      <c r="AY191" s="45">
        <f>SUM(P191:AX191)</f>
        <v>62709.15</v>
      </c>
      <c r="BA191" s="141">
        <v>-826</v>
      </c>
      <c r="BC191" s="15">
        <f>IF(+O191-AY191+BA191&gt;0,O191-AY191+BA191,0)</f>
        <v>0</v>
      </c>
      <c r="BD191" s="6"/>
      <c r="BE191" s="15">
        <f t="shared" ref="BE191:BE219" si="27">+BC191+AY191</f>
        <v>62709.15</v>
      </c>
      <c r="BF191" s="6"/>
      <c r="BG191" s="8">
        <f>O191-AY191-BC191</f>
        <v>826</v>
      </c>
      <c r="BH191" s="12"/>
      <c r="BI191" s="8"/>
    </row>
    <row r="192" spans="1:61" x14ac:dyDescent="0.2">
      <c r="A192" s="113"/>
      <c r="B192" s="31"/>
      <c r="C192" s="114"/>
      <c r="AY192" s="45"/>
      <c r="BD192" s="6"/>
      <c r="BF192" s="6"/>
      <c r="BH192" s="8"/>
      <c r="BI192" s="8"/>
    </row>
    <row r="193" spans="1:61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Y193" s="45"/>
      <c r="BD193" s="6"/>
      <c r="BE193" s="8">
        <f t="shared" si="27"/>
        <v>0</v>
      </c>
      <c r="BF193" s="6"/>
      <c r="BH193" s="8"/>
      <c r="BI193" s="8"/>
    </row>
    <row r="194" spans="1:61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Y194" s="45">
        <f t="shared" ref="AY194:AY204" si="28">SUM(P194:AX194)</f>
        <v>52307.299999999996</v>
      </c>
      <c r="BD194" s="6"/>
      <c r="BE194" s="8">
        <f t="shared" si="27"/>
        <v>52307.299999999996</v>
      </c>
      <c r="BF194" s="6"/>
      <c r="BH194" s="8"/>
      <c r="BI194" s="8"/>
    </row>
    <row r="195" spans="1:61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Y195" s="45">
        <f t="shared" si="28"/>
        <v>5024</v>
      </c>
      <c r="BD195" s="6"/>
      <c r="BE195" s="8">
        <f t="shared" si="27"/>
        <v>5024</v>
      </c>
      <c r="BF195" s="6"/>
      <c r="BH195" s="12"/>
      <c r="BI195" s="8"/>
    </row>
    <row r="196" spans="1:61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Y196" s="45">
        <f t="shared" si="28"/>
        <v>42373.19</v>
      </c>
      <c r="BD196" s="6"/>
      <c r="BE196" s="8">
        <f t="shared" si="27"/>
        <v>42373.19</v>
      </c>
      <c r="BF196" s="6"/>
      <c r="BH196" s="12"/>
      <c r="BI196" s="8"/>
    </row>
    <row r="197" spans="1:61" x14ac:dyDescent="0.2">
      <c r="A197" s="112"/>
      <c r="B197" s="19" t="s">
        <v>504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Y197" s="45">
        <f t="shared" si="28"/>
        <v>225234.77000000002</v>
      </c>
      <c r="BD197" s="6"/>
      <c r="BE197" s="8">
        <f t="shared" si="27"/>
        <v>225234.77000000002</v>
      </c>
      <c r="BF197" s="6"/>
      <c r="BH197" s="12"/>
      <c r="BI197" s="8"/>
    </row>
    <row r="198" spans="1:61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Y198" s="45">
        <f t="shared" si="28"/>
        <v>147575.69</v>
      </c>
      <c r="BD198" s="6"/>
      <c r="BE198" s="8">
        <f t="shared" si="27"/>
        <v>147575.69</v>
      </c>
      <c r="BF198" s="6"/>
      <c r="BH198" s="12"/>
      <c r="BI198" s="8" t="s">
        <v>126</v>
      </c>
    </row>
    <row r="199" spans="1:61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Y199" s="45">
        <f t="shared" si="28"/>
        <v>415.84999999999854</v>
      </c>
      <c r="BD199" s="6"/>
      <c r="BE199" s="8">
        <f t="shared" si="27"/>
        <v>415.84999999999854</v>
      </c>
      <c r="BF199" s="6"/>
      <c r="BH199" s="12"/>
      <c r="BI199" s="8"/>
    </row>
    <row r="200" spans="1:61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Y200" s="45">
        <f t="shared" si="28"/>
        <v>18003.849999999999</v>
      </c>
      <c r="BD200" s="6"/>
      <c r="BE200" s="8">
        <f t="shared" si="27"/>
        <v>18003.849999999999</v>
      </c>
      <c r="BF200" s="6"/>
      <c r="BH200" s="12"/>
      <c r="BI200" s="8"/>
    </row>
    <row r="201" spans="1:61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Y201" s="45">
        <f t="shared" si="28"/>
        <v>47453.27</v>
      </c>
      <c r="BD201" s="6"/>
      <c r="BE201" s="8">
        <f t="shared" si="27"/>
        <v>47453.27</v>
      </c>
      <c r="BF201" s="6"/>
      <c r="BH201" s="12"/>
      <c r="BI201" s="8"/>
    </row>
    <row r="202" spans="1:61" x14ac:dyDescent="0.2">
      <c r="A202" s="112"/>
      <c r="B202" s="19" t="s">
        <v>334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Y202" s="45">
        <f t="shared" si="28"/>
        <v>99486.93</v>
      </c>
      <c r="BD202" s="6"/>
      <c r="BE202" s="8">
        <f t="shared" si="27"/>
        <v>99486.93</v>
      </c>
      <c r="BF202" s="6"/>
      <c r="BH202" s="12"/>
      <c r="BI202" s="8"/>
    </row>
    <row r="203" spans="1:61" x14ac:dyDescent="0.2">
      <c r="A203" s="112"/>
      <c r="B203" s="19" t="s">
        <v>537</v>
      </c>
      <c r="C203" s="114"/>
      <c r="K203" s="6"/>
      <c r="M203" s="6"/>
      <c r="O203" s="6"/>
      <c r="V203" s="12"/>
      <c r="X203" s="12"/>
      <c r="Z203" s="12"/>
      <c r="AB203" s="12"/>
      <c r="AD203" s="12"/>
      <c r="AY203" s="45">
        <f t="shared" si="28"/>
        <v>0</v>
      </c>
      <c r="BD203" s="6"/>
      <c r="BE203" s="8">
        <f t="shared" si="27"/>
        <v>0</v>
      </c>
      <c r="BF203" s="6"/>
      <c r="BH203" s="12"/>
      <c r="BI203" s="8"/>
    </row>
    <row r="204" spans="1:61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144"/>
      <c r="AU204" s="144"/>
      <c r="AW204" s="144"/>
      <c r="AY204" s="45">
        <f t="shared" si="28"/>
        <v>307</v>
      </c>
      <c r="BA204" s="144"/>
      <c r="BC204" s="14"/>
      <c r="BD204" s="6"/>
      <c r="BE204" s="14">
        <f t="shared" si="27"/>
        <v>307</v>
      </c>
      <c r="BF204" s="6"/>
      <c r="BG204" s="14"/>
      <c r="BH204" s="21"/>
      <c r="BI204" s="8"/>
    </row>
    <row r="205" spans="1:61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41">
        <f>SUBTOTAL(9,AS194:AS204)</f>
        <v>0</v>
      </c>
      <c r="AU205" s="141">
        <f>SUBTOTAL(9,AU194:AU204)</f>
        <v>0</v>
      </c>
      <c r="AW205" s="141">
        <f>SUBTOTAL(9,AW194:AW204)</f>
        <v>0</v>
      </c>
      <c r="AY205" s="108">
        <f>SUBTOTAL(9,AY194:AY204)</f>
        <v>638181.84999999986</v>
      </c>
      <c r="BA205" s="141">
        <f>SUBTOTAL(9,BA194:BA204)</f>
        <v>0</v>
      </c>
      <c r="BC205" s="15">
        <f>IF(+O205-AY205+BA205&gt;0,O205-AY205+BA205,0)</f>
        <v>0</v>
      </c>
      <c r="BD205" s="6"/>
      <c r="BE205" s="15">
        <f t="shared" si="27"/>
        <v>638181.84999999986</v>
      </c>
      <c r="BF205" s="6"/>
      <c r="BG205" s="8">
        <f>O205-AY205-BC205</f>
        <v>-338181.84999999986</v>
      </c>
      <c r="BH205" s="12"/>
      <c r="BI205" s="8"/>
    </row>
    <row r="206" spans="1:61" x14ac:dyDescent="0.2">
      <c r="A206" s="112"/>
      <c r="B206" s="19"/>
      <c r="C206" s="114"/>
      <c r="K206" s="6"/>
      <c r="M206" s="6"/>
      <c r="O206" s="6"/>
      <c r="AY206" s="45"/>
      <c r="BD206" s="6"/>
      <c r="BF206" s="6"/>
      <c r="BH206" s="8"/>
      <c r="BI206" s="8"/>
    </row>
    <row r="207" spans="1:61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3"/>
      <c r="AU207" s="173"/>
      <c r="AW207" s="173"/>
      <c r="AY207" s="172"/>
      <c r="BA207" s="173"/>
      <c r="BC207" s="21"/>
      <c r="BD207" s="6"/>
      <c r="BE207" s="21"/>
      <c r="BF207" s="6"/>
      <c r="BG207" s="21"/>
      <c r="BH207" s="21"/>
      <c r="BI207" s="21"/>
    </row>
    <row r="208" spans="1:61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173"/>
      <c r="AU208" s="173"/>
      <c r="AW208" s="173"/>
      <c r="AY208" s="45">
        <f t="shared" ref="AY208:AY214" si="29">SUM(P208:AX208)</f>
        <v>5126.21</v>
      </c>
      <c r="BA208" s="173"/>
      <c r="BC208" s="21"/>
      <c r="BD208" s="6"/>
      <c r="BE208" s="21">
        <f t="shared" si="27"/>
        <v>5126.21</v>
      </c>
      <c r="BF208" s="6"/>
      <c r="BG208" s="21"/>
      <c r="BH208" s="21"/>
      <c r="BI208" s="21"/>
    </row>
    <row r="209" spans="1:62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Y209" s="45">
        <f t="shared" si="29"/>
        <v>178829.97</v>
      </c>
      <c r="BD209" s="6"/>
      <c r="BE209" s="8">
        <f t="shared" si="27"/>
        <v>178829.97</v>
      </c>
      <c r="BF209" s="6"/>
      <c r="BH209" s="12"/>
      <c r="BI209" s="21"/>
    </row>
    <row r="210" spans="1:62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Y210" s="45">
        <f t="shared" si="29"/>
        <v>0</v>
      </c>
      <c r="BD210" s="6"/>
      <c r="BE210" s="8">
        <f t="shared" si="27"/>
        <v>0</v>
      </c>
      <c r="BF210" s="6"/>
      <c r="BH210" s="12"/>
      <c r="BI210" s="21"/>
    </row>
    <row r="211" spans="1:62" x14ac:dyDescent="0.2">
      <c r="A211" s="112"/>
      <c r="B211" s="19" t="s">
        <v>324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Y211" s="45">
        <f t="shared" si="29"/>
        <v>5964.94</v>
      </c>
      <c r="BD211" s="6"/>
      <c r="BE211" s="8">
        <f t="shared" si="27"/>
        <v>5964.94</v>
      </c>
      <c r="BF211" s="6"/>
      <c r="BH211" s="12"/>
      <c r="BI211" s="21"/>
    </row>
    <row r="212" spans="1:62" x14ac:dyDescent="0.2">
      <c r="A212" s="112"/>
      <c r="B212" s="322" t="s">
        <v>548</v>
      </c>
      <c r="C212" s="31"/>
      <c r="D212" s="294"/>
      <c r="E212" s="294"/>
      <c r="F212" s="294"/>
      <c r="G212" s="294"/>
      <c r="H212" s="294"/>
      <c r="I212" s="294"/>
      <c r="J212" s="294"/>
      <c r="K212" s="332"/>
      <c r="L212" s="322"/>
      <c r="M212" s="332"/>
      <c r="N212" s="322"/>
      <c r="O212" s="332"/>
      <c r="P212" s="322"/>
      <c r="Q212" s="308"/>
      <c r="R212" s="297"/>
      <c r="S212" s="308"/>
      <c r="T212" s="297"/>
      <c r="U212" s="308"/>
      <c r="V212" s="295"/>
      <c r="W212" s="308"/>
      <c r="X212" s="298"/>
      <c r="Y212" s="308"/>
      <c r="Z212" s="298"/>
      <c r="AA212" s="308"/>
      <c r="AB212" s="298"/>
      <c r="AC212" s="308"/>
      <c r="AD212" s="298"/>
      <c r="AE212" s="308"/>
      <c r="AF212" s="308"/>
      <c r="AG212" s="308"/>
      <c r="AH212" s="308"/>
      <c r="AI212" s="308"/>
      <c r="AJ212" s="308"/>
      <c r="AK212" s="308"/>
      <c r="AL212" s="308"/>
      <c r="AM212" s="308"/>
      <c r="AN212" s="308"/>
      <c r="AO212" s="308"/>
      <c r="AP212" s="308"/>
      <c r="AQ212" s="308">
        <v>252208.46</v>
      </c>
      <c r="AR212" s="308"/>
      <c r="AS212" s="308">
        <v>49464</v>
      </c>
      <c r="AT212" s="308"/>
      <c r="AU212" s="308"/>
      <c r="AV212" s="308"/>
      <c r="AW212" s="308"/>
      <c r="AX212" s="308"/>
      <c r="AY212" s="45">
        <f t="shared" si="29"/>
        <v>301672.45999999996</v>
      </c>
      <c r="AZ212" s="294"/>
      <c r="BA212" s="308"/>
      <c r="BB212" s="294"/>
      <c r="BC212" s="295"/>
      <c r="BD212" s="294"/>
      <c r="BE212" s="295">
        <f t="shared" si="27"/>
        <v>301672.45999999996</v>
      </c>
      <c r="BF212" s="294"/>
      <c r="BG212" s="295"/>
      <c r="BJ212" s="6"/>
    </row>
    <row r="213" spans="1:62" x14ac:dyDescent="0.2">
      <c r="A213" s="112"/>
      <c r="B213" s="19" t="s">
        <v>334</v>
      </c>
      <c r="C213" s="114"/>
      <c r="K213" s="21"/>
      <c r="M213" s="21"/>
      <c r="O213" s="21"/>
      <c r="Q213" s="143">
        <v>0</v>
      </c>
      <c r="V213" s="12"/>
      <c r="W213" s="143">
        <v>133167</v>
      </c>
      <c r="X213" s="12"/>
      <c r="Z213" s="12"/>
      <c r="AB213" s="12"/>
      <c r="AC213" s="143">
        <f>7285.44+70.62-91.29</f>
        <v>7264.7699999999995</v>
      </c>
      <c r="AD213" s="12"/>
      <c r="AG213" s="143">
        <f>4433.7+3681+610+12507.56</f>
        <v>21232.260000000002</v>
      </c>
      <c r="AK213" s="143">
        <f>2747.71+316.3</f>
        <v>3064.01</v>
      </c>
      <c r="AM213" s="143">
        <f>532.87+2141.83+299.21</f>
        <v>2973.91</v>
      </c>
      <c r="AO213" s="143">
        <v>2233.33</v>
      </c>
      <c r="AY213" s="45">
        <f t="shared" si="29"/>
        <v>169935.28</v>
      </c>
      <c r="BD213" s="6"/>
      <c r="BE213" s="8">
        <f t="shared" si="27"/>
        <v>169935.28</v>
      </c>
      <c r="BF213" s="6"/>
      <c r="BH213" s="12"/>
      <c r="BI213" s="21"/>
    </row>
    <row r="214" spans="1:62" x14ac:dyDescent="0.2">
      <c r="A214" s="112"/>
      <c r="B214" s="19" t="s">
        <v>107</v>
      </c>
      <c r="C214" s="114"/>
      <c r="K214" s="14"/>
      <c r="M214" s="14"/>
      <c r="O214" s="14"/>
      <c r="Q214" s="144">
        <f>696.51+80.17+4421.02+2229.14+2089.52+240.5+6687.43+3737.58+7511.74</f>
        <v>27693.61</v>
      </c>
      <c r="R214" s="235"/>
      <c r="S214" s="144"/>
      <c r="T214" s="235"/>
      <c r="U214" s="144">
        <f>4398.29+1099.57</f>
        <v>5497.86</v>
      </c>
      <c r="V214" s="34"/>
      <c r="W214" s="144"/>
      <c r="X214" s="34"/>
      <c r="Y214" s="144"/>
      <c r="Z214" s="34"/>
      <c r="AA214" s="144"/>
      <c r="AB214" s="34"/>
      <c r="AC214" s="144">
        <f>1811.08+3575.02+11710.69+119286.95</f>
        <v>136383.74</v>
      </c>
      <c r="AD214" s="34"/>
      <c r="AE214" s="144"/>
      <c r="AF214" s="173"/>
      <c r="AG214" s="144"/>
      <c r="AH214" s="173"/>
      <c r="AI214" s="144"/>
      <c r="AJ214" s="173"/>
      <c r="AK214" s="144">
        <f>3574.3+2014.19</f>
        <v>5588.49</v>
      </c>
      <c r="AL214" s="144"/>
      <c r="AM214" s="144"/>
      <c r="AN214" s="173"/>
      <c r="AO214" s="144">
        <v>3946.28</v>
      </c>
      <c r="AP214" s="173"/>
      <c r="AQ214" s="144"/>
      <c r="AS214" s="144"/>
      <c r="AU214" s="144"/>
      <c r="AW214" s="144"/>
      <c r="AY214" s="45">
        <f t="shared" si="29"/>
        <v>179109.97999999998</v>
      </c>
      <c r="BA214" s="144"/>
      <c r="BC214" s="14"/>
      <c r="BD214" s="6"/>
      <c r="BE214" s="14">
        <f t="shared" si="27"/>
        <v>179109.97999999998</v>
      </c>
      <c r="BF214" s="6"/>
      <c r="BG214" s="14"/>
      <c r="BH214" s="34"/>
      <c r="BI214" s="21"/>
    </row>
    <row r="215" spans="1:62" x14ac:dyDescent="0.2">
      <c r="A215" s="112"/>
      <c r="B215" s="19" t="s">
        <v>128</v>
      </c>
      <c r="C215" s="114"/>
      <c r="K215" s="16">
        <v>850000</v>
      </c>
      <c r="M215" s="16">
        <v>-550000</v>
      </c>
      <c r="O215" s="16">
        <f>SUM(K215:N215)</f>
        <v>300000</v>
      </c>
      <c r="Q215" s="141">
        <f>SUBTOTAL(9,Q208:Q214)</f>
        <v>112430.84000000001</v>
      </c>
      <c r="R215" s="231"/>
      <c r="S215" s="141">
        <f>SUBTOTAL(9,S208:S214)</f>
        <v>0</v>
      </c>
      <c r="T215" s="231"/>
      <c r="U215" s="141">
        <f>SUBTOTAL(9,U208:U214)</f>
        <v>5497.86</v>
      </c>
      <c r="V215" s="30"/>
      <c r="W215" s="141">
        <f>SUBTOTAL(9,W208:W214)</f>
        <v>133167</v>
      </c>
      <c r="X215" s="30"/>
      <c r="Y215" s="141">
        <f>SUBTOTAL(9,Y208:Y214)</f>
        <v>0</v>
      </c>
      <c r="Z215" s="30"/>
      <c r="AA215" s="141">
        <f>SUBTOTAL(9,AA208:AA214)</f>
        <v>0</v>
      </c>
      <c r="AB215" s="30"/>
      <c r="AC215" s="141">
        <f>SUBTOTAL(9,AC208:AC214)</f>
        <v>190115.28999999998</v>
      </c>
      <c r="AD215" s="30"/>
      <c r="AE215" s="141">
        <f>SUBTOTAL(9,AE208:AE214)</f>
        <v>0</v>
      </c>
      <c r="AF215" s="141"/>
      <c r="AG215" s="141">
        <f>SUBTOTAL(9,AG208:AG214)</f>
        <v>54870.5</v>
      </c>
      <c r="AH215" s="141"/>
      <c r="AI215" s="141">
        <f>SUBTOTAL(9,AI208:AI214)</f>
        <v>0</v>
      </c>
      <c r="AJ215" s="141"/>
      <c r="AK215" s="141">
        <f>SUBTOTAL(9,AK208:AK214)</f>
        <v>33731.369999999995</v>
      </c>
      <c r="AL215" s="141"/>
      <c r="AM215" s="141">
        <f>SUBTOTAL(9,AM208:AM214)</f>
        <v>2973.91</v>
      </c>
      <c r="AN215" s="141"/>
      <c r="AO215" s="141">
        <f>SUBTOTAL(9,AO208:AO214)</f>
        <v>6179.6100000000006</v>
      </c>
      <c r="AP215" s="141"/>
      <c r="AQ215" s="141">
        <f>SUBTOTAL(9,AQ208:AQ214)</f>
        <v>252208.46</v>
      </c>
      <c r="AS215" s="141">
        <f>SUBTOTAL(9,AS208:AS214)</f>
        <v>49464</v>
      </c>
      <c r="AU215" s="141">
        <f>SUBTOTAL(9,AU208:AU214)</f>
        <v>0</v>
      </c>
      <c r="AW215" s="141">
        <f>SUBTOTAL(9,AW208:AW214)</f>
        <v>0</v>
      </c>
      <c r="AY215" s="108">
        <f>SUBTOTAL(9,AY208:AY214)</f>
        <v>840638.84</v>
      </c>
      <c r="BA215" s="141">
        <f>SUBTOTAL(9,BA208:BA214)</f>
        <v>0</v>
      </c>
      <c r="BC215" s="16">
        <f>IF(+O215-AY215+BA215&gt;0,O215-AY215+BA215,0)</f>
        <v>0</v>
      </c>
      <c r="BD215" s="6"/>
      <c r="BE215" s="16">
        <f t="shared" si="27"/>
        <v>840638.84</v>
      </c>
      <c r="BF215" s="6"/>
      <c r="BG215" s="8">
        <f>O215-AY215-BC215</f>
        <v>-540638.84</v>
      </c>
      <c r="BH215" s="12"/>
      <c r="BI215" s="21"/>
    </row>
    <row r="216" spans="1:62" x14ac:dyDescent="0.2">
      <c r="A216" s="112"/>
      <c r="B216" s="19"/>
      <c r="C216" s="114"/>
      <c r="K216" s="21"/>
      <c r="M216" s="21"/>
      <c r="O216" s="21"/>
      <c r="Q216" s="173"/>
      <c r="R216" s="235"/>
      <c r="S216" s="173"/>
      <c r="T216" s="235"/>
      <c r="U216" s="173"/>
      <c r="V216" s="21"/>
      <c r="W216" s="173"/>
      <c r="X216" s="21"/>
      <c r="Y216" s="173"/>
      <c r="Z216" s="21"/>
      <c r="AA216" s="173"/>
      <c r="AB216" s="21"/>
      <c r="AC216" s="173"/>
      <c r="AD216" s="21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S216" s="173"/>
      <c r="AU216" s="173"/>
      <c r="AW216" s="173"/>
      <c r="AY216" s="172"/>
      <c r="BA216" s="173"/>
      <c r="BC216" s="21"/>
      <c r="BD216" s="6"/>
      <c r="BE216" s="21"/>
      <c r="BF216" s="6"/>
      <c r="BG216" s="21"/>
      <c r="BH216" s="21"/>
      <c r="BI216" s="21"/>
    </row>
    <row r="217" spans="1:62" x14ac:dyDescent="0.2">
      <c r="A217" s="112" t="s">
        <v>364</v>
      </c>
      <c r="B217" s="19"/>
      <c r="C217" s="114" t="s">
        <v>0</v>
      </c>
      <c r="G217" s="7" t="s">
        <v>365</v>
      </c>
      <c r="K217" s="15">
        <v>0</v>
      </c>
      <c r="M217" s="15">
        <v>1000000</v>
      </c>
      <c r="O217" s="15">
        <f>SUM(K217:N217)</f>
        <v>1000000</v>
      </c>
      <c r="Q217" s="134">
        <v>0</v>
      </c>
      <c r="S217" s="134">
        <v>0</v>
      </c>
      <c r="U217" s="134">
        <v>0</v>
      </c>
      <c r="W217" s="134"/>
      <c r="X217" s="131"/>
      <c r="Y217" s="134"/>
      <c r="Z217" s="131"/>
      <c r="AA217" s="134">
        <v>50000</v>
      </c>
      <c r="AB217" s="131"/>
      <c r="AC217" s="134">
        <v>54683.74</v>
      </c>
      <c r="AD217" s="131"/>
      <c r="AE217" s="134">
        <f>-50000+181581</f>
        <v>131581</v>
      </c>
      <c r="AF217" s="134"/>
      <c r="AG217" s="134">
        <v>138751</v>
      </c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45">
        <f>SUM(P217:AX217)</f>
        <v>375015.74</v>
      </c>
      <c r="BA217" s="134">
        <v>-650000</v>
      </c>
      <c r="BC217" s="8">
        <f>IF(+O217-AY217+BA217&gt;0,O217-AY217+BA217,0)</f>
        <v>0</v>
      </c>
      <c r="BD217" s="6"/>
      <c r="BE217" s="8">
        <f t="shared" si="27"/>
        <v>375015.74</v>
      </c>
      <c r="BF217" s="6"/>
      <c r="BG217" s="8">
        <f>O217-AY217-BC217</f>
        <v>624984.26</v>
      </c>
    </row>
    <row r="218" spans="1:62" x14ac:dyDescent="0.2">
      <c r="A218" s="112"/>
      <c r="B218" s="19"/>
      <c r="C218" s="114"/>
      <c r="K218" s="21"/>
      <c r="M218" s="21"/>
      <c r="O218" s="21"/>
      <c r="Q218" s="173"/>
      <c r="R218" s="235"/>
      <c r="S218" s="173"/>
      <c r="T218" s="235"/>
      <c r="U218" s="173"/>
      <c r="V218" s="21"/>
      <c r="W218" s="173"/>
      <c r="X218" s="21"/>
      <c r="Y218" s="173"/>
      <c r="Z218" s="21"/>
      <c r="AA218" s="173"/>
      <c r="AB218" s="21"/>
      <c r="AC218" s="173"/>
      <c r="AD218" s="21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S218" s="173"/>
      <c r="AU218" s="173"/>
      <c r="AW218" s="173"/>
      <c r="AY218" s="172"/>
      <c r="BA218" s="173"/>
      <c r="BC218" s="21"/>
      <c r="BD218" s="6"/>
      <c r="BE218" s="21"/>
      <c r="BF218" s="6"/>
      <c r="BG218" s="21"/>
      <c r="BH218" s="21"/>
      <c r="BI218" s="21"/>
    </row>
    <row r="219" spans="1:62" x14ac:dyDescent="0.2">
      <c r="A219" s="113"/>
      <c r="B219" s="166" t="s">
        <v>108</v>
      </c>
      <c r="C219" s="114"/>
      <c r="G219" s="6"/>
      <c r="K219" s="15">
        <f>K215+K205+K189+K191+K217</f>
        <v>2850000</v>
      </c>
      <c r="M219" s="15">
        <f>M215+M205+M189+M191+M217</f>
        <v>-186464.85000000009</v>
      </c>
      <c r="O219" s="15">
        <f>O215+O205+O189+O191+O217</f>
        <v>2663535.15</v>
      </c>
      <c r="Q219" s="141">
        <f>Q215+Q205+Q189+Q191+Q217</f>
        <v>361366.52</v>
      </c>
      <c r="R219" s="231"/>
      <c r="S219" s="141">
        <f>S215+S205+S189+S191+S217</f>
        <v>69820.943333333329</v>
      </c>
      <c r="T219" s="231"/>
      <c r="U219" s="141">
        <f>U215+U205+U189+U191+U217</f>
        <v>845882.42</v>
      </c>
      <c r="V219" s="15"/>
      <c r="W219" s="141">
        <f>W215+W205+W189+W191+W217</f>
        <v>137965.43</v>
      </c>
      <c r="X219" s="15"/>
      <c r="Y219" s="141">
        <f>Y215+Y205+Y189+Y191+Y217</f>
        <v>-13959.160000000002</v>
      </c>
      <c r="Z219" s="15"/>
      <c r="AA219" s="141">
        <f>AA215+AA205+AA189+AA191+AA217</f>
        <v>54496.99</v>
      </c>
      <c r="AB219" s="15"/>
      <c r="AC219" s="141">
        <f>AC215+AC205+AC189+AC191+AC217</f>
        <v>476723.32</v>
      </c>
      <c r="AD219" s="15"/>
      <c r="AE219" s="141">
        <f>AE215+AE205+AE189+AE191+AE217</f>
        <v>174393.63</v>
      </c>
      <c r="AF219" s="141"/>
      <c r="AG219" s="141">
        <f>AG215+AG205+AG189+AG191+AG217</f>
        <v>282662.29000000004</v>
      </c>
      <c r="AH219" s="141"/>
      <c r="AI219" s="141">
        <f>AI215+AI205+AI189+AI191+AI217</f>
        <v>78710.03</v>
      </c>
      <c r="AJ219" s="141"/>
      <c r="AK219" s="141">
        <f>AK215+AK205+AK189+AK191+AK217</f>
        <v>88957.17</v>
      </c>
      <c r="AL219" s="141"/>
      <c r="AM219" s="141">
        <f>AM215+AM205+AM189+AM191+AM217</f>
        <v>11068.16</v>
      </c>
      <c r="AN219" s="141"/>
      <c r="AO219" s="141">
        <f>AO215+AO205+AO189+AO191+AO217</f>
        <v>92875.520000000004</v>
      </c>
      <c r="AP219" s="141"/>
      <c r="AQ219" s="141">
        <f>AQ215+AQ205+AQ189+AQ191+AQ217</f>
        <v>318221.02</v>
      </c>
      <c r="AS219" s="141">
        <f>AS215+AS205+AS189+AS191+AS217</f>
        <v>49464</v>
      </c>
      <c r="AU219" s="141">
        <f>AU215+AU205+AU189+AU191+AU217</f>
        <v>0</v>
      </c>
      <c r="AW219" s="141">
        <f>AW215+AW205+AW189+AW191+AW217</f>
        <v>0</v>
      </c>
      <c r="AY219" s="29">
        <f>AY215+AY205+AY189+AY191+AY217</f>
        <v>3028648.2833333332</v>
      </c>
      <c r="BA219" s="141">
        <f>BA215+BA205+BA189+BA191+BA217</f>
        <v>-457765</v>
      </c>
      <c r="BC219" s="29">
        <f>BC215+BC205+BC189+BC191+BC217</f>
        <v>0</v>
      </c>
      <c r="BD219" s="6"/>
      <c r="BE219" s="29">
        <f t="shared" si="27"/>
        <v>3028648.2833333332</v>
      </c>
      <c r="BF219" s="6"/>
      <c r="BG219" s="29">
        <f>BG215+BG205+BG189+BG191+BG217</f>
        <v>-365113.13333333307</v>
      </c>
      <c r="BH219" s="15"/>
      <c r="BI219" s="15"/>
    </row>
    <row r="220" spans="1:62" x14ac:dyDescent="0.2">
      <c r="A220" s="113"/>
      <c r="B220" s="162"/>
      <c r="C220" s="114"/>
      <c r="G220" s="6"/>
      <c r="K220" s="15"/>
      <c r="M220" s="15"/>
      <c r="O220" s="15"/>
      <c r="Q220" s="141"/>
      <c r="R220" s="231"/>
      <c r="S220" s="141"/>
      <c r="T220" s="231"/>
      <c r="U220" s="141"/>
      <c r="V220" s="15"/>
      <c r="W220" s="141"/>
      <c r="X220" s="15"/>
      <c r="Y220" s="141"/>
      <c r="Z220" s="15"/>
      <c r="AA220" s="141"/>
      <c r="AB220" s="15"/>
      <c r="AC220" s="141"/>
      <c r="AD220" s="15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S220" s="141"/>
      <c r="AU220" s="141"/>
      <c r="AW220" s="141"/>
      <c r="AY220" s="29"/>
      <c r="BA220" s="141"/>
      <c r="BC220" s="15"/>
      <c r="BD220" s="6"/>
      <c r="BE220" s="15"/>
      <c r="BF220" s="6"/>
      <c r="BG220" s="15"/>
      <c r="BH220" s="15"/>
      <c r="BI220" s="15"/>
    </row>
    <row r="221" spans="1:62" ht="13.5" thickBot="1" x14ac:dyDescent="0.25">
      <c r="A221" s="126" t="s">
        <v>129</v>
      </c>
      <c r="B221" s="109"/>
      <c r="C221" s="110"/>
      <c r="K221" s="18">
        <f>K219+K179</f>
        <v>109972038.99115443</v>
      </c>
      <c r="M221" s="18">
        <f>M219+M179</f>
        <v>23779361.149999999</v>
      </c>
      <c r="O221" s="18">
        <f>O219+O179</f>
        <v>128386300.14115444</v>
      </c>
      <c r="Q221" s="179">
        <f>Q179+Q219</f>
        <v>63865966.150000006</v>
      </c>
      <c r="R221" s="239"/>
      <c r="S221" s="179">
        <f>S179+S219</f>
        <v>1102894.513333333</v>
      </c>
      <c r="T221" s="239"/>
      <c r="U221" s="179">
        <f>U179+U219</f>
        <v>19590654.100000001</v>
      </c>
      <c r="V221" s="16"/>
      <c r="W221" s="179">
        <f>W179+W219</f>
        <v>572532.99</v>
      </c>
      <c r="X221" s="16"/>
      <c r="Y221" s="179">
        <f>Y179+Y219</f>
        <v>-106875.7799999993</v>
      </c>
      <c r="Z221" s="16"/>
      <c r="AA221" s="179">
        <f>AA179+AA219</f>
        <v>8307659.9100000001</v>
      </c>
      <c r="AB221" s="16"/>
      <c r="AC221" s="179">
        <f>AC179+AC219</f>
        <v>15855933.020000003</v>
      </c>
      <c r="AD221" s="16"/>
      <c r="AE221" s="179">
        <f>AE179+AE219</f>
        <v>8226098.6399999987</v>
      </c>
      <c r="AF221" s="178"/>
      <c r="AG221" s="179">
        <f>AG179+AG219</f>
        <v>10079974.000000004</v>
      </c>
      <c r="AH221" s="178"/>
      <c r="AI221" s="179">
        <f>AI179+AI219</f>
        <v>5897944.9499999993</v>
      </c>
      <c r="AJ221" s="178"/>
      <c r="AK221" s="179">
        <f>AK179+AK219</f>
        <v>6912179.6100000003</v>
      </c>
      <c r="AL221" s="179"/>
      <c r="AM221" s="179">
        <f>AM179+AM219</f>
        <v>2135306.54</v>
      </c>
      <c r="AN221" s="178"/>
      <c r="AO221" s="179">
        <f>AO179+AO219</f>
        <v>2966808.52</v>
      </c>
      <c r="AP221" s="178"/>
      <c r="AQ221" s="179">
        <f>AQ179+AQ219</f>
        <v>2484012.14</v>
      </c>
      <c r="AS221" s="179">
        <f>AS179+AS219</f>
        <v>50215</v>
      </c>
      <c r="AU221" s="179">
        <f>AU179+AU219</f>
        <v>900000</v>
      </c>
      <c r="AW221" s="179">
        <f>AW179+AW219</f>
        <v>0</v>
      </c>
      <c r="AY221" s="83">
        <f>AY179+AY219</f>
        <v>148841304.30333334</v>
      </c>
      <c r="BA221" s="179">
        <f>BA179+BA219</f>
        <v>2595790.33</v>
      </c>
      <c r="BC221" s="83">
        <f>BC179+BC219</f>
        <v>-5700.2859999998473</v>
      </c>
      <c r="BD221" s="6"/>
      <c r="BE221" s="83">
        <f>+BC221+AY221+1</f>
        <v>148835605.01733333</v>
      </c>
      <c r="BF221" s="6"/>
      <c r="BG221" s="83">
        <f>BG179+BG219</f>
        <v>-20449303.876178913</v>
      </c>
      <c r="BH221" s="34"/>
      <c r="BI221" s="16"/>
    </row>
    <row r="222" spans="1:62" ht="5.25" customHeight="1" thickTop="1" x14ac:dyDescent="0.2">
      <c r="A222" s="38"/>
      <c r="B222" s="23"/>
      <c r="C222" s="23"/>
      <c r="U222" s="143" t="s">
        <v>328</v>
      </c>
      <c r="W222" s="143" t="s">
        <v>328</v>
      </c>
      <c r="Y222" s="143" t="s">
        <v>328</v>
      </c>
      <c r="AA222" s="143" t="s">
        <v>328</v>
      </c>
      <c r="AC222" s="143" t="s">
        <v>328</v>
      </c>
      <c r="AE222" s="143" t="s">
        <v>328</v>
      </c>
      <c r="AG222" s="143" t="s">
        <v>328</v>
      </c>
      <c r="AI222" s="143" t="s">
        <v>328</v>
      </c>
      <c r="AK222" s="143" t="s">
        <v>328</v>
      </c>
      <c r="AM222" s="143" t="s">
        <v>328</v>
      </c>
      <c r="AO222" s="143" t="s">
        <v>328</v>
      </c>
      <c r="AQ222" s="143" t="s">
        <v>328</v>
      </c>
      <c r="AS222" s="143" t="s">
        <v>328</v>
      </c>
      <c r="AU222" s="143" t="s">
        <v>328</v>
      </c>
      <c r="AW222" s="143" t="s">
        <v>328</v>
      </c>
      <c r="AY222" s="45" t="s">
        <v>328</v>
      </c>
      <c r="BA222" s="143" t="s">
        <v>328</v>
      </c>
      <c r="BD222" s="6"/>
      <c r="BF222" s="6"/>
      <c r="BH222" s="8"/>
      <c r="BI222" s="8"/>
    </row>
    <row r="223" spans="1:62" ht="14.25" customHeight="1" thickBot="1" x14ac:dyDescent="0.25">
      <c r="A223" s="126" t="s">
        <v>194</v>
      </c>
      <c r="B223" s="23"/>
      <c r="C223" s="23"/>
      <c r="K223" s="167">
        <f>K221/390</f>
        <v>281979.58715680626</v>
      </c>
      <c r="O223" s="167">
        <f>O221/390</f>
        <v>329195.64138757548</v>
      </c>
      <c r="AY223" s="45"/>
      <c r="BD223" s="6"/>
      <c r="BE223" s="167">
        <f>BE221/390</f>
        <v>381629.75645470084</v>
      </c>
      <c r="BF223" s="6"/>
      <c r="BH223" s="8"/>
      <c r="BI223" s="8"/>
    </row>
    <row r="224" spans="1:62" customFormat="1" x14ac:dyDescent="0.2">
      <c r="A224" s="41"/>
      <c r="Q224" s="141"/>
      <c r="R224" s="231"/>
      <c r="S224" s="141"/>
      <c r="T224" s="231"/>
      <c r="U224" s="141"/>
      <c r="V224" s="15"/>
      <c r="W224" s="141"/>
      <c r="X224" s="15"/>
      <c r="Y224" s="141"/>
      <c r="Z224" s="15"/>
      <c r="AA224" s="141"/>
      <c r="AB224" s="15"/>
      <c r="AC224" s="141"/>
      <c r="AE224" s="89"/>
      <c r="BG224" s="8"/>
    </row>
    <row r="225" spans="1:62" x14ac:dyDescent="0.2">
      <c r="A225" s="41"/>
      <c r="E225" s="6"/>
      <c r="I225" s="6"/>
      <c r="Q225" s="134"/>
      <c r="R225" s="224"/>
      <c r="S225" s="134"/>
      <c r="T225" s="224"/>
      <c r="U225" s="134"/>
      <c r="W225" s="134"/>
      <c r="X225" s="131"/>
      <c r="Y225" s="134"/>
      <c r="Z225" s="131"/>
      <c r="AA225" s="134"/>
      <c r="AB225" s="131"/>
      <c r="AC225" s="134"/>
      <c r="AD225" s="131"/>
      <c r="AE225" s="89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BA225" s="131"/>
      <c r="BD225" s="6"/>
      <c r="BF225" s="6"/>
      <c r="BJ225" s="6"/>
    </row>
    <row r="226" spans="1:62" s="41" customFormat="1" x14ac:dyDescent="0.2">
      <c r="A226" s="41" t="s">
        <v>421</v>
      </c>
      <c r="G226" s="11"/>
      <c r="K226" s="15">
        <v>0</v>
      </c>
      <c r="M226" s="15"/>
      <c r="O226" s="15">
        <f>SUM(K226:N226)</f>
        <v>0</v>
      </c>
      <c r="Q226" s="143"/>
      <c r="R226" s="228"/>
      <c r="S226" s="143"/>
      <c r="T226" s="244"/>
      <c r="U226" s="134">
        <v>0</v>
      </c>
      <c r="V226" s="15"/>
      <c r="W226" s="134"/>
      <c r="X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5">
        <f>SUM(P226:AR226)</f>
        <v>0</v>
      </c>
      <c r="BA226" s="134">
        <v>0</v>
      </c>
      <c r="BC226" s="15">
        <f>IF(+O226-AY226+BA226&gt;0,O226-AY226+BA226,0)</f>
        <v>0</v>
      </c>
      <c r="BE226" s="15">
        <f>+BC226+AY226</f>
        <v>0</v>
      </c>
      <c r="BG226" s="15">
        <f>+O226-BE226</f>
        <v>0</v>
      </c>
    </row>
    <row r="227" spans="1:62" x14ac:dyDescent="0.2">
      <c r="A227" s="41" t="s">
        <v>536</v>
      </c>
      <c r="E227" s="6"/>
      <c r="I227" s="6"/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33">
        <f>+[1]Deprec!$H$29</f>
        <v>-1831144.689966666</v>
      </c>
      <c r="BA227" s="131"/>
      <c r="BD227" s="6"/>
      <c r="BE227" s="15">
        <f>+AY227</f>
        <v>-1831144.689966666</v>
      </c>
      <c r="BF227" s="6"/>
      <c r="BJ227" s="6"/>
    </row>
    <row r="228" spans="1:62" ht="13.5" thickBot="1" x14ac:dyDescent="0.25">
      <c r="A228" s="126" t="s">
        <v>426</v>
      </c>
      <c r="B228" s="109"/>
      <c r="E228" s="6"/>
      <c r="I228" s="6"/>
      <c r="K228" s="245">
        <f>+K221+K226</f>
        <v>109972038.99115443</v>
      </c>
      <c r="M228" s="245">
        <f>+M221+M226</f>
        <v>23779361.149999999</v>
      </c>
      <c r="O228" s="245">
        <f>+O221+O226</f>
        <v>128386300.14115444</v>
      </c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245">
        <f>+AY221+AY226+AY227</f>
        <v>147010159.61336666</v>
      </c>
      <c r="BA228" s="131"/>
      <c r="BC228" s="245">
        <f>+BC221+BC226</f>
        <v>-5700.2859999998473</v>
      </c>
      <c r="BD228" s="6"/>
      <c r="BE228" s="245">
        <f>+BE221+BE226+BE227</f>
        <v>147004460.32736665</v>
      </c>
      <c r="BF228" s="6"/>
      <c r="BG228" s="245">
        <f>+BG221+BG226</f>
        <v>-20449303.876178913</v>
      </c>
      <c r="BJ228" s="6"/>
    </row>
    <row r="229" spans="1:62" ht="4.5" customHeight="1" thickTop="1" x14ac:dyDescent="0.2">
      <c r="A229" s="38"/>
      <c r="B229" s="23"/>
      <c r="E229" s="6"/>
      <c r="I229" s="6"/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BA229" s="131"/>
      <c r="BD229" s="6"/>
      <c r="BF229" s="6"/>
      <c r="BJ229" s="6"/>
    </row>
    <row r="230" spans="1:62" ht="13.5" thickBot="1" x14ac:dyDescent="0.25">
      <c r="A230" s="126" t="s">
        <v>420</v>
      </c>
      <c r="B230" s="23"/>
      <c r="E230" s="6"/>
      <c r="I230" s="6"/>
      <c r="K230" s="127">
        <f>K228/$K$3</f>
        <v>284165.47542933963</v>
      </c>
      <c r="O230" s="127">
        <f>O228/$K$3</f>
        <v>331747.54558437841</v>
      </c>
      <c r="T230" s="224"/>
      <c r="U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BA230" s="131"/>
      <c r="BD230" s="6"/>
      <c r="BE230" s="127">
        <f>BE228/$K$3</f>
        <v>379856.48663402232</v>
      </c>
      <c r="BF230" s="6"/>
      <c r="BJ230" s="6"/>
    </row>
    <row r="231" spans="1:62" x14ac:dyDescent="0.2">
      <c r="E231" s="6"/>
      <c r="I231" s="6"/>
      <c r="T231" s="224"/>
      <c r="U231" s="131"/>
      <c r="W231" s="131"/>
      <c r="X231" s="131"/>
      <c r="Y231" s="134">
        <f>SUM(Q225:Y225)</f>
        <v>0</v>
      </c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BA231" s="131"/>
      <c r="BD231" s="6"/>
      <c r="BF231" s="6"/>
      <c r="BJ231" s="6"/>
    </row>
    <row r="232" spans="1:62" x14ac:dyDescent="0.2">
      <c r="E232" s="6"/>
      <c r="I232" s="6"/>
      <c r="T232" s="224"/>
      <c r="U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BA232" s="131"/>
      <c r="BD232" s="6"/>
      <c r="BF232" s="6"/>
      <c r="BG232" s="187" t="str">
        <f ca="1">CELL("filename")</f>
        <v>O:\Fin_Ops\Engysvc\PowerPlants\TVA Plants\TVA Draw Schedules\[TVADraw020800.xls]New Albany</v>
      </c>
      <c r="BJ232" s="6"/>
    </row>
    <row r="233" spans="1:62" x14ac:dyDescent="0.2">
      <c r="AY233" s="45"/>
      <c r="BD233" s="6"/>
      <c r="BF233" s="6"/>
      <c r="BH233" s="8"/>
      <c r="BI233" s="8"/>
    </row>
    <row r="234" spans="1:62" x14ac:dyDescent="0.2">
      <c r="AY234" s="45"/>
      <c r="BD234" s="6"/>
      <c r="BF234" s="6"/>
      <c r="BH234" s="8"/>
      <c r="BI234" s="8"/>
    </row>
    <row r="235" spans="1:62" x14ac:dyDescent="0.2">
      <c r="B235" s="41" t="s">
        <v>473</v>
      </c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BA235" s="131"/>
      <c r="BD235" s="6"/>
      <c r="BF235" s="6"/>
      <c r="BJ235" s="6"/>
    </row>
    <row r="236" spans="1:62" x14ac:dyDescent="0.2"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BA236" s="131"/>
      <c r="BD236" s="6"/>
      <c r="BF236" s="6"/>
      <c r="BJ236" s="6"/>
    </row>
    <row r="237" spans="1:62" x14ac:dyDescent="0.2">
      <c r="B237" s="6" t="s">
        <v>474</v>
      </c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BA237" s="131"/>
      <c r="BD237" s="6"/>
      <c r="BE237" s="8">
        <f>260757.58+146163247.67</f>
        <v>146424005.25</v>
      </c>
      <c r="BF237" s="6"/>
      <c r="BJ237" s="6"/>
    </row>
    <row r="238" spans="1:62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BA238" s="131"/>
      <c r="BD238" s="6"/>
      <c r="BF238" s="6"/>
      <c r="BJ238" s="6"/>
    </row>
    <row r="239" spans="1:62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BA239" s="131"/>
      <c r="BD239" s="6"/>
      <c r="BF239" s="6"/>
      <c r="BJ239" s="6"/>
    </row>
    <row r="240" spans="1:62" x14ac:dyDescent="0.2"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BA240" s="131"/>
      <c r="BD240" s="6"/>
      <c r="BF240" s="6"/>
      <c r="BJ240" s="6"/>
    </row>
    <row r="241" spans="2:62" x14ac:dyDescent="0.2">
      <c r="B241" s="6" t="s">
        <v>475</v>
      </c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BA241" s="131"/>
      <c r="BD241" s="6"/>
      <c r="BE241" s="8">
        <f>+AY228-AE145-AC145-AA145-AG145-AI145-AY149-AK145-AY227-AM145-AO145</f>
        <v>147324005.15333334</v>
      </c>
      <c r="BF241" s="6"/>
      <c r="BJ241" s="6"/>
    </row>
    <row r="242" spans="2:62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BA242" s="131"/>
      <c r="BD242" s="6"/>
      <c r="BF242" s="6"/>
      <c r="BJ242" s="6"/>
    </row>
    <row r="243" spans="2:62" x14ac:dyDescent="0.2"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BA243" s="131"/>
      <c r="BD243" s="6"/>
      <c r="BF243" s="6"/>
      <c r="BJ243" s="6"/>
    </row>
    <row r="244" spans="2:62" x14ac:dyDescent="0.2">
      <c r="B244" s="6" t="s">
        <v>476</v>
      </c>
      <c r="E244" s="6"/>
      <c r="I244" s="6"/>
      <c r="T244" s="224"/>
      <c r="U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BA244" s="131"/>
      <c r="BD244" s="6"/>
      <c r="BE244" s="8">
        <f>+BE237-BE241</f>
        <v>-899999.90333333611</v>
      </c>
      <c r="BF244" s="6"/>
      <c r="BJ244" s="6"/>
    </row>
    <row r="245" spans="2:62" x14ac:dyDescent="0.2">
      <c r="E245" s="6"/>
      <c r="T245" s="229"/>
      <c r="U245" s="157"/>
      <c r="V245" s="157"/>
      <c r="W245" s="157"/>
      <c r="X245" s="157"/>
      <c r="Y245" s="157"/>
      <c r="Z245" s="157"/>
      <c r="AA245" s="157"/>
      <c r="AB245" s="6"/>
      <c r="AC245" s="157"/>
      <c r="AD245" s="6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S245" s="157"/>
      <c r="AU245" s="157"/>
      <c r="AW245" s="157"/>
      <c r="AY245" s="6"/>
      <c r="BA245" s="157"/>
      <c r="BC245" s="6"/>
      <c r="BD245" s="6"/>
      <c r="BE245" s="6"/>
      <c r="BF245" s="6"/>
      <c r="BJ245" s="6"/>
    </row>
    <row r="246" spans="2:62" x14ac:dyDescent="0.2">
      <c r="AY246" s="45"/>
    </row>
    <row r="247" spans="2:62" x14ac:dyDescent="0.2">
      <c r="AY247" s="45"/>
    </row>
    <row r="248" spans="2:62" x14ac:dyDescent="0.2">
      <c r="AY248" s="45"/>
    </row>
    <row r="249" spans="2:62" x14ac:dyDescent="0.2">
      <c r="AY249" s="45"/>
    </row>
    <row r="250" spans="2:62" x14ac:dyDescent="0.2">
      <c r="AY250" s="45"/>
    </row>
    <row r="251" spans="2:62" x14ac:dyDescent="0.2">
      <c r="AY251" s="45"/>
    </row>
    <row r="252" spans="2:62" x14ac:dyDescent="0.2">
      <c r="AY252" s="45"/>
    </row>
    <row r="253" spans="2:62" x14ac:dyDescent="0.2">
      <c r="AY253" s="45"/>
    </row>
    <row r="254" spans="2:62" x14ac:dyDescent="0.2">
      <c r="AY254" s="45"/>
    </row>
    <row r="255" spans="2:62" x14ac:dyDescent="0.2">
      <c r="AY255" s="45"/>
    </row>
    <row r="256" spans="2:62" x14ac:dyDescent="0.2">
      <c r="AY256" s="45"/>
    </row>
    <row r="257" spans="51:51" x14ac:dyDescent="0.2">
      <c r="AY257" s="45"/>
    </row>
    <row r="258" spans="51:51" x14ac:dyDescent="0.2">
      <c r="AY258" s="45"/>
    </row>
    <row r="259" spans="51:51" x14ac:dyDescent="0.2">
      <c r="AY259" s="45"/>
    </row>
    <row r="260" spans="51:51" x14ac:dyDescent="0.2">
      <c r="AY260" s="45"/>
    </row>
    <row r="261" spans="51:51" x14ac:dyDescent="0.2">
      <c r="AY261" s="45"/>
    </row>
    <row r="262" spans="51:51" x14ac:dyDescent="0.2">
      <c r="AY262" s="45"/>
    </row>
    <row r="263" spans="51:51" x14ac:dyDescent="0.2">
      <c r="AY263" s="45"/>
    </row>
    <row r="264" spans="51:51" x14ac:dyDescent="0.2">
      <c r="AY264" s="45"/>
    </row>
    <row r="265" spans="51:51" x14ac:dyDescent="0.2">
      <c r="AY265" s="45"/>
    </row>
    <row r="266" spans="51:51" x14ac:dyDescent="0.2">
      <c r="AY266" s="45"/>
    </row>
    <row r="267" spans="51:51" x14ac:dyDescent="0.2">
      <c r="AY267" s="45"/>
    </row>
    <row r="268" spans="51:51" x14ac:dyDescent="0.2">
      <c r="AY268" s="45"/>
    </row>
    <row r="269" spans="51:51" x14ac:dyDescent="0.2">
      <c r="AY269" s="45"/>
    </row>
    <row r="270" spans="51:51" x14ac:dyDescent="0.2">
      <c r="AY270" s="45"/>
    </row>
    <row r="271" spans="51:51" x14ac:dyDescent="0.2">
      <c r="AY271" s="45"/>
    </row>
    <row r="272" spans="51:51" x14ac:dyDescent="0.2">
      <c r="AY272" s="45"/>
    </row>
    <row r="273" spans="51:51" x14ac:dyDescent="0.2">
      <c r="AY273" s="45"/>
    </row>
    <row r="274" spans="51:51" x14ac:dyDescent="0.2">
      <c r="AY274" s="45"/>
    </row>
    <row r="275" spans="51:51" x14ac:dyDescent="0.2">
      <c r="AY275" s="45"/>
    </row>
    <row r="276" spans="51:51" x14ac:dyDescent="0.2">
      <c r="AY276" s="45"/>
    </row>
    <row r="277" spans="51:51" x14ac:dyDescent="0.2">
      <c r="AY277" s="45"/>
    </row>
    <row r="278" spans="51:51" x14ac:dyDescent="0.2">
      <c r="AY278" s="45"/>
    </row>
    <row r="279" spans="51:51" x14ac:dyDescent="0.2">
      <c r="AY279" s="45"/>
    </row>
    <row r="280" spans="51:51" x14ac:dyDescent="0.2">
      <c r="AY280" s="45"/>
    </row>
    <row r="281" spans="51:51" x14ac:dyDescent="0.2">
      <c r="AY281" s="45"/>
    </row>
    <row r="282" spans="51:51" x14ac:dyDescent="0.2">
      <c r="AY282" s="45"/>
    </row>
    <row r="283" spans="51:51" x14ac:dyDescent="0.2">
      <c r="AY283" s="45"/>
    </row>
    <row r="284" spans="51:51" x14ac:dyDescent="0.2">
      <c r="AY284" s="45"/>
    </row>
    <row r="285" spans="51:51" x14ac:dyDescent="0.2">
      <c r="AY285" s="45"/>
    </row>
    <row r="286" spans="51:51" x14ac:dyDescent="0.2">
      <c r="AY286" s="45"/>
    </row>
    <row r="287" spans="51:51" x14ac:dyDescent="0.2">
      <c r="AY287" s="45"/>
    </row>
    <row r="288" spans="51:51" x14ac:dyDescent="0.2">
      <c r="AY288" s="45"/>
    </row>
    <row r="289" spans="51:51" x14ac:dyDescent="0.2">
      <c r="AY289" s="45"/>
    </row>
    <row r="290" spans="51:51" x14ac:dyDescent="0.2">
      <c r="AY290" s="45"/>
    </row>
    <row r="291" spans="51:51" x14ac:dyDescent="0.2">
      <c r="AY291" s="45"/>
    </row>
    <row r="292" spans="51:51" x14ac:dyDescent="0.2">
      <c r="AY292" s="45"/>
    </row>
    <row r="293" spans="51:51" x14ac:dyDescent="0.2">
      <c r="AY293" s="45"/>
    </row>
  </sheetData>
  <printOptions horizontalCentered="1"/>
  <pageMargins left="0.25" right="0.25" top="0.25" bottom="0.25" header="0.5" footer="0.5"/>
  <pageSetup scale="53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338</v>
      </c>
      <c r="C3" s="254"/>
      <c r="D3" s="254" t="s">
        <v>433</v>
      </c>
    </row>
    <row r="4" spans="1:5" s="253" customFormat="1" x14ac:dyDescent="0.2">
      <c r="B4" s="254"/>
      <c r="C4" s="254"/>
      <c r="D4" s="254"/>
    </row>
    <row r="5" spans="1:5" x14ac:dyDescent="0.2">
      <c r="A5" t="s">
        <v>434</v>
      </c>
      <c r="B5" s="249">
        <v>5000000</v>
      </c>
      <c r="D5" s="249">
        <v>5000000</v>
      </c>
    </row>
    <row r="6" spans="1:5" x14ac:dyDescent="0.2">
      <c r="A6" t="s">
        <v>436</v>
      </c>
      <c r="B6" s="249">
        <v>359700</v>
      </c>
      <c r="D6" s="249">
        <v>359700</v>
      </c>
    </row>
    <row r="7" spans="1:5" x14ac:dyDescent="0.2">
      <c r="A7" t="s">
        <v>437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438</v>
      </c>
    </row>
    <row r="9" spans="1:5" x14ac:dyDescent="0.2">
      <c r="A9" t="s">
        <v>436</v>
      </c>
      <c r="B9" s="249">
        <v>943800</v>
      </c>
      <c r="D9" s="249">
        <v>943800</v>
      </c>
    </row>
    <row r="10" spans="1:5" x14ac:dyDescent="0.2">
      <c r="A10" t="s">
        <v>435</v>
      </c>
      <c r="B10" s="249">
        <v>3111381.03</v>
      </c>
      <c r="D10" s="248">
        <v>3111381.03</v>
      </c>
    </row>
    <row r="11" spans="1:5" x14ac:dyDescent="0.2">
      <c r="A11" t="s">
        <v>432</v>
      </c>
      <c r="B11" s="251">
        <v>161700</v>
      </c>
      <c r="D11" s="249">
        <v>161700</v>
      </c>
      <c r="E11" s="41" t="s">
        <v>440</v>
      </c>
    </row>
    <row r="12" spans="1:5" x14ac:dyDescent="0.2">
      <c r="A12" t="s">
        <v>439</v>
      </c>
      <c r="D12" s="249">
        <v>198000</v>
      </c>
      <c r="E12" t="s">
        <v>438</v>
      </c>
    </row>
    <row r="13" spans="1:5" x14ac:dyDescent="0.2">
      <c r="A13" t="s">
        <v>456</v>
      </c>
      <c r="D13" s="249">
        <v>1082508.47</v>
      </c>
      <c r="E13" t="s">
        <v>438</v>
      </c>
    </row>
    <row r="15" spans="1:5" x14ac:dyDescent="0.2">
      <c r="A15" t="s">
        <v>441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457</v>
      </c>
      <c r="B17" s="249">
        <v>4391315.49</v>
      </c>
    </row>
    <row r="18" spans="1:5" x14ac:dyDescent="0.2">
      <c r="A18" t="s">
        <v>458</v>
      </c>
      <c r="B18" s="249">
        <v>886191.12</v>
      </c>
      <c r="E18" t="s">
        <v>464</v>
      </c>
    </row>
    <row r="19" spans="1:5" x14ac:dyDescent="0.2">
      <c r="A19" t="s">
        <v>460</v>
      </c>
      <c r="B19" s="255">
        <f>SUM(B17:B18)</f>
        <v>5277506.6100000003</v>
      </c>
    </row>
    <row r="21" spans="1:5" ht="13.5" thickBot="1" x14ac:dyDescent="0.25">
      <c r="A21" t="s">
        <v>459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461</v>
      </c>
      <c r="B23" s="249">
        <v>2000000</v>
      </c>
    </row>
    <row r="24" spans="1:5" ht="13.5" thickBot="1" x14ac:dyDescent="0.25">
      <c r="A24" t="s">
        <v>462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442</v>
      </c>
      <c r="D27" s="252" t="s">
        <v>442</v>
      </c>
    </row>
    <row r="28" spans="1:5" x14ac:dyDescent="0.2">
      <c r="B28" s="254" t="s">
        <v>338</v>
      </c>
      <c r="D28" s="254" t="s">
        <v>448</v>
      </c>
    </row>
    <row r="29" spans="1:5" x14ac:dyDescent="0.2">
      <c r="A29" s="8" t="s">
        <v>449</v>
      </c>
      <c r="B29" s="249">
        <v>13392698</v>
      </c>
      <c r="D29" s="249">
        <v>13392698</v>
      </c>
    </row>
    <row r="30" spans="1:5" x14ac:dyDescent="0.2">
      <c r="A30" s="8" t="s">
        <v>450</v>
      </c>
      <c r="B30" s="249">
        <v>9374889</v>
      </c>
      <c r="D30" s="249">
        <v>9374889</v>
      </c>
    </row>
    <row r="31" spans="1:5" x14ac:dyDescent="0.2">
      <c r="A31" s="8" t="s">
        <v>451</v>
      </c>
      <c r="D31" s="249">
        <v>2678540</v>
      </c>
      <c r="E31" t="s">
        <v>438</v>
      </c>
    </row>
    <row r="32" spans="1:5" x14ac:dyDescent="0.2">
      <c r="A32" s="8" t="s">
        <v>452</v>
      </c>
      <c r="D32" s="249">
        <v>1339270</v>
      </c>
      <c r="E32" t="s">
        <v>438</v>
      </c>
    </row>
    <row r="33" spans="1:5" x14ac:dyDescent="0.2">
      <c r="A33" t="s">
        <v>465</v>
      </c>
      <c r="B33" s="249">
        <v>652369.63</v>
      </c>
      <c r="D33" s="249">
        <v>652369.63</v>
      </c>
      <c r="E33" t="s">
        <v>466</v>
      </c>
    </row>
    <row r="35" spans="1:5" x14ac:dyDescent="0.2">
      <c r="A35" t="s">
        <v>444</v>
      </c>
      <c r="B35" s="249">
        <v>5400</v>
      </c>
      <c r="D35" s="249">
        <v>5400</v>
      </c>
    </row>
    <row r="36" spans="1:5" x14ac:dyDescent="0.2">
      <c r="A36" t="s">
        <v>445</v>
      </c>
      <c r="B36" s="249">
        <v>-167</v>
      </c>
      <c r="D36" s="249">
        <v>-167</v>
      </c>
    </row>
    <row r="37" spans="1:5" x14ac:dyDescent="0.2">
      <c r="A37" t="s">
        <v>447</v>
      </c>
      <c r="B37" s="249">
        <v>10246.5</v>
      </c>
      <c r="D37" s="249">
        <v>10246.5</v>
      </c>
    </row>
    <row r="38" spans="1:5" x14ac:dyDescent="0.2">
      <c r="A38" t="s">
        <v>446</v>
      </c>
      <c r="B38" s="250">
        <v>123281.75</v>
      </c>
      <c r="D38" s="250">
        <v>123281.75</v>
      </c>
    </row>
    <row r="39" spans="1:5" x14ac:dyDescent="0.2">
      <c r="A39" t="s">
        <v>443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453</v>
      </c>
      <c r="B41" s="250"/>
      <c r="D41" s="250">
        <v>0</v>
      </c>
      <c r="E41" t="s">
        <v>454</v>
      </c>
    </row>
    <row r="43" spans="1:5" x14ac:dyDescent="0.2">
      <c r="A43" t="s">
        <v>455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2000-02-08T16:25:15Z</cp:lastPrinted>
  <dcterms:created xsi:type="dcterms:W3CDTF">1998-11-04T14:40:39Z</dcterms:created>
  <dcterms:modified xsi:type="dcterms:W3CDTF">2023-09-13T22:11:53Z</dcterms:modified>
</cp:coreProperties>
</file>