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5E0381-915A-4303-B117-E51005D685A3}" xr6:coauthVersionLast="47" xr6:coauthVersionMax="47" xr10:uidLastSave="{00000000-0000-0000-0000-000000000000}"/>
  <bookViews>
    <workbookView xWindow="-120" yWindow="-120" windowWidth="38640" windowHeight="15720" tabRatio="369" firstSheet="1" activeTab="4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 iterate="1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R16" i="9"/>
  <c r="S16" i="9"/>
  <c r="T16" i="9"/>
  <c r="U16" i="9"/>
  <c r="V16" i="9"/>
  <c r="W16" i="9"/>
  <c r="Z16" i="9"/>
  <c r="AB16" i="9"/>
  <c r="AC16" i="9"/>
  <c r="R17" i="9"/>
  <c r="S17" i="9"/>
  <c r="T17" i="9"/>
  <c r="U17" i="9"/>
  <c r="V17" i="9"/>
  <c r="W17" i="9"/>
  <c r="Z17" i="9"/>
  <c r="AB17" i="9"/>
  <c r="AC17" i="9"/>
  <c r="R18" i="9"/>
  <c r="S18" i="9"/>
  <c r="T18" i="9"/>
  <c r="U18" i="9"/>
  <c r="V18" i="9"/>
  <c r="W18" i="9"/>
  <c r="Z18" i="9"/>
  <c r="AB18" i="9"/>
  <c r="AC18" i="9"/>
  <c r="R19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C21" i="9"/>
  <c r="R22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R32" i="9"/>
  <c r="W32" i="9"/>
  <c r="Z32" i="9"/>
  <c r="O33" i="9"/>
  <c r="P33" i="9"/>
  <c r="R33" i="9"/>
  <c r="V33" i="9"/>
  <c r="Z33" i="9"/>
  <c r="P34" i="9"/>
  <c r="R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R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Q10" i="7"/>
  <c r="U10" i="7"/>
  <c r="Y10" i="7"/>
  <c r="AA10" i="7"/>
  <c r="AB10" i="7"/>
  <c r="M11" i="7"/>
  <c r="Y11" i="7"/>
  <c r="AA11" i="7"/>
  <c r="AB11" i="7"/>
  <c r="Q12" i="7"/>
  <c r="R12" i="7"/>
  <c r="S12" i="7"/>
  <c r="T12" i="7"/>
  <c r="U12" i="7"/>
  <c r="V12" i="7"/>
  <c r="W12" i="7"/>
  <c r="Y12" i="7"/>
  <c r="AA12" i="7"/>
  <c r="AB12" i="7"/>
  <c r="Q13" i="7"/>
  <c r="R13" i="7"/>
  <c r="S13" i="7"/>
  <c r="T13" i="7"/>
  <c r="U13" i="7"/>
  <c r="V13" i="7"/>
  <c r="W13" i="7"/>
  <c r="Y13" i="7"/>
  <c r="AA13" i="7"/>
  <c r="AB13" i="7"/>
  <c r="Q14" i="7"/>
  <c r="R14" i="7"/>
  <c r="S14" i="7"/>
  <c r="T14" i="7"/>
  <c r="U14" i="7"/>
  <c r="V14" i="7"/>
  <c r="W14" i="7"/>
  <c r="Y14" i="7"/>
  <c r="AA14" i="7"/>
  <c r="AB14" i="7"/>
  <c r="Q15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Y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Q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P33" i="7"/>
  <c r="Q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Q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Q18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Q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Q29" i="5"/>
  <c r="R29" i="5"/>
  <c r="T29" i="5"/>
  <c r="Y29" i="5"/>
  <c r="AA29" i="5"/>
  <c r="AB29" i="5"/>
  <c r="Y30" i="5"/>
  <c r="Z30" i="5"/>
  <c r="AA30" i="5"/>
  <c r="AB30" i="5"/>
  <c r="Y31" i="5"/>
  <c r="AA31" i="5"/>
  <c r="AB31" i="5"/>
  <c r="Q32" i="5"/>
  <c r="R32" i="5"/>
  <c r="S32" i="5"/>
  <c r="U32" i="5"/>
  <c r="Y32" i="5"/>
  <c r="I33" i="5"/>
  <c r="J33" i="5"/>
  <c r="L33" i="5"/>
  <c r="Q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<sst xmlns="http://schemas.openxmlformats.org/spreadsheetml/2006/main" count="598" uniqueCount="129">
  <si>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</si>
  <si>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</si>
  <si>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</si>
  <si>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</si>
  <si>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</si>
  <si>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</si>
  <si>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</si>
  <si>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</si>
  <si>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</si>
  <si>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</si>
  <si>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</si>
  <si>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</si>
  <si>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</si>
  <si>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</si>
  <si>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</si>
  <si>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</si>
  <si>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</si>
  <si>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</si>
  <si>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</si>
  <si>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</si>
  <si>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</si>
  <si>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</si>
  <si>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</si>
  <si>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</si>
  <si>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</si>
  <si>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</si>
  <si>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</si>
  <si>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</si>
  <si>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</si>
  <si>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</si>
  <si>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</si>
  <si>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</si>
  <si>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</si>
  <si>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</si>
  <si>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</si>
  <si>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</si>
  <si>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</si>
  <si>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</si>
  <si>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</si>
  <si>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</si>
  <si>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</si>
  <si>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</si>
  <si>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</si>
  <si>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</si>
  <si>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</si>
  <si>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</si>
  <si>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</si>
  <si>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</si>
  <si>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</si>
  <si>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</si>
  <si>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</si>
  <si>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</si>
  <si>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</si>
  <si>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</si>
  <si>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</si>
  <si>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</si>
  <si>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</si>
  <si>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</si>
  <si>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</si>
  <si>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</si>
  <si>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</si>
  <si>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</si>
  <si>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</si>
  <si>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</si>
  <si>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</si>
  <si>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</si>
  <si>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</si>
  <si>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</si>
  <si>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</si>
  <si>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</si>
  <si>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</si>
  <si>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</si>
  <si>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</si>
  <si>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</si>
  <si>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</si>
  <si>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</si>
  <si>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</si>
  <si>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</si>
  <si>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</si>
  <si>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</si>
  <si>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</si>
  <si>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</si>
  <si>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</si>
  <si>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</si>
  <si>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</si>
  <si>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</si>
  <si>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</si>
  <si>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</si>
  <si>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</si>
  <si>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</si>
  <si>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</si>
  <si>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</si>
  <si>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</si>
  <si>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</si>
  <si>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</si>
  <si>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</si>
  <si>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</si>
  <si>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</si>
  <si>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</si>
  <si>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</si>
  <si>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</si>
  <si>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</si>
  <si>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</si>
  <si>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</si>
  <si>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</si>
  <si>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</si>
  <si>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</si>
  <si>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</si>
  <si>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</si>
  <si>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</si>
  <si>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</si>
  <si>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</si>
  <si>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</si>
  <si>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</si>
  <si>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</si>
  <si>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</si>
  <si>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</si>
  <si>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</si>
  <si>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</si>
  <si>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</si>
  <si>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</si>
  <si>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</si>
  <si>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</si>
  <si>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</si>
  <si>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</si>
  <si>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</si>
  <si>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24, 1999</t>
  </si>
  <si>
    <t>NEPCO - MISC</t>
  </si>
  <si>
    <t>1/2 of Redesign costs to change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</si>
</sst>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2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2485818.14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934994.48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254971624.73745799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383541</v>
          </cell>
        </row>
        <row r="195">
          <cell r="BT195">
            <v>563038.39999999991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649485.77</v>
          </cell>
        </row>
        <row r="245">
          <cell r="BT245">
            <v>752208.46</v>
          </cell>
        </row>
        <row r="261">
          <cell r="BT261">
            <v>175945371.7721653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1376268.86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754273.98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162164762.52144995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Plants\Draw Schedule\[Draw Sched - 020800.xls]Gleason</v>
      </c>
    </row>
    <row r="3" spans="1:23" s="2" customFormat="1" ht="15.75" x14ac:dyDescent="0.25">
      <c r="A3" s="1" t="s">
        <v>2</v>
      </c>
      <c r="F3" s="3"/>
      <c r="V3" s="24">
        <f ca="1">NOW()</f>
        <v>36563.431964583331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N1" workbookViewId="0">
      <selection activeCell="V18" sqref="V18"/>
    </sheetView>
  </sheetViews>
  <sheetFormatPr defaultRowHeight="12.75" x14ac:dyDescent="0.2"/>
  <cols>
    <col min="1" max="1" width="23.42578125" customWidth="1"/>
    <col min="2" max="2" width="2" customWidth="1"/>
    <col min="3" max="3" width="11.28515625" bestFit="1" customWidth="1"/>
    <col min="4" max="21" width="12.28515625" bestFit="1" customWidth="1"/>
    <col min="22" max="22" width="14.7109375" customWidth="1"/>
    <col min="23" max="25" width="12.28515625" bestFit="1" customWidth="1"/>
    <col min="26" max="26" width="13.85546875" bestFit="1" customWidth="1"/>
    <col min="27" max="27" width="12.28515625" bestFit="1" customWidth="1"/>
  </cols>
  <sheetData>
    <row r="1" spans="1:31" ht="15.75" x14ac:dyDescent="0.25">
      <c r="A1" s="1" t="s">
        <v>0</v>
      </c>
    </row>
    <row r="2" spans="1:31" ht="15.75" x14ac:dyDescent="0.25">
      <c r="A2" s="1" t="s">
        <v>1</v>
      </c>
    </row>
    <row r="3" spans="1:31" ht="15.75" x14ac:dyDescent="0.25">
      <c r="A3" s="1" t="s">
        <v>103</v>
      </c>
    </row>
    <row r="4" spans="1:31" ht="15.75" x14ac:dyDescent="0.25">
      <c r="A4" s="1" t="s">
        <v>2</v>
      </c>
    </row>
    <row r="7" spans="1:31" s="6" customFormat="1" x14ac:dyDescent="0.2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20.25" x14ac:dyDescent="0.55000000000000004">
      <c r="A9" s="32" t="s">
        <v>80</v>
      </c>
      <c r="U9" s="31"/>
      <c r="V9" s="31"/>
    </row>
    <row r="10" spans="1:31" x14ac:dyDescent="0.2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28783032.301785104</v>
      </c>
      <c r="R11" s="44">
        <f>Wilton!R47</f>
        <v>18405069.960165605</v>
      </c>
      <c r="S11" s="44">
        <f>Wilton!S47</f>
        <v>16253451.89633178</v>
      </c>
      <c r="T11" s="44">
        <f>Wilton!T47</f>
        <v>9190124.6902785748</v>
      </c>
      <c r="U11" s="44">
        <f>Wilton!U47</f>
        <v>16367253.463955084</v>
      </c>
      <c r="V11" s="44">
        <f>Wilton!Y47</f>
        <v>254395198.91079137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12213686.040115979</v>
      </c>
      <c r="R13" s="44">
        <f>Gleason!S47</f>
        <v>10343236.521131195</v>
      </c>
      <c r="S13" s="44">
        <f>Gleason!T47</f>
        <v>10448521.171564396</v>
      </c>
      <c r="T13" s="44">
        <f>Gleason!U47</f>
        <v>8288235.3697015811</v>
      </c>
      <c r="U13" s="44">
        <f>Gleason!V47</f>
        <v>22652869.206531212</v>
      </c>
      <c r="V13" s="44">
        <f>Gleason!Z47</f>
        <v>175924879.31049865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12414298.419800878</v>
      </c>
      <c r="R15" s="44">
        <f>Wheatland!R46</f>
        <v>10676468.457925439</v>
      </c>
      <c r="S15" s="44">
        <f>Wheatland!S46</f>
        <v>8601675.1491142008</v>
      </c>
      <c r="T15" s="44">
        <f>Wheatland!T46</f>
        <v>8114938.0638202354</v>
      </c>
      <c r="U15" s="44">
        <f>Wheatland!U46</f>
        <v>16313264.233646385</v>
      </c>
      <c r="V15" s="44">
        <f>Wheatland!Y46</f>
        <v>161954211.39693251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53411016.761701956</v>
      </c>
      <c r="R17" s="44">
        <f t="shared" si="0"/>
        <v>39424774.939222239</v>
      </c>
      <c r="S17" s="44">
        <f t="shared" si="0"/>
        <v>35303648.217010379</v>
      </c>
      <c r="T17" s="44">
        <f t="shared" si="0"/>
        <v>25593298.123800389</v>
      </c>
      <c r="U17" s="44">
        <f t="shared" si="0"/>
        <v>55333386.904132679</v>
      </c>
      <c r="V17" s="44">
        <f t="shared" si="0"/>
        <v>592274289.61822248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437942601.70685673</v>
      </c>
      <c r="R18" s="4">
        <f t="shared" si="1"/>
        <v>477367376.64607894</v>
      </c>
      <c r="S18" s="4">
        <f t="shared" si="1"/>
        <v>512671024.86308932</v>
      </c>
      <c r="T18" s="4">
        <f t="shared" si="1"/>
        <v>538264322.98688972</v>
      </c>
      <c r="U18" s="9">
        <f t="shared" si="1"/>
        <v>593597709.89102244</v>
      </c>
      <c r="V18" s="9"/>
      <c r="W18" s="9"/>
      <c r="X18" s="9"/>
      <c r="Y18" s="9"/>
      <c r="Z18" s="9"/>
      <c r="AA18" s="9"/>
    </row>
    <row r="19" spans="1:45" s="4" customFormat="1" x14ac:dyDescent="0.2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52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51"/>
    </row>
    <row r="2" spans="1:26" s="2" customFormat="1" ht="15.75" x14ac:dyDescent="0.25">
      <c r="A2" s="1" t="s">
        <v>1</v>
      </c>
      <c r="D2" s="1" t="str">
        <f>Wilton!D2</f>
        <v>Last updated:  Actuals through December 24, 1999</v>
      </c>
      <c r="L2" s="51"/>
      <c r="X2" s="25" t="str">
        <f ca="1">CELL("filename")</f>
        <v>O:\Fin_Ops\Engysvc\PowerPlants\2000 Plants\Draw Schedule\[Draw Sched - 020800.xls]Gleason</v>
      </c>
    </row>
    <row r="3" spans="1:26" s="2" customFormat="1" ht="15.75" x14ac:dyDescent="0.25">
      <c r="A3" s="1" t="s">
        <v>2</v>
      </c>
      <c r="D3" s="26"/>
      <c r="F3" s="3"/>
      <c r="L3" s="51"/>
      <c r="X3" s="24">
        <f ca="1">NOW()</f>
        <v>36563.431964583331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7"/>
      <c r="X47" s="11"/>
    </row>
    <row r="48" spans="1:25" s="4" customFormat="1" x14ac:dyDescent="0.2">
      <c r="L48" s="57"/>
    </row>
    <row r="49" spans="1:27" s="4" customFormat="1" x14ac:dyDescent="0.2">
      <c r="L49" s="57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7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7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workbookViewId="0">
      <pane xSplit="2" ySplit="6" topLeftCell="M20" activePane="bottomRight" state="frozen"/>
      <selection activeCell="T58" sqref="T58"/>
      <selection pane="topRight" activeCell="T58" sqref="T58"/>
      <selection pane="bottomLeft" activeCell="T58" sqref="T58"/>
      <selection pane="bottomRight" activeCell="S45" sqref="S45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bestFit="1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2" width="12.28515625" style="18" bestFit="1" customWidth="1"/>
    <col min="13" max="13" width="12.28515625" style="18" customWidth="1"/>
    <col min="14" max="14" width="12.85546875" style="18" bestFit="1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bestFit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126</v>
      </c>
      <c r="Y2" s="25" t="str">
        <f ca="1">CELL("filename")</f>
        <v>O:\Fin_Ops\Engysvc\PowerPlants\2000 Plants\Draw Schedule\[Draw Sched - 020800.xls]Gleason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36563.431964583331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Y11" s="11">
        <f t="shared" ref="Y11:Y34" si="0">SUM(C11:X11)</f>
        <v>5916047.5999999996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-0.40000000037252903</v>
      </c>
    </row>
    <row r="12" spans="1:28" x14ac:dyDescent="0.2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1775722.31</v>
      </c>
      <c r="S12" s="18">
        <v>1302196.3600000001</v>
      </c>
      <c r="U12" s="17">
        <f>473525.95+8560+440</f>
        <v>482525.95</v>
      </c>
      <c r="V12" s="17"/>
      <c r="W12" s="17"/>
      <c r="X12" s="17"/>
      <c r="Y12" s="11">
        <f t="shared" si="0"/>
        <v>9479519.2999999989</v>
      </c>
      <c r="Z12" s="19" t="str">
        <f>Z11</f>
        <v>Mike Miller</v>
      </c>
      <c r="AA12" s="18">
        <f>[1]Wilton!$BR$143</f>
        <v>9479519</v>
      </c>
      <c r="AB12" s="18">
        <f t="shared" si="1"/>
        <v>0.29999999888241291</v>
      </c>
    </row>
    <row r="13" spans="1:28" x14ac:dyDescent="0.2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20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</f>
        <v>235403</v>
      </c>
      <c r="Y14" s="11">
        <f t="shared" si="0"/>
        <v>2824799</v>
      </c>
      <c r="Z14" s="19" t="str">
        <f t="shared" si="3"/>
        <v>Mike Miller</v>
      </c>
      <c r="AA14" s="18">
        <f>[1]Wilton!$BR$128</f>
        <v>2824800</v>
      </c>
      <c r="AB14" s="18">
        <f t="shared" si="1"/>
        <v>-1</v>
      </c>
    </row>
    <row r="15" spans="1:28" x14ac:dyDescent="0.2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Q16" s="18">
        <v>2134700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14346909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0</v>
      </c>
    </row>
    <row r="17" spans="1:28" x14ac:dyDescent="0.2">
      <c r="A17" s="17" t="s">
        <v>120</v>
      </c>
      <c r="F17" s="8"/>
      <c r="N17" s="18">
        <v>3301</v>
      </c>
      <c r="O17" s="18">
        <v>346618</v>
      </c>
      <c r="P17" s="18">
        <v>1451621</v>
      </c>
      <c r="Q17" s="18">
        <v>1032590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7349178</v>
      </c>
      <c r="Z17" s="19" t="str">
        <f t="shared" si="3"/>
        <v>Mike Miller</v>
      </c>
      <c r="AA17" s="18">
        <f>[1]Wilton!$BR$81</f>
        <v>7349178</v>
      </c>
      <c r="AB17" s="18">
        <f t="shared" si="1"/>
        <v>0</v>
      </c>
    </row>
    <row r="18" spans="1:28" x14ac:dyDescent="0.2">
      <c r="A18" s="17" t="s">
        <v>121</v>
      </c>
      <c r="F18" s="8"/>
      <c r="N18" s="18">
        <v>0</v>
      </c>
      <c r="O18" s="18">
        <v>2569929</v>
      </c>
      <c r="P18" s="18">
        <v>4657660</v>
      </c>
      <c r="Q18" s="18">
        <f>9531733-Q16-Q17-Q19</f>
        <v>4537347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</f>
        <v>5327329</v>
      </c>
      <c r="W18" s="18">
        <v>0</v>
      </c>
      <c r="Y18" s="11">
        <f t="shared" si="0"/>
        <v>34323186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0</v>
      </c>
    </row>
    <row r="19" spans="1:28" x14ac:dyDescent="0.2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Q19" s="18">
        <v>1827096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5336759</v>
      </c>
      <c r="Z19" s="19" t="str">
        <f t="shared" si="3"/>
        <v>Mike Miller</v>
      </c>
      <c r="AA19" s="18">
        <f>[1]Wilton!$BR$120</f>
        <v>5336759</v>
      </c>
      <c r="AB19" s="18">
        <f t="shared" si="1"/>
        <v>0</v>
      </c>
    </row>
    <row r="20" spans="1:28" x14ac:dyDescent="0.2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 t="shared" si="3"/>
        <v>Mike Miller</v>
      </c>
      <c r="AA20" s="18">
        <f>[1]Wilton!$BR$158</f>
        <v>500000</v>
      </c>
      <c r="AB20" s="18">
        <f t="shared" si="1"/>
        <v>0</v>
      </c>
    </row>
    <row r="21" spans="1:28" x14ac:dyDescent="0.2">
      <c r="A21" s="17" t="s">
        <v>127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 t="shared" si="0"/>
        <v>0</v>
      </c>
      <c r="Z21" s="19"/>
      <c r="AA21" s="18">
        <v>-744251</v>
      </c>
      <c r="AB21" s="18">
        <f t="shared" si="1"/>
        <v>744251</v>
      </c>
    </row>
    <row r="22" spans="1:28" x14ac:dyDescent="0.2">
      <c r="A22" s="17" t="s">
        <v>124</v>
      </c>
      <c r="F22" s="8"/>
      <c r="N22" s="18">
        <v>8573073</v>
      </c>
      <c r="O22" s="18">
        <v>7093919</v>
      </c>
      <c r="P22" s="18">
        <v>-7855877</v>
      </c>
      <c r="U22" s="18">
        <v>-7811115</v>
      </c>
      <c r="Y22" s="11">
        <f t="shared" si="0"/>
        <v>0</v>
      </c>
      <c r="Z22" s="19" t="str">
        <f>Z20</f>
        <v>Mike Miller</v>
      </c>
      <c r="AB22" s="18">
        <f t="shared" si="1"/>
        <v>0</v>
      </c>
    </row>
    <row r="23" spans="1:28" x14ac:dyDescent="0.2">
      <c r="A23" s="17" t="s">
        <v>42</v>
      </c>
      <c r="C23" s="4">
        <v>0</v>
      </c>
      <c r="F23" s="8"/>
      <c r="P23" s="18">
        <v>0</v>
      </c>
      <c r="Q23" s="18">
        <f>125000+125000</f>
        <v>250000</v>
      </c>
      <c r="R23" s="18">
        <v>125000</v>
      </c>
      <c r="S23" s="18">
        <v>125000</v>
      </c>
      <c r="T23" s="18">
        <v>125000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Y25" s="11">
        <f t="shared" si="0"/>
        <v>2485818</v>
      </c>
      <c r="Z25" s="19" t="s">
        <v>52</v>
      </c>
      <c r="AA25" s="18">
        <f>[1]Wilton!$BR$167</f>
        <v>2485818.14</v>
      </c>
      <c r="AB25" s="18">
        <f t="shared" si="1"/>
        <v>-0.14000000013038516</v>
      </c>
    </row>
    <row r="26" spans="1:28" x14ac:dyDescent="0.2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51338</v>
      </c>
      <c r="R26" s="18">
        <v>73458</v>
      </c>
      <c r="U26" s="18">
        <v>0</v>
      </c>
      <c r="Y26" s="11">
        <f t="shared" si="0"/>
        <v>349954.45999999996</v>
      </c>
      <c r="Z26" s="19" t="str">
        <f>Z25</f>
        <v>Scott Healy</v>
      </c>
    </row>
    <row r="27" spans="1:28" x14ac:dyDescent="0.2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665606</v>
      </c>
      <c r="R28" s="18">
        <v>200000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f>1250000+500000</f>
        <v>1750000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v>250000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f>200000/15</f>
        <v>13333.333333333334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177395.92666666664</v>
      </c>
      <c r="Z32" s="19" t="s">
        <v>52</v>
      </c>
    </row>
    <row r="33" spans="1:27" x14ac:dyDescent="0.2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f>2610+38253+6</f>
        <v>40869</v>
      </c>
      <c r="R33" s="18">
        <v>31732</v>
      </c>
      <c r="T33" s="17"/>
      <c r="U33" s="18">
        <f>36960-8586</f>
        <v>28374</v>
      </c>
      <c r="Y33" s="11">
        <f t="shared" si="0"/>
        <v>591002.48</v>
      </c>
      <c r="Z33" s="19" t="s">
        <v>52</v>
      </c>
    </row>
    <row r="34" spans="1:27" x14ac:dyDescent="0.2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19571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</f>
        <v>15544</v>
      </c>
      <c r="Y34" s="11">
        <f t="shared" si="0"/>
        <v>548423.5</v>
      </c>
      <c r="Z34" s="19" t="s">
        <v>52</v>
      </c>
      <c r="AA34" s="18">
        <v>0</v>
      </c>
    </row>
    <row r="35" spans="1:27" x14ac:dyDescent="0.2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27736894.346666668</v>
      </c>
      <c r="R35" s="21">
        <f t="shared" si="5"/>
        <v>17259774.976666667</v>
      </c>
      <c r="S35" s="21">
        <f t="shared" si="5"/>
        <v>15020591.693333333</v>
      </c>
      <c r="T35" s="21">
        <f t="shared" si="5"/>
        <v>7907752.833333333</v>
      </c>
      <c r="U35" s="21">
        <f t="shared" si="5"/>
        <v>14996703.283333331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242148303.51333329</v>
      </c>
    </row>
    <row r="36" spans="1:27" x14ac:dyDescent="0.2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186963480.72666663</v>
      </c>
      <c r="R36" s="21">
        <f t="shared" si="6"/>
        <v>204223255.70333329</v>
      </c>
      <c r="S36" s="21">
        <f t="shared" si="6"/>
        <v>219243847.39666662</v>
      </c>
      <c r="T36" s="21">
        <f t="shared" si="6"/>
        <v>227151600.22999996</v>
      </c>
      <c r="U36" s="21">
        <f t="shared" si="6"/>
        <v>242148303.51333329</v>
      </c>
      <c r="V36" s="21">
        <f>+U36+V35</f>
        <v>242148303.51333329</v>
      </c>
      <c r="W36" s="21">
        <f>+V36+W35</f>
        <v>242148303.51333329</v>
      </c>
      <c r="X36" s="21">
        <f>+W36+X35</f>
        <v>242148303.51333329</v>
      </c>
      <c r="Y36" s="13"/>
    </row>
    <row r="37" spans="1:27" x14ac:dyDescent="0.2">
      <c r="A37" s="17" t="s">
        <v>64</v>
      </c>
      <c r="F37" s="8"/>
      <c r="Y37" s="16">
        <f>+Y35/C52/1000</f>
        <v>398.27023604166658</v>
      </c>
      <c r="Z37" s="20"/>
    </row>
    <row r="38" spans="1:27" x14ac:dyDescent="0.2">
      <c r="F38" s="8"/>
      <c r="Y38" s="11"/>
    </row>
    <row r="39" spans="1:27" x14ac:dyDescent="0.2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f t="shared" ref="Q40:U40" si="7">(Q36+P45)*$C50/12</f>
        <v>1046137.9551184349</v>
      </c>
      <c r="R40" s="30">
        <f t="shared" si="7"/>
        <v>1145294.9834989375</v>
      </c>
      <c r="S40" s="30">
        <f t="shared" si="7"/>
        <v>1232860.2029984456</v>
      </c>
      <c r="T40" s="30">
        <f t="shared" si="7"/>
        <v>1282371.8569452427</v>
      </c>
      <c r="U40" s="30">
        <f t="shared" si="7"/>
        <v>1370550.1806217518</v>
      </c>
      <c r="V40" s="30"/>
      <c r="W40" s="30"/>
      <c r="X40" s="30"/>
      <c r="Y40" s="11">
        <f>SUM(C40:X40)</f>
        <v>12251783.897457996</v>
      </c>
      <c r="Z40" s="19">
        <f>Z53</f>
        <v>0</v>
      </c>
    </row>
    <row r="41" spans="1:27" x14ac:dyDescent="0.2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">
      <c r="A44" s="17" t="s">
        <v>65</v>
      </c>
      <c r="C44" s="21">
        <f>SUM(C39:C43)</f>
        <v>340000</v>
      </c>
      <c r="D44" s="21">
        <f t="shared" ref="D44:U44" si="8">SUM(D39:D43)</f>
        <v>46410</v>
      </c>
      <c r="E44" s="21">
        <f t="shared" si="8"/>
        <v>139384</v>
      </c>
      <c r="F44" s="21">
        <f t="shared" si="8"/>
        <v>205882.6</v>
      </c>
      <c r="G44" s="21">
        <f t="shared" si="8"/>
        <v>297922.90000000002</v>
      </c>
      <c r="H44" s="21">
        <f t="shared" si="8"/>
        <v>368467</v>
      </c>
      <c r="I44" s="21">
        <f t="shared" si="8"/>
        <v>378615.55252083327</v>
      </c>
      <c r="J44" s="21">
        <f t="shared" ref="J44:O44" si="9">SUM(J39:J43)</f>
        <v>426070.36872754333</v>
      </c>
      <c r="K44" s="21">
        <f t="shared" si="9"/>
        <v>463990.37538870639</v>
      </c>
      <c r="L44" s="21">
        <f t="shared" si="9"/>
        <v>505649.68570277008</v>
      </c>
      <c r="M44" s="21">
        <f t="shared" si="9"/>
        <v>568176.30085850751</v>
      </c>
      <c r="N44" s="21">
        <f t="shared" si="9"/>
        <v>664222.29387704656</v>
      </c>
      <c r="O44" s="21">
        <f t="shared" si="9"/>
        <v>873819.32529526937</v>
      </c>
      <c r="P44" s="21">
        <f t="shared" si="8"/>
        <v>891069.81590450753</v>
      </c>
      <c r="Q44" s="21">
        <f t="shared" si="8"/>
        <v>1046137.9551184349</v>
      </c>
      <c r="R44" s="21">
        <f t="shared" si="8"/>
        <v>1145294.9834989375</v>
      </c>
      <c r="S44" s="21">
        <f t="shared" si="8"/>
        <v>1232860.2029984456</v>
      </c>
      <c r="T44" s="21">
        <f t="shared" si="8"/>
        <v>1282371.8569452427</v>
      </c>
      <c r="U44" s="21">
        <f t="shared" si="8"/>
        <v>1370550.1806217518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12246895.397457996</v>
      </c>
      <c r="Z44" s="20"/>
    </row>
    <row r="45" spans="1:27" x14ac:dyDescent="0.2">
      <c r="A45" s="17" t="s">
        <v>68</v>
      </c>
      <c r="C45" s="21">
        <f>+C44</f>
        <v>340000</v>
      </c>
      <c r="D45" s="21">
        <f t="shared" ref="D45:U45" si="10">+D44+C45</f>
        <v>386410</v>
      </c>
      <c r="E45" s="21">
        <f t="shared" si="10"/>
        <v>525794</v>
      </c>
      <c r="F45" s="21">
        <f t="shared" si="10"/>
        <v>731676.6</v>
      </c>
      <c r="G45" s="21">
        <f t="shared" si="10"/>
        <v>1029599.5</v>
      </c>
      <c r="H45" s="21">
        <f t="shared" si="10"/>
        <v>1398066.5</v>
      </c>
      <c r="I45" s="21">
        <f t="shared" si="10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10"/>
        <v>4404791.0770754069</v>
      </c>
      <c r="O45" s="21">
        <f t="shared" si="10"/>
        <v>5278610.4023706764</v>
      </c>
      <c r="P45" s="21">
        <f>+P44+O45</f>
        <v>6169680.2182751838</v>
      </c>
      <c r="Q45" s="21">
        <f t="shared" si="10"/>
        <v>7215818.1733936183</v>
      </c>
      <c r="R45" s="21">
        <f t="shared" si="10"/>
        <v>8361113.1568925558</v>
      </c>
      <c r="S45" s="21">
        <f t="shared" si="10"/>
        <v>9593973.3598910011</v>
      </c>
      <c r="T45" s="21">
        <f t="shared" si="10"/>
        <v>10876345.216836244</v>
      </c>
      <c r="U45" s="21">
        <f t="shared" si="10"/>
        <v>12246895.397457996</v>
      </c>
      <c r="V45" s="21">
        <f>+V44+U45</f>
        <v>12246895.397457996</v>
      </c>
      <c r="W45" s="21">
        <f>+W44+V45</f>
        <v>12246895.397457996</v>
      </c>
      <c r="X45" s="21">
        <f>+X44+W45</f>
        <v>12246895.397457996</v>
      </c>
      <c r="Y45" s="11"/>
      <c r="Z45" s="20"/>
    </row>
    <row r="46" spans="1:27" x14ac:dyDescent="0.2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">
      <c r="A47" s="4" t="s">
        <v>77</v>
      </c>
      <c r="C47" s="4">
        <f t="shared" ref="C47:U47" si="11">+C35+C44</f>
        <v>7140000</v>
      </c>
      <c r="D47" s="4">
        <f t="shared" si="11"/>
        <v>1296410</v>
      </c>
      <c r="E47" s="4">
        <f t="shared" si="11"/>
        <v>33024184</v>
      </c>
      <c r="F47" s="4">
        <f t="shared" si="11"/>
        <v>225882.6</v>
      </c>
      <c r="G47" s="4">
        <f t="shared" si="11"/>
        <v>1752232.9</v>
      </c>
      <c r="H47" s="4">
        <f t="shared" si="11"/>
        <v>18800373.5</v>
      </c>
      <c r="I47" s="4">
        <f t="shared" si="11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1"/>
        <v>17679921.627210379</v>
      </c>
      <c r="O47" s="4">
        <f t="shared" si="11"/>
        <v>39310183.408628598</v>
      </c>
      <c r="P47" s="4">
        <f t="shared" si="11"/>
        <v>2943898.9492378403</v>
      </c>
      <c r="Q47" s="4">
        <f t="shared" si="11"/>
        <v>28783032.301785104</v>
      </c>
      <c r="R47" s="4">
        <f t="shared" si="11"/>
        <v>18405069.960165605</v>
      </c>
      <c r="S47" s="4">
        <f t="shared" si="11"/>
        <v>16253451.89633178</v>
      </c>
      <c r="T47" s="4">
        <f t="shared" si="11"/>
        <v>9190124.6902785748</v>
      </c>
      <c r="U47" s="4">
        <f t="shared" si="11"/>
        <v>16367253.463955084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254395198.91079137</v>
      </c>
    </row>
    <row r="48" spans="1:27" s="4" customFormat="1" x14ac:dyDescent="0.2">
      <c r="A48" s="4" t="s">
        <v>45</v>
      </c>
      <c r="C48" s="4">
        <f>C47</f>
        <v>7140000</v>
      </c>
      <c r="D48" s="4">
        <f t="shared" ref="D48:U48" si="12">C48+D47</f>
        <v>8436410</v>
      </c>
      <c r="E48" s="4">
        <f t="shared" si="12"/>
        <v>41460594</v>
      </c>
      <c r="F48" s="4">
        <f t="shared" si="12"/>
        <v>41686476.600000001</v>
      </c>
      <c r="G48" s="4">
        <f t="shared" si="12"/>
        <v>43438709.5</v>
      </c>
      <c r="H48" s="4">
        <f t="shared" si="12"/>
        <v>62239083</v>
      </c>
      <c r="I48" s="4">
        <f t="shared" si="12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2"/>
        <v>123142184.24040873</v>
      </c>
      <c r="O48" s="4">
        <f t="shared" si="12"/>
        <v>162452367.64903733</v>
      </c>
      <c r="P48" s="4">
        <f>O48+P47</f>
        <v>165396266.59827518</v>
      </c>
      <c r="Q48" s="4">
        <f t="shared" si="12"/>
        <v>194179298.9000603</v>
      </c>
      <c r="R48" s="4">
        <f t="shared" si="12"/>
        <v>212584368.86022592</v>
      </c>
      <c r="S48" s="4">
        <f t="shared" si="12"/>
        <v>228837820.7565577</v>
      </c>
      <c r="T48" s="4">
        <f t="shared" si="12"/>
        <v>238027945.44683629</v>
      </c>
      <c r="U48" s="4">
        <f t="shared" si="12"/>
        <v>254395198.91079137</v>
      </c>
      <c r="V48" s="4">
        <f>U48+V47</f>
        <v>254395198.91079137</v>
      </c>
      <c r="W48" s="4">
        <f>V48+W47</f>
        <v>254395198.91079137</v>
      </c>
      <c r="X48" s="4">
        <f>W48+X47</f>
        <v>254395198.91079137</v>
      </c>
      <c r="Y48" s="11"/>
    </row>
    <row r="49" spans="1:30" s="4" customFormat="1" x14ac:dyDescent="0.2">
      <c r="A49" s="17" t="s">
        <v>64</v>
      </c>
      <c r="Y49" s="16">
        <f>+Y47/C52/1000</f>
        <v>418.41315610327524</v>
      </c>
    </row>
    <row r="50" spans="1:30" s="4" customFormat="1" x14ac:dyDescent="0.2">
      <c r="A50" s="8" t="s">
        <v>96</v>
      </c>
      <c r="C50" s="12">
        <v>6.5000000000000002E-2</v>
      </c>
      <c r="Y50" s="11"/>
    </row>
    <row r="51" spans="1:30" s="4" customFormat="1" x14ac:dyDescent="0.2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">
      <c r="A52" s="8"/>
      <c r="C52" s="4">
        <v>608</v>
      </c>
      <c r="D52" s="4" t="s">
        <v>66</v>
      </c>
      <c r="Y52" s="11"/>
    </row>
    <row r="53" spans="1:30" x14ac:dyDescent="0.2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">
      <c r="A54" s="8"/>
      <c r="C54" s="12"/>
      <c r="Y54" s="11"/>
    </row>
    <row r="55" spans="1:30" x14ac:dyDescent="0.2">
      <c r="A55" s="17" t="s">
        <v>69</v>
      </c>
      <c r="C55" s="4">
        <f t="shared" ref="C55:X55" si="13">+C47-C40</f>
        <v>6800000</v>
      </c>
      <c r="D55" s="4">
        <f t="shared" si="13"/>
        <v>1250000</v>
      </c>
      <c r="E55" s="4">
        <f t="shared" si="13"/>
        <v>32884800</v>
      </c>
      <c r="F55" s="4">
        <f t="shared" si="13"/>
        <v>-1556.3999999999942</v>
      </c>
      <c r="G55" s="4">
        <f t="shared" si="13"/>
        <v>1520788.9</v>
      </c>
      <c r="H55" s="4">
        <f t="shared" si="13"/>
        <v>18381006.5</v>
      </c>
      <c r="I55" s="4">
        <f t="shared" si="13"/>
        <v>7659172.8499999996</v>
      </c>
      <c r="J55" s="4">
        <f t="shared" si="13"/>
        <v>8382273.5933333309</v>
      </c>
      <c r="K55" s="4">
        <f t="shared" si="13"/>
        <v>6523317.5533333328</v>
      </c>
      <c r="L55" s="4">
        <f t="shared" si="13"/>
        <v>7283602.8033333328</v>
      </c>
      <c r="M55" s="4">
        <f t="shared" si="13"/>
        <v>11032599.530000001</v>
      </c>
      <c r="N55" s="4">
        <f t="shared" si="13"/>
        <v>17016499.333333332</v>
      </c>
      <c r="O55" s="4">
        <f t="shared" si="13"/>
        <v>38436364.083333328</v>
      </c>
      <c r="P55" s="4">
        <f t="shared" si="13"/>
        <v>2052829.1333333328</v>
      </c>
      <c r="Q55" s="4">
        <f t="shared" si="13"/>
        <v>27736894.346666668</v>
      </c>
      <c r="R55" s="4">
        <f t="shared" si="13"/>
        <v>17259774.976666667</v>
      </c>
      <c r="S55" s="4">
        <f t="shared" si="13"/>
        <v>15020591.693333333</v>
      </c>
      <c r="T55" s="4">
        <f t="shared" si="13"/>
        <v>7907752.8333333321</v>
      </c>
      <c r="U55" s="4">
        <f t="shared" si="13"/>
        <v>14996703.283333331</v>
      </c>
      <c r="V55" s="4">
        <f t="shared" si="13"/>
        <v>0</v>
      </c>
      <c r="W55" s="4">
        <f t="shared" si="13"/>
        <v>0</v>
      </c>
      <c r="X55" s="4">
        <f t="shared" si="13"/>
        <v>0</v>
      </c>
      <c r="Y55" s="11">
        <f>SUM(C55:X55)</f>
        <v>242143415.01333329</v>
      </c>
    </row>
    <row r="56" spans="1:30" ht="9.75" customHeight="1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">
      <c r="Y57" s="11"/>
    </row>
    <row r="58" spans="1:30" ht="20.25" x14ac:dyDescent="0.55000000000000004">
      <c r="A58" s="32" t="s">
        <v>81</v>
      </c>
      <c r="Y58" s="11"/>
      <c r="AB58" s="17" t="s">
        <v>112</v>
      </c>
    </row>
    <row r="59" spans="1:30" x14ac:dyDescent="0.2">
      <c r="A59" s="5" t="s">
        <v>43</v>
      </c>
      <c r="Y59" s="11"/>
      <c r="AB59" s="17" t="s">
        <v>113</v>
      </c>
    </row>
    <row r="60" spans="1:30" x14ac:dyDescent="0.2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934994.89999999991</v>
      </c>
      <c r="AB61" s="18">
        <f>[1]Wilton!$BR$197</f>
        <v>934994.48</v>
      </c>
      <c r="AC61" s="18">
        <f>AB61-AA61</f>
        <v>-0.41999999992549419</v>
      </c>
    </row>
    <row r="62" spans="1:30" x14ac:dyDescent="0.2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199999.92666666664</v>
      </c>
      <c r="AB62" s="18">
        <f>[1]Wilton!$BR$188</f>
        <v>200000</v>
      </c>
      <c r="AC62" s="18">
        <f>AB62-AA62</f>
        <v>7.3333333362825215E-2</v>
      </c>
    </row>
    <row r="63" spans="1:30" x14ac:dyDescent="0.2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">
      <c r="A64" s="4" t="s">
        <v>78</v>
      </c>
      <c r="C64" s="21">
        <f>SUM(C60:C63)</f>
        <v>0</v>
      </c>
      <c r="D64" s="21">
        <f t="shared" ref="D64:U64" si="14">SUM(D60:D63)</f>
        <v>1236</v>
      </c>
      <c r="E64" s="21">
        <f t="shared" si="14"/>
        <v>79108</v>
      </c>
      <c r="F64" s="21">
        <f t="shared" si="14"/>
        <v>44820</v>
      </c>
      <c r="G64" s="21">
        <f t="shared" si="14"/>
        <v>36263</v>
      </c>
      <c r="H64" s="21">
        <f t="shared" si="14"/>
        <v>0</v>
      </c>
      <c r="I64" s="21">
        <f t="shared" si="14"/>
        <v>199867.23</v>
      </c>
      <c r="J64" s="21">
        <f t="shared" si="14"/>
        <v>62887.560000000005</v>
      </c>
      <c r="K64" s="21">
        <f t="shared" si="14"/>
        <v>2460</v>
      </c>
      <c r="L64" s="21">
        <f t="shared" si="14"/>
        <v>0</v>
      </c>
      <c r="M64" s="21">
        <f t="shared" si="14"/>
        <v>0</v>
      </c>
      <c r="N64" s="21">
        <f t="shared" si="14"/>
        <v>0</v>
      </c>
      <c r="O64" s="21">
        <f t="shared" si="14"/>
        <v>0</v>
      </c>
      <c r="P64" s="21">
        <f t="shared" si="14"/>
        <v>0</v>
      </c>
      <c r="Q64" s="21">
        <f t="shared" si="14"/>
        <v>0</v>
      </c>
      <c r="R64" s="21">
        <f t="shared" si="14"/>
        <v>0</v>
      </c>
      <c r="S64" s="21">
        <f t="shared" si="14"/>
        <v>0</v>
      </c>
      <c r="T64" s="21">
        <f t="shared" si="14"/>
        <v>0</v>
      </c>
      <c r="U64" s="21">
        <f t="shared" si="14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">
      <c r="A67" s="21" t="s">
        <v>98</v>
      </c>
      <c r="C67" s="21">
        <f>SUM(C64:C66)</f>
        <v>0</v>
      </c>
      <c r="D67" s="21">
        <f t="shared" ref="D67:Y67" si="15">SUM(D64:D66)</f>
        <v>1236</v>
      </c>
      <c r="E67" s="21">
        <f t="shared" si="15"/>
        <v>79108</v>
      </c>
      <c r="F67" s="21">
        <f t="shared" si="15"/>
        <v>44820</v>
      </c>
      <c r="G67" s="21">
        <f t="shared" si="15"/>
        <v>-20237</v>
      </c>
      <c r="H67" s="21">
        <f t="shared" si="15"/>
        <v>-34</v>
      </c>
      <c r="I67" s="21">
        <f t="shared" si="15"/>
        <v>129913.23000000001</v>
      </c>
      <c r="J67" s="21">
        <f t="shared" si="15"/>
        <v>40876.560000000005</v>
      </c>
      <c r="K67" s="21">
        <f t="shared" si="15"/>
        <v>1501</v>
      </c>
      <c r="L67" s="21">
        <f t="shared" si="15"/>
        <v>-3</v>
      </c>
      <c r="M67" s="21">
        <f t="shared" si="15"/>
        <v>52217</v>
      </c>
      <c r="N67" s="21">
        <f t="shared" si="15"/>
        <v>-52497</v>
      </c>
      <c r="O67" s="21">
        <f t="shared" si="15"/>
        <v>0</v>
      </c>
      <c r="P67" s="21">
        <f t="shared" si="15"/>
        <v>0</v>
      </c>
      <c r="Q67" s="21">
        <f t="shared" si="15"/>
        <v>0</v>
      </c>
      <c r="R67" s="21">
        <f t="shared" si="15"/>
        <v>0</v>
      </c>
      <c r="S67" s="21">
        <f t="shared" si="15"/>
        <v>0</v>
      </c>
      <c r="T67" s="21">
        <f t="shared" si="15"/>
        <v>0</v>
      </c>
      <c r="U67" s="21">
        <f t="shared" si="15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5"/>
        <v>276900.78999999998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73</v>
      </c>
      <c r="Y69" s="11"/>
    </row>
    <row r="70" spans="1:26" x14ac:dyDescent="0.2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">
      <c r="A73" s="17" t="s">
        <v>23</v>
      </c>
      <c r="C73" s="4">
        <v>87500</v>
      </c>
      <c r="Y73" s="11">
        <f>SUM(C73:U73)</f>
        <v>87500</v>
      </c>
    </row>
    <row r="74" spans="1:26" x14ac:dyDescent="0.2">
      <c r="A74" s="4" t="s">
        <v>79</v>
      </c>
      <c r="C74" s="21">
        <f t="shared" ref="C74:H74" si="16">SUM(C70:C73)</f>
        <v>139633</v>
      </c>
      <c r="D74" s="21">
        <f t="shared" si="16"/>
        <v>1343</v>
      </c>
      <c r="E74" s="21">
        <f t="shared" si="16"/>
        <v>48644.95</v>
      </c>
      <c r="F74" s="21">
        <f t="shared" si="16"/>
        <v>19328.689999999999</v>
      </c>
      <c r="G74" s="21">
        <f t="shared" si="16"/>
        <v>1899</v>
      </c>
      <c r="H74" s="21">
        <f t="shared" si="16"/>
        <v>81117.23</v>
      </c>
      <c r="I74" s="21">
        <f t="shared" ref="I74:U74" si="17">SUM(I70:I73)</f>
        <v>0</v>
      </c>
      <c r="J74" s="21">
        <f t="shared" si="17"/>
        <v>5725</v>
      </c>
      <c r="K74" s="21">
        <f t="shared" si="17"/>
        <v>0</v>
      </c>
      <c r="L74" s="21">
        <f t="shared" si="17"/>
        <v>591.45000000000005</v>
      </c>
      <c r="M74" s="21">
        <f t="shared" si="17"/>
        <v>0</v>
      </c>
      <c r="N74" s="21">
        <f t="shared" si="17"/>
        <v>0</v>
      </c>
      <c r="O74" s="21">
        <f t="shared" si="17"/>
        <v>1242.3</v>
      </c>
      <c r="P74" s="21">
        <f t="shared" si="17"/>
        <v>0</v>
      </c>
      <c r="Q74" s="21">
        <f t="shared" si="17"/>
        <v>0</v>
      </c>
      <c r="R74" s="21">
        <f t="shared" si="17"/>
        <v>0</v>
      </c>
      <c r="S74" s="21">
        <f t="shared" si="17"/>
        <v>0</v>
      </c>
      <c r="T74" s="21">
        <f t="shared" si="17"/>
        <v>0</v>
      </c>
      <c r="U74" s="21">
        <f t="shared" si="17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">
      <c r="Y75" s="11"/>
    </row>
    <row r="76" spans="1:26" x14ac:dyDescent="0.2">
      <c r="Y76" s="11"/>
    </row>
    <row r="77" spans="1:26" ht="13.5" thickBot="1" x14ac:dyDescent="0.25">
      <c r="A77" s="4" t="s">
        <v>87</v>
      </c>
      <c r="C77" s="33">
        <f t="shared" ref="C77:T77" si="18">+C47+C67+C74</f>
        <v>7279633</v>
      </c>
      <c r="D77" s="33">
        <f t="shared" si="18"/>
        <v>1298989</v>
      </c>
      <c r="E77" s="33">
        <f t="shared" si="18"/>
        <v>33151936.949999999</v>
      </c>
      <c r="F77" s="33">
        <f t="shared" si="18"/>
        <v>290031.28999999998</v>
      </c>
      <c r="G77" s="33">
        <f t="shared" si="18"/>
        <v>1733894.9</v>
      </c>
      <c r="H77" s="33">
        <f t="shared" si="18"/>
        <v>18881456.73</v>
      </c>
      <c r="I77" s="33">
        <f t="shared" si="18"/>
        <v>8167701.6325208331</v>
      </c>
      <c r="J77" s="33">
        <f t="shared" si="18"/>
        <v>8854945.5220608748</v>
      </c>
      <c r="K77" s="33">
        <f t="shared" si="18"/>
        <v>6988529.9287220389</v>
      </c>
      <c r="L77" s="33">
        <f t="shared" si="18"/>
        <v>7789830.939036103</v>
      </c>
      <c r="M77" s="33">
        <f t="shared" si="18"/>
        <v>11652992.830858508</v>
      </c>
      <c r="N77" s="33">
        <f t="shared" si="18"/>
        <v>17627424.627210379</v>
      </c>
      <c r="O77" s="33">
        <f t="shared" si="18"/>
        <v>39311425.708628595</v>
      </c>
      <c r="P77" s="33">
        <f t="shared" si="18"/>
        <v>2943898.9492378403</v>
      </c>
      <c r="Q77" s="33">
        <f t="shared" si="18"/>
        <v>28783032.301785104</v>
      </c>
      <c r="R77" s="33">
        <f t="shared" si="18"/>
        <v>18405069.960165605</v>
      </c>
      <c r="S77" s="33">
        <f t="shared" si="18"/>
        <v>16253451.89633178</v>
      </c>
      <c r="T77" s="33">
        <f t="shared" si="18"/>
        <v>9190124.6902785748</v>
      </c>
      <c r="U77" s="33">
        <f>+U47+U67+U74</f>
        <v>16367253.463955084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254971624.32079133</v>
      </c>
    </row>
    <row r="78" spans="1:26" x14ac:dyDescent="0.2">
      <c r="U78"/>
      <c r="V78"/>
      <c r="W78"/>
      <c r="X78"/>
      <c r="Y78" s="48">
        <f>Y77-[1]Wilton!$BR$236</f>
        <v>-0.4166666567325592</v>
      </c>
    </row>
    <row r="79" spans="1:26" x14ac:dyDescent="0.2">
      <c r="U79"/>
      <c r="V79"/>
      <c r="W79"/>
      <c r="X79"/>
      <c r="Y79"/>
    </row>
    <row r="80" spans="1:26" x14ac:dyDescent="0.2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tabSelected="1" workbookViewId="0">
      <pane xSplit="2" ySplit="6" topLeftCell="C7" activePane="bottomRight" state="frozen"/>
      <selection activeCell="T58" sqref="T58"/>
      <selection pane="topRight" activeCell="T58" sqref="T58"/>
      <selection pane="bottomLeft" activeCell="T58" sqref="T58"/>
      <selection pane="bottomRight" activeCell="C7" sqref="C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bestFit="1" customWidth="1"/>
    <col min="13" max="13" width="12.28515625" style="52" customWidth="1"/>
    <col min="14" max="14" width="12.28515625" style="18" bestFit="1" customWidth="1"/>
    <col min="15" max="15" width="14" style="18" customWidth="1"/>
    <col min="16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3" width="12.140625" style="18" customWidth="1"/>
    <col min="24" max="25" width="12.140625" style="18" hidden="1" customWidth="1"/>
    <col min="26" max="26" width="13.5703125" style="4" customWidth="1"/>
    <col min="27" max="27" width="20" style="18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51"/>
    </row>
    <row r="2" spans="1:29" s="2" customFormat="1" ht="15.75" x14ac:dyDescent="0.25">
      <c r="A2" s="1" t="s">
        <v>1</v>
      </c>
      <c r="D2" s="1" t="str">
        <f>Wilton!D2</f>
        <v>Last updated:  Actuals through December 24, 1999</v>
      </c>
      <c r="M2" s="51"/>
      <c r="Z2" s="25" t="str">
        <f ca="1">CELL("filename")</f>
        <v>O:\Fin_Ops\Engysvc\PowerPlants\2000 Plants\Draw Schedule\[Draw Sched - 020800.xls]Gleason</v>
      </c>
    </row>
    <row r="3" spans="1:29" s="2" customFormat="1" ht="15.75" x14ac:dyDescent="0.25">
      <c r="A3" s="1" t="s">
        <v>2</v>
      </c>
      <c r="D3" s="26"/>
      <c r="F3" s="3"/>
      <c r="M3" s="51"/>
      <c r="Z3" s="24">
        <f ca="1">NOW()</f>
        <v>36563.431964583331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116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645575.4</v>
      </c>
      <c r="S12" s="18">
        <f>531586.8-58500</f>
        <v>473086.80000000005</v>
      </c>
      <c r="T12" s="18">
        <v>0</v>
      </c>
      <c r="V12" s="18">
        <v>0</v>
      </c>
      <c r="Z12" s="11">
        <f t="shared" si="0"/>
        <v>6024610.7999999998</v>
      </c>
      <c r="AA12" s="15" t="s">
        <v>50</v>
      </c>
      <c r="AB12" s="18">
        <f>[1]Gleason!$BT$35</f>
        <v>6024611</v>
      </c>
      <c r="AC12" s="18">
        <f t="shared" ref="AC12:AC25" si="1">Z12-AB12</f>
        <v>-0.20000000018626451</v>
      </c>
    </row>
    <row r="13" spans="1:29" x14ac:dyDescent="0.2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">
      <c r="A16" s="17" t="s">
        <v>119</v>
      </c>
      <c r="O16" s="18">
        <v>420818</v>
      </c>
      <c r="Q16" s="18">
        <v>1769159</v>
      </c>
      <c r="R16" s="18">
        <f>(0.4765-0.2939)*AB16</f>
        <v>3131172.0285999998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</f>
        <v>3155663.2636000002</v>
      </c>
      <c r="W16" s="18">
        <f>17147711-15082111</f>
        <v>2065600</v>
      </c>
      <c r="Z16" s="11">
        <f t="shared" si="0"/>
        <v>17147710.569400001</v>
      </c>
      <c r="AA16" s="15"/>
      <c r="AB16" s="18">
        <f>[1]Gleason!$BT$61</f>
        <v>17147711</v>
      </c>
      <c r="AC16" s="18">
        <f t="shared" si="1"/>
        <v>-0.43059999868273735</v>
      </c>
    </row>
    <row r="17" spans="1:29" x14ac:dyDescent="0.2">
      <c r="A17" s="17" t="s">
        <v>120</v>
      </c>
      <c r="O17" s="18">
        <v>84021</v>
      </c>
      <c r="Q17" s="18">
        <v>225269</v>
      </c>
      <c r="R17" s="18">
        <f>(0.4765-0.2939)*AB17</f>
        <v>778046.00059999991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</f>
        <v>998469.93559999997</v>
      </c>
      <c r="W17" s="18">
        <f>4260931-3727117</f>
        <v>533814</v>
      </c>
      <c r="Z17" s="11">
        <f t="shared" si="0"/>
        <v>4260930.5573999994</v>
      </c>
      <c r="AA17" s="15"/>
      <c r="AB17" s="18">
        <f>[1]Gleason!$BT$89</f>
        <v>4260931</v>
      </c>
      <c r="AC17" s="18">
        <f t="shared" si="1"/>
        <v>-0.44260000064969063</v>
      </c>
    </row>
    <row r="18" spans="1:29" x14ac:dyDescent="0.2">
      <c r="A18" s="17" t="s">
        <v>121</v>
      </c>
      <c r="O18" s="18">
        <v>204588</v>
      </c>
      <c r="Q18" s="18">
        <v>2792896</v>
      </c>
      <c r="R18" s="18">
        <f>(0.4765-0.2939)*AB18</f>
        <v>2820028.3847999997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</f>
        <v>1642549.3647999996</v>
      </c>
      <c r="W18" s="18">
        <f>15443748-13408993</f>
        <v>2034755</v>
      </c>
      <c r="Z18" s="11">
        <f t="shared" si="0"/>
        <v>15443748.479199998</v>
      </c>
      <c r="AA18" s="15"/>
      <c r="AB18" s="18">
        <f>[1]Gleason!$BT$122</f>
        <v>15443748</v>
      </c>
      <c r="AC18" s="18">
        <f t="shared" si="1"/>
        <v>0.47919999808073044</v>
      </c>
    </row>
    <row r="19" spans="1:29" x14ac:dyDescent="0.2">
      <c r="A19" s="17" t="s">
        <v>122</v>
      </c>
      <c r="N19" s="18">
        <v>0</v>
      </c>
      <c r="O19" s="18">
        <v>0</v>
      </c>
      <c r="Q19" s="18">
        <v>848349</v>
      </c>
      <c r="R19" s="18">
        <f>(0.4765-0.2939)*AB19</f>
        <v>2216176.9409999996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</f>
        <v>2637335.6660000002</v>
      </c>
      <c r="W19" s="18">
        <f>12136785-10376951</f>
        <v>1759834</v>
      </c>
      <c r="Z19" s="11">
        <f t="shared" si="0"/>
        <v>12136785.188999999</v>
      </c>
      <c r="AA19" s="15" t="s">
        <v>50</v>
      </c>
      <c r="AB19" s="18">
        <f>[1]Gleason!$BT$127</f>
        <v>12136785</v>
      </c>
      <c r="AC19" s="18">
        <f t="shared" si="1"/>
        <v>0.18899999931454659</v>
      </c>
    </row>
    <row r="20" spans="1:29" x14ac:dyDescent="0.2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">
      <c r="A21" s="17" t="s">
        <v>124</v>
      </c>
      <c r="O21" s="18">
        <v>5344605</v>
      </c>
      <c r="Q21" s="18">
        <f>-291068-49399</f>
        <v>-340467</v>
      </c>
      <c r="V21" s="18">
        <f>640621-49399</f>
        <v>591222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v>0</v>
      </c>
      <c r="AC21" s="18">
        <f t="shared" si="1"/>
        <v>-3387761</v>
      </c>
    </row>
    <row r="22" spans="1:29" x14ac:dyDescent="0.2">
      <c r="A22" s="17" t="s">
        <v>42</v>
      </c>
      <c r="R22" s="18">
        <f>150000+75000</f>
        <v>225000</v>
      </c>
      <c r="S22" s="18">
        <f>150000+75000</f>
        <v>225000</v>
      </c>
      <c r="T22" s="18">
        <v>150000</v>
      </c>
      <c r="U22" s="18">
        <v>150000</v>
      </c>
      <c r="V22" s="18">
        <f>908786-750000</f>
        <v>158786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">
      <c r="A24" s="17" t="s">
        <v>128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Z25" s="11">
        <f t="shared" si="0"/>
        <v>383541</v>
      </c>
      <c r="AA25" s="15" t="s">
        <v>55</v>
      </c>
      <c r="AB25" s="18">
        <f>[1]Gleason!$BT$185</f>
        <v>383541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0</v>
      </c>
      <c r="S26" s="18">
        <v>0</v>
      </c>
      <c r="T26" s="18">
        <v>0</v>
      </c>
      <c r="Z26" s="11">
        <f t="shared" si="0"/>
        <v>563038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125000</v>
      </c>
      <c r="S27" s="18">
        <v>125000</v>
      </c>
      <c r="T27" s="18">
        <v>350000</v>
      </c>
      <c r="U27" s="18">
        <v>375000</v>
      </c>
      <c r="V27" s="18">
        <v>104514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">
      <c r="A28" s="17" t="s">
        <v>111</v>
      </c>
      <c r="F28" s="29"/>
      <c r="N28" s="18">
        <v>18018</v>
      </c>
      <c r="P28" s="18">
        <v>7500</v>
      </c>
      <c r="R28" s="18">
        <v>25518</v>
      </c>
      <c r="T28" s="18">
        <v>1500000</v>
      </c>
      <c r="V28" s="18">
        <f>2148964+190117</f>
        <v>2339081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f>11111.1111111111+12759</f>
        <v>23870.111111111102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186820.38333333333</v>
      </c>
      <c r="AA32" s="15"/>
    </row>
    <row r="33" spans="1:27" x14ac:dyDescent="0.2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f>10010+153336-104349</f>
        <v>58997</v>
      </c>
      <c r="S33" s="18">
        <v>35000</v>
      </c>
      <c r="T33" s="18">
        <v>35000</v>
      </c>
      <c r="U33" s="18">
        <v>35000</v>
      </c>
      <c r="V33" s="18">
        <f>140764-13593</f>
        <v>127171</v>
      </c>
      <c r="Z33" s="11">
        <f t="shared" si="0"/>
        <v>643582</v>
      </c>
      <c r="AA33" s="15"/>
    </row>
    <row r="34" spans="1:27" x14ac:dyDescent="0.2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f>18820-11693</f>
        <v>7127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11531133.199444445</v>
      </c>
      <c r="S35" s="21">
        <f t="shared" si="5"/>
        <v>9604959.6544444486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21697294.563333333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164821759.97833332</v>
      </c>
    </row>
    <row r="36" spans="1:27" x14ac:dyDescent="0.2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118916829.18277776</v>
      </c>
      <c r="S36" s="21">
        <f t="shared" si="7"/>
        <v>128521788.83722222</v>
      </c>
      <c r="T36" s="21">
        <f t="shared" si="7"/>
        <v>138175741.89666665</v>
      </c>
      <c r="U36" s="21">
        <f t="shared" si="7"/>
        <v>145624756.41499999</v>
      </c>
      <c r="V36" s="21">
        <f t="shared" si="7"/>
        <v>167322050.97833332</v>
      </c>
      <c r="W36" s="21">
        <f>+V36+W35</f>
        <v>164821759.97833332</v>
      </c>
      <c r="X36" s="21">
        <f>+W36+X35</f>
        <v>164821759.97833332</v>
      </c>
      <c r="Y36" s="21">
        <f>+X36+Y35</f>
        <v>164821759.97833332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323.1799215261438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f>(R36+Q45)*$C52/12</f>
        <v>682552.84067153453</v>
      </c>
      <c r="S40" s="30">
        <f>(S36+R45)*$C52/12</f>
        <v>738276.86668674636</v>
      </c>
      <c r="T40" s="30">
        <f>(T36+S45)*$C52/12</f>
        <v>794568.11211995676</v>
      </c>
      <c r="U40" s="30">
        <f>(U36+T45)*$C52/12</f>
        <v>839220.85136824532</v>
      </c>
      <c r="V40" s="30">
        <f>(V36+U45)*$C52/12-5719</f>
        <v>955574.64319787908</v>
      </c>
      <c r="W40" s="30"/>
      <c r="X40" s="30"/>
      <c r="Y40" s="30"/>
      <c r="Z40" s="11">
        <f t="shared" si="8"/>
        <v>11109196.332165295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682552.84067153453</v>
      </c>
      <c r="S44" s="21">
        <f t="shared" si="10"/>
        <v>738276.86668674636</v>
      </c>
      <c r="T44" s="21">
        <f t="shared" si="10"/>
        <v>794568.11211995676</v>
      </c>
      <c r="U44" s="21">
        <f t="shared" si="10"/>
        <v>839220.85136824532</v>
      </c>
      <c r="V44" s="21">
        <f t="shared" si="10"/>
        <v>955574.64319787908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11103119.332165295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7775478.8587924689</v>
      </c>
      <c r="S45" s="54">
        <f t="shared" si="12"/>
        <v>8513755.7254792154</v>
      </c>
      <c r="T45" s="54">
        <f t="shared" si="12"/>
        <v>9308323.8375991713</v>
      </c>
      <c r="U45" s="54">
        <f t="shared" si="12"/>
        <v>10147544.688967416</v>
      </c>
      <c r="V45" s="54">
        <f t="shared" si="12"/>
        <v>11103119.332165295</v>
      </c>
      <c r="W45" s="54">
        <f>V45+W44</f>
        <v>11103119.332165295</v>
      </c>
      <c r="X45" s="54">
        <f>W45+X44</f>
        <v>11103119.332165295</v>
      </c>
      <c r="Y45" s="54">
        <f>X45+Y44</f>
        <v>11103119.332165295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12213686.040115979</v>
      </c>
      <c r="S47" s="4">
        <f t="shared" si="14"/>
        <v>10343236.521131195</v>
      </c>
      <c r="T47" s="4">
        <f t="shared" si="14"/>
        <v>10448521.171564396</v>
      </c>
      <c r="U47" s="4">
        <f t="shared" si="14"/>
        <v>8288235.3697015811</v>
      </c>
      <c r="V47" s="4">
        <f t="shared" si="14"/>
        <v>22652869.206531212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175924879.31049865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126692308.04157026</v>
      </c>
      <c r="S48" s="57">
        <f t="shared" si="16"/>
        <v>137035544.56270146</v>
      </c>
      <c r="T48" s="57">
        <f t="shared" si="16"/>
        <v>147484065.73426586</v>
      </c>
      <c r="U48" s="57">
        <f t="shared" si="16"/>
        <v>155772301.10396746</v>
      </c>
      <c r="V48" s="57">
        <f t="shared" si="16"/>
        <v>178425170.31049865</v>
      </c>
      <c r="W48" s="57">
        <f>W47+V48</f>
        <v>175924879.31049865</v>
      </c>
      <c r="X48" s="57">
        <f>X47+W48</f>
        <v>175924879.31049865</v>
      </c>
      <c r="Y48" s="57">
        <f>Y47+X48</f>
        <v>175924879.31049865</v>
      </c>
      <c r="Z48" s="11"/>
    </row>
    <row r="49" spans="1:31" s="4" customFormat="1" x14ac:dyDescent="0.2">
      <c r="M49" s="57"/>
      <c r="Z49" s="11"/>
    </row>
    <row r="50" spans="1:31" s="4" customFormat="1" x14ac:dyDescent="0.2">
      <c r="M50" s="57"/>
    </row>
    <row r="51" spans="1:31" s="4" customFormat="1" x14ac:dyDescent="0.2">
      <c r="M51" s="57"/>
      <c r="Z51" s="16">
        <f>+Z47/C54/1000</f>
        <v>344.95074374607577</v>
      </c>
    </row>
    <row r="52" spans="1:31" s="4" customFormat="1" x14ac:dyDescent="0.2">
      <c r="A52" s="8" t="s">
        <v>96</v>
      </c>
      <c r="C52" s="12">
        <v>6.5000000000000002E-2</v>
      </c>
      <c r="M52" s="57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7"/>
      <c r="Z56" s="11"/>
    </row>
    <row r="57" spans="1:31" x14ac:dyDescent="0.2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11531133.199444445</v>
      </c>
      <c r="S57" s="4">
        <f t="shared" si="18"/>
        <v>9604959.6544444486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21697294.563333333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75967973.928333342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Z62" s="11">
        <f>SUM(C62:Y62)</f>
        <v>0</v>
      </c>
      <c r="AA62" s="39" t="s">
        <v>90</v>
      </c>
      <c r="AC62" s="18">
        <f>Z62+Z26</f>
        <v>563038</v>
      </c>
      <c r="AD62" s="18">
        <f>[1]Gleason!$BT$195</f>
        <v>563038.39999999991</v>
      </c>
      <c r="AE62" s="18">
        <f>AC62-AD62</f>
        <v>-0.39999999990686774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Z65" s="11">
        <f>SUM(C65:Y65)</f>
        <v>5904</v>
      </c>
      <c r="AA65" s="39" t="s">
        <v>93</v>
      </c>
      <c r="AC65" s="18">
        <f>Z65+Z33</f>
        <v>649486</v>
      </c>
      <c r="AD65" s="18">
        <f>[1]Gleason!$BT$239</f>
        <v>649485.77</v>
      </c>
      <c r="AE65" s="18">
        <f>AC65-AD65</f>
        <v>0.22999999998137355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Z66" s="11">
        <f>SUM(C66:Y66)</f>
        <v>13179.81</v>
      </c>
      <c r="AA66" s="39" t="s">
        <v>30</v>
      </c>
      <c r="AC66" s="18">
        <f>Z66+Z32</f>
        <v>200000.19333333333</v>
      </c>
      <c r="AD66" s="18">
        <f>[1]Gleason!$BT$230</f>
        <v>200000</v>
      </c>
      <c r="AE66" s="18">
        <f>AC66-AD66</f>
        <v>0.19333333332906477</v>
      </c>
    </row>
    <row r="67" spans="1:31" x14ac:dyDescent="0.2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12213686.040115979</v>
      </c>
      <c r="S73" s="9">
        <f t="shared" si="22"/>
        <v>10343236.521131195</v>
      </c>
      <c r="T73" s="9">
        <f t="shared" si="22"/>
        <v>10448521.171564396</v>
      </c>
      <c r="U73" s="9">
        <f t="shared" si="22"/>
        <v>8288235.3697015811</v>
      </c>
      <c r="V73" s="9">
        <f t="shared" si="22"/>
        <v>22652869.206531212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175945371.12049866</v>
      </c>
    </row>
    <row r="74" spans="1:31" x14ac:dyDescent="0.2">
      <c r="Z74" s="4">
        <f>Z73-[1]Gleason!$BT$261</f>
        <v>-0.65166664123535156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L31" activePane="bottomRight" state="frozen"/>
      <selection activeCell="E1" sqref="E1"/>
      <selection pane="topRight" activeCell="E1" sqref="E1"/>
      <selection pane="bottomLeft" activeCell="E1" sqref="E1"/>
      <selection pane="bottomRight" activeCell="P39" sqref="P39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4" width="13.140625" style="18" customWidth="1"/>
    <col min="25" max="25" width="13.85546875" style="4" customWidth="1"/>
    <col min="26" max="26" width="20" style="18" bestFit="1" customWidth="1"/>
    <col min="27" max="27" width="12.28515625" style="18" customWidth="1"/>
    <col min="28" max="28" width="10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December 24, 1999</v>
      </c>
      <c r="Y2" s="25" t="str">
        <f ca="1">CELL("filename")</f>
        <v>O:\Fin_Ops\Engysvc\PowerPlants\2000 Plants\Draw Schedule\[Draw Sched - 020800.xls]Gleason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36563.431964583331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f>100000+1072769</f>
        <v>1172769</v>
      </c>
      <c r="T10" s="18">
        <v>231601</v>
      </c>
      <c r="U10" s="18">
        <f>85821500-81565943+66200+1033169-4972-323393</f>
        <v>5026561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f>(0.4673-0.2689)*AA12</f>
        <v>2727672.8384000002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</f>
        <v>1062747.5323000005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13748351.416100001</v>
      </c>
      <c r="Z12" s="15" t="s">
        <v>50</v>
      </c>
      <c r="AA12" s="18">
        <f>[1]Wheatland!$BR$56</f>
        <v>13748351</v>
      </c>
      <c r="AB12" s="18">
        <f t="shared" si="1"/>
        <v>0.41610000096261501</v>
      </c>
    </row>
    <row r="13" spans="1:28" x14ac:dyDescent="0.2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f>(0.4673-0.2689)*AA13</f>
        <v>942335.32160000014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</f>
        <v>367149.80020000017</v>
      </c>
      <c r="V13" s="18">
        <f>(1-0.9476)*AA13</f>
        <v>248882.91760000002</v>
      </c>
      <c r="W13" s="18">
        <f>442079+359779</f>
        <v>801858</v>
      </c>
      <c r="Y13" s="11">
        <f t="shared" si="0"/>
        <v>4749673.6613999996</v>
      </c>
      <c r="Z13" s="15"/>
      <c r="AA13" s="18">
        <f>[1]Wheatland!$BR$82</f>
        <v>4749674</v>
      </c>
      <c r="AB13" s="18">
        <f t="shared" si="1"/>
        <v>-0.33860000036656857</v>
      </c>
    </row>
    <row r="14" spans="1:28" x14ac:dyDescent="0.2">
      <c r="A14" s="17" t="s">
        <v>121</v>
      </c>
      <c r="M14" s="18">
        <v>0</v>
      </c>
      <c r="N14" s="18">
        <v>61343</v>
      </c>
      <c r="P14" s="18">
        <v>2112822</v>
      </c>
      <c r="Q14" s="18">
        <f>(0.4673-0.2689)*AA14</f>
        <v>3165417.2416000003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</f>
        <v>1233300.1652000006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15954723.716399999</v>
      </c>
      <c r="Z14" s="15"/>
      <c r="AA14" s="18">
        <f>[1]Wheatland!$BR$116</f>
        <v>15954724</v>
      </c>
      <c r="AB14" s="18">
        <f t="shared" si="1"/>
        <v>-0.28360000066459179</v>
      </c>
    </row>
    <row r="15" spans="1:28" x14ac:dyDescent="0.2">
      <c r="A15" s="17" t="s">
        <v>122</v>
      </c>
      <c r="N15" s="18">
        <v>0</v>
      </c>
      <c r="P15" s="18">
        <v>355795</v>
      </c>
      <c r="Q15" s="18">
        <f>(0.4673-0.2689)*AA15</f>
        <v>2012952.3136000002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</f>
        <v>784280.31170000031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10145928.6919</v>
      </c>
      <c r="Z15" s="15"/>
      <c r="AA15" s="18">
        <f>[1]Wheatland!$BR$119</f>
        <v>10145929</v>
      </c>
      <c r="AB15" s="18">
        <f t="shared" si="1"/>
        <v>-0.30810000002384186</v>
      </c>
    </row>
    <row r="16" spans="1:28" x14ac:dyDescent="0.2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">
      <c r="A17" s="17" t="s">
        <v>124</v>
      </c>
      <c r="N17" s="18">
        <v>3651557</v>
      </c>
      <c r="P17" s="18">
        <f>1183571-943865</f>
        <v>239706</v>
      </c>
      <c r="Q17" s="18">
        <v>217412</v>
      </c>
      <c r="W17" s="18">
        <v>-4108675</v>
      </c>
      <c r="X17" s="18">
        <v>-3953393</v>
      </c>
      <c r="Y17" s="11">
        <f t="shared" si="0"/>
        <v>-3953393</v>
      </c>
      <c r="Z17" s="15"/>
      <c r="AB17" s="18">
        <f t="shared" si="1"/>
        <v>-3953393</v>
      </c>
    </row>
    <row r="18" spans="1:28" x14ac:dyDescent="0.2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2386700/12+6+3-7+2</f>
        <v>198895.66666666666</v>
      </c>
      <c r="Y19" s="11">
        <f t="shared" si="0"/>
        <v>2386699.67</v>
      </c>
      <c r="Z19" s="15"/>
      <c r="AA19" s="18">
        <f>[1]Wheatland!$BR$132</f>
        <v>2386700</v>
      </c>
      <c r="AB19" s="18">
        <f t="shared" si="1"/>
        <v>-0.33000000007450581</v>
      </c>
    </row>
    <row r="20" spans="1:28" x14ac:dyDescent="0.2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">
      <c r="A21" s="17" t="s">
        <v>42</v>
      </c>
      <c r="C21" s="4">
        <v>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U22" s="18">
        <f>1500000-38084-16048</f>
        <v>1445868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Y24" s="11">
        <f t="shared" si="0"/>
        <v>1376269.26</v>
      </c>
      <c r="Z24" s="15" t="s">
        <v>57</v>
      </c>
      <c r="AA24" s="18">
        <f>[1]Wheatland!$BR$166</f>
        <v>1376268.86</v>
      </c>
      <c r="AB24" s="18">
        <f t="shared" si="1"/>
        <v>0.39999999990686774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41756</v>
      </c>
      <c r="T25" s="18">
        <v>19859</v>
      </c>
      <c r="Y25" s="11">
        <f t="shared" si="0"/>
        <v>313820.42000000004</v>
      </c>
      <c r="Z25" s="15" t="str">
        <f>Z24</f>
        <v>Steve Dowd</v>
      </c>
    </row>
    <row r="26" spans="1:28" x14ac:dyDescent="0.2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f>1500000-15000</f>
        <v>1485000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500000</v>
      </c>
      <c r="R27" s="18">
        <v>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11111.111111111111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185199.00444444444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28571.428571428572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604559.11857142858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f>10000+52208</f>
        <v>62208</v>
      </c>
      <c r="R33" s="18">
        <v>10000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701671.9</v>
      </c>
      <c r="Z33" s="15">
        <f>Z32</f>
        <v>0</v>
      </c>
    </row>
    <row r="34" spans="1:27" x14ac:dyDescent="0.2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3909419.3</v>
      </c>
      <c r="P34" s="21">
        <f t="shared" si="4"/>
        <v>8186544.333333333</v>
      </c>
      <c r="Q34" s="21">
        <f t="shared" si="4"/>
        <v>11783580.254882542</v>
      </c>
      <c r="R34" s="21">
        <f t="shared" si="4"/>
        <v>9988230.9851111118</v>
      </c>
      <c r="S34" s="21">
        <f t="shared" si="4"/>
        <v>7867096.2851111116</v>
      </c>
      <c r="T34" s="21">
        <f t="shared" si="4"/>
        <v>7336640.0971111096</v>
      </c>
      <c r="U34" s="21">
        <f t="shared" si="4"/>
        <v>15447078.809400002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151024485.71828255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90415314.953333333</v>
      </c>
      <c r="P35" s="21">
        <f t="shared" si="5"/>
        <v>98601859.286666662</v>
      </c>
      <c r="Q35" s="21">
        <f t="shared" si="5"/>
        <v>110385439.54154921</v>
      </c>
      <c r="R35" s="21">
        <f t="shared" si="5"/>
        <v>120373670.52666032</v>
      </c>
      <c r="S35" s="21">
        <f t="shared" si="5"/>
        <v>128240766.81177144</v>
      </c>
      <c r="T35" s="21">
        <f t="shared" si="5"/>
        <v>135577406.90888256</v>
      </c>
      <c r="U35" s="21">
        <f t="shared" si="5"/>
        <v>151024485.71828255</v>
      </c>
      <c r="V35" s="21">
        <f>+U35+V34</f>
        <v>154002571.44548255</v>
      </c>
      <c r="W35" s="21">
        <f>+V35+W34</f>
        <v>156130624.44548255</v>
      </c>
      <c r="X35" s="21">
        <f>+W35+X34</f>
        <v>152201356.44548255</v>
      </c>
      <c r="Y35" s="11"/>
    </row>
    <row r="36" spans="1:27" x14ac:dyDescent="0.2">
      <c r="A36" s="17" t="s">
        <v>64</v>
      </c>
      <c r="F36" s="8"/>
      <c r="Y36" s="16">
        <f>+Y34/C51/1000</f>
        <v>321.32869301762247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6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f t="shared" si="7"/>
        <v>630718.16491833446</v>
      </c>
      <c r="R39" s="30">
        <f t="shared" si="7"/>
        <v>688237.47281432734</v>
      </c>
      <c r="S39" s="30">
        <f t="shared" si="7"/>
        <v>734578.86400309007</v>
      </c>
      <c r="T39" s="30">
        <f t="shared" si="7"/>
        <v>778297.96670912544</v>
      </c>
      <c r="U39" s="30">
        <f t="shared" si="7"/>
        <v>866185.42424638302</v>
      </c>
      <c r="V39" s="30">
        <v>0</v>
      </c>
      <c r="W39" s="30">
        <v>0</v>
      </c>
      <c r="X39" s="30">
        <v>0</v>
      </c>
      <c r="Y39" s="11">
        <f t="shared" si="6"/>
        <v>9758932.4514499549</v>
      </c>
      <c r="Z39" s="19" t="str">
        <f>Z52</f>
        <v>Rodney Malcolm</v>
      </c>
      <c r="AA39" s="18">
        <f>Y39</f>
        <v>9758932.4514499549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6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6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6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516340</v>
      </c>
      <c r="P43" s="21">
        <f t="shared" si="8"/>
        <v>563836.3251100413</v>
      </c>
      <c r="Q43" s="21">
        <f t="shared" si="8"/>
        <v>630718.16491833446</v>
      </c>
      <c r="R43" s="21">
        <f t="shared" si="8"/>
        <v>688237.47281432734</v>
      </c>
      <c r="S43" s="21">
        <f t="shared" si="8"/>
        <v>734578.86400309007</v>
      </c>
      <c r="T43" s="21">
        <f t="shared" si="8"/>
        <v>778297.96670912544</v>
      </c>
      <c r="U43" s="21">
        <f t="shared" si="8"/>
        <v>866185.42424638302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6"/>
        <v>9752854.9514499549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5491000.7336486531</v>
      </c>
      <c r="P44" s="21">
        <f t="shared" si="9"/>
        <v>6054837.0587586947</v>
      </c>
      <c r="Q44" s="21">
        <f t="shared" si="9"/>
        <v>6685555.2236770289</v>
      </c>
      <c r="R44" s="21">
        <f t="shared" si="9"/>
        <v>7373792.696491356</v>
      </c>
      <c r="S44" s="21">
        <f t="shared" si="9"/>
        <v>8108371.5604944462</v>
      </c>
      <c r="T44" s="21">
        <f t="shared" si="9"/>
        <v>8886669.5272035711</v>
      </c>
      <c r="U44" s="21">
        <f t="shared" si="9"/>
        <v>9752854.9514499549</v>
      </c>
      <c r="V44" s="21">
        <f>+V43+U44</f>
        <v>9752854.9514499549</v>
      </c>
      <c r="W44" s="21">
        <f>+W43+V44</f>
        <v>9752854.9514499549</v>
      </c>
      <c r="X44" s="21">
        <f>+X43+W44</f>
        <v>9752854.9514499549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4425759.3</v>
      </c>
      <c r="P46" s="4">
        <f t="shared" si="10"/>
        <v>8750380.6584433746</v>
      </c>
      <c r="Q46" s="4">
        <f t="shared" si="10"/>
        <v>12414298.419800878</v>
      </c>
      <c r="R46" s="4">
        <f t="shared" si="10"/>
        <v>10676468.457925439</v>
      </c>
      <c r="S46" s="4">
        <f t="shared" si="10"/>
        <v>8601675.1491142008</v>
      </c>
      <c r="T46" s="4">
        <f t="shared" si="10"/>
        <v>8114938.0638202354</v>
      </c>
      <c r="U46" s="4">
        <f t="shared" si="10"/>
        <v>16313264.233646385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161954211.39693251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95906315.686981991</v>
      </c>
      <c r="P47" s="4">
        <f t="shared" si="11"/>
        <v>104656696.34542537</v>
      </c>
      <c r="Q47" s="4">
        <f t="shared" si="11"/>
        <v>117070994.76522624</v>
      </c>
      <c r="R47" s="4">
        <f t="shared" si="11"/>
        <v>127747463.22315168</v>
      </c>
      <c r="S47" s="4">
        <f t="shared" si="11"/>
        <v>136349138.37226588</v>
      </c>
      <c r="T47" s="4">
        <f t="shared" si="11"/>
        <v>144464076.43608612</v>
      </c>
      <c r="U47" s="4">
        <f t="shared" si="11"/>
        <v>160777340.66973251</v>
      </c>
      <c r="V47" s="4">
        <f>U47+V46</f>
        <v>163755426.39693251</v>
      </c>
      <c r="W47" s="4">
        <f>V47+W46</f>
        <v>165883479.39693251</v>
      </c>
      <c r="X47" s="4">
        <f>W47+X46</f>
        <v>161954211.39693251</v>
      </c>
      <c r="Y47" s="11"/>
    </row>
    <row r="48" spans="1:27" s="4" customFormat="1" x14ac:dyDescent="0.2">
      <c r="Y48" s="16">
        <f>+Y46/C51/1000</f>
        <v>344.58342850411174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3909419.3</v>
      </c>
      <c r="P54" s="4">
        <f t="shared" si="12"/>
        <v>8186544.333333333</v>
      </c>
      <c r="Q54" s="4">
        <f t="shared" si="12"/>
        <v>11783580.254882542</v>
      </c>
      <c r="R54" s="4">
        <f t="shared" si="12"/>
        <v>9988230.9851111118</v>
      </c>
      <c r="S54" s="4">
        <f t="shared" si="12"/>
        <v>7867096.2851111107</v>
      </c>
      <c r="T54" s="4">
        <f t="shared" si="12"/>
        <v>7336640.0971111096</v>
      </c>
      <c r="U54" s="4">
        <f t="shared" si="12"/>
        <v>15447078.809400002</v>
      </c>
      <c r="V54" s="4">
        <f t="shared" si="12"/>
        <v>2978085.7272000001</v>
      </c>
      <c r="W54" s="4">
        <f t="shared" si="12"/>
        <v>2128053</v>
      </c>
      <c r="X54" s="4">
        <f t="shared" si="12"/>
        <v>-3929268</v>
      </c>
      <c r="Y54" s="23">
        <f>SUM(C54:X54)</f>
        <v>152195278.94548255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754274.31857142854</v>
      </c>
      <c r="AB60" s="18">
        <f>[1]Wheatland!$BR$196</f>
        <v>754273.98</v>
      </c>
      <c r="AC60" s="18">
        <f>AB60-AA60</f>
        <v>-0.33857142855413258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1376269.26</v>
      </c>
      <c r="AB61" s="18">
        <f>[1]Wheatland!$BR$166</f>
        <v>1376268.86</v>
      </c>
      <c r="AC61" s="18">
        <f>AB61-AA61</f>
        <v>-0.39999999990686774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200000.38444444444</v>
      </c>
      <c r="AB62" s="18">
        <f>[1]Wheatland!$BR$185</f>
        <v>200000</v>
      </c>
      <c r="AC62" s="18">
        <f>AB62-AA62</f>
        <v>-0.38444444444030523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">
      <c r="A64" s="4" t="s">
        <v>84</v>
      </c>
      <c r="C64" s="21">
        <f t="shared" ref="C64:Y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3"/>
        <v>300696.58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195452.58000000002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1566383.4088402581</v>
      </c>
      <c r="N78" s="33">
        <f t="shared" si="16"/>
        <v>5481999.3409659201</v>
      </c>
      <c r="O78" s="33">
        <f t="shared" si="16"/>
        <v>4425759.3</v>
      </c>
      <c r="P78" s="33">
        <f t="shared" si="16"/>
        <v>8750380.6584433746</v>
      </c>
      <c r="Q78" s="33">
        <f t="shared" si="16"/>
        <v>12414298.419800878</v>
      </c>
      <c r="R78" s="33">
        <f t="shared" si="16"/>
        <v>10676468.457925439</v>
      </c>
      <c r="S78" s="33">
        <f t="shared" si="16"/>
        <v>8601675.1491142008</v>
      </c>
      <c r="T78" s="33">
        <f t="shared" si="16"/>
        <v>8114938.0638202354</v>
      </c>
      <c r="U78" s="33">
        <f t="shared" si="16"/>
        <v>16313264.233646385</v>
      </c>
      <c r="V78" s="33">
        <f t="shared" si="16"/>
        <v>2978085.7272000001</v>
      </c>
      <c r="W78" s="33">
        <f t="shared" si="16"/>
        <v>2128053</v>
      </c>
      <c r="X78" s="33">
        <f t="shared" si="16"/>
        <v>-3929268</v>
      </c>
      <c r="Y78" s="33">
        <f t="shared" si="16"/>
        <v>162164763.97693253</v>
      </c>
      <c r="Z78" s="17"/>
    </row>
    <row r="79" spans="1:26" x14ac:dyDescent="0.2">
      <c r="U79"/>
      <c r="V79"/>
      <c r="W79"/>
      <c r="X79"/>
      <c r="Y79" s="47">
        <f>Y78-[1]Wheatland!$BR$236</f>
        <v>1.4554825723171234</v>
      </c>
    </row>
  </sheetData>
  <mergeCells count="1">
    <mergeCell ref="D5:O5"/>
  </mergeCells>
  <printOptions horizontalCentered="1"/>
  <pageMargins left="0.25" right="0.25" top="0.5" bottom="0.5" header="0.25" footer="0.5"/>
  <pageSetup scale="37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2000-01-31T19:07:40Z</cp:lastPrinted>
  <dcterms:created xsi:type="dcterms:W3CDTF">1999-02-09T14:03:00Z</dcterms:created>
  <dcterms:modified xsi:type="dcterms:W3CDTF">2023-09-13T22:12:34Z</dcterms:modified>
</cp:coreProperties>
</file>