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2A8D30-82E4-420C-B294-D7353EBEA8A8}" xr6:coauthVersionLast="47" xr6:coauthVersionMax="47" xr10:uidLastSave="{00000000-0000-0000-0000-000000000000}"/>
  <bookViews>
    <workbookView xWindow="-120" yWindow="-120" windowWidth="38640" windowHeight="15720"/>
  </bookViews>
  <sheets>
    <sheet name="Comparison" sheetId="1" r:id="rId1"/>
  </sheets>
  <definedNames>
    <definedName name="_xlnm.Print_Area" localSheetId="0">Comparison!$A$1:$W$89</definedName>
  </definedNames>
  <calcPr calcId="0" calcMode="manual" iterate="1"/>
</workbook>
</file>

<file path=xl/calcChain.xml><?xml version="1.0" encoding="utf-8"?>
<calcChain xmlns="http://schemas.openxmlformats.org/spreadsheetml/2006/main">
  <c r="N7" i="1" l="1"/>
  <c r="N8" i="1"/>
  <c r="B9" i="1"/>
  <c r="D9" i="1"/>
  <c r="F9" i="1"/>
  <c r="H9" i="1"/>
  <c r="J9" i="1"/>
  <c r="L9" i="1"/>
  <c r="N9" i="1"/>
  <c r="P9" i="1"/>
  <c r="R9" i="1"/>
  <c r="T9" i="1"/>
  <c r="V9" i="1"/>
  <c r="V10" i="1"/>
  <c r="N11" i="1"/>
  <c r="P11" i="1"/>
  <c r="R11" i="1"/>
  <c r="T11" i="1"/>
  <c r="B12" i="1"/>
  <c r="D12" i="1"/>
  <c r="F12" i="1"/>
  <c r="H12" i="1"/>
  <c r="J12" i="1"/>
  <c r="L12" i="1"/>
  <c r="N12" i="1"/>
  <c r="C16" i="1"/>
  <c r="E16" i="1"/>
  <c r="G16" i="1"/>
  <c r="I16" i="1"/>
  <c r="K16" i="1"/>
  <c r="M16" i="1"/>
  <c r="N16" i="1"/>
  <c r="O16" i="1"/>
  <c r="Q16" i="1"/>
  <c r="S16" i="1"/>
  <c r="U16" i="1"/>
  <c r="V16" i="1"/>
  <c r="W16" i="1"/>
  <c r="C17" i="1"/>
  <c r="E17" i="1"/>
  <c r="G17" i="1"/>
  <c r="I17" i="1"/>
  <c r="K17" i="1"/>
  <c r="M17" i="1"/>
  <c r="N17" i="1"/>
  <c r="O17" i="1"/>
  <c r="Q17" i="1"/>
  <c r="S17" i="1"/>
  <c r="U17" i="1"/>
  <c r="W17" i="1"/>
  <c r="C18" i="1"/>
  <c r="E18" i="1"/>
  <c r="G18" i="1"/>
  <c r="I18" i="1"/>
  <c r="K18" i="1"/>
  <c r="M18" i="1"/>
  <c r="N18" i="1"/>
  <c r="O18" i="1"/>
  <c r="Q18" i="1"/>
  <c r="S18" i="1"/>
  <c r="U18" i="1"/>
  <c r="V18" i="1"/>
  <c r="W18" i="1"/>
  <c r="C19" i="1"/>
  <c r="E19" i="1"/>
  <c r="G19" i="1"/>
  <c r="I19" i="1"/>
  <c r="K19" i="1"/>
  <c r="M19" i="1"/>
  <c r="N19" i="1"/>
  <c r="O19" i="1"/>
  <c r="Q19" i="1"/>
  <c r="S19" i="1"/>
  <c r="U19" i="1"/>
  <c r="W19" i="1"/>
  <c r="C20" i="1"/>
  <c r="E20" i="1"/>
  <c r="G20" i="1"/>
  <c r="I20" i="1"/>
  <c r="K20" i="1"/>
  <c r="M20" i="1"/>
  <c r="N20" i="1"/>
  <c r="O20" i="1"/>
  <c r="Q20" i="1"/>
  <c r="S20" i="1"/>
  <c r="U20" i="1"/>
  <c r="W20" i="1"/>
  <c r="C21" i="1"/>
  <c r="E21" i="1"/>
  <c r="G21" i="1"/>
  <c r="I21" i="1"/>
  <c r="K21" i="1"/>
  <c r="M21" i="1"/>
  <c r="N21" i="1"/>
  <c r="O21" i="1"/>
  <c r="Q21" i="1"/>
  <c r="S21" i="1"/>
  <c r="U21" i="1"/>
  <c r="W21" i="1"/>
  <c r="C22" i="1"/>
  <c r="E22" i="1"/>
  <c r="G22" i="1"/>
  <c r="I22" i="1"/>
  <c r="K22" i="1"/>
  <c r="M22" i="1"/>
  <c r="N22" i="1"/>
  <c r="O22" i="1"/>
  <c r="Q22" i="1"/>
  <c r="S22" i="1"/>
  <c r="U22" i="1"/>
  <c r="W22" i="1"/>
  <c r="C23" i="1"/>
  <c r="E23" i="1"/>
  <c r="G23" i="1"/>
  <c r="I23" i="1"/>
  <c r="K23" i="1"/>
  <c r="M23" i="1"/>
  <c r="N23" i="1"/>
  <c r="O23" i="1"/>
  <c r="Q23" i="1"/>
  <c r="S23" i="1"/>
  <c r="U23" i="1"/>
  <c r="W23" i="1"/>
  <c r="C24" i="1"/>
  <c r="E24" i="1"/>
  <c r="G24" i="1"/>
  <c r="I24" i="1"/>
  <c r="K24" i="1"/>
  <c r="M24" i="1"/>
  <c r="N24" i="1"/>
  <c r="O24" i="1"/>
  <c r="Q24" i="1"/>
  <c r="S24" i="1"/>
  <c r="U24" i="1"/>
  <c r="V24" i="1"/>
  <c r="W24" i="1"/>
  <c r="C25" i="1"/>
  <c r="E25" i="1"/>
  <c r="G25" i="1"/>
  <c r="I25" i="1"/>
  <c r="K25" i="1"/>
  <c r="M25" i="1"/>
  <c r="N25" i="1"/>
  <c r="O25" i="1"/>
  <c r="Q25" i="1"/>
  <c r="S25" i="1"/>
  <c r="U25" i="1"/>
  <c r="V25" i="1"/>
  <c r="W25" i="1"/>
  <c r="C26" i="1"/>
  <c r="E26" i="1"/>
  <c r="G26" i="1"/>
  <c r="I26" i="1"/>
  <c r="K26" i="1"/>
  <c r="M26" i="1"/>
  <c r="N26" i="1"/>
  <c r="O26" i="1"/>
  <c r="Q26" i="1"/>
  <c r="S26" i="1"/>
  <c r="U26" i="1"/>
  <c r="W26" i="1"/>
  <c r="C27" i="1"/>
  <c r="E27" i="1"/>
  <c r="G27" i="1"/>
  <c r="I27" i="1"/>
  <c r="K27" i="1"/>
  <c r="M27" i="1"/>
  <c r="N27" i="1"/>
  <c r="O27" i="1"/>
  <c r="Q27" i="1"/>
  <c r="S27" i="1"/>
  <c r="U27" i="1"/>
  <c r="W27" i="1"/>
  <c r="C28" i="1"/>
  <c r="E28" i="1"/>
  <c r="G28" i="1"/>
  <c r="I28" i="1"/>
  <c r="K28" i="1"/>
  <c r="M28" i="1"/>
  <c r="N28" i="1"/>
  <c r="O28" i="1"/>
  <c r="Q28" i="1"/>
  <c r="S28" i="1"/>
  <c r="U28" i="1"/>
  <c r="W28" i="1"/>
  <c r="C29" i="1"/>
  <c r="E29" i="1"/>
  <c r="G29" i="1"/>
  <c r="I29" i="1"/>
  <c r="K29" i="1"/>
  <c r="M29" i="1"/>
  <c r="N29" i="1"/>
  <c r="O29" i="1"/>
  <c r="Q29" i="1"/>
  <c r="S29" i="1"/>
  <c r="U29" i="1"/>
  <c r="W29" i="1"/>
  <c r="C30" i="1"/>
  <c r="E30" i="1"/>
  <c r="G30" i="1"/>
  <c r="I30" i="1"/>
  <c r="K30" i="1"/>
  <c r="M30" i="1"/>
  <c r="O30" i="1"/>
  <c r="Q30" i="1"/>
  <c r="S30" i="1"/>
  <c r="U30" i="1"/>
  <c r="W30" i="1"/>
  <c r="C31" i="1"/>
  <c r="E31" i="1"/>
  <c r="G31" i="1"/>
  <c r="I31" i="1"/>
  <c r="K31" i="1"/>
  <c r="M31" i="1"/>
  <c r="O31" i="1"/>
  <c r="Q31" i="1"/>
  <c r="S31" i="1"/>
  <c r="U31" i="1"/>
  <c r="W31" i="1"/>
  <c r="C32" i="1"/>
  <c r="E32" i="1"/>
  <c r="G32" i="1"/>
  <c r="I32" i="1"/>
  <c r="K32" i="1"/>
  <c r="M32" i="1"/>
  <c r="O32" i="1"/>
  <c r="Q32" i="1"/>
  <c r="S32" i="1"/>
  <c r="U32" i="1"/>
  <c r="W32" i="1"/>
  <c r="C33" i="1"/>
  <c r="E33" i="1"/>
  <c r="G33" i="1"/>
  <c r="I33" i="1"/>
  <c r="K33" i="1"/>
  <c r="M33" i="1"/>
  <c r="O33" i="1"/>
  <c r="Q33" i="1"/>
  <c r="S33" i="1"/>
  <c r="U33" i="1"/>
  <c r="W33" i="1"/>
  <c r="C34" i="1"/>
  <c r="E34" i="1"/>
  <c r="G34" i="1"/>
  <c r="I34" i="1"/>
  <c r="K34" i="1"/>
  <c r="M34" i="1"/>
  <c r="O34" i="1"/>
  <c r="Q34" i="1"/>
  <c r="S34" i="1"/>
  <c r="U34" i="1"/>
  <c r="W34" i="1"/>
  <c r="C35" i="1"/>
  <c r="E35" i="1"/>
  <c r="G35" i="1"/>
  <c r="I35" i="1"/>
  <c r="K35" i="1"/>
  <c r="M35" i="1"/>
  <c r="O35" i="1"/>
  <c r="Q35" i="1"/>
  <c r="S35" i="1"/>
  <c r="U35" i="1"/>
  <c r="W35" i="1"/>
  <c r="C36" i="1"/>
  <c r="E36" i="1"/>
  <c r="G36" i="1"/>
  <c r="I36" i="1"/>
  <c r="K36" i="1"/>
  <c r="M36" i="1"/>
  <c r="O36" i="1"/>
  <c r="Q36" i="1"/>
  <c r="S36" i="1"/>
  <c r="U36" i="1"/>
  <c r="W36" i="1"/>
  <c r="C37" i="1"/>
  <c r="E37" i="1"/>
  <c r="G37" i="1"/>
  <c r="I37" i="1"/>
  <c r="K37" i="1"/>
  <c r="M37" i="1"/>
  <c r="N37" i="1"/>
  <c r="O37" i="1"/>
  <c r="Q37" i="1"/>
  <c r="S37" i="1"/>
  <c r="U37" i="1"/>
  <c r="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C41" i="1"/>
  <c r="E41" i="1"/>
  <c r="G41" i="1"/>
  <c r="I41" i="1"/>
  <c r="K41" i="1"/>
  <c r="M41" i="1"/>
  <c r="N41" i="1"/>
  <c r="O41" i="1"/>
  <c r="Q41" i="1"/>
  <c r="S41" i="1"/>
  <c r="U41" i="1"/>
  <c r="C42" i="1"/>
  <c r="E42" i="1"/>
  <c r="G42" i="1"/>
  <c r="I42" i="1"/>
  <c r="K42" i="1"/>
  <c r="M42" i="1"/>
  <c r="N42" i="1"/>
  <c r="O42" i="1"/>
  <c r="Q42" i="1"/>
  <c r="S42" i="1"/>
  <c r="U42" i="1"/>
  <c r="C43" i="1"/>
  <c r="E43" i="1"/>
  <c r="G43" i="1"/>
  <c r="I43" i="1"/>
  <c r="K43" i="1"/>
  <c r="M43" i="1"/>
  <c r="N43" i="1"/>
  <c r="O43" i="1"/>
  <c r="Q43" i="1"/>
  <c r="S43" i="1"/>
  <c r="U43" i="1"/>
  <c r="C44" i="1"/>
  <c r="E44" i="1"/>
  <c r="G44" i="1"/>
  <c r="I44" i="1"/>
  <c r="K44" i="1"/>
  <c r="M44" i="1"/>
  <c r="N44" i="1"/>
  <c r="O44" i="1"/>
  <c r="Q44" i="1"/>
  <c r="S44" i="1"/>
  <c r="U44" i="1"/>
  <c r="C45" i="1"/>
  <c r="E45" i="1"/>
  <c r="G45" i="1"/>
  <c r="I45" i="1"/>
  <c r="K45" i="1"/>
  <c r="M45" i="1"/>
  <c r="N45" i="1"/>
  <c r="O45" i="1"/>
  <c r="Q45" i="1"/>
  <c r="S45" i="1"/>
  <c r="U45" i="1"/>
  <c r="C46" i="1"/>
  <c r="E46" i="1"/>
  <c r="G46" i="1"/>
  <c r="I46" i="1"/>
  <c r="K46" i="1"/>
  <c r="M46" i="1"/>
  <c r="N46" i="1"/>
  <c r="O46" i="1"/>
  <c r="Q46" i="1"/>
  <c r="S46" i="1"/>
  <c r="U46" i="1"/>
  <c r="C47" i="1"/>
  <c r="E47" i="1"/>
  <c r="G47" i="1"/>
  <c r="I47" i="1"/>
  <c r="K47" i="1"/>
  <c r="M47" i="1"/>
  <c r="O47" i="1"/>
  <c r="Q47" i="1"/>
  <c r="S47" i="1"/>
  <c r="U47" i="1"/>
  <c r="W47" i="1"/>
  <c r="C48" i="1"/>
  <c r="E48" i="1"/>
  <c r="G48" i="1"/>
  <c r="I48" i="1"/>
  <c r="K48" i="1"/>
  <c r="M48" i="1"/>
  <c r="N48" i="1"/>
  <c r="O48" i="1"/>
  <c r="Q48" i="1"/>
  <c r="S48" i="1"/>
  <c r="U48" i="1"/>
  <c r="C49" i="1"/>
  <c r="E49" i="1"/>
  <c r="G49" i="1"/>
  <c r="I49" i="1"/>
  <c r="K49" i="1"/>
  <c r="M49" i="1"/>
  <c r="N49" i="1"/>
  <c r="O49" i="1"/>
  <c r="Q49" i="1"/>
  <c r="S49" i="1"/>
  <c r="U49" i="1"/>
  <c r="C50" i="1"/>
  <c r="E50" i="1"/>
  <c r="G50" i="1"/>
  <c r="I50" i="1"/>
  <c r="K50" i="1"/>
  <c r="M50" i="1"/>
  <c r="N50" i="1"/>
  <c r="O50" i="1"/>
  <c r="Q50" i="1"/>
  <c r="S50" i="1"/>
  <c r="U50" i="1"/>
  <c r="C51" i="1"/>
  <c r="E51" i="1"/>
  <c r="G51" i="1"/>
  <c r="I51" i="1"/>
  <c r="K51" i="1"/>
  <c r="M51" i="1"/>
  <c r="N51" i="1"/>
  <c r="O51" i="1"/>
  <c r="Q51" i="1"/>
  <c r="S51" i="1"/>
  <c r="U51" i="1"/>
  <c r="C52" i="1"/>
  <c r="E52" i="1"/>
  <c r="G52" i="1"/>
  <c r="I52" i="1"/>
  <c r="K52" i="1"/>
  <c r="M52" i="1"/>
  <c r="O52" i="1"/>
  <c r="Q52" i="1"/>
  <c r="S52" i="1"/>
  <c r="U52" i="1"/>
  <c r="W52" i="1"/>
  <c r="C53" i="1"/>
  <c r="E53" i="1"/>
  <c r="G53" i="1"/>
  <c r="I53" i="1"/>
  <c r="K53" i="1"/>
  <c r="M53" i="1"/>
  <c r="N53" i="1"/>
  <c r="O53" i="1"/>
  <c r="Q53" i="1"/>
  <c r="S53" i="1"/>
  <c r="U53" i="1"/>
  <c r="C54" i="1"/>
  <c r="E54" i="1"/>
  <c r="G54" i="1"/>
  <c r="I54" i="1"/>
  <c r="K54" i="1"/>
  <c r="M54" i="1"/>
  <c r="N54" i="1"/>
  <c r="O54" i="1"/>
  <c r="Q54" i="1"/>
  <c r="S54" i="1"/>
  <c r="U54" i="1"/>
  <c r="C55" i="1"/>
  <c r="E55" i="1"/>
  <c r="G55" i="1"/>
  <c r="I55" i="1"/>
  <c r="K55" i="1"/>
  <c r="M55" i="1"/>
  <c r="N55" i="1"/>
  <c r="O55" i="1"/>
  <c r="Q55" i="1"/>
  <c r="S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Q56" i="1"/>
  <c r="R56" i="1"/>
  <c r="S56" i="1"/>
  <c r="T56" i="1"/>
  <c r="U56" i="1"/>
  <c r="V56" i="1"/>
  <c r="W56" i="1"/>
  <c r="C59" i="1"/>
  <c r="E59" i="1"/>
  <c r="G59" i="1"/>
  <c r="N59" i="1"/>
  <c r="O59" i="1"/>
  <c r="S59" i="1"/>
  <c r="U59" i="1"/>
  <c r="C60" i="1"/>
  <c r="E60" i="1"/>
  <c r="G60" i="1"/>
  <c r="N60" i="1"/>
  <c r="O60" i="1"/>
  <c r="S60" i="1"/>
  <c r="U60" i="1"/>
  <c r="C61" i="1"/>
  <c r="E61" i="1"/>
  <c r="G61" i="1"/>
  <c r="O61" i="1"/>
  <c r="S61" i="1"/>
  <c r="U61" i="1"/>
  <c r="C62" i="1"/>
  <c r="E62" i="1"/>
  <c r="G62" i="1"/>
  <c r="N62" i="1"/>
  <c r="O62" i="1"/>
  <c r="S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5" i="1"/>
  <c r="D65" i="1"/>
  <c r="F65" i="1"/>
  <c r="H65" i="1"/>
  <c r="J65" i="1"/>
  <c r="L65" i="1"/>
  <c r="N65" i="1"/>
  <c r="P65" i="1"/>
  <c r="R65" i="1"/>
  <c r="T65" i="1"/>
  <c r="V65" i="1"/>
  <c r="C68" i="1"/>
  <c r="E68" i="1"/>
  <c r="G68" i="1"/>
  <c r="I68" i="1"/>
  <c r="K68" i="1"/>
  <c r="M68" i="1"/>
  <c r="N68" i="1"/>
  <c r="O68" i="1"/>
  <c r="Q68" i="1"/>
  <c r="S68" i="1"/>
  <c r="U68" i="1"/>
  <c r="V68" i="1"/>
  <c r="W68" i="1"/>
  <c r="N69" i="1"/>
  <c r="C70" i="1"/>
  <c r="E70" i="1"/>
  <c r="G70" i="1"/>
  <c r="I70" i="1"/>
  <c r="K70" i="1"/>
  <c r="M70" i="1"/>
  <c r="N70" i="1"/>
  <c r="O70" i="1"/>
  <c r="Q70" i="1"/>
  <c r="S70" i="1"/>
  <c r="U70" i="1"/>
  <c r="V70" i="1"/>
  <c r="W70" i="1"/>
  <c r="B71" i="1"/>
  <c r="D71" i="1"/>
  <c r="F71" i="1"/>
  <c r="H71" i="1"/>
  <c r="J71" i="1"/>
  <c r="L71" i="1"/>
  <c r="N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W72" i="1"/>
  <c r="B73" i="1"/>
  <c r="D73" i="1"/>
  <c r="F73" i="1"/>
  <c r="H73" i="1"/>
  <c r="J73" i="1"/>
  <c r="L73" i="1"/>
  <c r="N73" i="1"/>
  <c r="P73" i="1"/>
  <c r="R73" i="1"/>
  <c r="T73" i="1"/>
  <c r="V73" i="1"/>
  <c r="C75" i="1"/>
  <c r="E75" i="1"/>
  <c r="G75" i="1"/>
  <c r="I75" i="1"/>
  <c r="K75" i="1"/>
  <c r="M75" i="1"/>
  <c r="N75" i="1"/>
  <c r="O75" i="1"/>
  <c r="Q75" i="1"/>
  <c r="S75" i="1"/>
  <c r="U75" i="1"/>
  <c r="W75" i="1"/>
  <c r="N76" i="1"/>
  <c r="V76" i="1"/>
  <c r="C77" i="1"/>
  <c r="E77" i="1"/>
  <c r="G77" i="1"/>
  <c r="I77" i="1"/>
  <c r="K77" i="1"/>
  <c r="M77" i="1"/>
  <c r="N77" i="1"/>
  <c r="O77" i="1"/>
  <c r="Q77" i="1"/>
  <c r="S77" i="1"/>
  <c r="U77" i="1"/>
  <c r="W77" i="1"/>
  <c r="N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B80" i="1"/>
  <c r="D80" i="1"/>
  <c r="F80" i="1"/>
  <c r="H80" i="1"/>
  <c r="J80" i="1"/>
  <c r="L80" i="1"/>
  <c r="N80" i="1"/>
  <c r="P80" i="1"/>
  <c r="R80" i="1"/>
  <c r="T80" i="1"/>
  <c r="V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</calcChain>
</file>

<file path=xl/sharedStrings.xml><?xml version="1.0" encoding="utf-8"?>
<sst xmlns="http://schemas.openxmlformats.org/spreadsheetml/2006/main" count="157" uniqueCount="98">
  <si>
    <t>Turbine Comparison</t>
  </si>
  <si>
    <t>Brownsville</t>
  </si>
  <si>
    <t>Caledonia</t>
  </si>
  <si>
    <t>New Albany</t>
  </si>
  <si>
    <t>Calvert City</t>
  </si>
  <si>
    <t>Wheatland</t>
  </si>
  <si>
    <t>Total GenCo</t>
  </si>
  <si>
    <t>Santee Cooper</t>
  </si>
  <si>
    <t>Lincoln</t>
  </si>
  <si>
    <t>Springfield</t>
  </si>
  <si>
    <t>Description:</t>
  </si>
  <si>
    <t>Financing Cost:</t>
  </si>
  <si>
    <t>W 501 D5</t>
  </si>
  <si>
    <t xml:space="preserve">  Turbines</t>
  </si>
  <si>
    <t xml:space="preserve">  Spare Parts </t>
  </si>
  <si>
    <t xml:space="preserve">  Land Acquisition</t>
  </si>
  <si>
    <t xml:space="preserve">  Gas Interconnection Costs</t>
  </si>
  <si>
    <t xml:space="preserve">  Electricity Interconnection Costs</t>
  </si>
  <si>
    <t xml:space="preserve">  Sales and Use Tax on Equipment</t>
  </si>
  <si>
    <t xml:space="preserve">  Mobilization Fuel</t>
  </si>
  <si>
    <t>Total Hard Cost</t>
  </si>
  <si>
    <t xml:space="preserve">  EE&amp;CC Project Management</t>
  </si>
  <si>
    <t xml:space="preserve">  Mobilization of O&amp;M</t>
  </si>
  <si>
    <t xml:space="preserve">  Environmental Permitting</t>
  </si>
  <si>
    <t xml:space="preserve">  Insurance During Construction</t>
  </si>
  <si>
    <t xml:space="preserve">  Capitalized Salaries</t>
  </si>
  <si>
    <t xml:space="preserve">  Resale Handling Fee</t>
  </si>
  <si>
    <t xml:space="preserve">  Development Expenses</t>
  </si>
  <si>
    <t xml:space="preserve">  Legal Expense</t>
  </si>
  <si>
    <t>Total Soft Cost</t>
  </si>
  <si>
    <t xml:space="preserve">  Lender's Engineer</t>
  </si>
  <si>
    <t xml:space="preserve">  Lender's Counsel</t>
  </si>
  <si>
    <t xml:space="preserve">  Financing Fee</t>
  </si>
  <si>
    <t xml:space="preserve">  Carrying Interest on Project Costs</t>
  </si>
  <si>
    <t xml:space="preserve">  Turbine Type</t>
  </si>
  <si>
    <t xml:space="preserve">  No. of Turbines</t>
  </si>
  <si>
    <t xml:space="preserve">  Gross Capacity @ ISO (MW)</t>
  </si>
  <si>
    <t xml:space="preserve">  Net Capacity @ ISO (MW)</t>
  </si>
  <si>
    <r>
      <t xml:space="preserve">  Gross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</si>
  <si>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r>
      <t xml:space="preserve">  Net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</si>
  <si>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Hard Cost:</t>
  </si>
  <si>
    <t>Soft Cost:</t>
  </si>
  <si>
    <t xml:space="preserve">  BOP and Construction</t>
  </si>
  <si>
    <t xml:space="preserve">  Transformer and Curcuit Breakers</t>
  </si>
  <si>
    <t>Total Uses of Funds</t>
  </si>
  <si>
    <t>$/MWh</t>
  </si>
  <si>
    <t>EPC Cost</t>
  </si>
  <si>
    <t>Turbine Cost</t>
  </si>
  <si>
    <t>GE 7EA</t>
  </si>
  <si>
    <t>All-in-Capital Cost</t>
  </si>
  <si>
    <t>GE 7B</t>
  </si>
  <si>
    <t>WH 501F</t>
  </si>
  <si>
    <t xml:space="preserve">  Overhead &amp; Fees - EECC</t>
  </si>
  <si>
    <t xml:space="preserve">  Overhead &amp; Fees - NEPCO</t>
  </si>
  <si>
    <t xml:space="preserve">  Base Fee</t>
  </si>
  <si>
    <t xml:space="preserve">  Switchyard</t>
  </si>
  <si>
    <t xml:space="preserve">  Union Adders/Others</t>
  </si>
  <si>
    <t xml:space="preserve">  Water Interconnect</t>
  </si>
  <si>
    <t xml:space="preserve">  Total Expensed Costs</t>
  </si>
  <si>
    <t>W 501 D5A</t>
  </si>
  <si>
    <t>Wilton</t>
  </si>
  <si>
    <t xml:space="preserve">  Sound Control</t>
  </si>
  <si>
    <t xml:space="preserve">  City Expenses</t>
  </si>
  <si>
    <t>-</t>
  </si>
  <si>
    <t>LM 6000</t>
  </si>
  <si>
    <t xml:space="preserve">  SCR</t>
  </si>
  <si>
    <t xml:space="preserve">  Dual Fuel</t>
  </si>
  <si>
    <t xml:space="preserve">  Black Start</t>
  </si>
  <si>
    <t xml:space="preserve">  Gas Compression</t>
  </si>
  <si>
    <t xml:space="preserve">  Demin Water Facility</t>
  </si>
  <si>
    <t xml:space="preserve">  Chillers</t>
  </si>
  <si>
    <t xml:space="preserve">  Pipeline</t>
  </si>
  <si>
    <t xml:space="preserve">  Debt Reserve</t>
  </si>
  <si>
    <r>
      <t xml:space="preserve">  Gross Capacity per Turbine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</si>
  <si>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Initial Purchase</t>
  </si>
  <si>
    <t>Analysis</t>
  </si>
  <si>
    <t>% of Hard Cost</t>
  </si>
  <si>
    <t>% of Soft Cost</t>
  </si>
  <si>
    <t xml:space="preserve">  Contingency:</t>
  </si>
  <si>
    <t>Total Financing Cost</t>
  </si>
  <si>
    <t>% of Fin.Cost</t>
  </si>
  <si>
    <t>% of Op. Exp</t>
  </si>
  <si>
    <t>% of All-in-Cost</t>
  </si>
  <si>
    <t xml:space="preserve">  Heat Rate (HHV)</t>
  </si>
  <si>
    <t>Total VOM</t>
  </si>
  <si>
    <t>$/kW-yr</t>
  </si>
  <si>
    <t>Summary ($/kW)</t>
  </si>
  <si>
    <t xml:space="preserve">  Owner's Engineer</t>
  </si>
  <si>
    <t xml:space="preserve">  O&amp;M Fee</t>
  </si>
  <si>
    <t>Financing Cost</t>
  </si>
  <si>
    <t>Soft Cost</t>
  </si>
  <si>
    <t>Operating Expenses</t>
  </si>
  <si>
    <t>Variable Operating Cost (per year)</t>
  </si>
  <si>
    <t>Major Maintenance &amp; Accrual (per year)</t>
  </si>
  <si>
    <t>Fixed Operating Cost (per year)</t>
  </si>
  <si>
    <t>Other Fixed Expenses (per year)</t>
  </si>
  <si>
    <t>Total Fixed Cost (per year)</t>
  </si>
  <si>
    <t>Total Expenses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</si>
</sst>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%"/>
    <numFmt numFmtId="167" formatCode="_(* #,##0.0_);_(* \(#,##0.0\);_(* &quot;-&quot;??_);_(@_)"/>
    <numFmt numFmtId="168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9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/>
    <xf numFmtId="0" fontId="3" fillId="0" borderId="2" xfId="0" applyFont="1" applyBorder="1" applyAlignment="1" applyProtection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1" xfId="0" applyFont="1" applyBorder="1" applyAlignment="1" applyProtection="1">
      <alignment horizontal="left"/>
    </xf>
    <xf numFmtId="0" fontId="10" fillId="0" borderId="0" xfId="0" applyFont="1"/>
    <xf numFmtId="0" fontId="3" fillId="0" borderId="1" xfId="0" applyFont="1" applyBorder="1" applyAlignment="1" applyProtection="1">
      <alignment horizontal="left"/>
    </xf>
    <xf numFmtId="0" fontId="11" fillId="0" borderId="0" xfId="0" applyFont="1"/>
    <xf numFmtId="168" fontId="6" fillId="0" borderId="0" xfId="1" applyNumberFormat="1" applyFont="1" applyAlignment="1">
      <alignment horizontal="right"/>
    </xf>
    <xf numFmtId="168" fontId="10" fillId="0" borderId="0" xfId="1" applyNumberFormat="1" applyFont="1" applyAlignment="1">
      <alignment horizontal="right"/>
    </xf>
    <xf numFmtId="168" fontId="6" fillId="0" borderId="0" xfId="1" applyNumberFormat="1" applyFont="1"/>
    <xf numFmtId="168" fontId="10" fillId="0" borderId="0" xfId="1" applyNumberFormat="1" applyFont="1"/>
    <xf numFmtId="168" fontId="11" fillId="0" borderId="0" xfId="1" applyNumberFormat="1" applyFont="1" applyAlignment="1">
      <alignment horizontal="right"/>
    </xf>
    <xf numFmtId="168" fontId="11" fillId="0" borderId="0" xfId="1" applyNumberFormat="1" applyFont="1"/>
    <xf numFmtId="43" fontId="11" fillId="0" borderId="0" xfId="1" applyNumberFormat="1" applyFont="1" applyAlignment="1">
      <alignment horizontal="right"/>
    </xf>
    <xf numFmtId="43" fontId="11" fillId="0" borderId="0" xfId="1" applyNumberFormat="1" applyFont="1"/>
    <xf numFmtId="43" fontId="11" fillId="0" borderId="0" xfId="0" applyNumberFormat="1" applyFont="1"/>
    <xf numFmtId="168" fontId="8" fillId="0" borderId="0" xfId="1" applyNumberFormat="1" applyFont="1" applyAlignment="1">
      <alignment horizontal="right"/>
    </xf>
    <xf numFmtId="168" fontId="8" fillId="0" borderId="0" xfId="1" applyNumberFormat="1" applyFont="1"/>
    <xf numFmtId="0" fontId="8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2" xfId="0" applyFont="1" applyBorder="1"/>
    <xf numFmtId="0" fontId="6" fillId="0" borderId="4" xfId="0" applyFont="1" applyBorder="1" applyAlignment="1">
      <alignment horizontal="right"/>
    </xf>
    <xf numFmtId="168" fontId="6" fillId="0" borderId="0" xfId="1" applyNumberFormat="1" applyFont="1" applyBorder="1" applyAlignment="1">
      <alignment horizontal="right"/>
    </xf>
    <xf numFmtId="168" fontId="6" fillId="0" borderId="6" xfId="1" applyNumberFormat="1" applyFont="1" applyBorder="1" applyAlignment="1">
      <alignment horizontal="right"/>
    </xf>
    <xf numFmtId="168" fontId="10" fillId="0" borderId="0" xfId="1" applyNumberFormat="1" applyFont="1" applyBorder="1" applyAlignment="1">
      <alignment horizontal="right"/>
    </xf>
    <xf numFmtId="168" fontId="6" fillId="0" borderId="4" xfId="1" applyNumberFormat="1" applyFont="1" applyBorder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168" fontId="8" fillId="0" borderId="7" xfId="1" applyNumberFormat="1" applyFont="1" applyBorder="1" applyAlignment="1">
      <alignment horizontal="right"/>
    </xf>
    <xf numFmtId="0" fontId="11" fillId="0" borderId="1" xfId="0" applyFont="1" applyBorder="1"/>
    <xf numFmtId="43" fontId="11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right"/>
    </xf>
    <xf numFmtId="168" fontId="8" fillId="0" borderId="8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168" fontId="2" fillId="0" borderId="7" xfId="1" applyNumberFormat="1" applyFont="1" applyBorder="1" applyAlignment="1">
      <alignment horizontal="right"/>
    </xf>
    <xf numFmtId="168" fontId="2" fillId="0" borderId="0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5" fontId="11" fillId="0" borderId="0" xfId="2" applyNumberFormat="1" applyFont="1" applyBorder="1" applyAlignment="1">
      <alignment horizontal="right"/>
    </xf>
    <xf numFmtId="168" fontId="12" fillId="0" borderId="0" xfId="1" applyNumberFormat="1" applyFont="1" applyBorder="1" applyAlignment="1">
      <alignment horizontal="right"/>
    </xf>
    <xf numFmtId="165" fontId="12" fillId="0" borderId="0" xfId="2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168" fontId="12" fillId="0" borderId="4" xfId="1" applyNumberFormat="1" applyFont="1" applyBorder="1" applyAlignment="1">
      <alignment horizontal="right"/>
    </xf>
    <xf numFmtId="0" fontId="12" fillId="0" borderId="1" xfId="0" applyFont="1" applyBorder="1"/>
    <xf numFmtId="43" fontId="12" fillId="0" borderId="0" xfId="1" applyNumberFormat="1" applyFont="1" applyBorder="1" applyAlignment="1">
      <alignment horizontal="right"/>
    </xf>
    <xf numFmtId="2" fontId="12" fillId="0" borderId="0" xfId="1" applyNumberFormat="1" applyFont="1" applyBorder="1" applyAlignment="1">
      <alignment horizontal="right"/>
    </xf>
    <xf numFmtId="167" fontId="6" fillId="0" borderId="0" xfId="1" applyNumberFormat="1" applyFont="1" applyBorder="1" applyAlignment="1">
      <alignment horizontal="right"/>
    </xf>
    <xf numFmtId="165" fontId="11" fillId="0" borderId="7" xfId="2" applyNumberFormat="1" applyFont="1" applyBorder="1" applyAlignment="1">
      <alignment horizontal="right"/>
    </xf>
    <xf numFmtId="168" fontId="6" fillId="0" borderId="7" xfId="1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8" fontId="2" fillId="0" borderId="6" xfId="1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5" fontId="11" fillId="0" borderId="6" xfId="2" applyNumberFormat="1" applyFont="1" applyBorder="1" applyAlignment="1">
      <alignment horizontal="right"/>
    </xf>
    <xf numFmtId="168" fontId="12" fillId="0" borderId="6" xfId="1" applyNumberFormat="1" applyFont="1" applyBorder="1" applyAlignment="1">
      <alignment horizontal="right"/>
    </xf>
    <xf numFmtId="165" fontId="12" fillId="0" borderId="6" xfId="2" applyNumberFormat="1" applyFont="1" applyBorder="1" applyAlignment="1">
      <alignment horizontal="right"/>
    </xf>
    <xf numFmtId="168" fontId="12" fillId="0" borderId="5" xfId="1" applyNumberFormat="1" applyFont="1" applyBorder="1" applyAlignment="1">
      <alignment horizontal="right"/>
    </xf>
    <xf numFmtId="165" fontId="11" fillId="0" borderId="8" xfId="2" applyNumberFormat="1" applyFont="1" applyBorder="1" applyAlignment="1">
      <alignment horizontal="right"/>
    </xf>
    <xf numFmtId="0" fontId="8" fillId="2" borderId="2" xfId="0" applyFont="1" applyFill="1" applyBorder="1"/>
    <xf numFmtId="168" fontId="8" fillId="2" borderId="7" xfId="1" applyNumberFormat="1" applyFont="1" applyFill="1" applyBorder="1" applyAlignment="1">
      <alignment horizontal="right"/>
    </xf>
    <xf numFmtId="165" fontId="11" fillId="2" borderId="7" xfId="2" applyNumberFormat="1" applyFont="1" applyFill="1" applyBorder="1" applyAlignment="1">
      <alignment horizontal="right"/>
    </xf>
    <xf numFmtId="165" fontId="11" fillId="2" borderId="8" xfId="2" applyNumberFormat="1" applyFont="1" applyFill="1" applyBorder="1" applyAlignment="1">
      <alignment horizontal="right"/>
    </xf>
    <xf numFmtId="0" fontId="10" fillId="0" borderId="1" xfId="0" applyFont="1" applyBorder="1"/>
    <xf numFmtId="168" fontId="13" fillId="0" borderId="8" xfId="1" applyNumberFormat="1" applyFont="1" applyBorder="1" applyAlignment="1">
      <alignment horizontal="right"/>
    </xf>
    <xf numFmtId="43" fontId="6" fillId="0" borderId="6" xfId="1" applyNumberFormat="1" applyFont="1" applyBorder="1" applyAlignment="1">
      <alignment horizontal="right"/>
    </xf>
    <xf numFmtId="0" fontId="6" fillId="0" borderId="2" xfId="0" applyFont="1" applyBorder="1"/>
    <xf numFmtId="168" fontId="6" fillId="0" borderId="0" xfId="1" applyNumberFormat="1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horizontal="right"/>
    </xf>
    <xf numFmtId="43" fontId="6" fillId="0" borderId="0" xfId="1" applyNumberFormat="1" applyFont="1" applyFill="1" applyBorder="1" applyAlignment="1">
      <alignment horizontal="right"/>
    </xf>
    <xf numFmtId="1" fontId="6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6"/>
  <sheetViews>
    <sheetView tabSelected="1" topLeftCell="P49" zoomScaleNormal="100" workbookViewId="0">
      <selection activeCell="T57" sqref="T57"/>
    </sheetView>
  </sheetViews>
  <sheetFormatPr defaultRowHeight="12.75" x14ac:dyDescent="0.2"/>
  <cols>
    <col min="1" max="1" width="30.7109375" style="5" bestFit="1" customWidth="1"/>
    <col min="2" max="2" width="13.7109375" style="5" customWidth="1"/>
    <col min="3" max="3" width="15.42578125" style="5" bestFit="1" customWidth="1"/>
    <col min="4" max="4" width="13.7109375" style="5" customWidth="1"/>
    <col min="5" max="5" width="15.42578125" style="5" customWidth="1"/>
    <col min="6" max="6" width="13.7109375" style="5" customWidth="1"/>
    <col min="7" max="7" width="15.42578125" style="5" customWidth="1"/>
    <col min="8" max="8" width="13.7109375" style="5" customWidth="1"/>
    <col min="9" max="9" width="15.42578125" style="5" customWidth="1"/>
    <col min="10" max="10" width="13.7109375" style="5" customWidth="1"/>
    <col min="11" max="11" width="15.42578125" style="5" customWidth="1"/>
    <col min="12" max="12" width="13.7109375" style="5" customWidth="1"/>
    <col min="13" max="13" width="15.42578125" style="5" customWidth="1"/>
    <col min="14" max="14" width="13.7109375" style="5" customWidth="1"/>
    <col min="15" max="15" width="15.42578125" style="5" customWidth="1"/>
    <col min="16" max="16" width="15" style="5" bestFit="1" customWidth="1"/>
    <col min="17" max="17" width="15.42578125" style="5" customWidth="1"/>
    <col min="18" max="18" width="13.7109375" style="5" customWidth="1"/>
    <col min="19" max="19" width="15.42578125" style="5" customWidth="1"/>
    <col min="20" max="20" width="13.7109375" style="5" customWidth="1"/>
    <col min="21" max="21" width="15.42578125" style="5" customWidth="1"/>
    <col min="22" max="22" width="13.7109375" style="5" customWidth="1"/>
    <col min="23" max="23" width="15.42578125" style="5" customWidth="1"/>
    <col min="24" max="57" width="13.7109375" style="5" customWidth="1"/>
    <col min="58" max="16384" width="9.140625" style="5"/>
  </cols>
  <sheetData>
    <row r="1" spans="1:45" ht="18.75" x14ac:dyDescent="0.3">
      <c r="A1" s="4" t="s">
        <v>0</v>
      </c>
    </row>
    <row r="2" spans="1:45" x14ac:dyDescent="0.2">
      <c r="P2" s="46" t="s">
        <v>74</v>
      </c>
    </row>
    <row r="3" spans="1:45" x14ac:dyDescent="0.2">
      <c r="B3" s="6" t="s">
        <v>1</v>
      </c>
      <c r="C3" s="6"/>
      <c r="D3" s="6" t="s">
        <v>2</v>
      </c>
      <c r="E3" s="6"/>
      <c r="F3" s="6" t="s">
        <v>3</v>
      </c>
      <c r="G3" s="6"/>
      <c r="H3" s="6" t="s">
        <v>4</v>
      </c>
      <c r="I3" s="6"/>
      <c r="J3" s="6" t="s">
        <v>5</v>
      </c>
      <c r="K3" s="6"/>
      <c r="L3" s="6" t="s">
        <v>60</v>
      </c>
      <c r="M3" s="6"/>
      <c r="N3" s="6" t="s">
        <v>6</v>
      </c>
      <c r="O3" s="6"/>
      <c r="P3" s="6" t="s">
        <v>75</v>
      </c>
      <c r="Q3" s="6"/>
      <c r="R3" s="6" t="s">
        <v>7</v>
      </c>
      <c r="S3" s="6"/>
      <c r="T3" s="6" t="s">
        <v>8</v>
      </c>
      <c r="U3" s="6"/>
      <c r="V3" s="6" t="s">
        <v>9</v>
      </c>
      <c r="W3" s="6"/>
    </row>
    <row r="5" spans="1:45" x14ac:dyDescent="0.2">
      <c r="A5" s="25" t="s">
        <v>10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</row>
    <row r="6" spans="1:45" x14ac:dyDescent="0.2">
      <c r="A6" s="2" t="s">
        <v>34</v>
      </c>
      <c r="B6" s="28" t="s">
        <v>12</v>
      </c>
      <c r="C6" s="28"/>
      <c r="D6" s="28" t="s">
        <v>48</v>
      </c>
      <c r="E6" s="28"/>
      <c r="F6" s="28" t="s">
        <v>50</v>
      </c>
      <c r="G6" s="28"/>
      <c r="H6" s="28" t="s">
        <v>51</v>
      </c>
      <c r="I6" s="28"/>
      <c r="J6" s="28" t="s">
        <v>59</v>
      </c>
      <c r="K6" s="28"/>
      <c r="L6" s="28" t="s">
        <v>48</v>
      </c>
      <c r="M6" s="28"/>
      <c r="N6" s="28" t="s">
        <v>63</v>
      </c>
      <c r="O6" s="28"/>
      <c r="P6" s="28" t="s">
        <v>64</v>
      </c>
      <c r="Q6" s="28"/>
      <c r="R6" s="28" t="s">
        <v>64</v>
      </c>
      <c r="S6" s="28"/>
      <c r="T6" s="28" t="s">
        <v>64</v>
      </c>
      <c r="U6" s="28"/>
      <c r="V6" s="28" t="s">
        <v>64</v>
      </c>
      <c r="W6" s="47"/>
      <c r="X6" s="8"/>
      <c r="Y6" s="8"/>
      <c r="Z6" s="8"/>
    </row>
    <row r="7" spans="1:45" x14ac:dyDescent="0.2">
      <c r="A7" s="2" t="s">
        <v>35</v>
      </c>
      <c r="B7" s="28">
        <v>4</v>
      </c>
      <c r="C7" s="28"/>
      <c r="D7" s="28">
        <v>6</v>
      </c>
      <c r="E7" s="28"/>
      <c r="F7" s="28">
        <v>6</v>
      </c>
      <c r="G7" s="28"/>
      <c r="H7" s="28">
        <v>3</v>
      </c>
      <c r="I7" s="28"/>
      <c r="J7" s="28">
        <v>4</v>
      </c>
      <c r="K7" s="28"/>
      <c r="L7" s="28">
        <v>8</v>
      </c>
      <c r="M7" s="28"/>
      <c r="N7" s="28">
        <f>SUM(B7:L7)</f>
        <v>31</v>
      </c>
      <c r="O7" s="28"/>
      <c r="P7" s="28">
        <v>24</v>
      </c>
      <c r="Q7" s="28"/>
      <c r="R7" s="28">
        <v>5</v>
      </c>
      <c r="S7" s="28"/>
      <c r="T7" s="28">
        <v>4</v>
      </c>
      <c r="U7" s="28"/>
      <c r="V7" s="60">
        <v>3</v>
      </c>
      <c r="W7" s="47"/>
      <c r="X7" s="8"/>
      <c r="Y7" s="8"/>
      <c r="Z7" s="8"/>
    </row>
    <row r="8" spans="1:45" hidden="1" x14ac:dyDescent="0.2">
      <c r="A8" s="2" t="s">
        <v>36</v>
      </c>
      <c r="B8" s="29">
        <v>497.4</v>
      </c>
      <c r="C8" s="29"/>
      <c r="D8" s="29">
        <v>503.6</v>
      </c>
      <c r="E8" s="29"/>
      <c r="F8" s="29">
        <v>430.2</v>
      </c>
      <c r="G8" s="29"/>
      <c r="H8" s="29">
        <v>535.29999999999995</v>
      </c>
      <c r="I8" s="29"/>
      <c r="J8" s="29">
        <v>514.6</v>
      </c>
      <c r="K8" s="29"/>
      <c r="L8" s="29">
        <v>665.9</v>
      </c>
      <c r="M8" s="29"/>
      <c r="N8" s="45">
        <f>SUM(B8:L8)</f>
        <v>3147</v>
      </c>
      <c r="O8" s="29"/>
      <c r="P8" s="29"/>
      <c r="Q8" s="29"/>
      <c r="R8" s="29"/>
      <c r="S8" s="29"/>
      <c r="T8" s="29"/>
      <c r="U8" s="29"/>
      <c r="V8" s="60"/>
      <c r="W8" s="48"/>
      <c r="X8" s="8"/>
      <c r="Y8" s="8"/>
      <c r="Z8" s="8"/>
    </row>
    <row r="9" spans="1:45" hidden="1" x14ac:dyDescent="0.2">
      <c r="A9" s="2" t="s">
        <v>37</v>
      </c>
      <c r="B9" s="29">
        <f>B8*0.98</f>
        <v>487.45199999999994</v>
      </c>
      <c r="C9" s="29"/>
      <c r="D9" s="29">
        <f>D8*0.98</f>
        <v>493.52800000000002</v>
      </c>
      <c r="E9" s="29"/>
      <c r="F9" s="29">
        <f t="shared" ref="F9:V9" si="0">F8*0.98</f>
        <v>421.596</v>
      </c>
      <c r="G9" s="29"/>
      <c r="H9" s="29">
        <f t="shared" si="0"/>
        <v>524.59399999999994</v>
      </c>
      <c r="I9" s="29"/>
      <c r="J9" s="29">
        <f t="shared" si="0"/>
        <v>504.30799999999999</v>
      </c>
      <c r="K9" s="29"/>
      <c r="L9" s="29">
        <f t="shared" si="0"/>
        <v>652.58199999999999</v>
      </c>
      <c r="M9" s="29"/>
      <c r="N9" s="45">
        <f>SUM(B9:L9)</f>
        <v>3084.06</v>
      </c>
      <c r="O9" s="29"/>
      <c r="P9" s="29">
        <f t="shared" si="0"/>
        <v>0</v>
      </c>
      <c r="Q9" s="29"/>
      <c r="R9" s="29">
        <f t="shared" si="0"/>
        <v>0</v>
      </c>
      <c r="S9" s="29"/>
      <c r="T9" s="29">
        <f t="shared" si="0"/>
        <v>0</v>
      </c>
      <c r="U9" s="29"/>
      <c r="V9" s="29">
        <f t="shared" si="0"/>
        <v>0</v>
      </c>
      <c r="W9" s="48"/>
      <c r="X9" s="8"/>
      <c r="Y9" s="8"/>
      <c r="Z9" s="8"/>
    </row>
    <row r="10" spans="1:45" ht="13.5" x14ac:dyDescent="0.2">
      <c r="A10" s="2" t="s">
        <v>73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45"/>
      <c r="O10" s="29"/>
      <c r="P10" s="29">
        <v>48.5</v>
      </c>
      <c r="Q10" s="29"/>
      <c r="R10" s="29">
        <v>46</v>
      </c>
      <c r="S10" s="29"/>
      <c r="T10" s="29">
        <v>48.5</v>
      </c>
      <c r="U10" s="29"/>
      <c r="V10" s="29">
        <f>V11/V7</f>
        <v>46.1</v>
      </c>
      <c r="W10" s="48"/>
      <c r="X10" s="8"/>
      <c r="Y10" s="8"/>
      <c r="Z10" s="8"/>
    </row>
    <row r="11" spans="1:45" ht="13.5" x14ac:dyDescent="0.2">
      <c r="A11" s="2" t="s">
        <v>38</v>
      </c>
      <c r="B11" s="45">
        <v>458</v>
      </c>
      <c r="C11" s="45"/>
      <c r="D11" s="45">
        <v>442</v>
      </c>
      <c r="E11" s="45"/>
      <c r="F11" s="45">
        <v>367</v>
      </c>
      <c r="G11" s="45"/>
      <c r="H11" s="45">
        <v>510</v>
      </c>
      <c r="I11" s="45"/>
      <c r="J11" s="45">
        <v>470</v>
      </c>
      <c r="K11" s="45"/>
      <c r="L11" s="45">
        <v>608</v>
      </c>
      <c r="M11" s="45"/>
      <c r="N11" s="45">
        <f>SUM(B11:L11)</f>
        <v>2855</v>
      </c>
      <c r="O11" s="45"/>
      <c r="P11" s="45">
        <f>P7*P10</f>
        <v>1164</v>
      </c>
      <c r="Q11" s="45"/>
      <c r="R11" s="45">
        <f>R7*R10</f>
        <v>230</v>
      </c>
      <c r="S11" s="45"/>
      <c r="T11" s="45">
        <f>T7*T10</f>
        <v>194</v>
      </c>
      <c r="U11" s="45"/>
      <c r="V11" s="57">
        <v>138.30000000000001</v>
      </c>
      <c r="W11" s="61"/>
      <c r="X11" s="8"/>
      <c r="Y11" s="8"/>
      <c r="Z11" s="8"/>
    </row>
    <row r="12" spans="1:45" ht="13.5" hidden="1" x14ac:dyDescent="0.2">
      <c r="A12" s="2" t="s">
        <v>39</v>
      </c>
      <c r="B12" s="29">
        <f t="shared" ref="B12:L12" si="1">B11*0.98</f>
        <v>448.84</v>
      </c>
      <c r="C12" s="29"/>
      <c r="D12" s="29">
        <f t="shared" si="1"/>
        <v>433.15999999999997</v>
      </c>
      <c r="E12" s="29"/>
      <c r="F12" s="29">
        <f t="shared" si="1"/>
        <v>359.65999999999997</v>
      </c>
      <c r="G12" s="29"/>
      <c r="H12" s="29">
        <f t="shared" si="1"/>
        <v>499.8</v>
      </c>
      <c r="I12" s="29"/>
      <c r="J12" s="29">
        <f t="shared" si="1"/>
        <v>460.59999999999997</v>
      </c>
      <c r="K12" s="29"/>
      <c r="L12" s="29">
        <f t="shared" si="1"/>
        <v>595.84</v>
      </c>
      <c r="M12" s="29"/>
      <c r="N12" s="45">
        <f>SUM(B12:L12)</f>
        <v>2797.9</v>
      </c>
      <c r="O12" s="29"/>
      <c r="P12" s="29"/>
      <c r="Q12" s="29"/>
      <c r="R12" s="29"/>
      <c r="S12" s="29"/>
      <c r="T12" s="29"/>
      <c r="U12" s="29"/>
      <c r="V12" s="60">
        <v>130.69999999999999</v>
      </c>
      <c r="W12" s="48"/>
      <c r="X12" s="8"/>
      <c r="Y12" s="8"/>
      <c r="Z12" s="8"/>
    </row>
    <row r="13" spans="1:45" x14ac:dyDescent="0.2">
      <c r="A13" s="30" t="s">
        <v>83</v>
      </c>
      <c r="B13" s="44">
        <v>11411</v>
      </c>
      <c r="C13" s="44"/>
      <c r="D13" s="44">
        <v>12064</v>
      </c>
      <c r="E13" s="44"/>
      <c r="F13" s="44">
        <v>12228</v>
      </c>
      <c r="G13" s="44"/>
      <c r="H13" s="44">
        <v>10904</v>
      </c>
      <c r="I13" s="44"/>
      <c r="J13" s="44">
        <v>11735</v>
      </c>
      <c r="K13" s="44"/>
      <c r="L13" s="44">
        <v>11973</v>
      </c>
      <c r="M13" s="44"/>
      <c r="N13" s="44" t="s">
        <v>63</v>
      </c>
      <c r="O13" s="44"/>
      <c r="P13" s="44">
        <v>9435</v>
      </c>
      <c r="Q13" s="44"/>
      <c r="R13" s="44">
        <v>10915</v>
      </c>
      <c r="S13" s="44"/>
      <c r="T13" s="44">
        <v>9332</v>
      </c>
      <c r="U13" s="44"/>
      <c r="V13" s="59">
        <v>10329</v>
      </c>
      <c r="W13" s="73"/>
      <c r="X13" s="8"/>
      <c r="Y13" s="8"/>
      <c r="Z13" s="8"/>
    </row>
    <row r="14" spans="1:45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8"/>
      <c r="W14" s="9"/>
      <c r="X14" s="8"/>
      <c r="Y14" s="8"/>
      <c r="Z14" s="8"/>
    </row>
    <row r="15" spans="1:45" x14ac:dyDescent="0.2">
      <c r="A15" s="25" t="s">
        <v>40</v>
      </c>
      <c r="B15" s="31"/>
      <c r="C15" s="52" t="s">
        <v>76</v>
      </c>
      <c r="D15" s="31"/>
      <c r="E15" s="52" t="s">
        <v>76</v>
      </c>
      <c r="F15" s="31"/>
      <c r="G15" s="52" t="s">
        <v>76</v>
      </c>
      <c r="H15" s="31"/>
      <c r="I15" s="52" t="s">
        <v>76</v>
      </c>
      <c r="J15" s="31"/>
      <c r="K15" s="52" t="s">
        <v>76</v>
      </c>
      <c r="L15" s="31"/>
      <c r="M15" s="52" t="s">
        <v>76</v>
      </c>
      <c r="N15" s="31"/>
      <c r="O15" s="52" t="s">
        <v>76</v>
      </c>
      <c r="P15" s="31"/>
      <c r="Q15" s="52" t="s">
        <v>76</v>
      </c>
      <c r="R15" s="31"/>
      <c r="S15" s="52" t="s">
        <v>76</v>
      </c>
      <c r="T15" s="31"/>
      <c r="U15" s="52" t="s">
        <v>76</v>
      </c>
      <c r="V15" s="31"/>
      <c r="W15" s="62" t="s">
        <v>76</v>
      </c>
      <c r="X15" s="8"/>
      <c r="Y15" s="8"/>
      <c r="Z15" s="8"/>
    </row>
    <row r="16" spans="1:45" x14ac:dyDescent="0.2">
      <c r="A16" s="1" t="s">
        <v>13</v>
      </c>
      <c r="B16" s="32">
        <v>72614.406000000003</v>
      </c>
      <c r="C16" s="49">
        <f t="shared" ref="C16:C38" si="2">B16/$B$38</f>
        <v>0.61440106447981024</v>
      </c>
      <c r="D16" s="32">
        <v>101629.10799999999</v>
      </c>
      <c r="E16" s="49">
        <f>D16/$D$38</f>
        <v>0.69281317311790946</v>
      </c>
      <c r="F16" s="32">
        <v>82754.59</v>
      </c>
      <c r="G16" s="49">
        <f>F16/$F$38</f>
        <v>0.59555710971546971</v>
      </c>
      <c r="H16" s="32">
        <v>93580</v>
      </c>
      <c r="I16" s="49">
        <f>H16/$H$38</f>
        <v>0.60106074697065193</v>
      </c>
      <c r="J16" s="32">
        <v>86219.301000000007</v>
      </c>
      <c r="K16" s="49">
        <f>J16/$J$38</f>
        <v>0.58611612608606223</v>
      </c>
      <c r="L16" s="32">
        <v>142064.94</v>
      </c>
      <c r="M16" s="49">
        <f>L16/$L$38</f>
        <v>0.59790910636344752</v>
      </c>
      <c r="N16" s="32">
        <f>SUM(B16:L16)</f>
        <v>578865.43494822038</v>
      </c>
      <c r="O16" s="49">
        <f>N16/$N$38</f>
        <v>0.61305351361002125</v>
      </c>
      <c r="P16" s="32">
        <v>0</v>
      </c>
      <c r="Q16" s="49">
        <f>P16/$P$38</f>
        <v>0</v>
      </c>
      <c r="R16" s="32">
        <v>71506</v>
      </c>
      <c r="S16" s="49">
        <f>R16/$R$38</f>
        <v>0.57072392050442977</v>
      </c>
      <c r="T16" s="32">
        <v>56048</v>
      </c>
      <c r="U16" s="49">
        <f>T16/$T$38</f>
        <v>0.57406819415566457</v>
      </c>
      <c r="V16" s="76">
        <f>41850+186+708+621</f>
        <v>43365</v>
      </c>
      <c r="W16" s="63">
        <f>V16/$V$38</f>
        <v>0.59310215424508816</v>
      </c>
      <c r="X16" s="14"/>
      <c r="Y16" s="14"/>
      <c r="Z16" s="14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x14ac:dyDescent="0.2">
      <c r="A17" s="1" t="s">
        <v>43</v>
      </c>
      <c r="B17" s="32">
        <v>8885.2469999999994</v>
      </c>
      <c r="C17" s="49">
        <f t="shared" si="2"/>
        <v>7.517936888399307E-2</v>
      </c>
      <c r="D17" s="32">
        <v>10286.721</v>
      </c>
      <c r="E17" s="49">
        <f t="shared" ref="E17:E37" si="3">D17/$D$38</f>
        <v>7.0125340635565109E-2</v>
      </c>
      <c r="F17" s="32">
        <v>19228.133000000002</v>
      </c>
      <c r="G17" s="49">
        <f t="shared" ref="G17:G37" si="4">F17/$F$38</f>
        <v>0.13837844299276508</v>
      </c>
      <c r="H17" s="32">
        <v>5885.8109999999997</v>
      </c>
      <c r="I17" s="49">
        <f t="shared" ref="I17:I37" si="5">H17/$H$38</f>
        <v>3.7804338065698648E-2</v>
      </c>
      <c r="J17" s="32">
        <v>4440.5339999999997</v>
      </c>
      <c r="K17" s="49">
        <f t="shared" ref="K17:K37" si="6">J17/$J$38</f>
        <v>3.018661199576932E-2</v>
      </c>
      <c r="L17" s="32">
        <v>5916.0479999999998</v>
      </c>
      <c r="M17" s="49">
        <f t="shared" ref="M17:M37" si="7">L17/$L$38</f>
        <v>2.4898887599454595E-2</v>
      </c>
      <c r="N17" s="32">
        <f t="shared" ref="N17:N37" si="8">SUM(B17:L17)</f>
        <v>54642.84567410258</v>
      </c>
      <c r="O17" s="49">
        <f t="shared" ref="O17:O37" si="9">N17/$N$38</f>
        <v>5.7870079143964137E-2</v>
      </c>
      <c r="P17" s="32">
        <v>0</v>
      </c>
      <c r="Q17" s="49">
        <f t="shared" ref="Q17:Q37" si="10">P17/$P$38</f>
        <v>0</v>
      </c>
      <c r="R17" s="32">
        <v>0</v>
      </c>
      <c r="S17" s="49">
        <f t="shared" ref="S17:S37" si="11">R17/$R$38</f>
        <v>0</v>
      </c>
      <c r="T17" s="32">
        <v>0</v>
      </c>
      <c r="U17" s="49">
        <f t="shared" ref="U17:U37" si="12">T17/$T$38</f>
        <v>0</v>
      </c>
      <c r="V17" s="76">
        <v>0</v>
      </c>
      <c r="W17" s="63">
        <f t="shared" ref="W17:W37" si="13">V17/$V$38</f>
        <v>0</v>
      </c>
      <c r="X17" s="14"/>
      <c r="Y17" s="14"/>
      <c r="Z17" s="14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x14ac:dyDescent="0.2">
      <c r="A18" s="1" t="s">
        <v>42</v>
      </c>
      <c r="B18" s="32">
        <v>32943.415999999997</v>
      </c>
      <c r="C18" s="49">
        <f t="shared" si="2"/>
        <v>0.27873904054246768</v>
      </c>
      <c r="D18" s="32">
        <v>29262.010999999999</v>
      </c>
      <c r="E18" s="49">
        <f t="shared" si="3"/>
        <v>0.19948130109260795</v>
      </c>
      <c r="F18" s="32">
        <v>33531.644</v>
      </c>
      <c r="G18" s="49">
        <f t="shared" si="4"/>
        <v>0.24131602832722723</v>
      </c>
      <c r="H18" s="32">
        <v>30385.599999999999</v>
      </c>
      <c r="I18" s="49">
        <f t="shared" si="5"/>
        <v>0.19516554213668988</v>
      </c>
      <c r="J18" s="32">
        <v>24230.498</v>
      </c>
      <c r="K18" s="49">
        <f t="shared" si="6"/>
        <v>0.16471817164112798</v>
      </c>
      <c r="L18" s="32">
        <v>46656.593999999997</v>
      </c>
      <c r="M18" s="49">
        <f t="shared" si="7"/>
        <v>0.19636373636241417</v>
      </c>
      <c r="N18" s="32">
        <f t="shared" si="8"/>
        <v>197010.84242008376</v>
      </c>
      <c r="O18" s="49">
        <f t="shared" si="9"/>
        <v>0.20864640013564845</v>
      </c>
      <c r="P18" s="32">
        <v>0</v>
      </c>
      <c r="Q18" s="49">
        <f t="shared" si="10"/>
        <v>0</v>
      </c>
      <c r="R18" s="32">
        <v>39642</v>
      </c>
      <c r="S18" s="49">
        <f t="shared" si="11"/>
        <v>0.31640194748184214</v>
      </c>
      <c r="T18" s="32">
        <v>27189</v>
      </c>
      <c r="U18" s="49">
        <f t="shared" si="12"/>
        <v>0.27848166091383036</v>
      </c>
      <c r="V18" s="76">
        <f>21192.195-960</f>
        <v>20232.195</v>
      </c>
      <c r="W18" s="63">
        <f t="shared" si="13"/>
        <v>0.27671528743472157</v>
      </c>
      <c r="X18" s="14"/>
      <c r="Y18" s="14"/>
      <c r="Z18" s="14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x14ac:dyDescent="0.2">
      <c r="A19" s="2" t="s">
        <v>14</v>
      </c>
      <c r="B19" s="32">
        <v>1317.7470000000001</v>
      </c>
      <c r="C19" s="49">
        <f t="shared" si="2"/>
        <v>1.1149649279167504E-2</v>
      </c>
      <c r="D19" s="32">
        <v>787.8</v>
      </c>
      <c r="E19" s="49">
        <f t="shared" si="3"/>
        <v>5.3704910780313954E-3</v>
      </c>
      <c r="F19" s="32">
        <v>813.05</v>
      </c>
      <c r="G19" s="49">
        <f t="shared" si="4"/>
        <v>5.8512489525253241E-3</v>
      </c>
      <c r="H19" s="32">
        <v>1247.0070000000001</v>
      </c>
      <c r="I19" s="49">
        <f t="shared" si="5"/>
        <v>8.0094780818297899E-3</v>
      </c>
      <c r="J19" s="32">
        <v>1172.731</v>
      </c>
      <c r="K19" s="49">
        <f t="shared" si="6"/>
        <v>7.9721888566579042E-3</v>
      </c>
      <c r="L19" s="32">
        <v>1253.8810000000001</v>
      </c>
      <c r="M19" s="49">
        <f t="shared" si="7"/>
        <v>5.2772124367638212E-3</v>
      </c>
      <c r="N19" s="32">
        <f t="shared" si="8"/>
        <v>6592.254353056248</v>
      </c>
      <c r="O19" s="49">
        <f t="shared" si="9"/>
        <v>6.9815961530223245E-3</v>
      </c>
      <c r="P19" s="32">
        <v>0</v>
      </c>
      <c r="Q19" s="49">
        <f t="shared" si="10"/>
        <v>0</v>
      </c>
      <c r="R19" s="32">
        <v>1543</v>
      </c>
      <c r="S19" s="49">
        <f t="shared" si="11"/>
        <v>1.2315428206560779E-2</v>
      </c>
      <c r="T19" s="32">
        <v>1320</v>
      </c>
      <c r="U19" s="49">
        <f t="shared" si="12"/>
        <v>1.3520018846086876E-2</v>
      </c>
      <c r="V19" s="76">
        <v>0</v>
      </c>
      <c r="W19" s="63">
        <f t="shared" si="13"/>
        <v>0</v>
      </c>
      <c r="X19" s="14"/>
      <c r="Y19" s="14"/>
      <c r="Z19" s="14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x14ac:dyDescent="0.2">
      <c r="A20" s="2" t="s">
        <v>16</v>
      </c>
      <c r="B20" s="32">
        <v>0</v>
      </c>
      <c r="C20" s="49">
        <f t="shared" si="2"/>
        <v>0</v>
      </c>
      <c r="D20" s="32">
        <v>981</v>
      </c>
      <c r="E20" s="49">
        <f t="shared" si="3"/>
        <v>6.6875498191784699E-3</v>
      </c>
      <c r="F20" s="32">
        <v>0</v>
      </c>
      <c r="G20" s="49">
        <f t="shared" si="4"/>
        <v>0</v>
      </c>
      <c r="H20" s="32">
        <v>750</v>
      </c>
      <c r="I20" s="49">
        <f t="shared" si="5"/>
        <v>4.8172212035476484E-3</v>
      </c>
      <c r="J20" s="32">
        <v>1500</v>
      </c>
      <c r="K20" s="49">
        <f t="shared" si="6"/>
        <v>1.0196953337966556E-2</v>
      </c>
      <c r="L20" s="32">
        <v>6500</v>
      </c>
      <c r="M20" s="49">
        <f t="shared" si="7"/>
        <v>2.735656799884904E-2</v>
      </c>
      <c r="N20" s="32">
        <f t="shared" si="8"/>
        <v>9731.0217017243594</v>
      </c>
      <c r="O20" s="49">
        <f t="shared" si="9"/>
        <v>1.0305740652473253E-2</v>
      </c>
      <c r="P20" s="32">
        <v>0</v>
      </c>
      <c r="Q20" s="49">
        <f t="shared" si="10"/>
        <v>0</v>
      </c>
      <c r="R20" s="32">
        <v>0</v>
      </c>
      <c r="S20" s="49">
        <f t="shared" si="11"/>
        <v>0</v>
      </c>
      <c r="T20" s="32">
        <v>0</v>
      </c>
      <c r="U20" s="49">
        <f t="shared" si="12"/>
        <v>0</v>
      </c>
      <c r="V20" s="76">
        <v>0</v>
      </c>
      <c r="W20" s="63">
        <f t="shared" si="13"/>
        <v>0</v>
      </c>
      <c r="X20" s="14"/>
      <c r="Y20" s="14"/>
      <c r="Z20" s="14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x14ac:dyDescent="0.2">
      <c r="A21" s="1" t="s">
        <v>17</v>
      </c>
      <c r="B21" s="32">
        <v>1972.489</v>
      </c>
      <c r="C21" s="49">
        <f t="shared" si="2"/>
        <v>1.6689516695553724E-2</v>
      </c>
      <c r="D21" s="32">
        <v>3507.82</v>
      </c>
      <c r="E21" s="49">
        <f t="shared" si="3"/>
        <v>2.3913069323864038E-2</v>
      </c>
      <c r="F21" s="32">
        <v>2150.8069999999998</v>
      </c>
      <c r="G21" s="49">
        <f t="shared" si="4"/>
        <v>1.5478638713282252E-2</v>
      </c>
      <c r="H21" s="32">
        <v>2200</v>
      </c>
      <c r="I21" s="49">
        <f t="shared" si="5"/>
        <v>1.4130515530406434E-2</v>
      </c>
      <c r="J21" s="32">
        <v>5000</v>
      </c>
      <c r="K21" s="49">
        <f t="shared" si="6"/>
        <v>3.3989844459888521E-2</v>
      </c>
      <c r="L21" s="32">
        <v>1216.3820000000001</v>
      </c>
      <c r="M21" s="49">
        <f t="shared" si="7"/>
        <v>5.1193902916270764E-3</v>
      </c>
      <c r="N21" s="32">
        <f t="shared" si="8"/>
        <v>16047.602201584723</v>
      </c>
      <c r="O21" s="49">
        <f t="shared" si="9"/>
        <v>1.6995381518292659E-2</v>
      </c>
      <c r="P21" s="32">
        <v>0</v>
      </c>
      <c r="Q21" s="49">
        <f t="shared" si="10"/>
        <v>0</v>
      </c>
      <c r="R21" s="32">
        <v>1335</v>
      </c>
      <c r="S21" s="49">
        <f t="shared" si="11"/>
        <v>1.0655279750977732E-2</v>
      </c>
      <c r="T21" s="32">
        <v>2000</v>
      </c>
      <c r="U21" s="49">
        <f t="shared" si="12"/>
        <v>2.0484877039525569E-2</v>
      </c>
      <c r="V21" s="76">
        <v>0</v>
      </c>
      <c r="W21" s="63">
        <f t="shared" si="13"/>
        <v>0</v>
      </c>
      <c r="X21" s="14"/>
      <c r="Y21" s="14"/>
      <c r="Z21" s="14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2">
      <c r="A22" s="2" t="s">
        <v>18</v>
      </c>
      <c r="B22" s="32">
        <v>225.94900000000001</v>
      </c>
      <c r="C22" s="49">
        <f t="shared" si="2"/>
        <v>1.9117873954398064E-3</v>
      </c>
      <c r="D22" s="32">
        <v>100</v>
      </c>
      <c r="E22" s="49">
        <f t="shared" si="3"/>
        <v>6.8170742295397245E-4</v>
      </c>
      <c r="F22" s="32">
        <v>100</v>
      </c>
      <c r="G22" s="49">
        <f t="shared" si="4"/>
        <v>7.1966655833286084E-4</v>
      </c>
      <c r="H22" s="32">
        <v>1750</v>
      </c>
      <c r="I22" s="49">
        <f t="shared" si="5"/>
        <v>1.1240182808277845E-2</v>
      </c>
      <c r="J22" s="32">
        <v>50</v>
      </c>
      <c r="K22" s="49">
        <f t="shared" si="6"/>
        <v>3.398984445988852E-4</v>
      </c>
      <c r="L22" s="32">
        <v>500</v>
      </c>
      <c r="M22" s="49">
        <f t="shared" si="7"/>
        <v>2.1043513845268491E-3</v>
      </c>
      <c r="N22" s="32">
        <f t="shared" si="8"/>
        <v>2725.9638932426296</v>
      </c>
      <c r="O22" s="49">
        <f t="shared" si="9"/>
        <v>2.8869606679416482E-3</v>
      </c>
      <c r="P22" s="32">
        <v>0</v>
      </c>
      <c r="Q22" s="49">
        <f t="shared" si="10"/>
        <v>0</v>
      </c>
      <c r="R22" s="32">
        <v>0</v>
      </c>
      <c r="S22" s="49">
        <f t="shared" si="11"/>
        <v>0</v>
      </c>
      <c r="T22" s="32">
        <v>0</v>
      </c>
      <c r="U22" s="49">
        <f t="shared" si="12"/>
        <v>0</v>
      </c>
      <c r="V22" s="76">
        <v>0</v>
      </c>
      <c r="W22" s="63">
        <f t="shared" si="13"/>
        <v>0</v>
      </c>
      <c r="X22" s="14"/>
      <c r="Y22" s="14"/>
      <c r="Z22" s="14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2">
      <c r="A23" s="1" t="s">
        <v>19</v>
      </c>
      <c r="B23" s="32">
        <v>228.05099999999999</v>
      </c>
      <c r="C23" s="49">
        <f t="shared" si="2"/>
        <v>1.929572723567899E-3</v>
      </c>
      <c r="D23" s="32">
        <v>136.036</v>
      </c>
      <c r="E23" s="49">
        <f t="shared" si="3"/>
        <v>9.2736750988966598E-4</v>
      </c>
      <c r="F23" s="32">
        <v>375.01600000000002</v>
      </c>
      <c r="G23" s="49">
        <f t="shared" si="4"/>
        <v>2.6988647403975614E-3</v>
      </c>
      <c r="H23" s="32">
        <v>1000</v>
      </c>
      <c r="I23" s="49">
        <f t="shared" si="5"/>
        <v>6.4229616047301978E-3</v>
      </c>
      <c r="J23" s="32">
        <v>1000</v>
      </c>
      <c r="K23" s="49">
        <f t="shared" si="6"/>
        <v>6.7979688919777041E-3</v>
      </c>
      <c r="L23" s="32">
        <v>1500</v>
      </c>
      <c r="M23" s="49">
        <f t="shared" si="7"/>
        <v>6.3130541535805478E-3</v>
      </c>
      <c r="N23" s="32">
        <f t="shared" si="8"/>
        <v>4239.121776735471</v>
      </c>
      <c r="O23" s="49">
        <f t="shared" si="9"/>
        <v>4.4894864038321795E-3</v>
      </c>
      <c r="P23" s="32">
        <v>0</v>
      </c>
      <c r="Q23" s="49">
        <f t="shared" si="10"/>
        <v>0</v>
      </c>
      <c r="R23" s="32">
        <v>0</v>
      </c>
      <c r="S23" s="49">
        <f t="shared" si="11"/>
        <v>0</v>
      </c>
      <c r="T23" s="32">
        <v>0</v>
      </c>
      <c r="U23" s="49">
        <f t="shared" si="12"/>
        <v>0</v>
      </c>
      <c r="V23" s="76">
        <v>0</v>
      </c>
      <c r="W23" s="63">
        <f t="shared" si="13"/>
        <v>0</v>
      </c>
      <c r="X23" s="14"/>
      <c r="Y23" s="14"/>
      <c r="Z23" s="14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</row>
    <row r="24" spans="1:45" x14ac:dyDescent="0.2">
      <c r="A24" s="1" t="s">
        <v>52</v>
      </c>
      <c r="B24" s="32">
        <v>0</v>
      </c>
      <c r="C24" s="49">
        <f t="shared" si="2"/>
        <v>0</v>
      </c>
      <c r="D24" s="32">
        <v>0</v>
      </c>
      <c r="E24" s="49">
        <f t="shared" si="3"/>
        <v>0</v>
      </c>
      <c r="F24" s="32">
        <v>0</v>
      </c>
      <c r="G24" s="49">
        <f t="shared" si="4"/>
        <v>0</v>
      </c>
      <c r="H24" s="32">
        <v>929.8</v>
      </c>
      <c r="I24" s="49">
        <f t="shared" si="5"/>
        <v>5.9720697000781378E-3</v>
      </c>
      <c r="J24" s="32">
        <v>929.8</v>
      </c>
      <c r="K24" s="49">
        <f t="shared" si="6"/>
        <v>6.3207514757608685E-3</v>
      </c>
      <c r="L24" s="32">
        <v>940.2</v>
      </c>
      <c r="M24" s="49">
        <f t="shared" si="7"/>
        <v>3.9570223434642875E-3</v>
      </c>
      <c r="N24" s="32">
        <f t="shared" si="8"/>
        <v>2799.812292821176</v>
      </c>
      <c r="O24" s="49">
        <f t="shared" si="9"/>
        <v>2.9651705904949863E-3</v>
      </c>
      <c r="P24" s="32">
        <v>0</v>
      </c>
      <c r="Q24" s="49">
        <f t="shared" si="10"/>
        <v>0</v>
      </c>
      <c r="R24" s="32">
        <v>0</v>
      </c>
      <c r="S24" s="49">
        <f t="shared" si="11"/>
        <v>0</v>
      </c>
      <c r="T24" s="32">
        <v>0</v>
      </c>
      <c r="U24" s="49">
        <f t="shared" si="12"/>
        <v>0</v>
      </c>
      <c r="V24" s="76">
        <f>899.8+89.98</f>
        <v>989.78</v>
      </c>
      <c r="W24" s="63">
        <f t="shared" si="13"/>
        <v>1.3537199359591913E-2</v>
      </c>
      <c r="X24" s="14"/>
      <c r="Y24" s="14"/>
      <c r="Z24" s="14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 x14ac:dyDescent="0.2">
      <c r="A25" s="1" t="s">
        <v>53</v>
      </c>
      <c r="B25" s="32">
        <v>0</v>
      </c>
      <c r="C25" s="49">
        <f t="shared" si="2"/>
        <v>0</v>
      </c>
      <c r="D25" s="32">
        <v>0</v>
      </c>
      <c r="E25" s="49">
        <f t="shared" si="3"/>
        <v>0</v>
      </c>
      <c r="F25" s="32">
        <v>0</v>
      </c>
      <c r="G25" s="49">
        <f t="shared" si="4"/>
        <v>0</v>
      </c>
      <c r="H25" s="32">
        <v>2840.7</v>
      </c>
      <c r="I25" s="49">
        <f t="shared" si="5"/>
        <v>1.8245707030557071E-2</v>
      </c>
      <c r="J25" s="32">
        <v>2386.6999999999998</v>
      </c>
      <c r="K25" s="49">
        <f t="shared" si="6"/>
        <v>1.6224712354483185E-2</v>
      </c>
      <c r="L25" s="32">
        <v>2824.8</v>
      </c>
      <c r="M25" s="49">
        <f t="shared" si="7"/>
        <v>1.1888743582022888E-2</v>
      </c>
      <c r="N25" s="32">
        <f t="shared" si="8"/>
        <v>8052.2344704193847</v>
      </c>
      <c r="O25" s="49">
        <f t="shared" si="9"/>
        <v>8.5278034176352203E-3</v>
      </c>
      <c r="P25" s="32">
        <v>0</v>
      </c>
      <c r="Q25" s="49">
        <f t="shared" si="10"/>
        <v>0</v>
      </c>
      <c r="R25" s="32">
        <v>0</v>
      </c>
      <c r="S25" s="49">
        <f t="shared" si="11"/>
        <v>0</v>
      </c>
      <c r="T25" s="32">
        <v>0</v>
      </c>
      <c r="U25" s="49">
        <f t="shared" si="12"/>
        <v>0</v>
      </c>
      <c r="V25" s="76">
        <f>1708.52+2290.0715</f>
        <v>3998.5915</v>
      </c>
      <c r="W25" s="63">
        <f t="shared" si="13"/>
        <v>5.4688648278475693E-2</v>
      </c>
      <c r="X25" s="14"/>
      <c r="Y25" s="14"/>
      <c r="Z25" s="14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</row>
    <row r="26" spans="1:45" x14ac:dyDescent="0.2">
      <c r="A26" s="1" t="s">
        <v>54</v>
      </c>
      <c r="B26" s="32">
        <v>0</v>
      </c>
      <c r="C26" s="49">
        <f t="shared" si="2"/>
        <v>0</v>
      </c>
      <c r="D26" s="32">
        <v>0</v>
      </c>
      <c r="E26" s="49">
        <f t="shared" si="3"/>
        <v>0</v>
      </c>
      <c r="F26" s="32">
        <v>0</v>
      </c>
      <c r="G26" s="49">
        <f t="shared" si="4"/>
        <v>0</v>
      </c>
      <c r="H26" s="32">
        <v>3066.7</v>
      </c>
      <c r="I26" s="49">
        <f t="shared" si="5"/>
        <v>1.9697296353226097E-2</v>
      </c>
      <c r="J26" s="32">
        <v>3066.7</v>
      </c>
      <c r="K26" s="49">
        <f t="shared" si="6"/>
        <v>2.0847331201028024E-2</v>
      </c>
      <c r="L26" s="32">
        <v>3066.7</v>
      </c>
      <c r="M26" s="49">
        <f t="shared" si="7"/>
        <v>1.2906828781856975E-2</v>
      </c>
      <c r="N26" s="32">
        <f t="shared" si="8"/>
        <v>9200.140544627553</v>
      </c>
      <c r="O26" s="49">
        <f t="shared" si="9"/>
        <v>9.7435053918782533E-3</v>
      </c>
      <c r="P26" s="32">
        <v>0</v>
      </c>
      <c r="Q26" s="49">
        <f t="shared" si="10"/>
        <v>0</v>
      </c>
      <c r="R26" s="32">
        <v>0</v>
      </c>
      <c r="S26" s="49">
        <f t="shared" si="11"/>
        <v>0</v>
      </c>
      <c r="T26" s="32">
        <v>0</v>
      </c>
      <c r="U26" s="49">
        <f t="shared" si="12"/>
        <v>0</v>
      </c>
      <c r="V26" s="76">
        <v>0</v>
      </c>
      <c r="W26" s="63">
        <f t="shared" si="13"/>
        <v>0</v>
      </c>
      <c r="X26" s="14"/>
      <c r="Y26" s="14"/>
      <c r="Z26" s="14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x14ac:dyDescent="0.2">
      <c r="A27" s="1" t="s">
        <v>55</v>
      </c>
      <c r="B27" s="32">
        <v>0</v>
      </c>
      <c r="C27" s="49">
        <f t="shared" si="2"/>
        <v>0</v>
      </c>
      <c r="D27" s="32">
        <v>0</v>
      </c>
      <c r="E27" s="49">
        <f t="shared" si="3"/>
        <v>0</v>
      </c>
      <c r="F27" s="32">
        <v>0</v>
      </c>
      <c r="G27" s="49">
        <f t="shared" si="4"/>
        <v>0</v>
      </c>
      <c r="H27" s="32">
        <v>9230</v>
      </c>
      <c r="I27" s="49">
        <f t="shared" si="5"/>
        <v>5.9283935611659726E-2</v>
      </c>
      <c r="J27" s="32">
        <v>8720.4979999999996</v>
      </c>
      <c r="K27" s="49">
        <f t="shared" si="6"/>
        <v>5.9281674126553781E-2</v>
      </c>
      <c r="L27" s="32">
        <v>3355.857</v>
      </c>
      <c r="M27" s="49">
        <f t="shared" si="7"/>
        <v>1.4123804648448238E-2</v>
      </c>
      <c r="N27" s="32">
        <f t="shared" si="8"/>
        <v>21306.473565609736</v>
      </c>
      <c r="O27" s="49">
        <f t="shared" si="9"/>
        <v>2.2564844423997237E-2</v>
      </c>
      <c r="P27" s="32">
        <v>0</v>
      </c>
      <c r="Q27" s="49">
        <f t="shared" si="10"/>
        <v>0</v>
      </c>
      <c r="R27" s="32">
        <v>0</v>
      </c>
      <c r="S27" s="49">
        <f t="shared" si="11"/>
        <v>0</v>
      </c>
      <c r="T27" s="32">
        <v>0</v>
      </c>
      <c r="U27" s="49">
        <f t="shared" si="12"/>
        <v>0</v>
      </c>
      <c r="V27" s="76">
        <v>0</v>
      </c>
      <c r="W27" s="63">
        <f t="shared" si="13"/>
        <v>0</v>
      </c>
      <c r="X27" s="14"/>
      <c r="Y27" s="14"/>
      <c r="Z27" s="14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x14ac:dyDescent="0.2">
      <c r="A28" s="1" t="s">
        <v>56</v>
      </c>
      <c r="B28" s="32">
        <v>0</v>
      </c>
      <c r="C28" s="49">
        <f t="shared" si="2"/>
        <v>0</v>
      </c>
      <c r="D28" s="32">
        <v>0</v>
      </c>
      <c r="E28" s="49">
        <f t="shared" si="3"/>
        <v>0</v>
      </c>
      <c r="F28" s="32">
        <v>0</v>
      </c>
      <c r="G28" s="49">
        <f t="shared" si="4"/>
        <v>0</v>
      </c>
      <c r="H28" s="32">
        <v>2125.8000000000002</v>
      </c>
      <c r="I28" s="49">
        <f t="shared" si="5"/>
        <v>1.3653931779335455E-2</v>
      </c>
      <c r="J28" s="32">
        <v>6886</v>
      </c>
      <c r="K28" s="49">
        <f t="shared" si="6"/>
        <v>4.6810813790158466E-2</v>
      </c>
      <c r="L28" s="32">
        <v>12328.422</v>
      </c>
      <c r="M28" s="49">
        <f t="shared" si="7"/>
        <v>5.1886663809462538E-2</v>
      </c>
      <c r="N28" s="32">
        <f t="shared" si="8"/>
        <v>21340.282464745571</v>
      </c>
      <c r="O28" s="49">
        <f t="shared" si="9"/>
        <v>2.2600650093424303E-2</v>
      </c>
      <c r="P28" s="32">
        <v>0</v>
      </c>
      <c r="Q28" s="49">
        <f t="shared" si="10"/>
        <v>0</v>
      </c>
      <c r="R28" s="32">
        <v>0</v>
      </c>
      <c r="S28" s="49">
        <f t="shared" si="11"/>
        <v>0</v>
      </c>
      <c r="T28" s="32">
        <v>0</v>
      </c>
      <c r="U28" s="49">
        <f t="shared" si="12"/>
        <v>0</v>
      </c>
      <c r="V28" s="76">
        <v>0</v>
      </c>
      <c r="W28" s="63">
        <f t="shared" si="13"/>
        <v>0</v>
      </c>
      <c r="X28" s="14"/>
      <c r="Y28" s="14"/>
      <c r="Z28" s="14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2">
      <c r="A29" s="1" t="s">
        <v>61</v>
      </c>
      <c r="B29" s="32">
        <v>0</v>
      </c>
      <c r="C29" s="49">
        <f t="shared" si="2"/>
        <v>0</v>
      </c>
      <c r="D29" s="32">
        <v>0</v>
      </c>
      <c r="E29" s="49">
        <f t="shared" si="3"/>
        <v>0</v>
      </c>
      <c r="F29" s="32">
        <v>0</v>
      </c>
      <c r="G29" s="49">
        <f t="shared" si="4"/>
        <v>0</v>
      </c>
      <c r="H29" s="32">
        <v>0</v>
      </c>
      <c r="I29" s="49">
        <f t="shared" si="5"/>
        <v>0</v>
      </c>
      <c r="J29" s="32">
        <v>0</v>
      </c>
      <c r="K29" s="49">
        <f t="shared" si="6"/>
        <v>0</v>
      </c>
      <c r="L29" s="32">
        <v>9479.08</v>
      </c>
      <c r="M29" s="49">
        <f t="shared" si="7"/>
        <v>3.9894630244081533E-2</v>
      </c>
      <c r="N29" s="32">
        <f t="shared" si="8"/>
        <v>9479.08</v>
      </c>
      <c r="O29" s="49">
        <f t="shared" si="9"/>
        <v>1.0038919149336134E-2</v>
      </c>
      <c r="P29" s="32">
        <v>0</v>
      </c>
      <c r="Q29" s="49">
        <f t="shared" si="10"/>
        <v>0</v>
      </c>
      <c r="R29" s="32">
        <v>0</v>
      </c>
      <c r="S29" s="49">
        <f t="shared" si="11"/>
        <v>0</v>
      </c>
      <c r="T29" s="32">
        <v>0</v>
      </c>
      <c r="U29" s="49">
        <f t="shared" si="12"/>
        <v>0</v>
      </c>
      <c r="V29" s="76">
        <v>0</v>
      </c>
      <c r="W29" s="63">
        <f t="shared" si="13"/>
        <v>0</v>
      </c>
      <c r="X29" s="14"/>
      <c r="Y29" s="14"/>
      <c r="Z29" s="14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x14ac:dyDescent="0.2">
      <c r="A30" s="1" t="s">
        <v>71</v>
      </c>
      <c r="B30" s="32">
        <v>0</v>
      </c>
      <c r="C30" s="49">
        <f t="shared" si="2"/>
        <v>0</v>
      </c>
      <c r="D30" s="32">
        <v>0</v>
      </c>
      <c r="E30" s="49">
        <f t="shared" si="3"/>
        <v>0</v>
      </c>
      <c r="F30" s="32">
        <v>0</v>
      </c>
      <c r="G30" s="49">
        <f t="shared" si="4"/>
        <v>0</v>
      </c>
      <c r="H30" s="32">
        <v>0</v>
      </c>
      <c r="I30" s="49">
        <f t="shared" si="5"/>
        <v>0</v>
      </c>
      <c r="J30" s="32">
        <v>0</v>
      </c>
      <c r="K30" s="49">
        <f t="shared" si="6"/>
        <v>0</v>
      </c>
      <c r="L30" s="32">
        <v>0</v>
      </c>
      <c r="M30" s="49">
        <f t="shared" si="7"/>
        <v>0</v>
      </c>
      <c r="N30" s="32">
        <v>0</v>
      </c>
      <c r="O30" s="49">
        <f t="shared" si="9"/>
        <v>0</v>
      </c>
      <c r="P30" s="32">
        <v>0</v>
      </c>
      <c r="Q30" s="49">
        <f t="shared" si="10"/>
        <v>0</v>
      </c>
      <c r="R30" s="32">
        <v>400</v>
      </c>
      <c r="S30" s="49">
        <f t="shared" si="11"/>
        <v>3.1925931838135526E-3</v>
      </c>
      <c r="T30" s="32">
        <v>5815</v>
      </c>
      <c r="U30" s="49">
        <f t="shared" si="12"/>
        <v>5.9559779992420597E-2</v>
      </c>
      <c r="V30" s="76">
        <v>0</v>
      </c>
      <c r="W30" s="63">
        <f t="shared" si="13"/>
        <v>0</v>
      </c>
      <c r="X30" s="14"/>
      <c r="Y30" s="14"/>
      <c r="Z30" s="14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x14ac:dyDescent="0.2">
      <c r="A31" s="1" t="s">
        <v>65</v>
      </c>
      <c r="B31" s="32">
        <v>0</v>
      </c>
      <c r="C31" s="49">
        <f t="shared" si="2"/>
        <v>0</v>
      </c>
      <c r="D31" s="32">
        <v>0</v>
      </c>
      <c r="E31" s="49">
        <f t="shared" si="3"/>
        <v>0</v>
      </c>
      <c r="F31" s="32">
        <v>0</v>
      </c>
      <c r="G31" s="49">
        <f t="shared" si="4"/>
        <v>0</v>
      </c>
      <c r="H31" s="32">
        <v>0</v>
      </c>
      <c r="I31" s="49">
        <f t="shared" si="5"/>
        <v>0</v>
      </c>
      <c r="J31" s="32">
        <v>0</v>
      </c>
      <c r="K31" s="49">
        <f t="shared" si="6"/>
        <v>0</v>
      </c>
      <c r="L31" s="32">
        <v>0</v>
      </c>
      <c r="M31" s="49">
        <f t="shared" si="7"/>
        <v>0</v>
      </c>
      <c r="N31" s="32">
        <v>0</v>
      </c>
      <c r="O31" s="49">
        <f t="shared" si="9"/>
        <v>0</v>
      </c>
      <c r="P31" s="32">
        <v>0</v>
      </c>
      <c r="Q31" s="49">
        <f t="shared" si="10"/>
        <v>0</v>
      </c>
      <c r="R31" s="32">
        <v>4613</v>
      </c>
      <c r="S31" s="49">
        <f t="shared" si="11"/>
        <v>3.6818580892329797E-2</v>
      </c>
      <c r="T31" s="32">
        <v>0</v>
      </c>
      <c r="U31" s="49">
        <f t="shared" si="12"/>
        <v>0</v>
      </c>
      <c r="V31" s="76">
        <v>0</v>
      </c>
      <c r="W31" s="63">
        <f t="shared" si="13"/>
        <v>0</v>
      </c>
      <c r="X31" s="14"/>
      <c r="Y31" s="14"/>
      <c r="Z31" s="14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x14ac:dyDescent="0.2">
      <c r="A32" s="1" t="s">
        <v>66</v>
      </c>
      <c r="B32" s="32">
        <v>0</v>
      </c>
      <c r="C32" s="49">
        <f t="shared" si="2"/>
        <v>0</v>
      </c>
      <c r="D32" s="32">
        <v>0</v>
      </c>
      <c r="E32" s="49">
        <f t="shared" si="3"/>
        <v>0</v>
      </c>
      <c r="F32" s="32">
        <v>0</v>
      </c>
      <c r="G32" s="49">
        <f t="shared" si="4"/>
        <v>0</v>
      </c>
      <c r="H32" s="32">
        <v>0</v>
      </c>
      <c r="I32" s="49">
        <f t="shared" si="5"/>
        <v>0</v>
      </c>
      <c r="J32" s="32">
        <v>0</v>
      </c>
      <c r="K32" s="49">
        <f t="shared" si="6"/>
        <v>0</v>
      </c>
      <c r="L32" s="32">
        <v>0</v>
      </c>
      <c r="M32" s="49">
        <f t="shared" si="7"/>
        <v>0</v>
      </c>
      <c r="N32" s="32">
        <v>0</v>
      </c>
      <c r="O32" s="49">
        <f t="shared" si="9"/>
        <v>0</v>
      </c>
      <c r="P32" s="32">
        <v>0</v>
      </c>
      <c r="Q32" s="49">
        <f t="shared" si="10"/>
        <v>0</v>
      </c>
      <c r="R32" s="32">
        <v>0</v>
      </c>
      <c r="S32" s="49">
        <f t="shared" si="11"/>
        <v>0</v>
      </c>
      <c r="T32" s="32">
        <v>0</v>
      </c>
      <c r="U32" s="49">
        <f t="shared" si="12"/>
        <v>0</v>
      </c>
      <c r="V32" s="76">
        <v>720</v>
      </c>
      <c r="W32" s="63">
        <f t="shared" si="13"/>
        <v>9.847424214377112E-3</v>
      </c>
      <c r="X32" s="14"/>
      <c r="Y32" s="14"/>
      <c r="Z32" s="14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x14ac:dyDescent="0.2">
      <c r="A33" s="1" t="s">
        <v>67</v>
      </c>
      <c r="B33" s="32">
        <v>0</v>
      </c>
      <c r="C33" s="49">
        <f t="shared" si="2"/>
        <v>0</v>
      </c>
      <c r="D33" s="32">
        <v>0</v>
      </c>
      <c r="E33" s="49">
        <f t="shared" si="3"/>
        <v>0</v>
      </c>
      <c r="F33" s="32">
        <v>0</v>
      </c>
      <c r="G33" s="49">
        <f t="shared" si="4"/>
        <v>0</v>
      </c>
      <c r="H33" s="32">
        <v>0</v>
      </c>
      <c r="I33" s="49">
        <f t="shared" si="5"/>
        <v>0</v>
      </c>
      <c r="J33" s="32">
        <v>0</v>
      </c>
      <c r="K33" s="49">
        <f t="shared" si="6"/>
        <v>0</v>
      </c>
      <c r="L33" s="32">
        <v>0</v>
      </c>
      <c r="M33" s="49">
        <f t="shared" si="7"/>
        <v>0</v>
      </c>
      <c r="N33" s="32">
        <v>0</v>
      </c>
      <c r="O33" s="49">
        <f t="shared" si="9"/>
        <v>0</v>
      </c>
      <c r="P33" s="32">
        <v>0</v>
      </c>
      <c r="Q33" s="49">
        <f t="shared" si="10"/>
        <v>0</v>
      </c>
      <c r="R33" s="32">
        <v>0</v>
      </c>
      <c r="S33" s="49">
        <f t="shared" si="11"/>
        <v>0</v>
      </c>
      <c r="T33" s="32">
        <v>0</v>
      </c>
      <c r="U33" s="49">
        <f t="shared" si="12"/>
        <v>0</v>
      </c>
      <c r="V33" s="76">
        <v>0</v>
      </c>
      <c r="W33" s="63">
        <f t="shared" si="13"/>
        <v>0</v>
      </c>
      <c r="X33" s="14"/>
      <c r="Y33" s="14"/>
      <c r="Z33" s="14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x14ac:dyDescent="0.2">
      <c r="A34" s="1" t="s">
        <v>68</v>
      </c>
      <c r="B34" s="32">
        <v>0</v>
      </c>
      <c r="C34" s="49">
        <f t="shared" si="2"/>
        <v>0</v>
      </c>
      <c r="D34" s="32">
        <v>0</v>
      </c>
      <c r="E34" s="49">
        <f t="shared" si="3"/>
        <v>0</v>
      </c>
      <c r="F34" s="32">
        <v>0</v>
      </c>
      <c r="G34" s="49">
        <f t="shared" si="4"/>
        <v>0</v>
      </c>
      <c r="H34" s="32">
        <v>0</v>
      </c>
      <c r="I34" s="49">
        <f t="shared" si="5"/>
        <v>0</v>
      </c>
      <c r="J34" s="32">
        <v>0</v>
      </c>
      <c r="K34" s="49">
        <f t="shared" si="6"/>
        <v>0</v>
      </c>
      <c r="L34" s="32">
        <v>0</v>
      </c>
      <c r="M34" s="49">
        <f t="shared" si="7"/>
        <v>0</v>
      </c>
      <c r="N34" s="32">
        <v>0</v>
      </c>
      <c r="O34" s="49">
        <f t="shared" si="9"/>
        <v>0</v>
      </c>
      <c r="P34" s="32">
        <v>0</v>
      </c>
      <c r="Q34" s="49">
        <f t="shared" si="10"/>
        <v>0</v>
      </c>
      <c r="R34" s="32">
        <v>0</v>
      </c>
      <c r="S34" s="49">
        <f t="shared" si="11"/>
        <v>0</v>
      </c>
      <c r="T34" s="32">
        <v>1200</v>
      </c>
      <c r="U34" s="49">
        <f t="shared" si="12"/>
        <v>1.2290926223715342E-2</v>
      </c>
      <c r="V34" s="76">
        <v>960</v>
      </c>
      <c r="W34" s="63">
        <f t="shared" si="13"/>
        <v>1.3129898952502815E-2</v>
      </c>
      <c r="X34" s="14"/>
      <c r="Y34" s="14"/>
      <c r="Z34" s="14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x14ac:dyDescent="0.2">
      <c r="A35" s="1" t="s">
        <v>69</v>
      </c>
      <c r="B35" s="32">
        <v>0</v>
      </c>
      <c r="C35" s="49">
        <f t="shared" si="2"/>
        <v>0</v>
      </c>
      <c r="D35" s="32">
        <v>0</v>
      </c>
      <c r="E35" s="49">
        <f t="shared" si="3"/>
        <v>0</v>
      </c>
      <c r="F35" s="32">
        <v>0</v>
      </c>
      <c r="G35" s="49">
        <f t="shared" si="4"/>
        <v>0</v>
      </c>
      <c r="H35" s="32">
        <v>0</v>
      </c>
      <c r="I35" s="49">
        <f t="shared" si="5"/>
        <v>0</v>
      </c>
      <c r="J35" s="32">
        <v>0</v>
      </c>
      <c r="K35" s="49">
        <f t="shared" si="6"/>
        <v>0</v>
      </c>
      <c r="L35" s="32">
        <v>0</v>
      </c>
      <c r="M35" s="49">
        <f t="shared" si="7"/>
        <v>0</v>
      </c>
      <c r="N35" s="32">
        <v>0</v>
      </c>
      <c r="O35" s="49">
        <f t="shared" si="9"/>
        <v>0</v>
      </c>
      <c r="P35" s="32">
        <v>0</v>
      </c>
      <c r="Q35" s="49">
        <f t="shared" si="10"/>
        <v>0</v>
      </c>
      <c r="R35" s="32">
        <v>1342</v>
      </c>
      <c r="S35" s="49">
        <f t="shared" si="11"/>
        <v>1.0711150131694469E-2</v>
      </c>
      <c r="T35" s="32">
        <v>4061</v>
      </c>
      <c r="U35" s="49">
        <f t="shared" si="12"/>
        <v>4.1594542828756673E-2</v>
      </c>
      <c r="V35" s="76">
        <v>0</v>
      </c>
      <c r="W35" s="63">
        <f t="shared" si="13"/>
        <v>0</v>
      </c>
      <c r="X35" s="14"/>
      <c r="Y35" s="14"/>
      <c r="Z35" s="14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x14ac:dyDescent="0.2">
      <c r="A36" s="1" t="s">
        <v>70</v>
      </c>
      <c r="B36" s="32">
        <v>0</v>
      </c>
      <c r="C36" s="49">
        <f t="shared" si="2"/>
        <v>0</v>
      </c>
      <c r="D36" s="32">
        <v>0</v>
      </c>
      <c r="E36" s="49">
        <f t="shared" si="3"/>
        <v>0</v>
      </c>
      <c r="F36" s="32">
        <v>0</v>
      </c>
      <c r="G36" s="49">
        <f t="shared" si="4"/>
        <v>0</v>
      </c>
      <c r="H36" s="32">
        <v>0</v>
      </c>
      <c r="I36" s="49">
        <f t="shared" si="5"/>
        <v>0</v>
      </c>
      <c r="J36" s="32">
        <v>0</v>
      </c>
      <c r="K36" s="49">
        <f t="shared" si="6"/>
        <v>0</v>
      </c>
      <c r="L36" s="32">
        <v>0</v>
      </c>
      <c r="M36" s="49">
        <f t="shared" si="7"/>
        <v>0</v>
      </c>
      <c r="N36" s="32">
        <v>0</v>
      </c>
      <c r="O36" s="49">
        <f t="shared" si="9"/>
        <v>0</v>
      </c>
      <c r="P36" s="32">
        <v>0</v>
      </c>
      <c r="Q36" s="49">
        <f t="shared" si="10"/>
        <v>0</v>
      </c>
      <c r="R36" s="32">
        <v>4909</v>
      </c>
      <c r="S36" s="49">
        <f t="shared" si="11"/>
        <v>3.9181099848351823E-2</v>
      </c>
      <c r="T36" s="32">
        <v>0</v>
      </c>
      <c r="U36" s="49">
        <f t="shared" si="12"/>
        <v>0</v>
      </c>
      <c r="V36" s="76">
        <v>2850</v>
      </c>
      <c r="W36" s="63">
        <f t="shared" si="13"/>
        <v>3.8979387515242735E-2</v>
      </c>
      <c r="X36" s="14"/>
      <c r="Y36" s="14"/>
      <c r="Z36" s="14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</row>
    <row r="37" spans="1:45" s="11" customFormat="1" x14ac:dyDescent="0.2">
      <c r="A37" s="10" t="s">
        <v>57</v>
      </c>
      <c r="B37" s="34">
        <v>0</v>
      </c>
      <c r="C37" s="51">
        <f t="shared" si="2"/>
        <v>0</v>
      </c>
      <c r="D37" s="34">
        <v>0</v>
      </c>
      <c r="E37" s="51">
        <f t="shared" si="3"/>
        <v>0</v>
      </c>
      <c r="F37" s="34">
        <v>0</v>
      </c>
      <c r="G37" s="51">
        <f t="shared" si="4"/>
        <v>0</v>
      </c>
      <c r="H37" s="34">
        <v>700</v>
      </c>
      <c r="I37" s="51">
        <f t="shared" si="5"/>
        <v>4.4960731233111379E-3</v>
      </c>
      <c r="J37" s="34">
        <v>1500</v>
      </c>
      <c r="K37" s="51">
        <f t="shared" si="6"/>
        <v>1.0196953337966556E-2</v>
      </c>
      <c r="L37" s="34">
        <v>0</v>
      </c>
      <c r="M37" s="51">
        <f t="shared" si="7"/>
        <v>0</v>
      </c>
      <c r="N37" s="34">
        <f t="shared" si="8"/>
        <v>2200.0146930264614</v>
      </c>
      <c r="O37" s="51">
        <f t="shared" si="9"/>
        <v>2.3299486480380166E-3</v>
      </c>
      <c r="P37" s="34">
        <v>0</v>
      </c>
      <c r="Q37" s="51">
        <f t="shared" si="10"/>
        <v>0</v>
      </c>
      <c r="R37" s="34">
        <v>0</v>
      </c>
      <c r="S37" s="51">
        <f t="shared" si="11"/>
        <v>0</v>
      </c>
      <c r="T37" s="34">
        <v>0</v>
      </c>
      <c r="U37" s="51">
        <f t="shared" si="12"/>
        <v>0</v>
      </c>
      <c r="V37" s="77">
        <v>0</v>
      </c>
      <c r="W37" s="65">
        <f t="shared" si="13"/>
        <v>0</v>
      </c>
      <c r="X37" s="18"/>
      <c r="Y37" s="18"/>
      <c r="Z37" s="15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</row>
    <row r="38" spans="1:45" x14ac:dyDescent="0.2">
      <c r="A38" s="36" t="s">
        <v>20</v>
      </c>
      <c r="B38" s="32">
        <f>SUM(B16:B37)</f>
        <v>118187.30500000001</v>
      </c>
      <c r="C38" s="49">
        <f t="shared" si="2"/>
        <v>1</v>
      </c>
      <c r="D38" s="32">
        <f t="shared" ref="D38:O38" si="14">SUM(D16:D37)</f>
        <v>146690.49599999998</v>
      </c>
      <c r="E38" s="49">
        <f t="shared" si="14"/>
        <v>1.0000000000000002</v>
      </c>
      <c r="F38" s="32">
        <f t="shared" si="14"/>
        <v>138953.24</v>
      </c>
      <c r="G38" s="49">
        <f t="shared" si="14"/>
        <v>1</v>
      </c>
      <c r="H38" s="32">
        <f t="shared" si="14"/>
        <v>155691.41800000001</v>
      </c>
      <c r="I38" s="49">
        <f t="shared" si="14"/>
        <v>1.0000000000000002</v>
      </c>
      <c r="J38" s="32">
        <f t="shared" si="14"/>
        <v>147102.76200000002</v>
      </c>
      <c r="K38" s="49">
        <f t="shared" si="14"/>
        <v>1.0000000000000002</v>
      </c>
      <c r="L38" s="32">
        <f t="shared" si="14"/>
        <v>237602.90399999998</v>
      </c>
      <c r="M38" s="49">
        <f t="shared" si="14"/>
        <v>1</v>
      </c>
      <c r="N38" s="32">
        <f t="shared" si="14"/>
        <v>944233.125</v>
      </c>
      <c r="O38" s="49">
        <f t="shared" si="14"/>
        <v>1</v>
      </c>
      <c r="P38" s="32">
        <v>508800</v>
      </c>
      <c r="Q38" s="49">
        <f>P38/$P$38</f>
        <v>1</v>
      </c>
      <c r="R38" s="32">
        <f t="shared" ref="R38:W38" si="15">SUM(R16:R37)</f>
        <v>125290</v>
      </c>
      <c r="S38" s="49">
        <f t="shared" si="15"/>
        <v>1</v>
      </c>
      <c r="T38" s="32">
        <f t="shared" si="15"/>
        <v>97633</v>
      </c>
      <c r="U38" s="49">
        <f t="shared" si="15"/>
        <v>1</v>
      </c>
      <c r="V38" s="76">
        <f t="shared" si="15"/>
        <v>73115.566500000001</v>
      </c>
      <c r="W38" s="63">
        <f t="shared" si="15"/>
        <v>1</v>
      </c>
      <c r="X38" s="14"/>
      <c r="Y38" s="14"/>
      <c r="Z38" s="14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2">
      <c r="A39" s="37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78"/>
      <c r="W39" s="33"/>
      <c r="X39" s="14"/>
      <c r="Y39" s="14"/>
      <c r="Z39" s="14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x14ac:dyDescent="0.2">
      <c r="A40" s="12" t="s">
        <v>41</v>
      </c>
      <c r="B40" s="32"/>
      <c r="C40" s="50" t="s">
        <v>77</v>
      </c>
      <c r="D40" s="32"/>
      <c r="E40" s="50" t="s">
        <v>77</v>
      </c>
      <c r="F40" s="32"/>
      <c r="G40" s="50" t="s">
        <v>77</v>
      </c>
      <c r="H40" s="32"/>
      <c r="I40" s="50" t="s">
        <v>77</v>
      </c>
      <c r="J40" s="32"/>
      <c r="K40" s="50" t="s">
        <v>77</v>
      </c>
      <c r="L40" s="32"/>
      <c r="M40" s="50" t="s">
        <v>77</v>
      </c>
      <c r="N40" s="32"/>
      <c r="O40" s="50" t="s">
        <v>77</v>
      </c>
      <c r="P40" s="32"/>
      <c r="Q40" s="50" t="s">
        <v>77</v>
      </c>
      <c r="R40" s="32"/>
      <c r="S40" s="50" t="s">
        <v>77</v>
      </c>
      <c r="T40" s="32"/>
      <c r="U40" s="50" t="s">
        <v>77</v>
      </c>
      <c r="V40" s="76"/>
      <c r="W40" s="64" t="s">
        <v>77</v>
      </c>
      <c r="X40" s="14"/>
      <c r="Y40" s="14"/>
      <c r="Z40" s="14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x14ac:dyDescent="0.2">
      <c r="A41" s="1" t="s">
        <v>21</v>
      </c>
      <c r="B41" s="32">
        <v>734.72199999999998</v>
      </c>
      <c r="C41" s="49">
        <f t="shared" ref="C41:C56" si="16">B41/$B$56</f>
        <v>8.2601963769999495E-2</v>
      </c>
      <c r="D41" s="32">
        <v>785.95399999999995</v>
      </c>
      <c r="E41" s="49">
        <f>D41/$D$56</f>
        <v>0.11436591230705989</v>
      </c>
      <c r="F41" s="32">
        <v>1199.6790000000001</v>
      </c>
      <c r="G41" s="49">
        <f>F41/$F$56</f>
        <v>0.14266831159675716</v>
      </c>
      <c r="H41" s="32">
        <v>0</v>
      </c>
      <c r="I41" s="49">
        <f>H41/$H$56</f>
        <v>0</v>
      </c>
      <c r="J41" s="32">
        <v>0</v>
      </c>
      <c r="K41" s="49">
        <f>J41/$J$56</f>
        <v>0</v>
      </c>
      <c r="L41" s="32">
        <v>0</v>
      </c>
      <c r="M41" s="49">
        <f>L41/$L$56</f>
        <v>0</v>
      </c>
      <c r="N41" s="32">
        <f>SUM(B41:L41)</f>
        <v>2720.694636187674</v>
      </c>
      <c r="O41" s="49">
        <f>N41/$N$56</f>
        <v>3.6660502530925433E-2</v>
      </c>
      <c r="P41" s="32">
        <v>0</v>
      </c>
      <c r="Q41" s="49">
        <f>P41/$P$56</f>
        <v>0</v>
      </c>
      <c r="R41" s="32">
        <v>0</v>
      </c>
      <c r="S41" s="49">
        <f>R41/$R$56</f>
        <v>0</v>
      </c>
      <c r="T41" s="32">
        <v>0</v>
      </c>
      <c r="U41" s="49">
        <f>T41/$T$56</f>
        <v>0</v>
      </c>
      <c r="V41" s="32">
        <v>0</v>
      </c>
      <c r="W41" s="63">
        <v>0</v>
      </c>
      <c r="X41" s="14"/>
      <c r="Y41" s="14"/>
      <c r="Z41" s="14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1:45" x14ac:dyDescent="0.2">
      <c r="A42" s="1" t="s">
        <v>22</v>
      </c>
      <c r="B42" s="32">
        <v>698.29</v>
      </c>
      <c r="C42" s="49">
        <f t="shared" si="16"/>
        <v>7.8506054372882453E-2</v>
      </c>
      <c r="D42" s="32">
        <v>568.57899999999995</v>
      </c>
      <c r="E42" s="49">
        <f t="shared" ref="E42:E55" si="17">D42/$D$56</f>
        <v>8.2735193222040732E-2</v>
      </c>
      <c r="F42" s="32">
        <v>786.60900000000004</v>
      </c>
      <c r="G42" s="49">
        <f t="shared" ref="G42:G55" si="18">F42/$F$56</f>
        <v>9.3545171597413601E-2</v>
      </c>
      <c r="H42" s="32">
        <v>908.78599999999994</v>
      </c>
      <c r="I42" s="49">
        <f t="shared" ref="I42:I55" si="19">H42/$H$56</f>
        <v>5.0824092243569256E-2</v>
      </c>
      <c r="J42" s="32">
        <v>908.78599999999994</v>
      </c>
      <c r="K42" s="49">
        <f t="shared" ref="K42:K55" si="20">J42/$J$56</f>
        <v>6.5162382886236103E-2</v>
      </c>
      <c r="L42" s="32">
        <v>908.78599999999994</v>
      </c>
      <c r="M42" s="49">
        <f t="shared" ref="M42:M55" si="21">L42/$L$56</f>
        <v>4.9919917068381336E-2</v>
      </c>
      <c r="N42" s="32">
        <f t="shared" ref="N42:N55" si="22">SUM(B42:L42)</f>
        <v>4780.2067728943221</v>
      </c>
      <c r="O42" s="49">
        <f t="shared" ref="O42:O55" si="23">N42/$N$56</f>
        <v>6.441177931735767E-2</v>
      </c>
      <c r="P42" s="32">
        <v>0</v>
      </c>
      <c r="Q42" s="49">
        <f t="shared" ref="Q42:Q55" si="24">P42/$P$56</f>
        <v>0</v>
      </c>
      <c r="R42" s="32">
        <v>2200</v>
      </c>
      <c r="S42" s="49">
        <f t="shared" ref="S42:S55" si="25">R42/$R$56</f>
        <v>0.30955396088363585</v>
      </c>
      <c r="T42" s="32">
        <v>2174.3249999999998</v>
      </c>
      <c r="U42" s="49">
        <f t="shared" ref="U42:U55" si="26">T42/$T$56</f>
        <v>0.45276506692071028</v>
      </c>
      <c r="V42" s="32">
        <v>0</v>
      </c>
      <c r="W42" s="63">
        <v>0</v>
      </c>
      <c r="X42" s="14"/>
      <c r="Y42" s="14"/>
      <c r="Z42" s="14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x14ac:dyDescent="0.2">
      <c r="A43" s="1" t="s">
        <v>23</v>
      </c>
      <c r="B43" s="32">
        <v>865.37</v>
      </c>
      <c r="C43" s="49">
        <f t="shared" si="16"/>
        <v>9.7290215057728585E-2</v>
      </c>
      <c r="D43" s="32">
        <v>237.35300000000001</v>
      </c>
      <c r="E43" s="49">
        <f t="shared" si="17"/>
        <v>3.4537762240306163E-2</v>
      </c>
      <c r="F43" s="32">
        <v>354.90300000000002</v>
      </c>
      <c r="G43" s="49">
        <f t="shared" si="18"/>
        <v>4.220579987698702E-2</v>
      </c>
      <c r="H43" s="32">
        <v>378.54899999999998</v>
      </c>
      <c r="I43" s="49">
        <f t="shared" si="19"/>
        <v>2.1170450793378089E-2</v>
      </c>
      <c r="J43" s="32">
        <v>313.82</v>
      </c>
      <c r="K43" s="49">
        <f t="shared" si="20"/>
        <v>2.25017319779999E-2</v>
      </c>
      <c r="L43" s="32">
        <v>349.95499999999998</v>
      </c>
      <c r="M43" s="49">
        <f t="shared" si="21"/>
        <v>1.9223144478089881E-2</v>
      </c>
      <c r="N43" s="32">
        <f t="shared" si="22"/>
        <v>2500.167705959946</v>
      </c>
      <c r="O43" s="49">
        <f t="shared" si="23"/>
        <v>3.3688971666631422E-2</v>
      </c>
      <c r="P43" s="32">
        <v>0</v>
      </c>
      <c r="Q43" s="49">
        <f t="shared" si="24"/>
        <v>0</v>
      </c>
      <c r="R43" s="32">
        <v>0</v>
      </c>
      <c r="S43" s="49">
        <f t="shared" si="25"/>
        <v>0</v>
      </c>
      <c r="T43" s="32">
        <v>0</v>
      </c>
      <c r="U43" s="49">
        <f t="shared" si="26"/>
        <v>0</v>
      </c>
      <c r="V43" s="32">
        <v>0</v>
      </c>
      <c r="W43" s="63">
        <v>0</v>
      </c>
      <c r="X43" s="14"/>
      <c r="Y43" s="14"/>
      <c r="Z43" s="14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</row>
    <row r="44" spans="1:45" x14ac:dyDescent="0.2">
      <c r="A44" s="2" t="s">
        <v>24</v>
      </c>
      <c r="B44" s="32">
        <v>164.34800000000001</v>
      </c>
      <c r="C44" s="49">
        <f t="shared" si="16"/>
        <v>1.8477012450521257E-2</v>
      </c>
      <c r="D44" s="32">
        <v>224.923</v>
      </c>
      <c r="E44" s="49">
        <f t="shared" si="17"/>
        <v>3.2729045330694713E-2</v>
      </c>
      <c r="F44" s="32">
        <v>326.52699999999999</v>
      </c>
      <c r="G44" s="49">
        <f t="shared" si="18"/>
        <v>3.8831267181266262E-2</v>
      </c>
      <c r="H44" s="32">
        <v>200</v>
      </c>
      <c r="I44" s="49">
        <f t="shared" si="19"/>
        <v>1.1185051759945523E-2</v>
      </c>
      <c r="J44" s="32">
        <v>200</v>
      </c>
      <c r="K44" s="49">
        <f t="shared" si="20"/>
        <v>1.4340534050092345E-2</v>
      </c>
      <c r="L44" s="32">
        <v>266.24900000000002</v>
      </c>
      <c r="M44" s="49">
        <f t="shared" si="21"/>
        <v>1.4625146073486459E-2</v>
      </c>
      <c r="N44" s="32">
        <f t="shared" si="22"/>
        <v>1382.1625629107725</v>
      </c>
      <c r="O44" s="49">
        <f t="shared" si="23"/>
        <v>1.8624204812173372E-2</v>
      </c>
      <c r="P44" s="32">
        <v>0</v>
      </c>
      <c r="Q44" s="49">
        <f t="shared" si="24"/>
        <v>0</v>
      </c>
      <c r="R44" s="32">
        <v>0</v>
      </c>
      <c r="S44" s="49">
        <f t="shared" si="25"/>
        <v>0</v>
      </c>
      <c r="T44" s="32">
        <v>0</v>
      </c>
      <c r="U44" s="49">
        <f t="shared" si="26"/>
        <v>0</v>
      </c>
      <c r="V44" s="32">
        <v>0</v>
      </c>
      <c r="W44" s="63">
        <v>0</v>
      </c>
      <c r="X44" s="14"/>
      <c r="Y44" s="14"/>
      <c r="Z44" s="14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1:45" x14ac:dyDescent="0.2">
      <c r="A45" s="1" t="s">
        <v>25</v>
      </c>
      <c r="B45" s="32">
        <v>35.06</v>
      </c>
      <c r="C45" s="49">
        <f t="shared" si="16"/>
        <v>3.941660723071015E-3</v>
      </c>
      <c r="D45" s="32">
        <v>53.204000000000001</v>
      </c>
      <c r="E45" s="49">
        <f t="shared" si="17"/>
        <v>7.7418322171333371E-3</v>
      </c>
      <c r="F45" s="32">
        <v>63.624000000000002</v>
      </c>
      <c r="G45" s="49">
        <f t="shared" si="18"/>
        <v>7.5662978655390966E-3</v>
      </c>
      <c r="H45" s="32">
        <v>178.01599999999999</v>
      </c>
      <c r="I45" s="49">
        <f t="shared" si="19"/>
        <v>9.9555908704923105E-3</v>
      </c>
      <c r="J45" s="32">
        <v>185.19800000000001</v>
      </c>
      <c r="K45" s="49">
        <f t="shared" si="20"/>
        <v>1.3279191125045012E-2</v>
      </c>
      <c r="L45" s="32">
        <v>177.39599999999999</v>
      </c>
      <c r="M45" s="49">
        <f t="shared" si="21"/>
        <v>9.7444212479754037E-3</v>
      </c>
      <c r="N45" s="32">
        <f t="shared" si="22"/>
        <v>692.54048457280123</v>
      </c>
      <c r="O45" s="49">
        <f t="shared" si="23"/>
        <v>9.3317647080839745E-3</v>
      </c>
      <c r="P45" s="32">
        <v>0</v>
      </c>
      <c r="Q45" s="49">
        <f t="shared" si="24"/>
        <v>0</v>
      </c>
      <c r="R45" s="32">
        <v>0</v>
      </c>
      <c r="S45" s="49">
        <f t="shared" si="25"/>
        <v>0</v>
      </c>
      <c r="T45" s="32">
        <v>0</v>
      </c>
      <c r="U45" s="49">
        <f t="shared" si="26"/>
        <v>0</v>
      </c>
      <c r="V45" s="32">
        <v>0</v>
      </c>
      <c r="W45" s="63">
        <v>0</v>
      </c>
      <c r="X45" s="14"/>
      <c r="Y45" s="14"/>
      <c r="Z45" s="14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1:45" x14ac:dyDescent="0.2">
      <c r="A46" s="1" t="s">
        <v>26</v>
      </c>
      <c r="B46" s="32">
        <v>69.936000000000007</v>
      </c>
      <c r="C46" s="49">
        <f t="shared" si="16"/>
        <v>7.8626350350454802E-3</v>
      </c>
      <c r="D46" s="32">
        <v>94.021000000000001</v>
      </c>
      <c r="E46" s="49">
        <f t="shared" si="17"/>
        <v>1.3681204550167157E-2</v>
      </c>
      <c r="F46" s="32">
        <v>62.709000000000003</v>
      </c>
      <c r="G46" s="49">
        <f t="shared" si="18"/>
        <v>7.4574841702830883E-3</v>
      </c>
      <c r="H46" s="32">
        <v>256</v>
      </c>
      <c r="I46" s="49">
        <f t="shared" si="19"/>
        <v>1.431686625273027E-2</v>
      </c>
      <c r="J46" s="32">
        <v>0</v>
      </c>
      <c r="K46" s="49">
        <f t="shared" si="20"/>
        <v>0</v>
      </c>
      <c r="L46" s="32">
        <v>0</v>
      </c>
      <c r="M46" s="49">
        <f t="shared" si="21"/>
        <v>0</v>
      </c>
      <c r="N46" s="32">
        <f t="shared" si="22"/>
        <v>482.70931819000822</v>
      </c>
      <c r="O46" s="49">
        <f t="shared" si="23"/>
        <v>6.5043558897895318E-3</v>
      </c>
      <c r="P46" s="32">
        <v>0</v>
      </c>
      <c r="Q46" s="49">
        <f t="shared" si="24"/>
        <v>0</v>
      </c>
      <c r="R46" s="32">
        <v>0</v>
      </c>
      <c r="S46" s="49">
        <f t="shared" si="25"/>
        <v>0</v>
      </c>
      <c r="T46" s="32">
        <v>0</v>
      </c>
      <c r="U46" s="49">
        <f t="shared" si="26"/>
        <v>0</v>
      </c>
      <c r="V46" s="32">
        <v>0</v>
      </c>
      <c r="W46" s="63">
        <v>0</v>
      </c>
      <c r="X46" s="14"/>
      <c r="Y46" s="14"/>
      <c r="Z46" s="14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1:45" x14ac:dyDescent="0.2">
      <c r="A47" s="1" t="s">
        <v>87</v>
      </c>
      <c r="B47" s="32">
        <v>0</v>
      </c>
      <c r="C47" s="49">
        <f t="shared" si="16"/>
        <v>0</v>
      </c>
      <c r="D47" s="32">
        <v>0</v>
      </c>
      <c r="E47" s="49">
        <f>D47/$B$56</f>
        <v>0</v>
      </c>
      <c r="F47" s="32">
        <v>0</v>
      </c>
      <c r="G47" s="49">
        <f>F47/$B$56</f>
        <v>0</v>
      </c>
      <c r="H47" s="32">
        <v>0</v>
      </c>
      <c r="I47" s="49">
        <f>H47/$B$56</f>
        <v>0</v>
      </c>
      <c r="J47" s="32">
        <v>0</v>
      </c>
      <c r="K47" s="49">
        <f>J47/$B$56</f>
        <v>0</v>
      </c>
      <c r="L47" s="32">
        <v>0</v>
      </c>
      <c r="M47" s="49">
        <f>L47/$B$56</f>
        <v>0</v>
      </c>
      <c r="N47" s="32">
        <v>0</v>
      </c>
      <c r="O47" s="49">
        <f>N47/$B$56</f>
        <v>0</v>
      </c>
      <c r="P47" s="32">
        <v>0</v>
      </c>
      <c r="Q47" s="49">
        <f>P47/$B$56</f>
        <v>0</v>
      </c>
      <c r="R47" s="32">
        <v>0</v>
      </c>
      <c r="S47" s="49">
        <f>R47/$B$56</f>
        <v>0</v>
      </c>
      <c r="T47" s="32">
        <v>1000</v>
      </c>
      <c r="U47" s="49">
        <f>T47/$B$56</f>
        <v>0.11242614726386238</v>
      </c>
      <c r="V47" s="32">
        <v>0</v>
      </c>
      <c r="W47" s="63">
        <f>V47/$B$56</f>
        <v>0</v>
      </c>
      <c r="X47" s="14"/>
      <c r="Y47" s="14"/>
      <c r="Z47" s="14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1:45" x14ac:dyDescent="0.2">
      <c r="A48" s="1" t="s">
        <v>15</v>
      </c>
      <c r="B48" s="32">
        <v>461.44</v>
      </c>
      <c r="C48" s="49">
        <f t="shared" si="16"/>
        <v>5.1877921393436659E-2</v>
      </c>
      <c r="D48" s="32">
        <v>557.69299999999998</v>
      </c>
      <c r="E48" s="49">
        <f t="shared" si="17"/>
        <v>8.1151147181973943E-2</v>
      </c>
      <c r="F48" s="32">
        <v>172.60900000000001</v>
      </c>
      <c r="G48" s="49">
        <f t="shared" si="18"/>
        <v>2.0527019808135892E-2</v>
      </c>
      <c r="H48" s="32">
        <v>453.84100000000001</v>
      </c>
      <c r="I48" s="49">
        <f t="shared" si="19"/>
        <v>2.538117537892718E-2</v>
      </c>
      <c r="J48" s="32">
        <v>1117.944</v>
      </c>
      <c r="K48" s="49">
        <f t="shared" si="20"/>
        <v>8.0159569990482182E-2</v>
      </c>
      <c r="L48" s="32">
        <v>2305.8180000000002</v>
      </c>
      <c r="M48" s="49">
        <f t="shared" si="21"/>
        <v>0.12665934921398539</v>
      </c>
      <c r="N48" s="32">
        <f>SUM(B48:L48)</f>
        <v>5069.6040968337529</v>
      </c>
      <c r="O48" s="49">
        <f t="shared" si="23"/>
        <v>6.8311317025709556E-2</v>
      </c>
      <c r="P48" s="32">
        <v>0</v>
      </c>
      <c r="Q48" s="49">
        <f t="shared" si="24"/>
        <v>0</v>
      </c>
      <c r="R48" s="32">
        <v>100</v>
      </c>
      <c r="S48" s="49">
        <f t="shared" si="25"/>
        <v>1.4070634585619812E-2</v>
      </c>
      <c r="T48" s="32">
        <v>461</v>
      </c>
      <c r="U48" s="49">
        <f t="shared" si="26"/>
        <v>9.5995169006679065E-2</v>
      </c>
      <c r="V48" s="32">
        <v>0</v>
      </c>
      <c r="W48" s="63">
        <v>0</v>
      </c>
      <c r="X48" s="14"/>
      <c r="Y48" s="14"/>
      <c r="Z48" s="14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1:45" x14ac:dyDescent="0.2">
      <c r="A49" s="1" t="s">
        <v>27</v>
      </c>
      <c r="B49" s="32">
        <v>555.31500000000005</v>
      </c>
      <c r="C49" s="49">
        <f t="shared" si="16"/>
        <v>6.2431925967831745E-2</v>
      </c>
      <c r="D49" s="32">
        <v>741.63900000000001</v>
      </c>
      <c r="E49" s="49">
        <f t="shared" si="17"/>
        <v>0.10791753822424162</v>
      </c>
      <c r="F49" s="32">
        <v>638.18200000000002</v>
      </c>
      <c r="G49" s="49">
        <f t="shared" si="18"/>
        <v>7.5893925317890604E-2</v>
      </c>
      <c r="H49" s="32">
        <v>388.50799999999998</v>
      </c>
      <c r="I49" s="49">
        <f t="shared" si="19"/>
        <v>2.1727410445764577E-2</v>
      </c>
      <c r="J49" s="32">
        <v>604.55899999999997</v>
      </c>
      <c r="K49" s="49">
        <f t="shared" si="20"/>
        <v>4.3348494623948894E-2</v>
      </c>
      <c r="L49" s="32">
        <v>508.303</v>
      </c>
      <c r="M49" s="49">
        <f t="shared" si="21"/>
        <v>2.7921252754344192E-2</v>
      </c>
      <c r="N49" s="32">
        <f t="shared" si="22"/>
        <v>3436.8173192945792</v>
      </c>
      <c r="O49" s="49">
        <f t="shared" si="23"/>
        <v>4.6310029930031478E-2</v>
      </c>
      <c r="P49" s="32">
        <v>0</v>
      </c>
      <c r="Q49" s="49">
        <f t="shared" si="24"/>
        <v>0</v>
      </c>
      <c r="R49" s="32">
        <v>0</v>
      </c>
      <c r="S49" s="49">
        <f t="shared" si="25"/>
        <v>0</v>
      </c>
      <c r="T49" s="32">
        <v>0</v>
      </c>
      <c r="U49" s="49">
        <f t="shared" si="26"/>
        <v>0</v>
      </c>
      <c r="V49" s="32">
        <v>0</v>
      </c>
      <c r="W49" s="63">
        <v>0</v>
      </c>
      <c r="X49" s="14"/>
      <c r="Y49" s="14"/>
      <c r="Z49" s="14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</row>
    <row r="50" spans="1:45" x14ac:dyDescent="0.2">
      <c r="A50" s="1" t="s">
        <v>28</v>
      </c>
      <c r="B50" s="32">
        <v>1018.627</v>
      </c>
      <c r="C50" s="49">
        <f t="shared" si="16"/>
        <v>0.11452030910894634</v>
      </c>
      <c r="D50" s="32">
        <v>834</v>
      </c>
      <c r="E50" s="49">
        <f t="shared" si="17"/>
        <v>0.12135719248720403</v>
      </c>
      <c r="F50" s="32">
        <v>791</v>
      </c>
      <c r="G50" s="49">
        <f t="shared" si="18"/>
        <v>9.406735841257112E-2</v>
      </c>
      <c r="H50" s="32">
        <v>381.3</v>
      </c>
      <c r="I50" s="49">
        <f t="shared" si="19"/>
        <v>2.1324301180336142E-2</v>
      </c>
      <c r="J50" s="32">
        <v>652.20799999999997</v>
      </c>
      <c r="K50" s="49">
        <f t="shared" si="20"/>
        <v>4.676505515871314E-2</v>
      </c>
      <c r="L50" s="32">
        <v>498.96</v>
      </c>
      <c r="M50" s="49">
        <f t="shared" si="21"/>
        <v>2.740803865864962E-2</v>
      </c>
      <c r="N50" s="32">
        <f t="shared" si="22"/>
        <v>4176.493034216348</v>
      </c>
      <c r="O50" s="49">
        <f t="shared" si="23"/>
        <v>5.6276927007812554E-2</v>
      </c>
      <c r="P50" s="32">
        <v>0</v>
      </c>
      <c r="Q50" s="49">
        <f t="shared" si="24"/>
        <v>0</v>
      </c>
      <c r="R50" s="32">
        <v>500</v>
      </c>
      <c r="S50" s="49">
        <f t="shared" si="25"/>
        <v>7.0353172928099061E-2</v>
      </c>
      <c r="T50" s="32">
        <v>150</v>
      </c>
      <c r="U50" s="49">
        <f t="shared" si="26"/>
        <v>3.12348706095485E-2</v>
      </c>
      <c r="V50" s="32">
        <v>0</v>
      </c>
      <c r="W50" s="63">
        <v>0</v>
      </c>
      <c r="X50" s="14"/>
      <c r="Y50" s="14"/>
      <c r="Z50" s="14"/>
      <c r="AA50" s="16"/>
      <c r="AB50" s="17"/>
      <c r="AC50" s="17"/>
      <c r="AD50" s="17"/>
      <c r="AE50" s="17"/>
      <c r="AF50" s="17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">
      <c r="A51" s="1" t="s">
        <v>58</v>
      </c>
      <c r="B51" s="32">
        <v>0</v>
      </c>
      <c r="C51" s="49">
        <f t="shared" si="16"/>
        <v>0</v>
      </c>
      <c r="D51" s="32">
        <v>0</v>
      </c>
      <c r="E51" s="49">
        <f t="shared" si="17"/>
        <v>0</v>
      </c>
      <c r="F51" s="32">
        <v>0</v>
      </c>
      <c r="G51" s="49">
        <f t="shared" si="18"/>
        <v>0</v>
      </c>
      <c r="H51" s="32">
        <v>259.08100000000002</v>
      </c>
      <c r="I51" s="49">
        <f t="shared" si="19"/>
        <v>1.4489171975092231E-2</v>
      </c>
      <c r="J51" s="32">
        <v>232.28800000000001</v>
      </c>
      <c r="K51" s="49">
        <f t="shared" si="20"/>
        <v>1.6655669867139254E-2</v>
      </c>
      <c r="L51" s="32">
        <v>0</v>
      </c>
      <c r="M51" s="49">
        <f t="shared" si="21"/>
        <v>0</v>
      </c>
      <c r="N51" s="32">
        <f t="shared" si="22"/>
        <v>491.40014484184223</v>
      </c>
      <c r="O51" s="49">
        <f t="shared" si="23"/>
        <v>6.62146203916315E-3</v>
      </c>
      <c r="P51" s="32">
        <v>0</v>
      </c>
      <c r="Q51" s="49">
        <f t="shared" si="24"/>
        <v>0</v>
      </c>
      <c r="R51" s="32">
        <v>0</v>
      </c>
      <c r="S51" s="49">
        <f t="shared" si="25"/>
        <v>0</v>
      </c>
      <c r="T51" s="32">
        <v>0</v>
      </c>
      <c r="U51" s="49">
        <f t="shared" si="26"/>
        <v>0</v>
      </c>
      <c r="V51" s="32">
        <v>0</v>
      </c>
      <c r="W51" s="63">
        <v>0</v>
      </c>
      <c r="X51" s="14"/>
      <c r="Y51" s="14"/>
      <c r="Z51" s="14"/>
      <c r="AA51" s="16"/>
      <c r="AB51" s="17"/>
      <c r="AC51" s="17"/>
      <c r="AD51" s="17"/>
      <c r="AE51" s="17"/>
      <c r="AF51" s="17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45" x14ac:dyDescent="0.2">
      <c r="A52" s="1" t="s">
        <v>88</v>
      </c>
      <c r="B52" s="32">
        <v>0</v>
      </c>
      <c r="C52" s="49">
        <f t="shared" si="16"/>
        <v>0</v>
      </c>
      <c r="D52" s="32">
        <v>0</v>
      </c>
      <c r="E52" s="49">
        <f>D52/$B$56</f>
        <v>0</v>
      </c>
      <c r="F52" s="32">
        <v>0</v>
      </c>
      <c r="G52" s="49">
        <f>F52/$B$56</f>
        <v>0</v>
      </c>
      <c r="H52" s="32">
        <v>0</v>
      </c>
      <c r="I52" s="49">
        <f>H52/$B$56</f>
        <v>0</v>
      </c>
      <c r="J52" s="32">
        <v>0</v>
      </c>
      <c r="K52" s="49">
        <f>J52/$B$56</f>
        <v>0</v>
      </c>
      <c r="L52" s="32">
        <v>0</v>
      </c>
      <c r="M52" s="49">
        <f>L52/$B$56</f>
        <v>0</v>
      </c>
      <c r="N52" s="32">
        <v>0</v>
      </c>
      <c r="O52" s="49">
        <f>N52/$B$56</f>
        <v>0</v>
      </c>
      <c r="P52" s="32">
        <v>0</v>
      </c>
      <c r="Q52" s="49">
        <f>P52/$B$56</f>
        <v>0</v>
      </c>
      <c r="R52" s="32">
        <v>0</v>
      </c>
      <c r="S52" s="49">
        <f>R52/$B$56</f>
        <v>0</v>
      </c>
      <c r="T52" s="32">
        <v>200</v>
      </c>
      <c r="U52" s="49">
        <f>T52/$B$56</f>
        <v>2.2485229452772475E-2</v>
      </c>
      <c r="V52" s="32">
        <v>0</v>
      </c>
      <c r="W52" s="63">
        <f>V52/$B$56</f>
        <v>0</v>
      </c>
      <c r="X52" s="14"/>
      <c r="Y52" s="14"/>
      <c r="Z52" s="14"/>
      <c r="AA52" s="16"/>
      <c r="AB52" s="17"/>
      <c r="AC52" s="17"/>
      <c r="AD52" s="17"/>
      <c r="AE52" s="17"/>
      <c r="AF52" s="17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2">
      <c r="A53" s="1" t="s">
        <v>78</v>
      </c>
      <c r="B53" s="32">
        <v>0</v>
      </c>
      <c r="C53" s="49">
        <f t="shared" si="16"/>
        <v>0</v>
      </c>
      <c r="D53" s="32">
        <v>0</v>
      </c>
      <c r="E53" s="49">
        <f t="shared" si="17"/>
        <v>0</v>
      </c>
      <c r="F53" s="32">
        <v>0</v>
      </c>
      <c r="G53" s="49">
        <f t="shared" si="18"/>
        <v>0</v>
      </c>
      <c r="H53" s="32">
        <v>2981.7910000000002</v>
      </c>
      <c r="I53" s="49">
        <f t="shared" si="19"/>
        <v>0.16675743336169863</v>
      </c>
      <c r="J53" s="32">
        <v>0</v>
      </c>
      <c r="K53" s="49">
        <f t="shared" si="20"/>
        <v>0</v>
      </c>
      <c r="L53" s="32">
        <v>0</v>
      </c>
      <c r="M53" s="49">
        <f t="shared" si="21"/>
        <v>0</v>
      </c>
      <c r="N53" s="32">
        <f>SUM(B53:L53)</f>
        <v>2981.9577574333621</v>
      </c>
      <c r="O53" s="49">
        <f t="shared" si="23"/>
        <v>4.0180940727211248E-2</v>
      </c>
      <c r="P53" s="32">
        <v>0</v>
      </c>
      <c r="Q53" s="49">
        <f t="shared" si="24"/>
        <v>0</v>
      </c>
      <c r="R53" s="32">
        <v>0</v>
      </c>
      <c r="S53" s="49">
        <f t="shared" si="25"/>
        <v>0</v>
      </c>
      <c r="T53" s="32">
        <v>0</v>
      </c>
      <c r="U53" s="49">
        <f t="shared" si="26"/>
        <v>0</v>
      </c>
      <c r="V53" s="32">
        <v>0</v>
      </c>
      <c r="W53" s="63">
        <v>0</v>
      </c>
      <c r="X53" s="14"/>
      <c r="Y53" s="14"/>
      <c r="Z53" s="14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45" x14ac:dyDescent="0.2">
      <c r="A54" s="2" t="s">
        <v>33</v>
      </c>
      <c r="B54" s="32">
        <v>4291.62</v>
      </c>
      <c r="C54" s="49">
        <f t="shared" si="16"/>
        <v>0.48249030212053706</v>
      </c>
      <c r="D54" s="32">
        <v>2774.9090000000001</v>
      </c>
      <c r="E54" s="49">
        <f t="shared" si="17"/>
        <v>0.40378317223917848</v>
      </c>
      <c r="F54" s="32">
        <v>4013.0259999999998</v>
      </c>
      <c r="G54" s="49">
        <f t="shared" si="18"/>
        <v>0.47723736417315632</v>
      </c>
      <c r="H54" s="32">
        <v>11170.136</v>
      </c>
      <c r="I54" s="49">
        <f t="shared" si="19"/>
        <v>0.62469274662815422</v>
      </c>
      <c r="J54" s="32">
        <v>9716.5789999999997</v>
      </c>
      <c r="K54" s="49">
        <f t="shared" si="20"/>
        <v>0.69670465999956122</v>
      </c>
      <c r="L54" s="32">
        <v>12612.985000000001</v>
      </c>
      <c r="M54" s="49">
        <f t="shared" si="21"/>
        <v>0.692835458716065</v>
      </c>
      <c r="N54" s="32">
        <f>SUM(B54:L54)</f>
        <v>44581.939908245156</v>
      </c>
      <c r="O54" s="49">
        <f t="shared" si="23"/>
        <v>0.60072758592634878</v>
      </c>
      <c r="P54" s="32">
        <v>0</v>
      </c>
      <c r="Q54" s="49">
        <f t="shared" si="24"/>
        <v>0</v>
      </c>
      <c r="R54" s="32">
        <v>4307</v>
      </c>
      <c r="S54" s="49">
        <f t="shared" si="25"/>
        <v>0.60602223160264523</v>
      </c>
      <c r="T54" s="32">
        <v>817</v>
      </c>
      <c r="U54" s="49">
        <f t="shared" si="26"/>
        <v>0.17012592858667416</v>
      </c>
      <c r="V54" s="32">
        <v>0</v>
      </c>
      <c r="W54" s="63">
        <v>0</v>
      </c>
      <c r="X54" s="14"/>
      <c r="Y54" s="14"/>
      <c r="Z54" s="14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</row>
    <row r="55" spans="1:45" s="11" customFormat="1" x14ac:dyDescent="0.2">
      <c r="A55" s="10" t="s">
        <v>62</v>
      </c>
      <c r="B55" s="34">
        <v>0</v>
      </c>
      <c r="C55" s="51">
        <f t="shared" si="16"/>
        <v>0</v>
      </c>
      <c r="D55" s="34">
        <v>0</v>
      </c>
      <c r="E55" s="51">
        <f t="shared" si="17"/>
        <v>0</v>
      </c>
      <c r="F55" s="34">
        <v>0</v>
      </c>
      <c r="G55" s="51">
        <f t="shared" si="18"/>
        <v>0</v>
      </c>
      <c r="H55" s="34">
        <v>325</v>
      </c>
      <c r="I55" s="51">
        <f t="shared" si="19"/>
        <v>1.8175709109911474E-2</v>
      </c>
      <c r="J55" s="34">
        <v>15.1</v>
      </c>
      <c r="K55" s="51">
        <f t="shared" si="20"/>
        <v>1.0827103207819721E-3</v>
      </c>
      <c r="L55" s="34">
        <v>576.42599999999993</v>
      </c>
      <c r="M55" s="51">
        <f t="shared" si="21"/>
        <v>3.1663271789022694E-2</v>
      </c>
      <c r="N55" s="34">
        <f t="shared" si="22"/>
        <v>916.54525841943064</v>
      </c>
      <c r="O55" s="51">
        <f t="shared" si="23"/>
        <v>1.2350158418761787E-2</v>
      </c>
      <c r="P55" s="34">
        <v>0</v>
      </c>
      <c r="Q55" s="51">
        <f t="shared" si="24"/>
        <v>0</v>
      </c>
      <c r="R55" s="34">
        <v>0</v>
      </c>
      <c r="S55" s="51">
        <f t="shared" si="25"/>
        <v>0</v>
      </c>
      <c r="T55" s="34">
        <v>0</v>
      </c>
      <c r="U55" s="51">
        <f t="shared" si="26"/>
        <v>0</v>
      </c>
      <c r="V55" s="34">
        <v>0</v>
      </c>
      <c r="W55" s="65">
        <v>0</v>
      </c>
      <c r="X55" s="15"/>
      <c r="Y55" s="15"/>
      <c r="Z55" s="15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spans="1:45" x14ac:dyDescent="0.2">
      <c r="A56" s="36" t="s">
        <v>29</v>
      </c>
      <c r="B56" s="32">
        <f>SUM(B41:B55)</f>
        <v>8894.7279999999992</v>
      </c>
      <c r="C56" s="49">
        <f t="shared" si="16"/>
        <v>1</v>
      </c>
      <c r="D56" s="32">
        <f t="shared" ref="D56:O56" si="27">SUM(D41:D55)</f>
        <v>6872.2749999999996</v>
      </c>
      <c r="E56" s="49">
        <f t="shared" si="27"/>
        <v>1</v>
      </c>
      <c r="F56" s="32">
        <f t="shared" si="27"/>
        <v>8408.8679999999986</v>
      </c>
      <c r="G56" s="49">
        <f t="shared" si="27"/>
        <v>1</v>
      </c>
      <c r="H56" s="32">
        <f t="shared" si="27"/>
        <v>17881.008000000002</v>
      </c>
      <c r="I56" s="49">
        <f t="shared" si="27"/>
        <v>0.99999999999999989</v>
      </c>
      <c r="J56" s="32">
        <f t="shared" si="27"/>
        <v>13946.482</v>
      </c>
      <c r="K56" s="49">
        <f t="shared" si="27"/>
        <v>1</v>
      </c>
      <c r="L56" s="32">
        <f t="shared" si="27"/>
        <v>18204.878000000001</v>
      </c>
      <c r="M56" s="49">
        <f t="shared" si="27"/>
        <v>1</v>
      </c>
      <c r="N56" s="32">
        <f t="shared" si="27"/>
        <v>74213.239000000001</v>
      </c>
      <c r="O56" s="49">
        <f t="shared" si="27"/>
        <v>0.99999999999999989</v>
      </c>
      <c r="P56" s="32">
        <v>29673</v>
      </c>
      <c r="Q56" s="49">
        <f>P56/$P$56</f>
        <v>1</v>
      </c>
      <c r="R56" s="32">
        <f t="shared" ref="R56:W56" si="28">SUM(R41:R55)</f>
        <v>7107</v>
      </c>
      <c r="S56" s="49">
        <f t="shared" si="28"/>
        <v>1</v>
      </c>
      <c r="T56" s="32">
        <f t="shared" si="28"/>
        <v>4802.3249999999998</v>
      </c>
      <c r="U56" s="49">
        <f t="shared" si="28"/>
        <v>0.88503241184024684</v>
      </c>
      <c r="V56" s="32">
        <f t="shared" si="28"/>
        <v>0</v>
      </c>
      <c r="W56" s="63">
        <f t="shared" si="28"/>
        <v>0</v>
      </c>
      <c r="X56" s="14"/>
      <c r="Y56" s="14"/>
      <c r="Z56" s="14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">
      <c r="A57" s="37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3"/>
      <c r="X57" s="14"/>
      <c r="Y57" s="14"/>
      <c r="Z57" s="14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</row>
    <row r="58" spans="1:45" x14ac:dyDescent="0.2">
      <c r="A58" s="12" t="s">
        <v>11</v>
      </c>
      <c r="B58" s="32"/>
      <c r="C58" s="50" t="s">
        <v>80</v>
      </c>
      <c r="D58" s="32"/>
      <c r="E58" s="50" t="s">
        <v>80</v>
      </c>
      <c r="F58" s="32"/>
      <c r="G58" s="50" t="s">
        <v>80</v>
      </c>
      <c r="H58" s="32"/>
      <c r="I58" s="50" t="s">
        <v>80</v>
      </c>
      <c r="J58" s="32"/>
      <c r="K58" s="50" t="s">
        <v>80</v>
      </c>
      <c r="L58" s="32"/>
      <c r="M58" s="50" t="s">
        <v>80</v>
      </c>
      <c r="N58" s="32"/>
      <c r="O58" s="50" t="s">
        <v>80</v>
      </c>
      <c r="P58" s="32"/>
      <c r="Q58" s="50" t="s">
        <v>80</v>
      </c>
      <c r="R58" s="32"/>
      <c r="S58" s="50" t="s">
        <v>80</v>
      </c>
      <c r="T58" s="32"/>
      <c r="U58" s="50" t="s">
        <v>80</v>
      </c>
      <c r="V58" s="32"/>
      <c r="W58" s="64" t="s">
        <v>80</v>
      </c>
      <c r="X58" s="14"/>
      <c r="Y58" s="14"/>
      <c r="Z58" s="14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</row>
    <row r="59" spans="1:45" x14ac:dyDescent="0.2">
      <c r="A59" s="1" t="s">
        <v>30</v>
      </c>
      <c r="B59" s="32">
        <v>0</v>
      </c>
      <c r="C59" s="49">
        <f>B59/$B$63</f>
        <v>0</v>
      </c>
      <c r="D59" s="32">
        <v>0</v>
      </c>
      <c r="E59" s="49">
        <f>D59/$D$63</f>
        <v>0</v>
      </c>
      <c r="F59" s="32">
        <v>0</v>
      </c>
      <c r="G59" s="49">
        <f>F59/$F$63</f>
        <v>0</v>
      </c>
      <c r="H59" s="32">
        <v>0</v>
      </c>
      <c r="I59" s="49">
        <v>0</v>
      </c>
      <c r="J59" s="32">
        <v>0</v>
      </c>
      <c r="K59" s="49">
        <v>0</v>
      </c>
      <c r="L59" s="32">
        <v>0</v>
      </c>
      <c r="M59" s="49">
        <v>0</v>
      </c>
      <c r="N59" s="32">
        <f>SUM(B59:L59)</f>
        <v>0</v>
      </c>
      <c r="O59" s="49">
        <f>N59/$N$63</f>
        <v>0</v>
      </c>
      <c r="P59" s="32">
        <v>0</v>
      </c>
      <c r="Q59" s="49">
        <v>0</v>
      </c>
      <c r="R59" s="32">
        <v>0</v>
      </c>
      <c r="S59" s="49">
        <f>R59/$R$63</f>
        <v>0</v>
      </c>
      <c r="T59" s="32">
        <v>0</v>
      </c>
      <c r="U59" s="49">
        <f>T59/$T$63</f>
        <v>0</v>
      </c>
      <c r="V59" s="32">
        <v>0</v>
      </c>
      <c r="W59" s="63">
        <v>0</v>
      </c>
      <c r="X59" s="14"/>
      <c r="Y59" s="14"/>
      <c r="Z59" s="14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</row>
    <row r="60" spans="1:45" x14ac:dyDescent="0.2">
      <c r="A60" s="1" t="s">
        <v>31</v>
      </c>
      <c r="B60" s="32">
        <v>0</v>
      </c>
      <c r="C60" s="49">
        <f>B60/$B$63</f>
        <v>0</v>
      </c>
      <c r="D60" s="32">
        <v>0</v>
      </c>
      <c r="E60" s="49">
        <f>D60/$D$63</f>
        <v>0</v>
      </c>
      <c r="F60" s="32">
        <v>0</v>
      </c>
      <c r="G60" s="49">
        <f>F60/$F$63</f>
        <v>0</v>
      </c>
      <c r="H60" s="32">
        <v>0</v>
      </c>
      <c r="I60" s="49">
        <v>0</v>
      </c>
      <c r="J60" s="32">
        <v>0</v>
      </c>
      <c r="K60" s="49">
        <v>0</v>
      </c>
      <c r="L60" s="32">
        <v>0</v>
      </c>
      <c r="M60" s="49">
        <v>0</v>
      </c>
      <c r="N60" s="32">
        <f>SUM(B60:L60)</f>
        <v>0</v>
      </c>
      <c r="O60" s="49">
        <f>N60/$N$63</f>
        <v>0</v>
      </c>
      <c r="P60" s="32">
        <v>0</v>
      </c>
      <c r="Q60" s="49">
        <v>0</v>
      </c>
      <c r="R60" s="32">
        <v>0</v>
      </c>
      <c r="S60" s="49">
        <f>R60/$R$63</f>
        <v>0</v>
      </c>
      <c r="T60" s="32">
        <v>0</v>
      </c>
      <c r="U60" s="49">
        <f>T60/$T$63</f>
        <v>0</v>
      </c>
      <c r="V60" s="32">
        <v>0</v>
      </c>
      <c r="W60" s="63">
        <v>0</v>
      </c>
      <c r="X60" s="14"/>
      <c r="Y60" s="14"/>
      <c r="Z60" s="14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</row>
    <row r="61" spans="1:45" x14ac:dyDescent="0.2">
      <c r="A61" s="1" t="s">
        <v>72</v>
      </c>
      <c r="B61" s="32"/>
      <c r="C61" s="49">
        <f>B61/$B$63</f>
        <v>0</v>
      </c>
      <c r="D61" s="32"/>
      <c r="E61" s="49">
        <f>D61/$D$63</f>
        <v>0</v>
      </c>
      <c r="F61" s="32"/>
      <c r="G61" s="49">
        <f>F61/$F$63</f>
        <v>0</v>
      </c>
      <c r="H61" s="32"/>
      <c r="I61" s="49">
        <v>0</v>
      </c>
      <c r="J61" s="32"/>
      <c r="K61" s="49">
        <v>0</v>
      </c>
      <c r="L61" s="32"/>
      <c r="M61" s="49">
        <v>0</v>
      </c>
      <c r="N61" s="32"/>
      <c r="O61" s="49">
        <f>N61/$N$63</f>
        <v>0</v>
      </c>
      <c r="P61" s="32">
        <v>0</v>
      </c>
      <c r="Q61" s="49">
        <v>0</v>
      </c>
      <c r="R61" s="32"/>
      <c r="S61" s="49">
        <f>R61/$R$63</f>
        <v>0</v>
      </c>
      <c r="T61" s="32">
        <v>9394</v>
      </c>
      <c r="U61" s="49">
        <f>T61/$T$63</f>
        <v>0.86230952818064988</v>
      </c>
      <c r="V61" s="32"/>
      <c r="W61" s="63">
        <v>0</v>
      </c>
      <c r="X61" s="14"/>
      <c r="Y61" s="14"/>
      <c r="Z61" s="14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</row>
    <row r="62" spans="1:45" x14ac:dyDescent="0.2">
      <c r="A62" s="10" t="s">
        <v>32</v>
      </c>
      <c r="B62" s="34">
        <v>1062</v>
      </c>
      <c r="C62" s="51">
        <f>B62/$B$63</f>
        <v>1</v>
      </c>
      <c r="D62" s="34">
        <v>1243</v>
      </c>
      <c r="E62" s="51">
        <f>D62/$D$63</f>
        <v>1</v>
      </c>
      <c r="F62" s="34">
        <v>1112</v>
      </c>
      <c r="G62" s="51">
        <f>F62/$F$63</f>
        <v>1</v>
      </c>
      <c r="H62" s="34">
        <v>0</v>
      </c>
      <c r="I62" s="51">
        <v>0</v>
      </c>
      <c r="J62" s="34">
        <v>0</v>
      </c>
      <c r="K62" s="51">
        <v>0</v>
      </c>
      <c r="L62" s="34">
        <v>0</v>
      </c>
      <c r="M62" s="51">
        <v>0</v>
      </c>
      <c r="N62" s="34">
        <f>SUM(B62:L62)</f>
        <v>3420</v>
      </c>
      <c r="O62" s="51">
        <f>N62/$N$63</f>
        <v>1</v>
      </c>
      <c r="P62" s="34">
        <v>0</v>
      </c>
      <c r="Q62" s="51">
        <v>0</v>
      </c>
      <c r="R62" s="34">
        <v>400</v>
      </c>
      <c r="S62" s="51">
        <f>R62/$R$63</f>
        <v>1</v>
      </c>
      <c r="T62" s="34">
        <v>1500</v>
      </c>
      <c r="U62" s="51">
        <f>T62/$T$63</f>
        <v>0.1376904718193501</v>
      </c>
      <c r="V62" s="34">
        <v>0</v>
      </c>
      <c r="W62" s="65">
        <v>0</v>
      </c>
      <c r="X62" s="14"/>
      <c r="Y62" s="14"/>
      <c r="Z62" s="14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</row>
    <row r="63" spans="1:45" x14ac:dyDescent="0.2">
      <c r="A63" s="36" t="s">
        <v>79</v>
      </c>
      <c r="B63" s="32">
        <f>SUM(B59:B62)</f>
        <v>1062</v>
      </c>
      <c r="C63" s="49">
        <f>B63/$B$63</f>
        <v>1</v>
      </c>
      <c r="D63" s="32">
        <f>SUM(D59:D62)</f>
        <v>1243</v>
      </c>
      <c r="E63" s="49">
        <f>SUM(E59:E62)</f>
        <v>1</v>
      </c>
      <c r="F63" s="32">
        <f>SUM(F59:F62)</f>
        <v>1112</v>
      </c>
      <c r="G63" s="49">
        <f>SUM(G59:G62)</f>
        <v>1</v>
      </c>
      <c r="H63" s="32">
        <f>SUM(H59:H62)</f>
        <v>0</v>
      </c>
      <c r="I63" s="49">
        <f>H63/$B$63</f>
        <v>0</v>
      </c>
      <c r="J63" s="32">
        <f>SUM(J59:J62)</f>
        <v>0</v>
      </c>
      <c r="K63" s="49">
        <f>J63/$B$63</f>
        <v>0</v>
      </c>
      <c r="L63" s="32">
        <f>SUM(L59:L62)</f>
        <v>0</v>
      </c>
      <c r="M63" s="49">
        <f>L63/$B$63</f>
        <v>0</v>
      </c>
      <c r="N63" s="32">
        <f>SUM(N59:N62)</f>
        <v>3420</v>
      </c>
      <c r="O63" s="49">
        <f>SUM(O59:O62)</f>
        <v>1</v>
      </c>
      <c r="P63" s="32">
        <f>SUM(P59:P62)</f>
        <v>0</v>
      </c>
      <c r="Q63" s="49">
        <f>P63/$B$63</f>
        <v>0</v>
      </c>
      <c r="R63" s="32">
        <f t="shared" ref="R63:W63" si="29">SUM(R59:R62)</f>
        <v>400</v>
      </c>
      <c r="S63" s="49">
        <f t="shared" si="29"/>
        <v>1</v>
      </c>
      <c r="T63" s="32">
        <f t="shared" si="29"/>
        <v>10894</v>
      </c>
      <c r="U63" s="49">
        <f t="shared" si="29"/>
        <v>1</v>
      </c>
      <c r="V63" s="32">
        <f t="shared" si="29"/>
        <v>0</v>
      </c>
      <c r="W63" s="63">
        <f t="shared" si="29"/>
        <v>0</v>
      </c>
      <c r="X63" s="14"/>
      <c r="Y63" s="14"/>
      <c r="Z63" s="14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45" x14ac:dyDescent="0.2">
      <c r="A64" s="1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3"/>
      <c r="X64" s="14"/>
      <c r="Y64" s="14"/>
      <c r="Z64" s="14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</row>
    <row r="65" spans="1:45" x14ac:dyDescent="0.2">
      <c r="A65" s="3" t="s">
        <v>44</v>
      </c>
      <c r="B65" s="38">
        <f>B63+B56+B38</f>
        <v>128144.03300000001</v>
      </c>
      <c r="C65" s="38"/>
      <c r="D65" s="38">
        <f>D63+D56+D38</f>
        <v>154805.77099999998</v>
      </c>
      <c r="E65" s="38"/>
      <c r="F65" s="38">
        <f>F63+F56+F38</f>
        <v>148474.10799999998</v>
      </c>
      <c r="G65" s="38"/>
      <c r="H65" s="38">
        <f>H63+H56+H38</f>
        <v>173572.42600000001</v>
      </c>
      <c r="I65" s="38"/>
      <c r="J65" s="38">
        <f>J63+J56+J38</f>
        <v>161049.24400000001</v>
      </c>
      <c r="K65" s="38"/>
      <c r="L65" s="38">
        <f>L63+L56+L38</f>
        <v>255807.78199999998</v>
      </c>
      <c r="M65" s="38"/>
      <c r="N65" s="38">
        <f>N63+N56+N38</f>
        <v>1021866.3640000001</v>
      </c>
      <c r="O65" s="38"/>
      <c r="P65" s="38">
        <f>P63+P56+P38</f>
        <v>538473</v>
      </c>
      <c r="Q65" s="38"/>
      <c r="R65" s="38">
        <f>R63+R56+R38</f>
        <v>132797</v>
      </c>
      <c r="S65" s="38"/>
      <c r="T65" s="38">
        <f>T63+T56+T38</f>
        <v>113329.325</v>
      </c>
      <c r="U65" s="38"/>
      <c r="V65" s="38">
        <f>V63+V56+V38</f>
        <v>73115.566500000001</v>
      </c>
      <c r="W65" s="42"/>
      <c r="X65" s="14"/>
      <c r="Y65" s="14"/>
      <c r="Z65" s="14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</row>
    <row r="66" spans="1:45" x14ac:dyDescent="0.2">
      <c r="A66" s="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</row>
    <row r="67" spans="1:45" x14ac:dyDescent="0.2">
      <c r="A67" s="25" t="s">
        <v>91</v>
      </c>
      <c r="B67" s="35"/>
      <c r="C67" s="53" t="s">
        <v>81</v>
      </c>
      <c r="D67" s="35"/>
      <c r="E67" s="53" t="s">
        <v>81</v>
      </c>
      <c r="F67" s="35"/>
      <c r="G67" s="53" t="s">
        <v>81</v>
      </c>
      <c r="H67" s="35"/>
      <c r="I67" s="53" t="s">
        <v>81</v>
      </c>
      <c r="J67" s="35"/>
      <c r="K67" s="53" t="s">
        <v>81</v>
      </c>
      <c r="L67" s="35"/>
      <c r="M67" s="53" t="s">
        <v>81</v>
      </c>
      <c r="N67" s="35"/>
      <c r="O67" s="53" t="s">
        <v>81</v>
      </c>
      <c r="P67" s="35"/>
      <c r="Q67" s="53" t="s">
        <v>81</v>
      </c>
      <c r="R67" s="35"/>
      <c r="S67" s="53" t="s">
        <v>81</v>
      </c>
      <c r="T67" s="35"/>
      <c r="U67" s="53" t="s">
        <v>81</v>
      </c>
      <c r="V67" s="35"/>
      <c r="W67" s="66" t="s">
        <v>81</v>
      </c>
      <c r="X67" s="14"/>
      <c r="Y67" s="14"/>
      <c r="Z67" s="14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</row>
    <row r="68" spans="1:45" x14ac:dyDescent="0.2">
      <c r="A68" s="36" t="s">
        <v>92</v>
      </c>
      <c r="B68" s="32">
        <v>774.24800000000005</v>
      </c>
      <c r="C68" s="49">
        <f>B68/SUM($B$68,$B$70,$B$75,$B$77)</f>
        <v>0.14181474965794671</v>
      </c>
      <c r="D68" s="32">
        <v>446.6</v>
      </c>
      <c r="E68" s="49">
        <f>D68/SUM($D$68,$D$70,$D$75,$D$77)</f>
        <v>0.108912335977943</v>
      </c>
      <c r="F68" s="32">
        <v>428.99780000000004</v>
      </c>
      <c r="G68" s="49">
        <f>F68/SUM($F$68,$F$70,$F$75,$F$77)</f>
        <v>8.9907551370229835E-2</v>
      </c>
      <c r="H68" s="32">
        <v>744.673</v>
      </c>
      <c r="I68" s="49">
        <f>H68/SUM($H$68,$H$70,$H$75,$H$77)</f>
        <v>0.13913686949425108</v>
      </c>
      <c r="J68" s="32">
        <v>656.2</v>
      </c>
      <c r="K68" s="49">
        <f>J68/SUM($J$68,$J$70,$J$75,$J$77)</f>
        <v>0.13126022043257321</v>
      </c>
      <c r="L68" s="32">
        <v>629.48</v>
      </c>
      <c r="M68" s="49">
        <f>L68/SUM($L$68,$L$70,$L$75,$L$77)</f>
        <v>0.12269699347362802</v>
      </c>
      <c r="N68" s="32">
        <f>SUMPRODUCT(B68:L68,$B$11:$L$11)/$N$11</f>
        <v>623.59581316987737</v>
      </c>
      <c r="O68" s="49">
        <f>N68/SUM($N$68,$N$70,$N$75,$N$77)</f>
        <v>0.12482806694875206</v>
      </c>
      <c r="P68" s="32">
        <v>0</v>
      </c>
      <c r="Q68" s="49">
        <f>P68/SUM($P$68,$P$70,$P$75,$P$77)</f>
        <v>0</v>
      </c>
      <c r="R68" s="32">
        <v>105</v>
      </c>
      <c r="S68" s="49">
        <f>R68/SUM($R$68,$R$70,$R$75,$R$77)</f>
        <v>4.7106325706594884E-2</v>
      </c>
      <c r="T68" s="32">
        <v>269.65100000000001</v>
      </c>
      <c r="U68" s="49">
        <f>T68/SUM($T$68,$T$70,$T$75,$T$77)</f>
        <v>0.17767655409577038</v>
      </c>
      <c r="V68" s="43">
        <f>V69/V73*V72</f>
        <v>115.60975609756099</v>
      </c>
      <c r="W68" s="63">
        <f>V68/SUM($V$68,$V$70,$V$75,$V$77)</f>
        <v>0.1129001524390244</v>
      </c>
      <c r="X68" s="14"/>
      <c r="Y68" s="14"/>
      <c r="Z68" s="14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s="13" customFormat="1" x14ac:dyDescent="0.2">
      <c r="A69" s="39" t="s">
        <v>45</v>
      </c>
      <c r="B69" s="40">
        <v>1.4087481804949056</v>
      </c>
      <c r="C69" s="49"/>
      <c r="D69" s="40">
        <v>0.84200603318250378</v>
      </c>
      <c r="E69" s="49"/>
      <c r="F69" s="40">
        <v>1.0945049954586741</v>
      </c>
      <c r="G69" s="49"/>
      <c r="H69" s="40">
        <v>1.2167859477124183</v>
      </c>
      <c r="I69" s="49"/>
      <c r="J69" s="40">
        <v>1.1634751773049647</v>
      </c>
      <c r="K69" s="49"/>
      <c r="L69" s="40">
        <v>0.86277412280701771</v>
      </c>
      <c r="M69" s="49"/>
      <c r="N69" s="40">
        <f>SUMPRODUCT(B69:L69,$B$11:$L$11)/$N$11</f>
        <v>1.0896733800350265</v>
      </c>
      <c r="O69" s="49"/>
      <c r="P69" s="40">
        <v>2.0499999999999998</v>
      </c>
      <c r="Q69" s="49"/>
      <c r="R69" s="40">
        <v>0.32</v>
      </c>
      <c r="S69" s="49"/>
      <c r="T69" s="40">
        <v>1.61</v>
      </c>
      <c r="U69" s="49"/>
      <c r="V69" s="40">
        <v>0.5</v>
      </c>
      <c r="W69" s="63"/>
      <c r="X69" s="18"/>
      <c r="Y69" s="18"/>
      <c r="Z69" s="18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</row>
    <row r="70" spans="1:45" x14ac:dyDescent="0.2">
      <c r="A70" s="36" t="s">
        <v>93</v>
      </c>
      <c r="B70" s="32">
        <v>1973.16</v>
      </c>
      <c r="C70" s="49">
        <f>B70/SUM($B$68,$B$70,$B$75,$B$77)</f>
        <v>0.36141286956514468</v>
      </c>
      <c r="D70" s="32">
        <v>1349.28</v>
      </c>
      <c r="E70" s="49">
        <f>D70/SUM($D$68,$D$70,$D$75,$D$77)</f>
        <v>0.32904889540599852</v>
      </c>
      <c r="F70" s="32">
        <v>1349.28</v>
      </c>
      <c r="G70" s="49">
        <f>F70/SUM($F$68,$F$70,$F$75,$F$77)</f>
        <v>0.28277641729823255</v>
      </c>
      <c r="H70" s="32">
        <v>2296.44</v>
      </c>
      <c r="I70" s="49">
        <f>H70/SUM($H$68,$H$70,$H$75,$H$77)</f>
        <v>0.42907352969877782</v>
      </c>
      <c r="J70" s="32">
        <v>2078.4</v>
      </c>
      <c r="K70" s="49">
        <f>J70/SUM($J$68,$J$70,$J$75,$J$77)</f>
        <v>0.41574404472273718</v>
      </c>
      <c r="L70" s="32">
        <v>1799.04</v>
      </c>
      <c r="M70" s="49">
        <f>L70/SUM($L$68,$L$70,$L$75,$L$77)</f>
        <v>0.35066530968227067</v>
      </c>
      <c r="N70" s="32">
        <f>SUMPRODUCT(B70:L70,$B$11:$L$11)/$N$11</f>
        <v>1834.3690087565676</v>
      </c>
      <c r="O70" s="49">
        <f>N70/SUM($N$68,$N$70,$N$75,$N$77)</f>
        <v>0.36719415460764615</v>
      </c>
      <c r="P70" s="32">
        <v>0</v>
      </c>
      <c r="Q70" s="49">
        <f>P70/SUM($P$68,$P$70,$P$75,$P$77)</f>
        <v>0</v>
      </c>
      <c r="R70" s="32">
        <v>398</v>
      </c>
      <c r="S70" s="49">
        <f>R70/SUM($R$68,$R$70,$R$75,$R$77)</f>
        <v>0.17855540601166442</v>
      </c>
      <c r="T70" s="32">
        <v>0</v>
      </c>
      <c r="U70" s="49">
        <f>T70/SUM($T$68,$T$70,$T$75,$T$77)</f>
        <v>0</v>
      </c>
      <c r="V70" s="43">
        <f>V71/V73*V72</f>
        <v>358.39024390243907</v>
      </c>
      <c r="W70" s="63">
        <f>V70/SUM($V$68,$V$70,$V$75,$V$77)</f>
        <v>0.34999047256097565</v>
      </c>
      <c r="X70" s="14"/>
      <c r="Y70" s="14"/>
      <c r="Z70" s="14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</row>
    <row r="71" spans="1:45" s="13" customFormat="1" x14ac:dyDescent="0.2">
      <c r="A71" s="54" t="s">
        <v>45</v>
      </c>
      <c r="B71" s="55">
        <f>B70/B11/1200*1000</f>
        <v>3.5901746724890828</v>
      </c>
      <c r="C71" s="51"/>
      <c r="D71" s="55">
        <f>D70/D11/1200*1000</f>
        <v>2.543891402714932</v>
      </c>
      <c r="E71" s="51"/>
      <c r="F71" s="55">
        <f>F70/F11/1200*1000</f>
        <v>3.0637602179836509</v>
      </c>
      <c r="G71" s="51"/>
      <c r="H71" s="55">
        <f>H70/H11/1200*1000</f>
        <v>3.7523529411764707</v>
      </c>
      <c r="I71" s="51"/>
      <c r="J71" s="55">
        <f>J70/J11/1200*1000</f>
        <v>3.6851063829787241</v>
      </c>
      <c r="K71" s="51"/>
      <c r="L71" s="55">
        <f>L70/L11/1200*1000</f>
        <v>2.4657894736842101</v>
      </c>
      <c r="M71" s="51"/>
      <c r="N71" s="55">
        <f>N70/N11/1200*1000</f>
        <v>0.53542586361837941</v>
      </c>
      <c r="O71" s="51"/>
      <c r="P71" s="55">
        <f>P70/P11/1200*1000</f>
        <v>0</v>
      </c>
      <c r="Q71" s="51"/>
      <c r="R71" s="55">
        <v>1.26</v>
      </c>
      <c r="S71" s="51"/>
      <c r="T71" s="50"/>
      <c r="U71" s="51"/>
      <c r="V71" s="55">
        <v>1.55</v>
      </c>
      <c r="W71" s="65"/>
      <c r="X71" s="18"/>
      <c r="Y71" s="18"/>
      <c r="Z71" s="18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</row>
    <row r="72" spans="1:45" s="13" customFormat="1" x14ac:dyDescent="0.2">
      <c r="A72" s="36" t="s">
        <v>84</v>
      </c>
      <c r="B72" s="32">
        <f>B68+B70</f>
        <v>2747.4080000000004</v>
      </c>
      <c r="C72" s="49">
        <f>B72/B82</f>
        <v>0.50322761922309145</v>
      </c>
      <c r="D72" s="32">
        <f>D68+D70</f>
        <v>1795.88</v>
      </c>
      <c r="E72" s="49">
        <f>D72/D82</f>
        <v>0.43796123138394155</v>
      </c>
      <c r="F72" s="32">
        <f>F68+F70</f>
        <v>1778.2778000000001</v>
      </c>
      <c r="G72" s="49">
        <f>F72/F82</f>
        <v>0.37268396866846237</v>
      </c>
      <c r="H72" s="32">
        <f>H68+H70</f>
        <v>3041.1130000000003</v>
      </c>
      <c r="I72" s="49">
        <f>H72/H82</f>
        <v>0.56821039919302896</v>
      </c>
      <c r="J72" s="32">
        <f>J68+J70</f>
        <v>2734.6000000000004</v>
      </c>
      <c r="K72" s="49">
        <f>J72/J82</f>
        <v>0.54700426515531042</v>
      </c>
      <c r="L72" s="32">
        <f>L68+L70</f>
        <v>2428.52</v>
      </c>
      <c r="M72" s="49">
        <f>L72/L82</f>
        <v>0.47336230315589867</v>
      </c>
      <c r="N72" s="32">
        <f>N68+N70</f>
        <v>2457.964821926445</v>
      </c>
      <c r="O72" s="49">
        <f>N72/N82</f>
        <v>0.49202222155639824</v>
      </c>
      <c r="P72" s="32">
        <f>P68+P70</f>
        <v>0</v>
      </c>
      <c r="Q72" s="49">
        <f>P72/P82</f>
        <v>0</v>
      </c>
      <c r="R72" s="32">
        <f>R68+R70</f>
        <v>503</v>
      </c>
      <c r="S72" s="49">
        <f>R72/R82</f>
        <v>0.22566173171825932</v>
      </c>
      <c r="T72" s="32">
        <f>T68+T70</f>
        <v>269.65100000000001</v>
      </c>
      <c r="U72" s="49">
        <f>T72/T82</f>
        <v>0.17767655409577038</v>
      </c>
      <c r="V72" s="32">
        <v>474</v>
      </c>
      <c r="W72" s="63">
        <f>V72/V82</f>
        <v>0.462890625</v>
      </c>
      <c r="X72" s="18"/>
      <c r="Y72" s="18"/>
      <c r="Z72" s="18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</row>
    <row r="73" spans="1:45" s="13" customFormat="1" x14ac:dyDescent="0.2">
      <c r="A73" s="39" t="s">
        <v>45</v>
      </c>
      <c r="B73" s="40">
        <f>B69+B71</f>
        <v>4.9989228529839886</v>
      </c>
      <c r="C73" s="49"/>
      <c r="D73" s="40">
        <f>D69+D71</f>
        <v>3.3858974358974359</v>
      </c>
      <c r="E73" s="49"/>
      <c r="F73" s="40">
        <f>F69+F71</f>
        <v>4.1582652134423252</v>
      </c>
      <c r="G73" s="49"/>
      <c r="H73" s="40">
        <f>H69+H71</f>
        <v>4.9691388888888888</v>
      </c>
      <c r="I73" s="49"/>
      <c r="J73" s="40">
        <f>J69+J71</f>
        <v>4.848581560283689</v>
      </c>
      <c r="K73" s="49"/>
      <c r="L73" s="40">
        <f>L69+L71</f>
        <v>3.3285635964912279</v>
      </c>
      <c r="M73" s="49"/>
      <c r="N73" s="40">
        <f>N69+N71</f>
        <v>1.625099243653406</v>
      </c>
      <c r="O73" s="49"/>
      <c r="P73" s="40">
        <f>P69+P71</f>
        <v>2.0499999999999998</v>
      </c>
      <c r="Q73" s="49"/>
      <c r="R73" s="40">
        <f>R69+R71</f>
        <v>1.58</v>
      </c>
      <c r="S73" s="49"/>
      <c r="T73" s="40">
        <f>T69+T71</f>
        <v>1.61</v>
      </c>
      <c r="U73" s="49"/>
      <c r="V73" s="40">
        <f>V69+V71</f>
        <v>2.0499999999999998</v>
      </c>
      <c r="W73" s="63"/>
      <c r="X73" s="18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</row>
    <row r="74" spans="1:45" s="13" customFormat="1" x14ac:dyDescent="0.2">
      <c r="A74" s="39"/>
      <c r="B74" s="41"/>
      <c r="C74" s="49"/>
      <c r="D74" s="41"/>
      <c r="E74" s="49"/>
      <c r="F74" s="41"/>
      <c r="G74" s="49"/>
      <c r="H74" s="41"/>
      <c r="I74" s="49"/>
      <c r="J74" s="41"/>
      <c r="K74" s="49"/>
      <c r="L74" s="41"/>
      <c r="M74" s="49"/>
      <c r="N74" s="41"/>
      <c r="O74" s="49"/>
      <c r="P74" s="32"/>
      <c r="Q74" s="49"/>
      <c r="R74" s="32"/>
      <c r="S74" s="49"/>
      <c r="T74" s="32"/>
      <c r="U74" s="49"/>
      <c r="V74" s="32"/>
      <c r="W74" s="63"/>
      <c r="X74" s="18"/>
      <c r="Y74" s="18"/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</row>
    <row r="75" spans="1:45" x14ac:dyDescent="0.2">
      <c r="A75" s="36" t="s">
        <v>94</v>
      </c>
      <c r="B75" s="32">
        <v>1469.387188650519</v>
      </c>
      <c r="C75" s="49">
        <f>B75/SUM($B$68,$B$70,$B$75,$B$77)</f>
        <v>0.26913957324922694</v>
      </c>
      <c r="D75" s="32">
        <v>1054.3911764705883</v>
      </c>
      <c r="E75" s="49">
        <f>D75/SUM($D$68,$D$70,$D$75,$D$77)</f>
        <v>0.25713436198822953</v>
      </c>
      <c r="F75" s="32">
        <v>1707.5222593771625</v>
      </c>
      <c r="G75" s="49">
        <f>F75/SUM($F$68,$F$70,$F$75,$F$77)</f>
        <v>0.3578553205885045</v>
      </c>
      <c r="H75" s="32">
        <v>1423.4705882352941</v>
      </c>
      <c r="I75" s="49">
        <f>H75/SUM($H$68,$H$70,$H$75,$H$77)</f>
        <v>0.26596538542984499</v>
      </c>
      <c r="J75" s="32">
        <v>1577.6297577854671</v>
      </c>
      <c r="K75" s="49">
        <f>J75/SUM($J$68,$J$70,$J$75,$J$77)</f>
        <v>0.315574565327503</v>
      </c>
      <c r="L75" s="32">
        <v>1457.3806228373703</v>
      </c>
      <c r="M75" s="49">
        <f>L75/SUM($L$68,$L$70,$L$75,$L$77)</f>
        <v>0.28406974132437685</v>
      </c>
      <c r="N75" s="32">
        <f t="shared" ref="N75:N80" si="30">SUMPRODUCT(B75:L75,$B$11:$L$11)/$N$11</f>
        <v>1442.8106152145874</v>
      </c>
      <c r="O75" s="49">
        <f>N75/SUM($N$68,$N$70,$N$75,$N$77)</f>
        <v>0.2888140944290043</v>
      </c>
      <c r="P75" s="32">
        <v>6565</v>
      </c>
      <c r="Q75" s="49">
        <f>P75/SUM($P$68,$P$70,$P$75,$P$77)</f>
        <v>1</v>
      </c>
      <c r="R75" s="32">
        <v>1017</v>
      </c>
      <c r="S75" s="49">
        <f>R75/SUM($R$68,$R$70,$R$75,$R$77)</f>
        <v>0.45625841184387617</v>
      </c>
      <c r="T75" s="32">
        <v>404</v>
      </c>
      <c r="U75" s="49">
        <f>T75/SUM($T$68,$T$70,$T$75,$T$77)</f>
        <v>0.26620085909079227</v>
      </c>
      <c r="V75" s="32">
        <v>550</v>
      </c>
      <c r="W75" s="63">
        <f>V75/SUM($V$68,$V$70,$V$75,$V$77)</f>
        <v>0.537109375</v>
      </c>
      <c r="X75" s="14"/>
      <c r="Y75" s="14"/>
      <c r="Z75" s="14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</row>
    <row r="76" spans="1:45" x14ac:dyDescent="0.2">
      <c r="A76" s="39" t="s">
        <v>85</v>
      </c>
      <c r="B76" s="40">
        <v>3.2082689708526617</v>
      </c>
      <c r="C76" s="49"/>
      <c r="D76" s="40">
        <v>2.3855003992547248</v>
      </c>
      <c r="E76" s="49"/>
      <c r="F76" s="40">
        <v>4.6526492081121598</v>
      </c>
      <c r="G76" s="49"/>
      <c r="H76" s="40">
        <v>2.7911188004613612</v>
      </c>
      <c r="I76" s="49"/>
      <c r="J76" s="40">
        <v>3.356659059118015</v>
      </c>
      <c r="K76" s="49"/>
      <c r="L76" s="40">
        <v>2.397007603350938</v>
      </c>
      <c r="M76" s="49"/>
      <c r="N76" s="40">
        <f t="shared" si="30"/>
        <v>3.0437063374278113</v>
      </c>
      <c r="O76" s="49"/>
      <c r="P76" s="43">
        <v>5.64</v>
      </c>
      <c r="Q76" s="49"/>
      <c r="R76" s="40">
        <v>4.5599999999999996</v>
      </c>
      <c r="S76" s="49"/>
      <c r="T76" s="40">
        <v>2.08</v>
      </c>
      <c r="U76" s="49"/>
      <c r="V76" s="40">
        <f>0.35*12</f>
        <v>4.1999999999999993</v>
      </c>
      <c r="W76" s="63"/>
      <c r="X76" s="18"/>
      <c r="Y76" s="18"/>
      <c r="Z76" s="18"/>
      <c r="AA76" s="19"/>
      <c r="AB76" s="19"/>
      <c r="AC76" s="19"/>
      <c r="AD76" s="19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</row>
    <row r="77" spans="1:45" x14ac:dyDescent="0.2">
      <c r="A77" s="36" t="s">
        <v>95</v>
      </c>
      <c r="B77" s="32">
        <v>1242.7779648293902</v>
      </c>
      <c r="C77" s="49">
        <f>B77/SUM($B$68,$B$70,$B$75,$B$77)</f>
        <v>0.22763280752768164</v>
      </c>
      <c r="D77" s="32">
        <v>1250.2744227941794</v>
      </c>
      <c r="E77" s="49">
        <f>D77/SUM($D$68,$D$70,$D$75,$D$77)</f>
        <v>0.30490440662782897</v>
      </c>
      <c r="F77" s="32">
        <v>1285.7435258043784</v>
      </c>
      <c r="G77" s="49">
        <f>F77/SUM($F$68,$F$70,$F$75,$F$77)</f>
        <v>0.26946071074303313</v>
      </c>
      <c r="H77" s="32">
        <v>887.50606784805359</v>
      </c>
      <c r="I77" s="49">
        <f>H77/SUM($H$68,$H$70,$H$75,$H$77)</f>
        <v>0.16582421537712605</v>
      </c>
      <c r="J77" s="32">
        <v>687</v>
      </c>
      <c r="K77" s="49">
        <f>J77/SUM($J$68,$J$70,$J$75,$J$77)</f>
        <v>0.1374211695171865</v>
      </c>
      <c r="L77" s="32">
        <v>1244.4614355882743</v>
      </c>
      <c r="M77" s="49">
        <f>L77/SUM($L$68,$L$70,$L$75,$L$77)</f>
        <v>0.24256795551972457</v>
      </c>
      <c r="N77" s="32">
        <f t="shared" si="30"/>
        <v>1094.8623902547365</v>
      </c>
      <c r="O77" s="49">
        <f>N77/SUM($N$68,$N$70,$N$75,$N$77)</f>
        <v>0.21916368401459746</v>
      </c>
      <c r="P77" s="32">
        <v>0</v>
      </c>
      <c r="Q77" s="49">
        <f>P77/SUM($P$68,$P$70,$P$75,$P$77)</f>
        <v>0</v>
      </c>
      <c r="R77" s="32">
        <v>709</v>
      </c>
      <c r="S77" s="49">
        <f>R77/SUM($R$68,$R$70,$R$75,$R$77)</f>
        <v>0.31807985643786452</v>
      </c>
      <c r="T77" s="32">
        <v>844</v>
      </c>
      <c r="U77" s="49">
        <f>T77/SUM($T$68,$T$70,$T$75,$T$77)</f>
        <v>0.55612258681343729</v>
      </c>
      <c r="V77" s="32">
        <v>0</v>
      </c>
      <c r="W77" s="63">
        <f>V77/SUM($V$68,$V$70,$V$75,$V$77)</f>
        <v>0</v>
      </c>
      <c r="X77" s="14"/>
      <c r="Y77" s="14"/>
      <c r="Z77" s="14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</row>
    <row r="78" spans="1:45" s="22" customFormat="1" x14ac:dyDescent="0.2">
      <c r="A78" s="54" t="s">
        <v>85</v>
      </c>
      <c r="B78" s="55">
        <v>2.7134890061777077</v>
      </c>
      <c r="C78" s="51"/>
      <c r="D78" s="55">
        <v>2.8286751646927133</v>
      </c>
      <c r="E78" s="51"/>
      <c r="F78" s="55">
        <v>3.5033883536904038</v>
      </c>
      <c r="G78" s="51"/>
      <c r="H78" s="55">
        <v>1.7402079761726541</v>
      </c>
      <c r="I78" s="51"/>
      <c r="J78" s="55">
        <v>1.4617021276595745</v>
      </c>
      <c r="K78" s="51"/>
      <c r="L78" s="55">
        <v>2.0468115716912405</v>
      </c>
      <c r="M78" s="51"/>
      <c r="N78" s="55">
        <f t="shared" si="30"/>
        <v>2.310950408709028</v>
      </c>
      <c r="O78" s="51"/>
      <c r="P78" s="34">
        <v>0</v>
      </c>
      <c r="Q78" s="51"/>
      <c r="R78" s="56">
        <f>R77/R11</f>
        <v>3.0826086956521741</v>
      </c>
      <c r="S78" s="51"/>
      <c r="T78" s="55">
        <v>4.3499999999999996</v>
      </c>
      <c r="U78" s="51"/>
      <c r="V78" s="34">
        <v>0</v>
      </c>
      <c r="W78" s="65"/>
      <c r="X78" s="20"/>
      <c r="Y78" s="20"/>
      <c r="Z78" s="20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</row>
    <row r="79" spans="1:45" x14ac:dyDescent="0.2">
      <c r="A79" s="36" t="s">
        <v>96</v>
      </c>
      <c r="B79" s="32">
        <f>B77+B75</f>
        <v>2712.1651534799093</v>
      </c>
      <c r="C79" s="49">
        <f>B79/SUM($B$68,$B$70,$B$75,$B$77)</f>
        <v>0.49677238077690861</v>
      </c>
      <c r="D79" s="32">
        <f>D77+D75</f>
        <v>2304.6655992647675</v>
      </c>
      <c r="E79" s="49">
        <f>D79/SUM($D$68,$D$70,$D$75,$D$77)</f>
        <v>0.5620387686160585</v>
      </c>
      <c r="F79" s="32">
        <f>F77+F75</f>
        <v>2993.2657851815411</v>
      </c>
      <c r="G79" s="49">
        <f>F79/SUM($F$68,$F$70,$F$75,$F$77)</f>
        <v>0.62731603133153768</v>
      </c>
      <c r="H79" s="32">
        <f>H77+H75</f>
        <v>2310.9766560833477</v>
      </c>
      <c r="I79" s="49">
        <f>H79/SUM($H$68,$H$70,$H$75,$H$77)</f>
        <v>0.43178960080697104</v>
      </c>
      <c r="J79" s="32">
        <f>J77+J75</f>
        <v>2264.6297577854671</v>
      </c>
      <c r="K79" s="49">
        <f>J79/SUM($J$68,$J$70,$J$75,$J$77)</f>
        <v>0.45299573484468947</v>
      </c>
      <c r="L79" s="32">
        <f>L77+L75</f>
        <v>2701.8420584256446</v>
      </c>
      <c r="M79" s="49">
        <f>L79/SUM($L$68,$L$70,$L$75,$L$77)</f>
        <v>0.52663769684410144</v>
      </c>
      <c r="N79" s="32">
        <f t="shared" si="30"/>
        <v>2537.6730054693239</v>
      </c>
      <c r="O79" s="49">
        <f>N79/SUM($N$68,$N$70,$N$75,$N$77)</f>
        <v>0.5079777784436017</v>
      </c>
      <c r="P79" s="32">
        <f>P77+P75</f>
        <v>6565</v>
      </c>
      <c r="Q79" s="49">
        <f>P79/SUM($P$68,$P$70,$P$75,$P$77)</f>
        <v>1</v>
      </c>
      <c r="R79" s="32">
        <f>R77+R75</f>
        <v>1726</v>
      </c>
      <c r="S79" s="49">
        <f>R79/SUM($R$68,$R$70,$R$75,$R$77)</f>
        <v>0.77433826828174068</v>
      </c>
      <c r="T79" s="32">
        <f>T77+T75</f>
        <v>1248</v>
      </c>
      <c r="U79" s="49">
        <f>T79/SUM($T$68,$T$70,$T$75,$T$77)</f>
        <v>0.82232344590422957</v>
      </c>
      <c r="V79" s="32">
        <f>V77+V75</f>
        <v>550</v>
      </c>
      <c r="W79" s="63">
        <f>V79/SUM($V$68,$V$70,$V$75,$V$77)</f>
        <v>0.537109375</v>
      </c>
      <c r="X79" s="14"/>
      <c r="Y79" s="14"/>
      <c r="Z79" s="14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</row>
    <row r="80" spans="1:45" x14ac:dyDescent="0.2">
      <c r="A80" s="39" t="s">
        <v>85</v>
      </c>
      <c r="B80" s="43">
        <f>B78+B76</f>
        <v>5.921757977030369</v>
      </c>
      <c r="C80" s="43"/>
      <c r="D80" s="43">
        <f>D78+D76</f>
        <v>5.2141755639474381</v>
      </c>
      <c r="E80" s="43"/>
      <c r="F80" s="43">
        <f>F78+F76</f>
        <v>8.1560375618025631</v>
      </c>
      <c r="G80" s="43"/>
      <c r="H80" s="43">
        <f>H78+H76</f>
        <v>4.5313267766340157</v>
      </c>
      <c r="I80" s="43"/>
      <c r="J80" s="43">
        <f>J78+J76</f>
        <v>4.8183611867775893</v>
      </c>
      <c r="K80" s="43"/>
      <c r="L80" s="43">
        <f>L78+L76</f>
        <v>4.4438191750421785</v>
      </c>
      <c r="M80" s="43"/>
      <c r="N80" s="43">
        <f t="shared" si="30"/>
        <v>5.3546567461368397</v>
      </c>
      <c r="O80" s="43"/>
      <c r="P80" s="43">
        <f>0.47*12</f>
        <v>5.64</v>
      </c>
      <c r="Q80" s="43"/>
      <c r="R80" s="43">
        <f>R78+R76</f>
        <v>7.6426086956521733</v>
      </c>
      <c r="S80" s="43"/>
      <c r="T80" s="43">
        <f>T78+T76</f>
        <v>6.43</v>
      </c>
      <c r="U80" s="43"/>
      <c r="V80" s="43">
        <f>V78+V76</f>
        <v>4.1999999999999993</v>
      </c>
      <c r="W80" s="74"/>
      <c r="X80" s="14"/>
      <c r="Y80" s="14"/>
      <c r="Z80" s="14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</row>
    <row r="81" spans="1:45" x14ac:dyDescent="0.2">
      <c r="A81" s="39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74"/>
      <c r="X81" s="14"/>
      <c r="Y81" s="14"/>
      <c r="Z81" s="14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</row>
    <row r="82" spans="1:45" s="22" customFormat="1" x14ac:dyDescent="0.2">
      <c r="A82" s="75" t="s">
        <v>97</v>
      </c>
      <c r="B82" s="59">
        <f>B79+B72</f>
        <v>5459.5731534799097</v>
      </c>
      <c r="C82" s="58">
        <f t="shared" ref="C82:W82" si="31">C79+C72</f>
        <v>1</v>
      </c>
      <c r="D82" s="59">
        <f t="shared" si="31"/>
        <v>4100.5455992647676</v>
      </c>
      <c r="E82" s="58">
        <f t="shared" si="31"/>
        <v>1</v>
      </c>
      <c r="F82" s="59">
        <f t="shared" si="31"/>
        <v>4771.5435851815409</v>
      </c>
      <c r="G82" s="58">
        <f t="shared" si="31"/>
        <v>1</v>
      </c>
      <c r="H82" s="59">
        <f t="shared" si="31"/>
        <v>5352.089656083348</v>
      </c>
      <c r="I82" s="58">
        <f t="shared" si="31"/>
        <v>1</v>
      </c>
      <c r="J82" s="59">
        <f t="shared" si="31"/>
        <v>4999.2297577854679</v>
      </c>
      <c r="K82" s="58">
        <f t="shared" si="31"/>
        <v>0.99999999999999989</v>
      </c>
      <c r="L82" s="59">
        <f t="shared" si="31"/>
        <v>5130.3620584256441</v>
      </c>
      <c r="M82" s="58">
        <f t="shared" si="31"/>
        <v>1</v>
      </c>
      <c r="N82" s="59">
        <f t="shared" si="31"/>
        <v>4995.6378273957689</v>
      </c>
      <c r="O82" s="58">
        <f t="shared" si="31"/>
        <v>1</v>
      </c>
      <c r="P82" s="59">
        <f t="shared" si="31"/>
        <v>6565</v>
      </c>
      <c r="Q82" s="58">
        <f t="shared" si="31"/>
        <v>1</v>
      </c>
      <c r="R82" s="59">
        <f t="shared" si="31"/>
        <v>2229</v>
      </c>
      <c r="S82" s="58">
        <f t="shared" si="31"/>
        <v>1</v>
      </c>
      <c r="T82" s="59">
        <f t="shared" si="31"/>
        <v>1517.6510000000001</v>
      </c>
      <c r="U82" s="58">
        <f t="shared" si="31"/>
        <v>1</v>
      </c>
      <c r="V82" s="59">
        <f t="shared" si="31"/>
        <v>1024</v>
      </c>
      <c r="W82" s="67">
        <f t="shared" si="31"/>
        <v>1</v>
      </c>
      <c r="X82" s="20"/>
      <c r="Y82" s="20"/>
      <c r="Z82" s="20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</row>
    <row r="83" spans="1:4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</row>
    <row r="84" spans="1:45" x14ac:dyDescent="0.2">
      <c r="A84" s="25" t="s">
        <v>86</v>
      </c>
      <c r="B84" s="35"/>
      <c r="C84" s="53" t="s">
        <v>82</v>
      </c>
      <c r="D84" s="35"/>
      <c r="E84" s="53" t="s">
        <v>82</v>
      </c>
      <c r="F84" s="35"/>
      <c r="G84" s="53" t="s">
        <v>82</v>
      </c>
      <c r="H84" s="35"/>
      <c r="I84" s="53" t="s">
        <v>82</v>
      </c>
      <c r="J84" s="35"/>
      <c r="K84" s="53" t="s">
        <v>82</v>
      </c>
      <c r="L84" s="35"/>
      <c r="M84" s="53" t="s">
        <v>82</v>
      </c>
      <c r="N84" s="35"/>
      <c r="O84" s="53" t="s">
        <v>82</v>
      </c>
      <c r="P84" s="35"/>
      <c r="Q84" s="53" t="s">
        <v>82</v>
      </c>
      <c r="R84" s="35"/>
      <c r="S84" s="53" t="s">
        <v>82</v>
      </c>
      <c r="T84" s="35"/>
      <c r="U84" s="53" t="s">
        <v>82</v>
      </c>
      <c r="V84" s="35"/>
      <c r="W84" s="66" t="s">
        <v>82</v>
      </c>
      <c r="X84" s="14"/>
      <c r="Y84" s="14"/>
      <c r="Z84" s="14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</row>
    <row r="85" spans="1:45" x14ac:dyDescent="0.2">
      <c r="A85" s="36" t="s">
        <v>47</v>
      </c>
      <c r="B85" s="32">
        <f>B16/B11</f>
        <v>158.54673799126638</v>
      </c>
      <c r="C85" s="49">
        <f>B85/$B$89</f>
        <v>0.56666240557607539</v>
      </c>
      <c r="D85" s="32">
        <f t="shared" ref="D85:V85" si="32">D16/D11</f>
        <v>229.93010859728506</v>
      </c>
      <c r="E85" s="49">
        <f>D85/$D$89</f>
        <v>0.65649431118430335</v>
      </c>
      <c r="F85" s="32">
        <f t="shared" si="32"/>
        <v>225.4893460490463</v>
      </c>
      <c r="G85" s="49">
        <f>F85/$F$89</f>
        <v>0.55736714713921698</v>
      </c>
      <c r="H85" s="32">
        <f t="shared" si="32"/>
        <v>183.49019607843138</v>
      </c>
      <c r="I85" s="49">
        <f>H85/$H$89</f>
        <v>0.53914093474731972</v>
      </c>
      <c r="J85" s="32">
        <f t="shared" si="32"/>
        <v>183.44532127659576</v>
      </c>
      <c r="K85" s="49">
        <f>J85/$J$89</f>
        <v>0.53535986173272565</v>
      </c>
      <c r="L85" s="32">
        <f t="shared" si="32"/>
        <v>233.65944078947368</v>
      </c>
      <c r="M85" s="49">
        <f>L85/$L$89</f>
        <v>0.55535816341975097</v>
      </c>
      <c r="N85" s="32">
        <f>SUMPRODUCT(B85:L85,$B$11:$L$11)/$N$11</f>
        <v>202.75388616462345</v>
      </c>
      <c r="O85" s="49">
        <f>N85/$N$89</f>
        <v>0.56647835547288583</v>
      </c>
      <c r="P85" s="32">
        <f t="shared" si="32"/>
        <v>0</v>
      </c>
      <c r="Q85" s="49">
        <f>P85/$P$89</f>
        <v>0</v>
      </c>
      <c r="R85" s="32">
        <f t="shared" si="32"/>
        <v>310.89565217391305</v>
      </c>
      <c r="S85" s="49">
        <f>R85/$R$89</f>
        <v>0.53846095920841586</v>
      </c>
      <c r="T85" s="32">
        <f t="shared" si="32"/>
        <v>288.90721649484539</v>
      </c>
      <c r="U85" s="49">
        <f>T85/$T$89</f>
        <v>0.49455866784700253</v>
      </c>
      <c r="V85" s="32">
        <f t="shared" si="32"/>
        <v>313.55748373101949</v>
      </c>
      <c r="W85" s="63">
        <f>V85/$V$89</f>
        <v>0.59310215424508816</v>
      </c>
      <c r="X85" s="14"/>
      <c r="Y85" s="14"/>
      <c r="Z85" s="14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</row>
    <row r="86" spans="1:45" x14ac:dyDescent="0.2">
      <c r="A86" s="36" t="s">
        <v>46</v>
      </c>
      <c r="B86" s="32">
        <f t="shared" ref="B86:L86" si="33">(B38-B16)/B11</f>
        <v>99.504146288209611</v>
      </c>
      <c r="C86" s="49">
        <f>B86/$B$89</f>
        <v>0.35563808889954318</v>
      </c>
      <c r="D86" s="32">
        <f t="shared" si="33"/>
        <v>101.94884162895926</v>
      </c>
      <c r="E86" s="49">
        <f>D86/$D$89</f>
        <v>0.29108338603216538</v>
      </c>
      <c r="F86" s="32">
        <f t="shared" si="33"/>
        <v>153.12983651226156</v>
      </c>
      <c r="G86" s="49">
        <f>F86/$F$89</f>
        <v>0.37850808303896327</v>
      </c>
      <c r="H86" s="32">
        <f t="shared" si="33"/>
        <v>121.78709411764707</v>
      </c>
      <c r="I86" s="49">
        <f>H86/$H$89</f>
        <v>0.3578415041568872</v>
      </c>
      <c r="J86" s="32">
        <f t="shared" si="33"/>
        <v>129.53927872340427</v>
      </c>
      <c r="K86" s="49">
        <f>J86/$J$89</f>
        <v>0.37804251350599322</v>
      </c>
      <c r="L86" s="32">
        <f t="shared" si="33"/>
        <v>157.13480921052627</v>
      </c>
      <c r="M86" s="49">
        <f>L86/$L$89</f>
        <v>0.37347559661027041</v>
      </c>
      <c r="N86" s="32">
        <f>SUMPRODUCT(B86:L86,$B$11:$L$11)/$N$11</f>
        <v>127.97400350262696</v>
      </c>
      <c r="O86" s="49">
        <f>N86/$N$89</f>
        <v>0.35754926536198894</v>
      </c>
      <c r="P86" s="32">
        <f>(P38-P16)/P11</f>
        <v>437.11340206185565</v>
      </c>
      <c r="Q86" s="49">
        <f>P86/$P$89</f>
        <v>0.9448941729668896</v>
      </c>
      <c r="R86" s="32">
        <f>(R38-R16)/R11</f>
        <v>233.84347826086957</v>
      </c>
      <c r="S86" s="49">
        <f>R86/$R$89</f>
        <v>0.40500914930307164</v>
      </c>
      <c r="T86" s="32">
        <f>(T38-T16)/T11</f>
        <v>214.35567010309279</v>
      </c>
      <c r="U86" s="49">
        <f>T86/$T$89</f>
        <v>0.3669394483731373</v>
      </c>
      <c r="V86" s="32">
        <f>(V38-V16)/V11</f>
        <v>215.11617136659436</v>
      </c>
      <c r="W86" s="63">
        <f>V86/$V$89</f>
        <v>0.40689784575491189</v>
      </c>
      <c r="X86" s="14"/>
      <c r="Y86" s="14"/>
      <c r="Z86" s="14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 x14ac:dyDescent="0.2">
      <c r="A87" s="36" t="s">
        <v>90</v>
      </c>
      <c r="B87" s="32">
        <f>B56/B11</f>
        <v>19.420803493449778</v>
      </c>
      <c r="C87" s="49">
        <f>B87/$B$89</f>
        <v>6.9411956154056709E-2</v>
      </c>
      <c r="D87" s="32">
        <f>D56/D11</f>
        <v>15.548133484162895</v>
      </c>
      <c r="E87" s="49">
        <f>D87/$D$89</f>
        <v>4.4392886360806273E-2</v>
      </c>
      <c r="F87" s="32">
        <f>F56/F11</f>
        <v>22.912446866485009</v>
      </c>
      <c r="G87" s="49">
        <f>F87/$F$89</f>
        <v>5.6635248483863587E-2</v>
      </c>
      <c r="H87" s="32">
        <f>H56/H11</f>
        <v>35.0608</v>
      </c>
      <c r="I87" s="49">
        <f>H87/$H$89</f>
        <v>0.10301756109579292</v>
      </c>
      <c r="J87" s="32">
        <f>J56/J11</f>
        <v>29.673365957446808</v>
      </c>
      <c r="K87" s="49">
        <f>J87/$J$89</f>
        <v>8.6597624761281078E-2</v>
      </c>
      <c r="L87" s="32">
        <f>L56/L11</f>
        <v>29.942233552631581</v>
      </c>
      <c r="M87" s="49">
        <f>L87/$L$89</f>
        <v>7.1166239969978728E-2</v>
      </c>
      <c r="N87" s="32">
        <f>N56/N11</f>
        <v>25.994129246935202</v>
      </c>
      <c r="O87" s="49">
        <f>N87/$N$89</f>
        <v>7.2625545513823747E-2</v>
      </c>
      <c r="P87" s="32">
        <f>P56/P11</f>
        <v>25.492268041237114</v>
      </c>
      <c r="Q87" s="49">
        <f>P87/$P$89</f>
        <v>5.5105827033110295E-2</v>
      </c>
      <c r="R87" s="32">
        <f>R56/R11</f>
        <v>30.9</v>
      </c>
      <c r="S87" s="49">
        <f>R87/$R$89</f>
        <v>5.3517775250946933E-2</v>
      </c>
      <c r="T87" s="32">
        <f>T56/T11</f>
        <v>24.754252577319587</v>
      </c>
      <c r="U87" s="49">
        <f>T87/$T$89</f>
        <v>4.2374954584790826E-2</v>
      </c>
      <c r="V87" s="32">
        <f>V56/V11</f>
        <v>0</v>
      </c>
      <c r="W87" s="63">
        <f>V87/$V$89</f>
        <v>0</v>
      </c>
      <c r="X87" s="14"/>
      <c r="Y87" s="14"/>
      <c r="Z87" s="14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</row>
    <row r="88" spans="1:45" x14ac:dyDescent="0.2">
      <c r="A88" s="72" t="s">
        <v>89</v>
      </c>
      <c r="B88" s="34">
        <f>B63/B11</f>
        <v>2.3187772925764194</v>
      </c>
      <c r="C88" s="51">
        <f>B88/$B$89</f>
        <v>8.2875493703245609E-3</v>
      </c>
      <c r="D88" s="34">
        <f>D63/D11</f>
        <v>2.8122171945701355</v>
      </c>
      <c r="E88" s="51">
        <f>D88/$D$89</f>
        <v>8.0294164227249637E-3</v>
      </c>
      <c r="F88" s="34">
        <f>F63/F11</f>
        <v>3.0299727520435966</v>
      </c>
      <c r="G88" s="51">
        <f>F88/$F$89</f>
        <v>7.48952133795611E-3</v>
      </c>
      <c r="H88" s="34">
        <f>H63/H11</f>
        <v>0</v>
      </c>
      <c r="I88" s="51">
        <f>H88/$H$89</f>
        <v>0</v>
      </c>
      <c r="J88" s="34">
        <f>J63/J11</f>
        <v>0</v>
      </c>
      <c r="K88" s="51">
        <f>J88/$J$89</f>
        <v>0</v>
      </c>
      <c r="L88" s="34">
        <f>L63/L11</f>
        <v>0</v>
      </c>
      <c r="M88" s="51">
        <f>L88/$L$89</f>
        <v>0</v>
      </c>
      <c r="N88" s="34">
        <f>N63/N11</f>
        <v>1.1978984238178634</v>
      </c>
      <c r="O88" s="51">
        <f>N88/$N$89</f>
        <v>3.3468336513014503E-3</v>
      </c>
      <c r="P88" s="34">
        <f>P63/P11</f>
        <v>0</v>
      </c>
      <c r="Q88" s="51">
        <f>P88/$P$89</f>
        <v>0</v>
      </c>
      <c r="R88" s="34">
        <f>R63/R11</f>
        <v>1.7391304347826086</v>
      </c>
      <c r="S88" s="51">
        <f>R88/$R$89</f>
        <v>3.0121162375656074E-3</v>
      </c>
      <c r="T88" s="34">
        <f>T63/T11</f>
        <v>56.154639175257735</v>
      </c>
      <c r="U88" s="51">
        <f>T88/$T$89</f>
        <v>9.6126929195069322E-2</v>
      </c>
      <c r="V88" s="34">
        <f>V63/V11</f>
        <v>0</v>
      </c>
      <c r="W88" s="65">
        <f>V88/$V$89</f>
        <v>0</v>
      </c>
      <c r="X88" s="14"/>
      <c r="Y88" s="14"/>
      <c r="Z88" s="14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</row>
    <row r="89" spans="1:45" x14ac:dyDescent="0.2">
      <c r="A89" s="68" t="s">
        <v>49</v>
      </c>
      <c r="B89" s="69">
        <f t="shared" ref="B89:W89" si="34">SUM(B85:B88)</f>
        <v>279.79046506550225</v>
      </c>
      <c r="C89" s="70">
        <f t="shared" si="34"/>
        <v>0.99999999999999989</v>
      </c>
      <c r="D89" s="69">
        <f t="shared" si="34"/>
        <v>350.23930090497737</v>
      </c>
      <c r="E89" s="70">
        <f t="shared" si="34"/>
        <v>0.99999999999999989</v>
      </c>
      <c r="F89" s="69">
        <f t="shared" si="34"/>
        <v>404.56160217983648</v>
      </c>
      <c r="G89" s="70">
        <f t="shared" si="34"/>
        <v>1</v>
      </c>
      <c r="H89" s="69">
        <f t="shared" si="34"/>
        <v>340.3380901960785</v>
      </c>
      <c r="I89" s="70">
        <f t="shared" si="34"/>
        <v>0.99999999999999989</v>
      </c>
      <c r="J89" s="69">
        <f t="shared" si="34"/>
        <v>342.65796595744683</v>
      </c>
      <c r="K89" s="70">
        <f t="shared" si="34"/>
        <v>0.99999999999999989</v>
      </c>
      <c r="L89" s="69">
        <f t="shared" si="34"/>
        <v>420.73648355263151</v>
      </c>
      <c r="M89" s="70">
        <f t="shared" si="34"/>
        <v>1</v>
      </c>
      <c r="N89" s="69">
        <f t="shared" si="34"/>
        <v>357.91991733800347</v>
      </c>
      <c r="O89" s="70">
        <f t="shared" si="34"/>
        <v>0.99999999999999989</v>
      </c>
      <c r="P89" s="69">
        <f t="shared" si="34"/>
        <v>462.60567010309279</v>
      </c>
      <c r="Q89" s="70">
        <f t="shared" si="34"/>
        <v>0.99999999999999989</v>
      </c>
      <c r="R89" s="69">
        <f t="shared" si="34"/>
        <v>577.37826086956522</v>
      </c>
      <c r="S89" s="70">
        <f t="shared" si="34"/>
        <v>1</v>
      </c>
      <c r="T89" s="69">
        <f t="shared" si="34"/>
        <v>584.17177835051552</v>
      </c>
      <c r="U89" s="70">
        <f t="shared" si="34"/>
        <v>1</v>
      </c>
      <c r="V89" s="69">
        <f t="shared" si="34"/>
        <v>528.67365509761385</v>
      </c>
      <c r="W89" s="71">
        <f t="shared" si="34"/>
        <v>1</v>
      </c>
      <c r="X89" s="23"/>
      <c r="Y89" s="23"/>
      <c r="Z89" s="23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16"/>
      <c r="AM89" s="16"/>
      <c r="AN89" s="16"/>
      <c r="AO89" s="16"/>
      <c r="AP89" s="16"/>
      <c r="AQ89" s="16"/>
      <c r="AR89" s="16"/>
      <c r="AS89" s="16"/>
    </row>
    <row r="90" spans="1:45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45" x14ac:dyDescent="0.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8"/>
      <c r="Y91" s="8"/>
      <c r="Z91" s="8"/>
    </row>
    <row r="92" spans="1:45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45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45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45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45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2:26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2:26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2:26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2:26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2:26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2:26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2:26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2:26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2:26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2:26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2:26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2:26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2:26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2:26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2:26" x14ac:dyDescent="0.2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2:26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2:26" x14ac:dyDescent="0.2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2:26" x14ac:dyDescent="0.2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2:26" x14ac:dyDescent="0.2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2:26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2:26" x14ac:dyDescent="0.2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2:26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2:26" x14ac:dyDescent="0.2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2:26" x14ac:dyDescent="0.2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2:26" x14ac:dyDescent="0.2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2:26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2:26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2:26" x14ac:dyDescent="0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2:26" x14ac:dyDescent="0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2:26" x14ac:dyDescent="0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2:26" x14ac:dyDescent="0.2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2:26" x14ac:dyDescent="0.2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2:26" x14ac:dyDescent="0.2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2:26" x14ac:dyDescent="0.2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2:26" x14ac:dyDescent="0.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2:26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2:26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2:26" x14ac:dyDescent="0.2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2:26" x14ac:dyDescent="0.2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2:26" x14ac:dyDescent="0.2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2:26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2:26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2:26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2:26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2:26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2:26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2:26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2:26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2:26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2:26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2:26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2:26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2:26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2:26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2:26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2:26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2:26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2:26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2:26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2:26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2:26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2:26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2:26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2:26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2:26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2:26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2:26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2:26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2:26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2:26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2:26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2:26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2:26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2:26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2:26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2:26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2:26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2:26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2:26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2:26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2:26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2:26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2:26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2:26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2:26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2:26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2:26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2:26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2:26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2:26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2:26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2:26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2:26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2:26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2:26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2:26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2:26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2:26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2:26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2:26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2:26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2:26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2:26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2:26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2:26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2:26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2:26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2:26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2:26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2:26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2:26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2:26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2:26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2:26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2:26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2:26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2:26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2:26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2:26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2:26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2:26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2:26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2:26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2:26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2:26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2:26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2:26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2:26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2:26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2:26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2:26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2:26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2:26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2:26" x14ac:dyDescent="0.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2:26" x14ac:dyDescent="0.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2:26" x14ac:dyDescent="0.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2:26" x14ac:dyDescent="0.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2:26" x14ac:dyDescent="0.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2:26" x14ac:dyDescent="0.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2:26" x14ac:dyDescent="0.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2:26" x14ac:dyDescent="0.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2:26" x14ac:dyDescent="0.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2:26" x14ac:dyDescent="0.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2:26" x14ac:dyDescent="0.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2:26" x14ac:dyDescent="0.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2:26" x14ac:dyDescent="0.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2:26" x14ac:dyDescent="0.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2:26" x14ac:dyDescent="0.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2:26" x14ac:dyDescent="0.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2:26" x14ac:dyDescent="0.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2:26" x14ac:dyDescent="0.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2:26" x14ac:dyDescent="0.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2:26" x14ac:dyDescent="0.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2:26" x14ac:dyDescent="0.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2:26" x14ac:dyDescent="0.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2:26" x14ac:dyDescent="0.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2:26" x14ac:dyDescent="0.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2:26" x14ac:dyDescent="0.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2:26" x14ac:dyDescent="0.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2:26" x14ac:dyDescent="0.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2:26" x14ac:dyDescent="0.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2:26" x14ac:dyDescent="0.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2:26" x14ac:dyDescent="0.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2:26" x14ac:dyDescent="0.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2:26" x14ac:dyDescent="0.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2:26" x14ac:dyDescent="0.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2:26" x14ac:dyDescent="0.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2:26" x14ac:dyDescent="0.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2:26" x14ac:dyDescent="0.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2:26" x14ac:dyDescent="0.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2:26" x14ac:dyDescent="0.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2:26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2:26" x14ac:dyDescent="0.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2:26" x14ac:dyDescent="0.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2:26" x14ac:dyDescent="0.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2:26" x14ac:dyDescent="0.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2:26" x14ac:dyDescent="0.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2:26" x14ac:dyDescent="0.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2:26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</sheetData>
  <pageMargins left="0.75" right="0.75" top="1" bottom="1" header="0.5" footer="0.5"/>
  <pageSetup paperSize="5" scale="43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Comparison</vt:lpstr>
      <vt:lpstr>Comparison!Print_Area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2000-02-01T22:27:39Z</cp:lastPrinted>
  <dcterms:created xsi:type="dcterms:W3CDTF">2000-01-31T19:12:56Z</dcterms:created>
  <dcterms:modified xsi:type="dcterms:W3CDTF">2023-09-13T22:12:45Z</dcterms:modified>
</cp:coreProperties>
</file>