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7A7B68-950A-4960-964A-605950D29AC6}" xr6:coauthVersionLast="47" xr6:coauthVersionMax="47" xr10:uidLastSave="{00000000-0000-0000-0000-000000000000}"/>
  <bookViews>
    <workbookView xWindow="-120" yWindow="-120" windowWidth="38640" windowHeight="15720" tabRatio="835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144A FCF" sheetId="30" r:id="rId9"/>
    <sheet name="CSHFLO" sheetId="12" r:id="rId10"/>
    <sheet name="ENA-144A Comparison" sheetId="25" r:id="rId11"/>
    <sheet name="ENA Assumptions" sheetId="24" r:id="rId12"/>
    <sheet name="IS-ENA" sheetId="26" r:id="rId13"/>
    <sheet name="ENE FCF" sheetId="29" r:id="rId14"/>
    <sheet name="Collateral Value" sheetId="31" r:id="rId15"/>
    <sheet name="CSHFLO-ENA" sheetId="27" r:id="rId16"/>
    <sheet name="CSHFLO w ePUP" sheetId="32" r:id="rId17"/>
    <sheet name="TAXES-ENA" sheetId="28" r:id="rId18"/>
    <sheet name="ENA Debt" sheetId="21" r:id="rId19"/>
    <sheet name="ENA IDC" sheetId="22" r:id="rId20"/>
    <sheet name="144A DEBT" sheetId="15" r:id="rId21"/>
    <sheet name="144A Draw" sheetId="16" r:id="rId22"/>
    <sheet name="144A IDC" sheetId="17" r:id="rId23"/>
    <sheet name="BKDEPR 144A" sheetId="18" r:id="rId24"/>
    <sheet name="TAXDEPR 144A" sheetId="19" r:id="rId25"/>
    <sheet name="TAXES" sheetId="20" r:id="rId26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6">'CSHFLO w ePUP'!$C$9:$V$62</definedName>
    <definedName name="CASHFLOW" localSheetId="15">'CSHFLO-ENA'!$C$9:$V$58</definedName>
    <definedName name="CASHFLOW">CSHFLO!$C$9:$V$58</definedName>
    <definedName name="CFLOW" localSheetId="16">'CSHFLO w ePUP'!$A$1:$Q$62</definedName>
    <definedName name="CFLOW" localSheetId="15">'CSHFLO-ENA'!$A$1:$Q$58</definedName>
    <definedName name="CFLOW">CSHFLO!$A$1:$Q$58</definedName>
    <definedName name="_6CO_IS" localSheetId="12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2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OandM!$C$9:$V$37</definedName>
    <definedName name="OM">OandM!$A$1:$Q$35</definedName>
    <definedName name="PIRR">#REF!</definedName>
    <definedName name="PNPV">#REF!</definedName>
    <definedName name="_xlnm.Print_Area" localSheetId="20">'144A DEBT'!$A$8:$S$53</definedName>
    <definedName name="_xlnm.Print_Area" localSheetId="21">'144A Draw'!$A$1:$R$62</definedName>
    <definedName name="_xlnm.Print_Area" localSheetId="22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3">'BKDEPR 144A'!$A$1:$Y$70</definedName>
    <definedName name="_xlnm.Print_Area" localSheetId="7">'Co IS'!$A$1:$V$40</definedName>
    <definedName name="_xlnm.Print_Area" localSheetId="14">'Collateral Value'!$A$1:$X$28</definedName>
    <definedName name="_xlnm.Print_Area" localSheetId="9">CSHFLO!$A$1:$W$62</definedName>
    <definedName name="_xlnm.Print_Area" localSheetId="16">'CSHFLO w ePUP'!$A$1:$W$67</definedName>
    <definedName name="_xlnm.Print_Area" localSheetId="15">'CSHFLO-ENA'!$A$1:$W$63</definedName>
    <definedName name="_xlnm.Print_Area" localSheetId="18">'ENA Debt'!$A$1:$W$53</definedName>
    <definedName name="_xlnm.Print_Area" localSheetId="19">'ENA IDC'!$A$1:$T$133</definedName>
    <definedName name="_xlnm.Print_Area" localSheetId="5">FUEL!$A$1:$V$93</definedName>
    <definedName name="_xlnm.Print_Area" localSheetId="12">'IS-ENA'!$A$1:$V$40</definedName>
    <definedName name="_xlnm.Print_Area" localSheetId="6">OandM!$A$1:$V$63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4">'TAXDEPR 144A'!$A$1:$Y$70</definedName>
    <definedName name="_xlnm.Print_Area" localSheetId="25">TAXES!$A$1:$V$35</definedName>
    <definedName name="_xlnm.Print_Area" localSheetId="17">'TAXES-ENA'!$A$1:$W$35</definedName>
    <definedName name="_xlnm.Print_Titles" localSheetId="20">'144A DEBT'!$A:$B,'144A DEBT'!$1:$7</definedName>
    <definedName name="_xlnm.Print_Titles" localSheetId="8">'144A FCF'!$A:$C</definedName>
    <definedName name="_xlnm.Print_Titles" localSheetId="7">'Co IS'!$A:$B,'Co IS'!$1:$8</definedName>
    <definedName name="_xlnm.Print_Titles" localSheetId="9">CSHFLO!$A:$B,CSHFLO!$1:$8</definedName>
    <definedName name="_xlnm.Print_Titles" localSheetId="16">'CSHFLO w ePUP'!$A:$B,'CSHFLO w ePUP'!$1:$8</definedName>
    <definedName name="_xlnm.Print_Titles" localSheetId="15">'CSHFLO-ENA'!$A:$B,'CSHFLO-ENA'!$1:$8</definedName>
    <definedName name="_xlnm.Print_Titles" localSheetId="13">'ENE FCF'!$A:$C</definedName>
    <definedName name="_xlnm.Print_Titles" localSheetId="5">FUEL!$A:$B,FUEL!$1:$9</definedName>
    <definedName name="_xlnm.Print_Titles" localSheetId="12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5">TAXES!$A:$B,TAXES!$1:$8</definedName>
    <definedName name="_xlnm.Print_Titles" localSheetId="17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7">'TAXES-ENA'!$A$1:$Q$34</definedName>
    <definedName name="TAX">TAXES!$A$1:$Q$34</definedName>
    <definedName name="TAXES" localSheetId="17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I43" i="31"/>
  <c r="K43" i="31"/>
  <c r="M43" i="31"/>
  <c r="O43" i="31"/>
  <c r="Q43" i="31"/>
  <c r="S43" i="31"/>
  <c r="U43" i="31"/>
  <c r="E44" i="31"/>
  <c r="F44" i="31"/>
  <c r="G44" i="31"/>
  <c r="H44" i="31"/>
  <c r="I44" i="31"/>
  <c r="J44" i="31"/>
  <c r="K44" i="31"/>
  <c r="L44" i="31"/>
  <c r="M44" i="31"/>
  <c r="N44" i="31"/>
  <c r="O44" i="31"/>
  <c r="R44" i="31"/>
  <c r="S44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6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D4" i="25"/>
  <c r="C5" i="25"/>
  <c r="D5" i="25"/>
  <c r="C6" i="25"/>
  <c r="D6" i="25"/>
  <c r="C7" i="25"/>
  <c r="D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<sst xmlns="http://schemas.openxmlformats.org/spreadsheetml/2006/main" count="879" uniqueCount="460">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</sst>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hh:mm\ AM/PM"/>
    <numFmt numFmtId="166" formatCode="#,##0.0"/>
    <numFmt numFmtId="167" formatCode="&quot;$&quot;#,##0.00"/>
    <numFmt numFmtId="169" formatCode="hh:mm"/>
    <numFmt numFmtId="170" formatCode="0.0%"/>
    <numFmt numFmtId="171" formatCode="&quot;$&quot;#,##0"/>
    <numFmt numFmtId="172" formatCode="&quot;$&quot;#,##0.0000"/>
    <numFmt numFmtId="173" formatCode=";;;"/>
    <numFmt numFmtId="174" formatCode="#,##0.000"/>
    <numFmt numFmtId="175" formatCode="&quot;$&quot;#,##0.0"/>
    <numFmt numFmtId="176" formatCode="&quot;$&quot;#,##0.000"/>
    <numFmt numFmtId="177" formatCode="&quot;$&quot;#,##0.00000"/>
    <numFmt numFmtId="178" formatCode="&quot;$&quot;#,##0.0000000"/>
    <numFmt numFmtId="179" formatCode="0.000"/>
    <numFmt numFmtId="180" formatCode="0.0"/>
    <numFmt numFmtId="181" formatCode="0.0000"/>
    <numFmt numFmtId="182" formatCode="General;[Red]\-General"/>
    <numFmt numFmtId="185" formatCode="0.000%"/>
    <numFmt numFmtId="189" formatCode="_(&quot;$&quot;* #,##0_);_(&quot;$&quot;* \(#,##0\);_(&quot;$&quot;* &quot;-&quot;??_);_(@_)"/>
    <numFmt numFmtId="208" formatCode="0.0000000000000000000000%"/>
    <numFmt numFmtId="211" formatCode="_(* #,##0_);_(* \(#,##0\);_(* &quot;-&quot;??_);_(@_)"/>
    <numFmt numFmtId="212" formatCode="m/d/yy"/>
  </numFmts>
  <fonts count="36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0" fontId="3" fillId="0" borderId="0"/>
    <xf numFmtId="171" fontId="18" fillId="0" borderId="0"/>
    <xf numFmtId="171" fontId="18" fillId="0" borderId="0"/>
    <xf numFmtId="171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1" fontId="18" fillId="0" borderId="0"/>
    <xf numFmtId="9" fontId="35" fillId="0" borderId="0" applyFont="0" applyFill="0" applyBorder="0" applyAlignment="0" applyProtection="0"/>
  </cellStyleXfs>
  <cellXfs count="828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70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7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7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2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70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70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2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4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6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3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6" fontId="3" fillId="2" borderId="3" xfId="0" applyNumberFormat="1" applyFont="1" applyFill="1" applyBorder="1" applyAlignment="1" applyProtection="1">
      <alignment horizontal="center"/>
      <protection locked="0"/>
    </xf>
    <xf numFmtId="176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6" fontId="13" fillId="2" borderId="1" xfId="0" applyNumberFormat="1" applyFont="1" applyFill="1" applyBorder="1" applyAlignment="1" applyProtection="1">
      <alignment horizontal="center"/>
      <protection locked="0"/>
    </xf>
    <xf numFmtId="176" fontId="3" fillId="0" borderId="3" xfId="0" applyNumberFormat="1" applyFont="1" applyBorder="1" applyAlignment="1" applyProtection="1">
      <alignment horizontal="center"/>
      <protection locked="0"/>
    </xf>
    <xf numFmtId="171" fontId="14" fillId="2" borderId="0" xfId="0" applyNumberFormat="1" applyFont="1" applyFill="1" applyAlignment="1">
      <alignment horizontal="center"/>
    </xf>
    <xf numFmtId="176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6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7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4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70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6" fontId="12" fillId="2" borderId="1" xfId="0" applyNumberFormat="1" applyFont="1" applyFill="1" applyBorder="1" applyAlignment="1" applyProtection="1">
      <alignment horizontal="center"/>
      <protection locked="0"/>
    </xf>
    <xf numFmtId="176" fontId="2" fillId="2" borderId="3" xfId="0" applyNumberFormat="1" applyFont="1" applyFill="1" applyBorder="1" applyAlignment="1" applyProtection="1">
      <alignment horizontal="center"/>
      <protection locked="0"/>
    </xf>
    <xf numFmtId="171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3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3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1" applyAlignment="1"/>
    <xf numFmtId="0" fontId="2" fillId="0" borderId="0" xfId="11" applyNumberFormat="1" applyFont="1" applyAlignment="1"/>
    <xf numFmtId="0" fontId="2" fillId="0" borderId="0" xfId="11" applyNumberFormat="1" applyFont="1" applyAlignment="1">
      <alignment horizontal="center"/>
    </xf>
    <xf numFmtId="2" fontId="3" fillId="0" borderId="0" xfId="11" applyNumberFormat="1"/>
    <xf numFmtId="0" fontId="3" fillId="0" borderId="0" xfId="11" applyFont="1" applyAlignment="1">
      <alignment horizontal="center"/>
    </xf>
    <xf numFmtId="171" fontId="3" fillId="0" borderId="0" xfId="11" applyNumberFormat="1"/>
    <xf numFmtId="167" fontId="4" fillId="0" borderId="0" xfId="11" applyNumberFormat="1" applyFont="1" applyAlignment="1"/>
    <xf numFmtId="167" fontId="3" fillId="0" borderId="0" xfId="11" applyNumberFormat="1"/>
    <xf numFmtId="0" fontId="3" fillId="0" borderId="0" xfId="11" applyNumberFormat="1" applyFont="1" applyAlignment="1"/>
    <xf numFmtId="10" fontId="3" fillId="0" borderId="0" xfId="11" applyNumberFormat="1"/>
    <xf numFmtId="177" fontId="3" fillId="0" borderId="0" xfId="11" applyNumberFormat="1"/>
    <xf numFmtId="0" fontId="3" fillId="0" borderId="0" xfId="11" applyNumberFormat="1" applyFont="1" applyAlignment="1" applyProtection="1">
      <alignment horizontal="center"/>
      <protection locked="0"/>
    </xf>
    <xf numFmtId="0" fontId="3" fillId="0" borderId="0" xfId="11" applyNumberFormat="1" applyProtection="1">
      <protection locked="0"/>
    </xf>
    <xf numFmtId="0" fontId="3" fillId="0" borderId="0" xfId="11" applyNumberFormat="1"/>
    <xf numFmtId="0" fontId="2" fillId="0" borderId="4" xfId="11" applyNumberFormat="1" applyFont="1" applyBorder="1" applyAlignment="1"/>
    <xf numFmtId="0" fontId="2" fillId="0" borderId="5" xfId="11" applyFont="1" applyBorder="1" applyAlignment="1"/>
    <xf numFmtId="0" fontId="2" fillId="0" borderId="4" xfId="11" applyFont="1" applyBorder="1" applyAlignment="1"/>
    <xf numFmtId="0" fontId="3" fillId="0" borderId="1" xfId="11" applyBorder="1"/>
    <xf numFmtId="0" fontId="3" fillId="0" borderId="1" xfId="11" applyNumberFormat="1" applyBorder="1"/>
    <xf numFmtId="4" fontId="3" fillId="0" borderId="0" xfId="11" applyNumberFormat="1" applyProtection="1">
      <protection locked="0"/>
    </xf>
    <xf numFmtId="4" fontId="3" fillId="0" borderId="1" xfId="11" applyNumberFormat="1" applyBorder="1" applyProtection="1">
      <protection locked="0"/>
    </xf>
    <xf numFmtId="0" fontId="2" fillId="0" borderId="1" xfId="11" applyNumberFormat="1" applyFont="1" applyBorder="1" applyAlignment="1"/>
    <xf numFmtId="0" fontId="3" fillId="0" borderId="1" xfId="11" applyNumberFormat="1" applyBorder="1" applyProtection="1">
      <protection locked="0"/>
    </xf>
    <xf numFmtId="10" fontId="3" fillId="0" borderId="1" xfId="11" applyNumberFormat="1" applyBorder="1"/>
    <xf numFmtId="10" fontId="4" fillId="0" borderId="0" xfId="11" applyNumberFormat="1" applyFont="1" applyAlignment="1"/>
    <xf numFmtId="10" fontId="4" fillId="0" borderId="1" xfId="11" applyNumberFormat="1" applyFont="1" applyBorder="1" applyAlignment="1"/>
    <xf numFmtId="167" fontId="3" fillId="0" borderId="1" xfId="11" applyNumberFormat="1" applyBorder="1"/>
    <xf numFmtId="0" fontId="3" fillId="0" borderId="5" xfId="11" applyBorder="1"/>
    <xf numFmtId="167" fontId="3" fillId="0" borderId="5" xfId="11" applyNumberFormat="1" applyBorder="1" applyProtection="1">
      <protection locked="0"/>
    </xf>
    <xf numFmtId="167" fontId="3" fillId="0" borderId="0" xfId="11" applyNumberFormat="1" applyProtection="1">
      <protection locked="0"/>
    </xf>
    <xf numFmtId="167" fontId="3" fillId="0" borderId="1" xfId="11" applyNumberFormat="1" applyBorder="1" applyProtection="1">
      <protection locked="0"/>
    </xf>
    <xf numFmtId="10" fontId="3" fillId="0" borderId="0" xfId="11" applyNumberFormat="1" applyFont="1" applyAlignment="1" applyProtection="1">
      <protection locked="0"/>
    </xf>
    <xf numFmtId="10" fontId="2" fillId="0" borderId="0" xfId="11" applyNumberFormat="1" applyFont="1" applyAlignment="1" applyProtection="1">
      <protection locked="0"/>
    </xf>
    <xf numFmtId="10" fontId="3" fillId="0" borderId="0" xfId="11" applyNumberFormat="1" applyProtection="1">
      <protection locked="0"/>
    </xf>
    <xf numFmtId="0" fontId="2" fillId="0" borderId="5" xfId="11" applyNumberFormat="1" applyFont="1" applyBorder="1" applyAlignment="1"/>
    <xf numFmtId="167" fontId="3" fillId="0" borderId="5" xfId="11" applyNumberFormat="1" applyBorder="1"/>
    <xf numFmtId="3" fontId="3" fillId="0" borderId="0" xfId="11" applyNumberFormat="1" applyProtection="1">
      <protection locked="0"/>
    </xf>
    <xf numFmtId="3" fontId="4" fillId="0" borderId="0" xfId="11" applyNumberFormat="1" applyFont="1" applyAlignment="1" applyProtection="1">
      <protection locked="0"/>
    </xf>
    <xf numFmtId="3" fontId="3" fillId="0" borderId="0" xfId="11" applyNumberFormat="1"/>
    <xf numFmtId="0" fontId="3" fillId="0" borderId="5" xfId="11" applyNumberFormat="1" applyBorder="1"/>
    <xf numFmtId="178" fontId="3" fillId="0" borderId="0" xfId="11" applyNumberFormat="1"/>
    <xf numFmtId="0" fontId="1" fillId="2" borderId="0" xfId="12" applyNumberFormat="1" applyFont="1" applyFill="1" applyAlignment="1"/>
    <xf numFmtId="0" fontId="3" fillId="2" borderId="0" xfId="12" applyNumberFormat="1" applyFont="1" applyFill="1" applyAlignment="1"/>
    <xf numFmtId="0" fontId="2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protection locked="0"/>
    </xf>
    <xf numFmtId="0" fontId="2" fillId="2" borderId="2" xfId="12" applyNumberFormat="1" applyFont="1" applyFill="1" applyBorder="1" applyAlignment="1"/>
    <xf numFmtId="0" fontId="3" fillId="0" borderId="6" xfId="12" applyNumberFormat="1" applyFont="1" applyBorder="1" applyAlignment="1"/>
    <xf numFmtId="0" fontId="3" fillId="0" borderId="3" xfId="12" applyNumberFormat="1" applyFont="1" applyBorder="1" applyAlignment="1"/>
    <xf numFmtId="0" fontId="3" fillId="3" borderId="0" xfId="12" applyNumberFormat="1" applyFont="1" applyFill="1" applyAlignment="1"/>
    <xf numFmtId="0" fontId="3" fillId="0" borderId="0" xfId="12" applyNumberFormat="1" applyFont="1" applyAlignment="1"/>
    <xf numFmtId="0" fontId="5" fillId="2" borderId="0" xfId="12" applyNumberFormat="1" applyFont="1" applyFill="1" applyAlignment="1"/>
    <xf numFmtId="0" fontId="2" fillId="0" borderId="0" xfId="12" applyNumberFormat="1" applyFont="1" applyAlignment="1"/>
    <xf numFmtId="0" fontId="2" fillId="0" borderId="2" xfId="12" applyNumberFormat="1" applyFont="1" applyBorder="1" applyAlignment="1"/>
    <xf numFmtId="0" fontId="2" fillId="0" borderId="3" xfId="12" applyNumberFormat="1" applyFont="1" applyBorder="1" applyAlignment="1"/>
    <xf numFmtId="0" fontId="20" fillId="0" borderId="0" xfId="12" applyNumberFormat="1" applyFont="1" applyAlignment="1"/>
    <xf numFmtId="0" fontId="21" fillId="0" borderId="0" xfId="12" applyNumberFormat="1" applyFont="1" applyAlignment="1"/>
    <xf numFmtId="0" fontId="5" fillId="0" borderId="3" xfId="12" applyNumberFormat="1" applyFont="1" applyBorder="1" applyAlignment="1"/>
    <xf numFmtId="167" fontId="3" fillId="0" borderId="0" xfId="12" applyNumberFormat="1" applyFont="1" applyAlignment="1"/>
    <xf numFmtId="0" fontId="20" fillId="0" borderId="0" xfId="12" applyNumberFormat="1" applyFont="1" applyAlignment="1">
      <alignment horizontal="center"/>
    </xf>
    <xf numFmtId="0" fontId="21" fillId="0" borderId="0" xfId="12" applyNumberFormat="1" applyFont="1" applyAlignment="1">
      <alignment horizontal="center"/>
    </xf>
    <xf numFmtId="167" fontId="3" fillId="0" borderId="6" xfId="12" applyNumberFormat="1" applyFont="1" applyBorder="1" applyAlignment="1"/>
    <xf numFmtId="167" fontId="2" fillId="0" borderId="0" xfId="12" applyNumberFormat="1" applyFont="1" applyAlignment="1"/>
    <xf numFmtId="167" fontId="3" fillId="0" borderId="2" xfId="12" applyNumberFormat="1" applyFont="1" applyBorder="1" applyAlignment="1"/>
    <xf numFmtId="167" fontId="3" fillId="0" borderId="3" xfId="12" applyNumberFormat="1" applyFont="1" applyBorder="1" applyAlignment="1"/>
    <xf numFmtId="0" fontId="1" fillId="2" borderId="0" xfId="10" applyNumberFormat="1" applyFont="1" applyFill="1" applyAlignment="1"/>
    <xf numFmtId="0" fontId="3" fillId="2" borderId="0" xfId="10" applyNumberFormat="1" applyFont="1" applyFill="1" applyAlignment="1"/>
    <xf numFmtId="0" fontId="2" fillId="2" borderId="0" xfId="10" applyNumberFormat="1" applyFont="1" applyFill="1" applyAlignment="1">
      <alignment horizontal="center"/>
    </xf>
    <xf numFmtId="0" fontId="3" fillId="0" borderId="0" xfId="10" applyAlignment="1"/>
    <xf numFmtId="0" fontId="2" fillId="2" borderId="2" xfId="10" applyNumberFormat="1" applyFont="1" applyFill="1" applyBorder="1" applyAlignment="1"/>
    <xf numFmtId="0" fontId="3" fillId="0" borderId="6" xfId="10" applyNumberFormat="1" applyFont="1" applyBorder="1" applyAlignment="1"/>
    <xf numFmtId="0" fontId="3" fillId="0" borderId="3" xfId="10" applyNumberFormat="1" applyFont="1" applyBorder="1" applyAlignment="1"/>
    <xf numFmtId="164" fontId="3" fillId="2" borderId="0" xfId="10" applyNumberFormat="1" applyFont="1" applyFill="1" applyAlignment="1">
      <alignment horizontal="right"/>
    </xf>
    <xf numFmtId="0" fontId="3" fillId="3" borderId="0" xfId="10" applyNumberFormat="1" applyFont="1" applyFill="1" applyAlignment="1"/>
    <xf numFmtId="165" fontId="3" fillId="3" borderId="0" xfId="10" applyNumberFormat="1" applyFont="1" applyFill="1" applyAlignment="1">
      <alignment horizontal="right"/>
    </xf>
    <xf numFmtId="0" fontId="2" fillId="0" borderId="0" xfId="10" applyNumberFormat="1" applyFont="1" applyAlignment="1"/>
    <xf numFmtId="0" fontId="2" fillId="0" borderId="0" xfId="10" applyFont="1" applyAlignment="1"/>
    <xf numFmtId="3" fontId="3" fillId="0" borderId="0" xfId="10" applyNumberFormat="1"/>
    <xf numFmtId="4" fontId="4" fillId="0" borderId="0" xfId="10" applyNumberFormat="1" applyFont="1" applyAlignment="1"/>
    <xf numFmtId="171" fontId="3" fillId="0" borderId="0" xfId="10" applyNumberFormat="1"/>
    <xf numFmtId="171" fontId="3" fillId="2" borderId="0" xfId="10" applyNumberFormat="1" applyFont="1" applyFill="1" applyAlignment="1"/>
    <xf numFmtId="4" fontId="3" fillId="0" borderId="0" xfId="10" applyNumberFormat="1"/>
    <xf numFmtId="4" fontId="3" fillId="2" borderId="0" xfId="10" applyNumberFormat="1" applyFont="1" applyFill="1" applyAlignment="1"/>
    <xf numFmtId="3" fontId="3" fillId="2" borderId="0" xfId="10" applyNumberFormat="1" applyFont="1" applyFill="1" applyAlignment="1"/>
    <xf numFmtId="4" fontId="4" fillId="2" borderId="0" xfId="10" applyNumberFormat="1" applyFont="1" applyFill="1" applyAlignment="1"/>
    <xf numFmtId="0" fontId="2" fillId="2" borderId="0" xfId="10" applyNumberFormat="1" applyFont="1" applyFill="1" applyAlignment="1"/>
    <xf numFmtId="3" fontId="4" fillId="0" borderId="0" xfId="10" applyNumberFormat="1" applyFont="1" applyAlignment="1"/>
    <xf numFmtId="0" fontId="3" fillId="0" borderId="0" xfId="10" applyNumberFormat="1" applyFont="1" applyAlignment="1"/>
    <xf numFmtId="167" fontId="3" fillId="0" borderId="0" xfId="10" applyNumberFormat="1"/>
    <xf numFmtId="0" fontId="15" fillId="0" borderId="0" xfId="10" applyNumberFormat="1" applyFont="1" applyAlignment="1"/>
    <xf numFmtId="176" fontId="3" fillId="0" borderId="0" xfId="10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7" fontId="4" fillId="0" borderId="0" xfId="0" applyNumberFormat="1" applyFont="1" applyAlignment="1"/>
    <xf numFmtId="171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1" fontId="5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9" applyNumberFormat="1" applyFont="1" applyAlignment="1"/>
    <xf numFmtId="0" fontId="18" fillId="0" borderId="0" xfId="9" applyNumberFormat="1" applyFont="1" applyAlignment="1" applyProtection="1">
      <protection locked="0"/>
    </xf>
    <xf numFmtId="0" fontId="22" fillId="0" borderId="0" xfId="9" applyNumberFormat="1" applyFont="1" applyAlignment="1">
      <alignment horizontal="center"/>
    </xf>
    <xf numFmtId="0" fontId="2" fillId="0" borderId="2" xfId="9" applyNumberFormat="1" applyFont="1" applyBorder="1" applyAlignment="1"/>
    <xf numFmtId="0" fontId="18" fillId="0" borderId="3" xfId="9" applyNumberFormat="1" applyBorder="1"/>
    <xf numFmtId="164" fontId="18" fillId="0" borderId="0" xfId="9" applyNumberFormat="1"/>
    <xf numFmtId="0" fontId="18" fillId="3" borderId="0" xfId="9" applyNumberFormat="1" applyFont="1" applyFill="1" applyAlignment="1"/>
    <xf numFmtId="0" fontId="23" fillId="0" borderId="0" xfId="9" applyNumberFormat="1" applyFont="1" applyAlignment="1"/>
    <xf numFmtId="1" fontId="5" fillId="2" borderId="0" xfId="9" applyNumberFormat="1" applyFont="1" applyFill="1" applyAlignment="1"/>
    <xf numFmtId="0" fontId="3" fillId="0" borderId="0" xfId="9" applyNumberFormat="1" applyFont="1" applyAlignment="1"/>
    <xf numFmtId="0" fontId="3" fillId="2" borderId="0" xfId="9" applyNumberFormat="1" applyFont="1" applyFill="1" applyAlignment="1"/>
    <xf numFmtId="3" fontId="3" fillId="0" borderId="0" xfId="9" applyNumberFormat="1" applyFont="1" applyAlignment="1"/>
    <xf numFmtId="3" fontId="5" fillId="2" borderId="0" xfId="9" applyNumberFormat="1" applyFont="1" applyFill="1" applyAlignment="1"/>
    <xf numFmtId="3" fontId="3" fillId="2" borderId="0" xfId="9" applyNumberFormat="1" applyFont="1" applyFill="1" applyAlignment="1"/>
    <xf numFmtId="171" fontId="3" fillId="2" borderId="0" xfId="9" applyFont="1" applyFill="1" applyAlignment="1"/>
    <xf numFmtId="171" fontId="3" fillId="2" borderId="0" xfId="9" applyNumberFormat="1" applyFont="1" applyFill="1" applyAlignment="1" applyProtection="1">
      <protection locked="0"/>
    </xf>
    <xf numFmtId="171" fontId="18" fillId="2" borderId="0" xfId="9" applyFill="1" applyAlignment="1"/>
    <xf numFmtId="3" fontId="2" fillId="2" borderId="0" xfId="9" applyNumberFormat="1" applyFont="1" applyFill="1" applyAlignment="1"/>
    <xf numFmtId="171" fontId="5" fillId="2" borderId="0" xfId="9" applyFont="1" applyFill="1" applyAlignment="1"/>
    <xf numFmtId="181" fontId="3" fillId="0" borderId="0" xfId="9" applyNumberFormat="1" applyFont="1" applyAlignment="1"/>
    <xf numFmtId="0" fontId="2" fillId="0" borderId="0" xfId="9" applyNumberFormat="1" applyFont="1" applyAlignment="1"/>
    <xf numFmtId="171" fontId="3" fillId="0" borderId="0" xfId="9" applyFont="1" applyAlignment="1"/>
    <xf numFmtId="181" fontId="4" fillId="0" borderId="0" xfId="9" applyNumberFormat="1" applyFont="1" applyAlignment="1"/>
    <xf numFmtId="0" fontId="4" fillId="0" borderId="0" xfId="9" applyNumberFormat="1" applyFont="1" applyAlignment="1"/>
    <xf numFmtId="171" fontId="4" fillId="0" borderId="0" xfId="9" applyFont="1" applyAlignment="1"/>
    <xf numFmtId="167" fontId="3" fillId="0" borderId="0" xfId="9" applyNumberFormat="1" applyFont="1" applyAlignment="1"/>
    <xf numFmtId="0" fontId="2" fillId="0" borderId="0" xfId="9" applyNumberFormat="1" applyFont="1" applyAlignment="1">
      <alignment horizontal="center"/>
    </xf>
    <xf numFmtId="0" fontId="18" fillId="0" borderId="0" xfId="9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2" fontId="2" fillId="0" borderId="0" xfId="7" applyNumberFormat="1" applyFont="1" applyAlignment="1">
      <alignment horizontal="center"/>
    </xf>
    <xf numFmtId="182" fontId="3" fillId="2" borderId="0" xfId="7" applyNumberFormat="1" applyFont="1" applyFill="1" applyAlignment="1"/>
    <xf numFmtId="182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64" fontId="3" fillId="2" borderId="0" xfId="7" applyNumberFormat="1" applyFont="1" applyFill="1" applyAlignment="1">
      <alignment horizontal="right"/>
    </xf>
    <xf numFmtId="182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5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64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2" fontId="3" fillId="0" borderId="0" xfId="7" applyNumberFormat="1" applyFont="1" applyAlignment="1"/>
    <xf numFmtId="182" fontId="2" fillId="0" borderId="4" xfId="7" applyNumberFormat="1" applyFont="1" applyBorder="1" applyAlignment="1"/>
    <xf numFmtId="182" fontId="3" fillId="0" borderId="5" xfId="7" applyNumberFormat="1" applyFont="1" applyBorder="1" applyAlignment="1"/>
    <xf numFmtId="182" fontId="3" fillId="2" borderId="1" xfId="7" applyNumberFormat="1" applyFont="1" applyFill="1" applyBorder="1" applyAlignment="1"/>
    <xf numFmtId="182" fontId="3" fillId="0" borderId="1" xfId="7" applyNumberFormat="1" applyFont="1" applyBorder="1" applyAlignment="1"/>
    <xf numFmtId="171" fontId="3" fillId="2" borderId="0" xfId="7" applyFont="1" applyFill="1" applyAlignment="1"/>
    <xf numFmtId="182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2" fontId="2" fillId="2" borderId="1" xfId="7" applyNumberFormat="1" applyFont="1" applyFill="1" applyBorder="1" applyAlignment="1"/>
    <xf numFmtId="182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70" fontId="3" fillId="2" borderId="0" xfId="7" applyNumberFormat="1" applyFont="1" applyFill="1" applyAlignment="1"/>
    <xf numFmtId="173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1" fontId="3" fillId="0" borderId="0" xfId="8" applyFont="1" applyAlignment="1"/>
    <xf numFmtId="171" fontId="4" fillId="0" borderId="0" xfId="8" applyFont="1" applyAlignment="1"/>
    <xf numFmtId="3" fontId="2" fillId="2" borderId="1" xfId="8" applyNumberFormat="1" applyFont="1" applyFill="1" applyBorder="1" applyAlignment="1"/>
    <xf numFmtId="167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1" fontId="5" fillId="0" borderId="0" xfId="8" applyFont="1" applyAlignment="1"/>
    <xf numFmtId="171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1" fontId="3" fillId="2" borderId="0" xfId="3" applyFont="1" applyFill="1" applyAlignment="1"/>
    <xf numFmtId="10" fontId="3" fillId="2" borderId="0" xfId="3" applyNumberFormat="1" applyFont="1" applyFill="1" applyAlignment="1"/>
    <xf numFmtId="166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1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1" fontId="3" fillId="2" borderId="0" xfId="3" applyFill="1" applyAlignment="1"/>
    <xf numFmtId="167" fontId="3" fillId="0" borderId="0" xfId="3" applyNumberFormat="1"/>
    <xf numFmtId="0" fontId="1" fillId="0" borderId="0" xfId="4" applyFont="1" applyAlignment="1"/>
    <xf numFmtId="167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7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7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7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7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7" fontId="6" fillId="0" borderId="0" xfId="4" applyNumberFormat="1" applyFont="1" applyAlignment="1">
      <alignment horizontal="left"/>
    </xf>
    <xf numFmtId="170" fontId="3" fillId="0" borderId="0" xfId="4" applyNumberFormat="1" applyFont="1" applyAlignment="1"/>
    <xf numFmtId="167" fontId="6" fillId="0" borderId="0" xfId="4" applyNumberFormat="1" applyFont="1" applyAlignment="1"/>
    <xf numFmtId="167" fontId="6" fillId="0" borderId="5" xfId="4" applyNumberFormat="1" applyFont="1" applyBorder="1" applyAlignment="1"/>
    <xf numFmtId="175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64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5" fontId="3" fillId="3" borderId="0" xfId="5" applyNumberFormat="1" applyFont="1" applyFill="1" applyAlignment="1"/>
    <xf numFmtId="165" fontId="3" fillId="3" borderId="0" xfId="5" applyNumberFormat="1" applyFont="1" applyFill="1" applyAlignment="1">
      <alignment horizontal="right"/>
    </xf>
    <xf numFmtId="175" fontId="3" fillId="0" borderId="0" xfId="5" applyNumberFormat="1" applyFont="1" applyAlignment="1"/>
    <xf numFmtId="165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5" fontId="6" fillId="0" borderId="0" xfId="5" applyNumberFormat="1" applyFont="1" applyAlignment="1">
      <alignment horizontal="center"/>
    </xf>
    <xf numFmtId="171" fontId="3" fillId="0" borderId="1" xfId="5" applyFont="1" applyBorder="1" applyAlignment="1"/>
    <xf numFmtId="171" fontId="3" fillId="0" borderId="0" xfId="5" applyFont="1" applyAlignment="1"/>
    <xf numFmtId="167" fontId="3" fillId="0" borderId="0" xfId="5" applyNumberFormat="1" applyFont="1" applyAlignment="1">
      <alignment horizontal="center"/>
    </xf>
    <xf numFmtId="175" fontId="25" fillId="0" borderId="0" xfId="5" applyNumberFormat="1" applyFont="1" applyAlignment="1">
      <alignment horizontal="center"/>
    </xf>
    <xf numFmtId="175" fontId="7" fillId="0" borderId="0" xfId="5" applyNumberFormat="1" applyFont="1" applyAlignment="1">
      <alignment horizontal="center"/>
    </xf>
    <xf numFmtId="167" fontId="6" fillId="0" borderId="0" xfId="5" applyNumberFormat="1" applyFont="1" applyAlignment="1">
      <alignment horizontal="center"/>
    </xf>
    <xf numFmtId="171" fontId="3" fillId="0" borderId="1" xfId="5" applyBorder="1" applyAlignment="1"/>
    <xf numFmtId="10" fontId="6" fillId="0" borderId="0" xfId="5" applyNumberFormat="1" applyFont="1" applyAlignment="1">
      <alignment horizontal="center"/>
    </xf>
    <xf numFmtId="171" fontId="6" fillId="0" borderId="0" xfId="5" applyFont="1" applyAlignment="1">
      <alignment horizontal="center"/>
    </xf>
    <xf numFmtId="171" fontId="25" fillId="0" borderId="0" xfId="5" applyFont="1" applyAlignment="1">
      <alignment horizontal="center"/>
    </xf>
    <xf numFmtId="171" fontId="4" fillId="0" borderId="1" xfId="5" applyFont="1" applyBorder="1" applyAlignment="1"/>
    <xf numFmtId="171" fontId="4" fillId="0" borderId="0" xfId="5" applyFont="1" applyAlignment="1"/>
    <xf numFmtId="171" fontId="16" fillId="0" borderId="0" xfId="5" applyFont="1" applyAlignment="1">
      <alignment horizontal="center"/>
    </xf>
    <xf numFmtId="171" fontId="2" fillId="0" borderId="1" xfId="5" applyFont="1" applyBorder="1" applyAlignment="1"/>
    <xf numFmtId="171" fontId="2" fillId="0" borderId="0" xfId="5" applyFont="1" applyAlignment="1"/>
    <xf numFmtId="171" fontId="5" fillId="0" borderId="1" xfId="5" applyFont="1" applyBorder="1" applyAlignment="1"/>
    <xf numFmtId="171" fontId="5" fillId="0" borderId="0" xfId="5" applyFont="1" applyAlignment="1"/>
    <xf numFmtId="171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7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1" fontId="24" fillId="0" borderId="6" xfId="5" applyFont="1" applyBorder="1" applyAlignment="1"/>
    <xf numFmtId="0" fontId="24" fillId="0" borderId="3" xfId="5" applyNumberFormat="1" applyFont="1" applyBorder="1" applyAlignment="1"/>
    <xf numFmtId="171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1" fontId="3" fillId="0" borderId="6" xfId="5" applyFont="1" applyBorder="1" applyAlignment="1">
      <alignment horizontal="center"/>
    </xf>
    <xf numFmtId="171" fontId="3" fillId="0" borderId="6" xfId="5" applyFont="1" applyBorder="1" applyAlignment="1"/>
    <xf numFmtId="171" fontId="3" fillId="0" borderId="0" xfId="5" applyFont="1" applyAlignment="1">
      <alignment horizontal="center"/>
    </xf>
    <xf numFmtId="185" fontId="2" fillId="0" borderId="0" xfId="5" applyNumberFormat="1" applyFont="1" applyAlignment="1"/>
    <xf numFmtId="171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64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5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1" fontId="3" fillId="2" borderId="0" xfId="6" applyNumberFormat="1" applyFont="1" applyFill="1" applyAlignment="1"/>
    <xf numFmtId="0" fontId="16" fillId="2" borderId="0" xfId="6" applyNumberFormat="1" applyFont="1" applyFill="1" applyAlignment="1"/>
    <xf numFmtId="171" fontId="3" fillId="2" borderId="3" xfId="6" applyNumberFormat="1" applyFont="1" applyFill="1" applyBorder="1" applyAlignment="1"/>
    <xf numFmtId="175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6" fontId="3" fillId="2" borderId="0" xfId="6" applyNumberFormat="1" applyFont="1" applyFill="1" applyAlignment="1"/>
    <xf numFmtId="171" fontId="4" fillId="2" borderId="3" xfId="6" applyNumberFormat="1" applyFont="1" applyFill="1" applyBorder="1" applyAlignment="1"/>
    <xf numFmtId="171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3" applyNumberFormat="1" applyFont="1" applyAlignment="1"/>
    <xf numFmtId="0" fontId="3" fillId="0" borderId="0" xfId="13" applyAlignment="1"/>
    <xf numFmtId="0" fontId="2" fillId="0" borderId="0" xfId="13" applyNumberFormat="1" applyFont="1" applyAlignment="1">
      <alignment horizontal="center"/>
    </xf>
    <xf numFmtId="0" fontId="2" fillId="0" borderId="2" xfId="13" applyNumberFormat="1" applyFont="1" applyBorder="1" applyAlignment="1"/>
    <xf numFmtId="0" fontId="3" fillId="0" borderId="3" xfId="13" applyNumberFormat="1" applyBorder="1"/>
    <xf numFmtId="164" fontId="3" fillId="0" borderId="0" xfId="13" applyNumberFormat="1" applyFont="1" applyAlignment="1">
      <alignment horizontal="center"/>
    </xf>
    <xf numFmtId="0" fontId="2" fillId="0" borderId="6" xfId="13" applyNumberFormat="1" applyFont="1" applyBorder="1" applyAlignment="1"/>
    <xf numFmtId="0" fontId="22" fillId="0" borderId="0" xfId="13" applyNumberFormat="1" applyFont="1" applyAlignment="1"/>
    <xf numFmtId="165" fontId="3" fillId="0" borderId="0" xfId="13" applyNumberFormat="1" applyFont="1" applyAlignment="1">
      <alignment horizontal="center"/>
    </xf>
    <xf numFmtId="0" fontId="3" fillId="0" borderId="0" xfId="13" applyFont="1" applyAlignment="1"/>
    <xf numFmtId="0" fontId="3" fillId="3" borderId="0" xfId="13" applyNumberFormat="1" applyFont="1" applyFill="1" applyAlignment="1"/>
    <xf numFmtId="0" fontId="2" fillId="0" borderId="0" xfId="13" applyNumberFormat="1" applyFont="1" applyAlignment="1"/>
    <xf numFmtId="0" fontId="3" fillId="0" borderId="0" xfId="13" applyNumberFormat="1" applyFont="1" applyAlignment="1"/>
    <xf numFmtId="0" fontId="5" fillId="0" borderId="0" xfId="13" applyNumberFormat="1" applyFont="1" applyAlignment="1"/>
    <xf numFmtId="0" fontId="5" fillId="2" borderId="0" xfId="13" applyNumberFormat="1" applyFont="1" applyFill="1" applyAlignment="1"/>
    <xf numFmtId="0" fontId="3" fillId="2" borderId="0" xfId="13" applyNumberFormat="1" applyFont="1" applyFill="1" applyAlignment="1"/>
    <xf numFmtId="0" fontId="16" fillId="2" borderId="0" xfId="13" applyNumberFormat="1" applyFont="1" applyFill="1" applyAlignment="1">
      <alignment horizontal="right"/>
    </xf>
    <xf numFmtId="0" fontId="16" fillId="2" borderId="0" xfId="13" applyNumberFormat="1" applyFont="1" applyFill="1" applyAlignment="1">
      <alignment horizontal="center"/>
    </xf>
    <xf numFmtId="0" fontId="3" fillId="2" borderId="0" xfId="13" applyNumberFormat="1" applyFont="1" applyFill="1" applyAlignment="1">
      <alignment horizontal="center"/>
    </xf>
    <xf numFmtId="0" fontId="7" fillId="2" borderId="0" xfId="13" applyNumberFormat="1" applyFont="1" applyFill="1" applyAlignment="1">
      <alignment horizontal="right"/>
    </xf>
    <xf numFmtId="0" fontId="7" fillId="2" borderId="0" xfId="13" applyNumberFormat="1" applyFont="1" applyFill="1" applyAlignment="1">
      <alignment horizontal="center"/>
    </xf>
    <xf numFmtId="0" fontId="16" fillId="0" borderId="0" xfId="13" applyNumberFormat="1" applyFont="1" applyAlignment="1"/>
    <xf numFmtId="170" fontId="3" fillId="2" borderId="0" xfId="13" applyNumberFormat="1" applyFont="1" applyFill="1" applyAlignment="1">
      <alignment horizontal="center"/>
    </xf>
    <xf numFmtId="175" fontId="3" fillId="2" borderId="0" xfId="13" applyNumberFormat="1" applyFont="1" applyFill="1" applyAlignment="1">
      <alignment horizontal="center"/>
    </xf>
    <xf numFmtId="171" fontId="3" fillId="2" borderId="0" xfId="13" applyNumberFormat="1" applyFont="1" applyFill="1" applyAlignment="1"/>
    <xf numFmtId="166" fontId="3" fillId="2" borderId="0" xfId="13" applyNumberFormat="1" applyFont="1" applyFill="1" applyAlignment="1"/>
    <xf numFmtId="175" fontId="3" fillId="2" borderId="6" xfId="13" applyNumberFormat="1" applyFont="1" applyFill="1" applyBorder="1" applyAlignment="1">
      <alignment horizontal="center"/>
    </xf>
    <xf numFmtId="0" fontId="3" fillId="0" borderId="6" xfId="13" applyNumberFormat="1" applyFont="1" applyBorder="1" applyAlignment="1"/>
    <xf numFmtId="0" fontId="3" fillId="2" borderId="6" xfId="13" applyNumberFormat="1" applyFont="1" applyFill="1" applyBorder="1" applyAlignment="1"/>
    <xf numFmtId="0" fontId="2" fillId="0" borderId="3" xfId="13" applyNumberFormat="1" applyFont="1" applyBorder="1" applyAlignment="1"/>
    <xf numFmtId="171" fontId="5" fillId="2" borderId="0" xfId="13" applyNumberFormat="1" applyFont="1" applyFill="1" applyAlignment="1"/>
    <xf numFmtId="0" fontId="3" fillId="0" borderId="3" xfId="13" applyNumberFormat="1" applyFont="1" applyBorder="1" applyAlignment="1"/>
    <xf numFmtId="10" fontId="3" fillId="2" borderId="0" xfId="13" applyNumberFormat="1" applyFont="1" applyFill="1" applyAlignment="1">
      <alignment horizontal="center"/>
    </xf>
    <xf numFmtId="171" fontId="2" fillId="2" borderId="0" xfId="13" applyNumberFormat="1" applyFont="1" applyFill="1" applyAlignment="1"/>
    <xf numFmtId="175" fontId="3" fillId="0" borderId="6" xfId="13" applyNumberFormat="1" applyFont="1" applyBorder="1" applyAlignment="1"/>
    <xf numFmtId="10" fontId="3" fillId="0" borderId="6" xfId="13" applyNumberFormat="1" applyFont="1" applyBorder="1" applyAlignment="1"/>
    <xf numFmtId="0" fontId="3" fillId="0" borderId="6" xfId="13" applyFont="1" applyBorder="1" applyAlignment="1"/>
    <xf numFmtId="175" fontId="3" fillId="0" borderId="0" xfId="13" applyNumberFormat="1" applyFont="1" applyAlignment="1"/>
    <xf numFmtId="10" fontId="3" fillId="0" borderId="0" xfId="13" applyNumberFormat="1" applyFont="1" applyAlignment="1"/>
    <xf numFmtId="10" fontId="3" fillId="0" borderId="0" xfId="13" applyNumberFormat="1"/>
    <xf numFmtId="3" fontId="1" fillId="2" borderId="0" xfId="14" applyNumberFormat="1" applyFont="1" applyFill="1" applyAlignment="1"/>
    <xf numFmtId="0" fontId="3" fillId="0" borderId="0" xfId="14" applyNumberFormat="1" applyFont="1" applyAlignment="1"/>
    <xf numFmtId="3" fontId="3" fillId="2" borderId="0" xfId="14" applyNumberFormat="1" applyFont="1" applyFill="1" applyAlignment="1"/>
    <xf numFmtId="0" fontId="2" fillId="0" borderId="0" xfId="14" applyNumberFormat="1" applyFont="1" applyAlignment="1">
      <alignment horizontal="center"/>
    </xf>
    <xf numFmtId="0" fontId="18" fillId="0" borderId="0" xfId="14" applyNumberFormat="1" applyFont="1" applyAlignment="1" applyProtection="1">
      <protection locked="0"/>
    </xf>
    <xf numFmtId="3" fontId="2" fillId="2" borderId="2" xfId="14" applyNumberFormat="1" applyFont="1" applyFill="1" applyBorder="1" applyAlignment="1"/>
    <xf numFmtId="3" fontId="3" fillId="2" borderId="3" xfId="14" applyNumberFormat="1" applyFont="1" applyFill="1" applyBorder="1" applyAlignment="1"/>
    <xf numFmtId="164" fontId="3" fillId="2" borderId="0" xfId="14" applyNumberFormat="1" applyFont="1" applyFill="1" applyAlignment="1">
      <alignment horizontal="right"/>
    </xf>
    <xf numFmtId="0" fontId="3" fillId="3" borderId="0" xfId="14" applyNumberFormat="1" applyFont="1" applyFill="1" applyAlignment="1"/>
    <xf numFmtId="3" fontId="3" fillId="4" borderId="0" xfId="14" applyNumberFormat="1" applyFont="1" applyFill="1" applyAlignment="1"/>
    <xf numFmtId="165" fontId="3" fillId="4" borderId="0" xfId="14" applyNumberFormat="1" applyFont="1" applyFill="1" applyAlignment="1">
      <alignment horizontal="right"/>
    </xf>
    <xf numFmtId="165" fontId="3" fillId="2" borderId="0" xfId="14" applyNumberFormat="1" applyFont="1" applyFill="1" applyAlignment="1">
      <alignment horizontal="right"/>
    </xf>
    <xf numFmtId="0" fontId="2" fillId="2" borderId="0" xfId="14" applyNumberFormat="1" applyFont="1" applyFill="1" applyAlignment="1"/>
    <xf numFmtId="0" fontId="3" fillId="2" borderId="0" xfId="14" applyNumberFormat="1" applyFont="1" applyFill="1" applyAlignment="1"/>
    <xf numFmtId="0" fontId="5" fillId="2" borderId="0" xfId="14" applyNumberFormat="1" applyFont="1" applyFill="1" applyAlignment="1"/>
    <xf numFmtId="171" fontId="3" fillId="2" borderId="0" xfId="14" applyNumberFormat="1" applyFont="1" applyFill="1" applyAlignment="1"/>
    <xf numFmtId="170" fontId="26" fillId="2" borderId="0" xfId="14" applyNumberFormat="1" applyFont="1" applyFill="1" applyAlignment="1"/>
    <xf numFmtId="171" fontId="18" fillId="2" borderId="0" xfId="14" applyFill="1" applyAlignment="1"/>
    <xf numFmtId="0" fontId="4" fillId="2" borderId="0" xfId="14" applyNumberFormat="1" applyFont="1" applyFill="1" applyAlignment="1"/>
    <xf numFmtId="171" fontId="3" fillId="0" borderId="0" xfId="14" applyNumberFormat="1" applyFont="1" applyAlignment="1"/>
    <xf numFmtId="171" fontId="5" fillId="2" borderId="0" xfId="14" applyNumberFormat="1" applyFont="1" applyFill="1" applyAlignment="1"/>
    <xf numFmtId="170" fontId="3" fillId="0" borderId="0" xfId="14" applyNumberFormat="1" applyFont="1" applyAlignment="1"/>
    <xf numFmtId="0" fontId="2" fillId="0" borderId="0" xfId="14" applyNumberFormat="1" applyFont="1" applyAlignment="1"/>
    <xf numFmtId="171" fontId="5" fillId="0" borderId="0" xfId="14" applyNumberFormat="1" applyFont="1" applyAlignment="1"/>
    <xf numFmtId="0" fontId="3" fillId="0" borderId="2" xfId="14" applyNumberFormat="1" applyFont="1" applyBorder="1" applyAlignment="1"/>
    <xf numFmtId="0" fontId="3" fillId="2" borderId="6" xfId="14" applyNumberFormat="1" applyFont="1" applyFill="1" applyBorder="1" applyAlignment="1"/>
    <xf numFmtId="0" fontId="3" fillId="0" borderId="3" xfId="14" applyNumberFormat="1" applyFont="1" applyBorder="1" applyAlignment="1"/>
    <xf numFmtId="0" fontId="2" fillId="2" borderId="3" xfId="14" applyNumberFormat="1" applyFont="1" applyFill="1" applyBorder="1" applyAlignment="1"/>
    <xf numFmtId="0" fontId="6" fillId="2" borderId="6" xfId="14" applyNumberFormat="1" applyFont="1" applyFill="1" applyBorder="1" applyAlignment="1"/>
    <xf numFmtId="0" fontId="3" fillId="0" borderId="6" xfId="14" applyNumberFormat="1" applyFont="1" applyBorder="1" applyAlignment="1"/>
    <xf numFmtId="0" fontId="2" fillId="0" borderId="0" xfId="10" applyNumberFormat="1" applyFont="1" applyAlignment="1">
      <alignment horizontal="center"/>
    </xf>
    <xf numFmtId="0" fontId="3" fillId="0" borderId="0" xfId="10" quotePrefix="1" applyAlignment="1"/>
    <xf numFmtId="171" fontId="27" fillId="2" borderId="0" xfId="9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2" applyNumberFormat="1" applyFont="1" applyFill="1" applyAlignment="1">
      <alignment horizontal="center"/>
    </xf>
    <xf numFmtId="0" fontId="18" fillId="0" borderId="0" xfId="12" applyNumberFormat="1" applyFont="1" applyAlignment="1" applyProtection="1">
      <alignment horizontal="center"/>
      <protection locked="0"/>
    </xf>
    <xf numFmtId="0" fontId="3" fillId="0" borderId="3" xfId="12" applyNumberFormat="1" applyFont="1" applyBorder="1" applyAlignment="1">
      <alignment horizontal="center"/>
    </xf>
    <xf numFmtId="164" fontId="3" fillId="2" borderId="0" xfId="12" applyNumberFormat="1" applyFont="1" applyFill="1" applyAlignment="1">
      <alignment horizontal="center"/>
    </xf>
    <xf numFmtId="0" fontId="3" fillId="3" borderId="0" xfId="12" applyNumberFormat="1" applyFont="1" applyFill="1" applyAlignment="1">
      <alignment horizontal="center"/>
    </xf>
    <xf numFmtId="0" fontId="3" fillId="0" borderId="0" xfId="12" applyNumberFormat="1" applyFont="1" applyAlignment="1">
      <alignment horizontal="center"/>
    </xf>
    <xf numFmtId="0" fontId="5" fillId="2" borderId="0" xfId="12" applyNumberFormat="1" applyFont="1" applyFill="1" applyAlignment="1">
      <alignment horizontal="center"/>
    </xf>
    <xf numFmtId="169" fontId="3" fillId="2" borderId="0" xfId="12" applyNumberFormat="1" applyFont="1" applyFill="1" applyAlignment="1">
      <alignment horizontal="center"/>
    </xf>
    <xf numFmtId="3" fontId="3" fillId="0" borderId="0" xfId="12" applyFont="1" applyAlignment="1">
      <alignment horizontal="center"/>
    </xf>
    <xf numFmtId="10" fontId="3" fillId="0" borderId="0" xfId="12" applyNumberFormat="1" applyFont="1" applyAlignment="1">
      <alignment horizontal="center"/>
    </xf>
    <xf numFmtId="166" fontId="3" fillId="2" borderId="0" xfId="12" applyNumberFormat="1" applyFont="1" applyFill="1" applyAlignment="1" applyProtection="1">
      <alignment horizontal="center"/>
      <protection locked="0"/>
    </xf>
    <xf numFmtId="166" fontId="3" fillId="2" borderId="0" xfId="12" applyNumberFormat="1" applyFont="1" applyFill="1" applyAlignment="1">
      <alignment horizontal="center"/>
    </xf>
    <xf numFmtId="10" fontId="3" fillId="2" borderId="0" xfId="12" applyNumberFormat="1" applyFont="1" applyFill="1" applyAlignment="1">
      <alignment horizontal="center"/>
    </xf>
    <xf numFmtId="3" fontId="18" fillId="2" borderId="0" xfId="12" applyFill="1" applyAlignment="1">
      <alignment horizontal="center"/>
    </xf>
    <xf numFmtId="3" fontId="3" fillId="2" borderId="0" xfId="12" applyFont="1" applyFill="1" applyAlignment="1">
      <alignment horizontal="center"/>
    </xf>
    <xf numFmtId="0" fontId="19" fillId="2" borderId="0" xfId="12" applyNumberFormat="1" applyFont="1" applyFill="1" applyAlignment="1">
      <alignment horizontal="center"/>
    </xf>
    <xf numFmtId="3" fontId="3" fillId="2" borderId="6" xfId="12" applyFont="1" applyFill="1" applyBorder="1" applyAlignment="1">
      <alignment horizontal="center"/>
    </xf>
    <xf numFmtId="0" fontId="3" fillId="2" borderId="3" xfId="12" applyNumberFormat="1" applyFont="1" applyFill="1" applyBorder="1" applyAlignment="1">
      <alignment horizontal="center"/>
    </xf>
    <xf numFmtId="174" fontId="2" fillId="2" borderId="0" xfId="12" applyNumberFormat="1" applyFont="1" applyFill="1" applyAlignment="1" applyProtection="1">
      <alignment horizontal="center"/>
      <protection locked="0"/>
    </xf>
    <xf numFmtId="180" fontId="3" fillId="2" borderId="0" xfId="12" applyNumberFormat="1" applyFont="1" applyFill="1" applyAlignment="1">
      <alignment horizontal="center"/>
    </xf>
    <xf numFmtId="167" fontId="4" fillId="2" borderId="0" xfId="12" applyNumberFormat="1" applyFont="1" applyFill="1" applyAlignment="1">
      <alignment horizontal="center"/>
    </xf>
    <xf numFmtId="167" fontId="4" fillId="0" borderId="0" xfId="12" applyNumberFormat="1" applyFont="1" applyAlignment="1">
      <alignment horizontal="center"/>
    </xf>
    <xf numFmtId="171" fontId="2" fillId="2" borderId="0" xfId="12" applyNumberFormat="1" applyFont="1" applyFill="1" applyAlignment="1" applyProtection="1">
      <alignment horizontal="center"/>
      <protection locked="0"/>
    </xf>
    <xf numFmtId="171" fontId="2" fillId="2" borderId="0" xfId="12" applyNumberFormat="1" applyFont="1" applyFill="1" applyAlignment="1">
      <alignment horizontal="center"/>
    </xf>
    <xf numFmtId="167" fontId="3" fillId="0" borderId="0" xfId="12" applyNumberFormat="1" applyFont="1" applyAlignment="1">
      <alignment horizontal="center"/>
    </xf>
    <xf numFmtId="3" fontId="4" fillId="0" borderId="0" xfId="12" applyFont="1" applyAlignment="1">
      <alignment horizontal="center"/>
    </xf>
    <xf numFmtId="171" fontId="2" fillId="0" borderId="0" xfId="12" applyNumberFormat="1" applyFont="1" applyAlignment="1">
      <alignment horizontal="center"/>
    </xf>
    <xf numFmtId="171" fontId="3" fillId="0" borderId="0" xfId="12" applyNumberFormat="1" applyFont="1" applyAlignment="1">
      <alignment horizontal="center"/>
    </xf>
    <xf numFmtId="176" fontId="3" fillId="0" borderId="0" xfId="12" applyNumberFormat="1" applyFont="1" applyAlignment="1">
      <alignment horizontal="center"/>
    </xf>
    <xf numFmtId="171" fontId="4" fillId="0" borderId="0" xfId="12" applyNumberFormat="1" applyFont="1" applyAlignment="1">
      <alignment horizontal="center"/>
    </xf>
    <xf numFmtId="171" fontId="3" fillId="2" borderId="6" xfId="12" applyNumberFormat="1" applyFont="1" applyFill="1" applyBorder="1" applyAlignment="1">
      <alignment horizontal="center"/>
    </xf>
    <xf numFmtId="2" fontId="3" fillId="0" borderId="6" xfId="12" applyNumberFormat="1" applyFont="1" applyBorder="1" applyAlignment="1">
      <alignment horizontal="center"/>
    </xf>
    <xf numFmtId="2" fontId="3" fillId="0" borderId="0" xfId="12" applyNumberFormat="1" applyFont="1" applyAlignment="1">
      <alignment horizontal="center"/>
    </xf>
    <xf numFmtId="179" fontId="3" fillId="0" borderId="6" xfId="12" applyNumberFormat="1" applyFont="1" applyBorder="1" applyAlignment="1">
      <alignment horizontal="center"/>
    </xf>
    <xf numFmtId="179" fontId="3" fillId="0" borderId="0" xfId="12" applyNumberFormat="1" applyFont="1" applyAlignment="1">
      <alignment horizontal="center"/>
    </xf>
    <xf numFmtId="179" fontId="4" fillId="0" borderId="0" xfId="12" applyNumberFormat="1" applyFont="1" applyAlignment="1">
      <alignment horizontal="center"/>
    </xf>
    <xf numFmtId="0" fontId="3" fillId="0" borderId="6" xfId="12" applyNumberFormat="1" applyFont="1" applyBorder="1" applyAlignment="1">
      <alignment horizontal="center"/>
    </xf>
    <xf numFmtId="0" fontId="3" fillId="2" borderId="6" xfId="12" applyNumberFormat="1" applyFont="1" applyFill="1" applyBorder="1" applyAlignment="1">
      <alignment horizontal="center"/>
    </xf>
    <xf numFmtId="167" fontId="11" fillId="2" borderId="1" xfId="0" applyNumberFormat="1" applyFont="1" applyFill="1" applyBorder="1" applyAlignment="1" applyProtection="1">
      <alignment horizontal="center"/>
      <protection locked="0"/>
    </xf>
    <xf numFmtId="171" fontId="2" fillId="0" borderId="0" xfId="5" applyFont="1" applyAlignment="1">
      <alignment horizontal="center"/>
    </xf>
    <xf numFmtId="171" fontId="3" fillId="0" borderId="0" xfId="5" applyNumberFormat="1" applyFont="1" applyAlignment="1"/>
    <xf numFmtId="171" fontId="30" fillId="2" borderId="0" xfId="3" applyNumberFormat="1" applyFont="1" applyFill="1" applyAlignment="1" applyProtection="1">
      <protection locked="0"/>
    </xf>
    <xf numFmtId="171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5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1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1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1" fontId="2" fillId="2" borderId="8" xfId="6" applyNumberFormat="1" applyFont="1" applyFill="1" applyBorder="1" applyAlignment="1"/>
    <xf numFmtId="3" fontId="1" fillId="0" borderId="0" xfId="13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7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6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1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1" fontId="3" fillId="0" borderId="0" xfId="8" applyFont="1" applyBorder="1" applyAlignment="1"/>
    <xf numFmtId="0" fontId="3" fillId="0" borderId="12" xfId="8" applyNumberFormat="1" applyFont="1" applyBorder="1" applyAlignment="1"/>
    <xf numFmtId="171" fontId="4" fillId="0" borderId="0" xfId="8" applyFont="1" applyBorder="1" applyAlignment="1"/>
    <xf numFmtId="171" fontId="3" fillId="0" borderId="13" xfId="8" applyFont="1" applyBorder="1" applyAlignment="1"/>
    <xf numFmtId="171" fontId="4" fillId="0" borderId="13" xfId="8" applyFont="1" applyBorder="1" applyAlignment="1"/>
    <xf numFmtId="171" fontId="3" fillId="2" borderId="0" xfId="8" applyFont="1" applyFill="1" applyBorder="1" applyAlignment="1"/>
    <xf numFmtId="171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70" fontId="3" fillId="2" borderId="0" xfId="0" applyNumberFormat="1" applyFont="1" applyFill="1" applyBorder="1" applyAlignment="1" applyProtection="1">
      <alignment horizontal="center"/>
      <protection locked="0"/>
    </xf>
    <xf numFmtId="17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70" fontId="3" fillId="2" borderId="13" xfId="0" applyNumberFormat="1" applyFont="1" applyFill="1" applyBorder="1" applyAlignment="1" applyProtection="1">
      <protection locked="0"/>
    </xf>
    <xf numFmtId="167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1" fillId="2" borderId="1" xfId="0" applyNumberFormat="1" applyFont="1" applyFill="1" applyBorder="1" applyAlignment="1" applyProtection="1">
      <alignment horizontal="center"/>
      <protection locked="0"/>
    </xf>
    <xf numFmtId="182" fontId="3" fillId="2" borderId="0" xfId="7" applyNumberFormat="1" applyFont="1" applyFill="1" applyBorder="1" applyAlignment="1"/>
    <xf numFmtId="182" fontId="3" fillId="0" borderId="9" xfId="7" applyNumberFormat="1" applyFont="1" applyBorder="1" applyAlignment="1"/>
    <xf numFmtId="182" fontId="3" fillId="0" borderId="10" xfId="7" applyNumberFormat="1" applyFont="1" applyBorder="1" applyAlignment="1"/>
    <xf numFmtId="182" fontId="3" fillId="0" borderId="11" xfId="7" applyNumberFormat="1" applyFont="1" applyBorder="1" applyAlignment="1"/>
    <xf numFmtId="171" fontId="3" fillId="2" borderId="12" xfId="7" applyFont="1" applyFill="1" applyBorder="1" applyAlignment="1"/>
    <xf numFmtId="171" fontId="3" fillId="2" borderId="0" xfId="7" applyFont="1" applyFill="1" applyBorder="1" applyAlignment="1"/>
    <xf numFmtId="171" fontId="3" fillId="2" borderId="13" xfId="7" applyFont="1" applyFill="1" applyBorder="1" applyAlignment="1"/>
    <xf numFmtId="171" fontId="27" fillId="2" borderId="12" xfId="7" applyFont="1" applyFill="1" applyBorder="1" applyAlignment="1"/>
    <xf numFmtId="171" fontId="27" fillId="2" borderId="0" xfId="7" applyFont="1" applyFill="1" applyBorder="1" applyAlignment="1"/>
    <xf numFmtId="171" fontId="27" fillId="2" borderId="13" xfId="7" applyFont="1" applyFill="1" applyBorder="1" applyAlignment="1"/>
    <xf numFmtId="171" fontId="3" fillId="0" borderId="12" xfId="7" applyFont="1" applyBorder="1" applyAlignment="1"/>
    <xf numFmtId="171" fontId="3" fillId="0" borderId="0" xfId="7" applyFont="1" applyBorder="1" applyAlignment="1"/>
    <xf numFmtId="9" fontId="3" fillId="0" borderId="0" xfId="7" applyNumberFormat="1" applyFont="1" applyBorder="1" applyAlignment="1"/>
    <xf numFmtId="171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1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1" fontId="4" fillId="2" borderId="0" xfId="7" applyFont="1" applyFill="1" applyBorder="1" applyAlignment="1"/>
    <xf numFmtId="171" fontId="4" fillId="2" borderId="13" xfId="7" applyFont="1" applyFill="1" applyBorder="1" applyAlignment="1"/>
    <xf numFmtId="171" fontId="18" fillId="2" borderId="13" xfId="7" applyFill="1" applyBorder="1" applyAlignment="1"/>
    <xf numFmtId="171" fontId="5" fillId="2" borderId="14" xfId="7" applyFont="1" applyFill="1" applyBorder="1" applyAlignment="1"/>
    <xf numFmtId="171" fontId="5" fillId="2" borderId="15" xfId="7" applyFont="1" applyFill="1" applyBorder="1" applyAlignment="1"/>
    <xf numFmtId="171" fontId="5" fillId="2" borderId="16" xfId="7" applyFont="1" applyFill="1" applyBorder="1" applyAlignment="1"/>
    <xf numFmtId="167" fontId="3" fillId="0" borderId="13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71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70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1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1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9" fontId="29" fillId="0" borderId="0" xfId="2" applyNumberFormat="1" applyFont="1"/>
    <xf numFmtId="9" fontId="29" fillId="0" borderId="0" xfId="15" applyFont="1"/>
    <xf numFmtId="6" fontId="29" fillId="0" borderId="0" xfId="0" applyNumberFormat="1" applyFont="1"/>
    <xf numFmtId="189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9" fontId="29" fillId="0" borderId="21" xfId="2" applyNumberFormat="1" applyFont="1" applyBorder="1"/>
    <xf numFmtId="189" fontId="29" fillId="0" borderId="0" xfId="2" applyNumberFormat="1" applyFont="1" applyBorder="1"/>
    <xf numFmtId="189" fontId="34" fillId="0" borderId="21" xfId="1" applyNumberFormat="1" applyFont="1" applyBorder="1"/>
    <xf numFmtId="189" fontId="34" fillId="0" borderId="0" xfId="1" applyNumberFormat="1" applyFont="1"/>
    <xf numFmtId="189" fontId="34" fillId="0" borderId="0" xfId="1" applyNumberFormat="1" applyFont="1" applyBorder="1"/>
    <xf numFmtId="189" fontId="29" fillId="0" borderId="0" xfId="1" applyNumberFormat="1" applyFont="1"/>
    <xf numFmtId="189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5" applyNumberFormat="1" applyFont="1" applyAlignment="1"/>
    <xf numFmtId="4" fontId="3" fillId="0" borderId="0" xfId="0" applyNumberFormat="1" applyFont="1" applyAlignment="1"/>
    <xf numFmtId="3" fontId="3" fillId="0" borderId="1" xfId="11" applyNumberFormat="1" applyBorder="1"/>
    <xf numFmtId="3" fontId="4" fillId="0" borderId="0" xfId="11" applyNumberFormat="1" applyFont="1" applyAlignment="1"/>
    <xf numFmtId="3" fontId="4" fillId="0" borderId="1" xfId="11" applyNumberFormat="1" applyFont="1" applyBorder="1" applyAlignment="1"/>
    <xf numFmtId="189" fontId="3" fillId="0" borderId="0" xfId="2" applyNumberFormat="1" applyFont="1" applyAlignment="1"/>
    <xf numFmtId="208" fontId="3" fillId="0" borderId="0" xfId="0" applyNumberFormat="1" applyFont="1" applyAlignment="1"/>
    <xf numFmtId="171" fontId="3" fillId="0" borderId="0" xfId="8" applyNumberFormat="1" applyFont="1" applyBorder="1" applyAlignment="1"/>
    <xf numFmtId="211" fontId="29" fillId="0" borderId="0" xfId="1" applyNumberFormat="1" applyFont="1"/>
    <xf numFmtId="211" fontId="29" fillId="0" borderId="0" xfId="0" applyNumberFormat="1" applyFont="1"/>
    <xf numFmtId="10" fontId="29" fillId="0" borderId="0" xfId="15" applyNumberFormat="1" applyFont="1"/>
    <xf numFmtId="43" fontId="29" fillId="0" borderId="0" xfId="0" applyNumberFormat="1" applyFont="1"/>
    <xf numFmtId="171" fontId="3" fillId="0" borderId="5" xfId="3" applyNumberFormat="1" applyBorder="1"/>
    <xf numFmtId="212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5" applyNumberFormat="1" applyFont="1" applyAlignment="1"/>
  </cellXfs>
  <cellStyles count="16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OandM" xfId="9"/>
    <cellStyle name="Normal_Spot" xfId="10"/>
    <cellStyle name="Normal_Stratus Report" xfId="11"/>
    <cellStyle name="Normal_Tariff" xfId="12"/>
    <cellStyle name="Normal_TAXDEPR 144A" xfId="13"/>
    <cellStyle name="Normal_TAXES" xfId="14"/>
    <cellStyle name="Percent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view="pageBreakPreview" topLeftCell="F1" zoomScale="60" zoomScaleNormal="75" workbookViewId="0">
      <selection activeCell="N40" sqref="N40"/>
    </sheetView>
  </sheetViews>
  <sheetFormatPr defaultColWidth="12.77734375" defaultRowHeight="15"/>
  <cols>
    <col min="1" max="1" width="21.77734375" style="8" customWidth="1"/>
    <col min="2" max="2" width="8.21875" style="8" customWidth="1"/>
    <col min="3" max="3" width="10.21875" style="8" customWidth="1"/>
    <col min="4" max="4" width="14.21875" style="8" customWidth="1"/>
    <col min="5" max="5" width="2.77734375" style="8" customWidth="1"/>
    <col min="6" max="6" width="18.77734375" style="8" customWidth="1"/>
    <col min="7" max="8" width="9.77734375" style="8" customWidth="1"/>
    <col min="9" max="9" width="10.77734375" style="8" customWidth="1"/>
    <col min="10" max="10" width="2.77734375" style="8" customWidth="1"/>
    <col min="11" max="11" width="20.77734375" style="8" customWidth="1"/>
    <col min="12" max="12" width="13.77734375" style="8" customWidth="1"/>
    <col min="13" max="13" width="10.77734375" style="8" customWidth="1"/>
    <col min="14" max="14" width="8.77734375" style="8" customWidth="1"/>
    <col min="15" max="15" width="2.77734375" style="8" customWidth="1"/>
    <col min="16" max="16" width="19.77734375" style="8" customWidth="1"/>
    <col min="17" max="17" width="9.44140625" style="8" customWidth="1"/>
    <col min="18" max="18" width="10.21875" style="8" customWidth="1"/>
    <col min="19" max="19" width="16.109375" style="8" customWidth="1"/>
    <col min="20" max="20" width="6.21875" style="8" customWidth="1"/>
    <col min="21" max="226" width="12.77734375" style="8" customWidth="1"/>
    <col min="227" max="16384" width="12.77734375" style="8"/>
  </cols>
  <sheetData>
    <row r="1" spans="1:214" ht="23.25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75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5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5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5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5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75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75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75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75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75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75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5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7.25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5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70">
        <v>0.06</v>
      </c>
      <c r="T16" s="30"/>
    </row>
    <row r="17" spans="1:20" ht="15.75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70">
        <v>4.4999999999999998E-2</v>
      </c>
      <c r="T17" s="30"/>
    </row>
    <row r="18" spans="1:20" ht="15.75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75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0.105</v>
      </c>
      <c r="T19" s="30"/>
    </row>
    <row r="20" spans="1:20" ht="15.75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5.75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75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5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7.25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7.25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7.25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7.25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75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5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 t="str">
        <f ca="1">IF(R29="Not Correct",ROUND(-'144A IDC'!Y103+S29*1000,2)," ")</f>
        <v xml:space="preserve"> </v>
      </c>
      <c r="R29" s="645" t="str">
        <f ca="1">IF(ROUND('144A IDC'!Y103,2)=S29*1000,"Correct","Not Correct")</f>
        <v>Correct</v>
      </c>
      <c r="S29" s="658">
        <f>S12</f>
        <v>90</v>
      </c>
      <c r="T29" s="642"/>
    </row>
    <row r="30" spans="1:20" ht="17.25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0.51093203880935167</v>
      </c>
      <c r="T30" s="642"/>
    </row>
    <row r="31" spans="1:20" ht="17.25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5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75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75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5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5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75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5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OandM!C36*100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7.25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0.06</v>
      </c>
      <c r="T39" s="642"/>
    </row>
    <row r="40" spans="1:20" ht="16.5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4.4999999999999998E-2</v>
      </c>
      <c r="T40" s="642"/>
    </row>
    <row r="41" spans="1:20" ht="15.75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75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0.105</v>
      </c>
      <c r="T42" s="642"/>
    </row>
    <row r="43" spans="1:20" ht="15.75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75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5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7.25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11643.396666666667</v>
      </c>
      <c r="S46" s="672">
        <v>8.0000000000000002E-3</v>
      </c>
    </row>
    <row r="47" spans="1:20" ht="15.75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75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75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5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5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75">
      <c r="A52" s="701"/>
      <c r="B52" s="707"/>
      <c r="C52" s="707"/>
      <c r="D52" s="707"/>
      <c r="E52" s="702"/>
      <c r="J52" s="6"/>
      <c r="O52"/>
    </row>
    <row r="53" spans="1:17" ht="15.75">
      <c r="A53" s="642"/>
      <c r="B53" s="642"/>
      <c r="C53" s="642"/>
      <c r="D53" s="642"/>
      <c r="E53" s="6"/>
      <c r="O53"/>
    </row>
    <row r="54" spans="1:17" ht="15.75">
      <c r="A54" s="703"/>
      <c r="B54" s="703"/>
      <c r="C54" s="703"/>
      <c r="D54" s="704"/>
      <c r="E54" s="702"/>
      <c r="O54"/>
      <c r="P54"/>
      <c r="Q54"/>
    </row>
    <row r="55" spans="1:17" ht="15.75">
      <c r="A55" s="705"/>
      <c r="B55" s="704"/>
      <c r="C55" s="704"/>
      <c r="D55" s="704"/>
      <c r="E55" s="702"/>
      <c r="O55"/>
      <c r="P55"/>
      <c r="Q55"/>
    </row>
    <row r="56" spans="1:17" ht="15.75">
      <c r="A56" s="705"/>
      <c r="B56" s="706"/>
      <c r="C56" s="706"/>
      <c r="D56" s="706"/>
      <c r="E56" s="702"/>
      <c r="O56"/>
      <c r="P56"/>
      <c r="Q56"/>
    </row>
    <row r="57" spans="1:17" ht="15.75">
      <c r="A57" s="705"/>
      <c r="B57" s="706"/>
      <c r="C57" s="706"/>
      <c r="D57" s="706"/>
      <c r="E57" s="701"/>
      <c r="O57"/>
      <c r="P57"/>
      <c r="Q57"/>
    </row>
    <row r="58" spans="1:17" ht="15.75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75">
      <c r="A59" s="642"/>
      <c r="B59" s="642"/>
      <c r="C59" s="642"/>
      <c r="D59" s="642"/>
      <c r="E59" s="7"/>
      <c r="O59"/>
      <c r="P59"/>
      <c r="Q59"/>
    </row>
    <row r="60" spans="1:17" ht="15.75">
      <c r="E60" s="16"/>
      <c r="K60"/>
      <c r="L60"/>
      <c r="M60"/>
      <c r="N60"/>
      <c r="O60"/>
      <c r="P60"/>
      <c r="Q60"/>
    </row>
    <row r="61" spans="1:17" ht="15.75">
      <c r="E61" s="16"/>
      <c r="K61"/>
      <c r="L61"/>
      <c r="M61"/>
      <c r="N61"/>
      <c r="O61"/>
      <c r="P61"/>
      <c r="Q61"/>
    </row>
    <row r="62" spans="1:17" ht="15.75">
      <c r="E62" s="16"/>
      <c r="J62" s="6"/>
      <c r="K62"/>
      <c r="L62"/>
      <c r="M62"/>
      <c r="N62"/>
      <c r="O62"/>
      <c r="P62"/>
      <c r="Q62"/>
    </row>
    <row r="63" spans="1:17" ht="15.75">
      <c r="E63" s="16"/>
      <c r="J63" s="6"/>
      <c r="K63"/>
      <c r="L63"/>
      <c r="M63"/>
      <c r="N63"/>
      <c r="O63"/>
      <c r="P63"/>
      <c r="Q63"/>
    </row>
    <row r="64" spans="1:17" ht="15.75">
      <c r="E64" s="16"/>
      <c r="J64" s="6"/>
      <c r="K64"/>
      <c r="L64"/>
      <c r="M64"/>
      <c r="N64"/>
      <c r="O64"/>
      <c r="P64"/>
      <c r="Q64"/>
    </row>
    <row r="65" spans="1:17" ht="15.75">
      <c r="E65"/>
      <c r="J65" s="6"/>
      <c r="K65"/>
      <c r="L65"/>
      <c r="M65"/>
      <c r="N65"/>
      <c r="O65"/>
      <c r="P65"/>
      <c r="Q65"/>
    </row>
    <row r="66" spans="1:17" ht="15.75">
      <c r="E66"/>
      <c r="J66" s="6"/>
      <c r="K66"/>
      <c r="L66"/>
      <c r="M66"/>
      <c r="N66"/>
      <c r="O66"/>
      <c r="P66"/>
      <c r="Q66"/>
    </row>
    <row r="67" spans="1:17" ht="15.75">
      <c r="E67"/>
      <c r="J67" s="6"/>
      <c r="K67"/>
      <c r="L67"/>
      <c r="M67"/>
      <c r="N67"/>
      <c r="O67"/>
      <c r="P67"/>
      <c r="Q67"/>
    </row>
    <row r="68" spans="1:17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7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75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75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75">
      <c r="A134"/>
      <c r="B134"/>
      <c r="C134"/>
      <c r="D134"/>
      <c r="E134"/>
      <c r="F134"/>
      <c r="G134"/>
      <c r="H134"/>
      <c r="I134"/>
    </row>
    <row r="135" spans="1:17" ht="15.75">
      <c r="A135"/>
      <c r="B135"/>
      <c r="C135"/>
      <c r="D135"/>
      <c r="E135"/>
      <c r="F135"/>
      <c r="G135"/>
      <c r="H135"/>
      <c r="I135"/>
    </row>
    <row r="136" spans="1:17" ht="15.75">
      <c r="A136"/>
      <c r="B136"/>
      <c r="C136"/>
      <c r="D136"/>
      <c r="E136"/>
      <c r="F136"/>
      <c r="G136"/>
      <c r="H136"/>
      <c r="I136"/>
    </row>
    <row r="137" spans="1:17" ht="15.75">
      <c r="A137"/>
      <c r="B137"/>
      <c r="C137"/>
      <c r="D137"/>
      <c r="E137"/>
      <c r="F137"/>
      <c r="G137"/>
      <c r="H137"/>
      <c r="I137"/>
    </row>
    <row r="138" spans="1:17" ht="15.75">
      <c r="A138"/>
      <c r="B138"/>
      <c r="C138"/>
      <c r="D138"/>
      <c r="E138"/>
      <c r="F138"/>
      <c r="G138"/>
      <c r="H138"/>
      <c r="I138"/>
    </row>
    <row r="139" spans="1:17" ht="15.75">
      <c r="A139"/>
      <c r="B139"/>
      <c r="C139"/>
      <c r="D139"/>
      <c r="E139"/>
      <c r="F139"/>
      <c r="G139"/>
      <c r="H139"/>
      <c r="I139"/>
    </row>
    <row r="140" spans="1:17" ht="15.75">
      <c r="A140"/>
      <c r="B140"/>
      <c r="C140"/>
      <c r="D140"/>
      <c r="E140"/>
      <c r="F140"/>
      <c r="G140"/>
      <c r="H140"/>
      <c r="I140"/>
    </row>
    <row r="141" spans="1:17" ht="15.75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A17" sqref="A1:IV65536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9369.68</v>
      </c>
      <c r="E26" s="327">
        <f ca="1">'Co IS'!E24</f>
        <v>9055.4599999999991</v>
      </c>
      <c r="F26" s="327">
        <f ca="1">'Co IS'!F24</f>
        <v>8740.07</v>
      </c>
      <c r="G26" s="327">
        <f ca="1">'Co IS'!G24</f>
        <v>8341.75</v>
      </c>
      <c r="H26" s="327">
        <f ca="1">'Co IS'!H24</f>
        <v>7986.67</v>
      </c>
      <c r="I26" s="327">
        <f ca="1">'Co IS'!I24</f>
        <v>7817.75</v>
      </c>
      <c r="J26" s="327">
        <f ca="1">'Co IS'!J24</f>
        <v>7293.27</v>
      </c>
      <c r="K26" s="327">
        <f ca="1">'Co IS'!K24</f>
        <v>6428.6</v>
      </c>
      <c r="L26" s="327">
        <f ca="1">'Co IS'!L24</f>
        <v>5491.87</v>
      </c>
      <c r="M26" s="327">
        <f ca="1">'Co IS'!M24</f>
        <v>4594.12</v>
      </c>
      <c r="N26" s="327">
        <f ca="1">'Co IS'!N24</f>
        <v>3708.18</v>
      </c>
      <c r="O26" s="327">
        <f ca="1">'Co IS'!O24</f>
        <v>2857.68</v>
      </c>
      <c r="P26" s="327">
        <f ca="1">'Co IS'!P24</f>
        <v>2018.99</v>
      </c>
      <c r="Q26" s="327">
        <f ca="1">'Co IS'!Q24</f>
        <v>1227.56</v>
      </c>
      <c r="R26" s="327">
        <f ca="1">'Co IS'!R24</f>
        <v>495.42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92.860208</v>
      </c>
      <c r="D28" s="327">
        <f ca="1">'Co IS'!D25</f>
        <v>91.889119999999991</v>
      </c>
      <c r="E28" s="327">
        <f ca="1">'Co IS'!E25</f>
        <v>97.349615999999997</v>
      </c>
      <c r="F28" s="327">
        <f ca="1">'Co IS'!F25</f>
        <v>102.29126400000001</v>
      </c>
      <c r="G28" s="327">
        <f ca="1">'Co IS'!G25</f>
        <v>104.62905600000003</v>
      </c>
      <c r="H28" s="327">
        <f ca="1">'Co IS'!H25</f>
        <v>111.58497599999998</v>
      </c>
      <c r="I28" s="327">
        <f ca="1">'Co IS'!I25</f>
        <v>111.56166400000004</v>
      </c>
      <c r="J28" s="327">
        <f ca="1">'Co IS'!J25</f>
        <v>104.68072000000002</v>
      </c>
      <c r="K28" s="327">
        <f ca="1">'Co IS'!K25</f>
        <v>95.393343999999999</v>
      </c>
      <c r="L28" s="327">
        <f ca="1">'Co IS'!L25</f>
        <v>86.410448000000002</v>
      </c>
      <c r="M28" s="327">
        <f ca="1">'Co IS'!M25</f>
        <v>76.238128000000032</v>
      </c>
      <c r="N28" s="327">
        <f ca="1">'Co IS'!N25</f>
        <v>57.34504000000004</v>
      </c>
      <c r="O28" s="327">
        <f ca="1">'Co IS'!O25</f>
        <v>49.765940000000043</v>
      </c>
      <c r="P28" s="327">
        <f ca="1">'Co IS'!P25</f>
        <v>40.570613333333377</v>
      </c>
      <c r="Q28" s="327">
        <f ca="1">'Co IS'!Q25</f>
        <v>27.145680000000066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74.887708000000003</v>
      </c>
      <c r="D30" s="327">
        <f t="shared" ca="1" si="3"/>
        <v>12431.242210599999</v>
      </c>
      <c r="E30" s="327">
        <f t="shared" ca="1" si="3"/>
        <v>11778.174728146199</v>
      </c>
      <c r="F30" s="327">
        <f t="shared" ca="1" si="3"/>
        <v>12246.412082274146</v>
      </c>
      <c r="G30" s="327">
        <f t="shared" ca="1" si="3"/>
        <v>12366.055094467549</v>
      </c>
      <c r="H30" s="327">
        <f t="shared" ca="1" si="3"/>
        <v>8508.440115606174</v>
      </c>
      <c r="I30" s="327">
        <f t="shared" ca="1" si="3"/>
        <v>11451.832650475541</v>
      </c>
      <c r="J30" s="327">
        <f t="shared" ca="1" si="3"/>
        <v>14795.575621210381</v>
      </c>
      <c r="K30" s="327">
        <f t="shared" ca="1" si="3"/>
        <v>14914.429965643061</v>
      </c>
      <c r="L30" s="327">
        <f t="shared" ca="1" si="3"/>
        <v>13384.174706527423</v>
      </c>
      <c r="M30" s="327">
        <f t="shared" ca="1" si="3"/>
        <v>12384.292379607663</v>
      </c>
      <c r="N30" s="327">
        <f t="shared" ca="1" si="3"/>
        <v>10935.016364501071</v>
      </c>
      <c r="O30" s="327">
        <f t="shared" ca="1" si="3"/>
        <v>11007.44594</v>
      </c>
      <c r="P30" s="327">
        <f t="shared" ca="1" si="3"/>
        <v>9609.9489192691253</v>
      </c>
      <c r="Q30" s="327">
        <f t="shared" ca="1" si="3"/>
        <v>8252.792776131846</v>
      </c>
      <c r="R30" s="327">
        <f t="shared" ca="1" si="3"/>
        <v>6479.443753663214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115.02259716896427</v>
      </c>
      <c r="E32" s="327">
        <f ca="1">+'Co IS'!E35</f>
        <v>151.40745588548441</v>
      </c>
      <c r="F32" s="327">
        <f ca="1">+'Co IS'!F35</f>
        <v>322.65151931206606</v>
      </c>
      <c r="G32" s="327">
        <f ca="1">+'Co IS'!G35</f>
        <v>445.53082647379733</v>
      </c>
      <c r="H32" s="327">
        <f ca="1">+'Co IS'!H35</f>
        <v>159.80635215066877</v>
      </c>
      <c r="I32" s="327">
        <f ca="1">+'Co IS'!I35</f>
        <v>617.99686768013419</v>
      </c>
      <c r="J32" s="327">
        <f ca="1">+'Co IS'!J35</f>
        <v>1117.073565935792</v>
      </c>
      <c r="K32" s="327">
        <f ca="1">+'Co IS'!K35</f>
        <v>1198.6384948163295</v>
      </c>
      <c r="L32" s="327">
        <f ca="1">+'Co IS'!L35</f>
        <v>1127.521203910821</v>
      </c>
      <c r="M32" s="327">
        <f ca="1">+'Co IS'!M35</f>
        <v>1222.6643786158588</v>
      </c>
      <c r="N32" s="327">
        <f ca="1">+'Co IS'!N35</f>
        <v>1171.253022386247</v>
      </c>
      <c r="O32" s="327">
        <f ca="1">+'Co IS'!O35</f>
        <v>1153.2601265925346</v>
      </c>
      <c r="P32" s="327">
        <f ca="1">+'Co IS'!P35</f>
        <v>1019.7880961223216</v>
      </c>
      <c r="Q32" s="327">
        <f ca="1">+'Co IS'!Q35</f>
        <v>1393.0382933603564</v>
      </c>
      <c r="R32" s="327">
        <f ca="1">+'Co IS'!R35</f>
        <v>2046.6667437988472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596.84272173137231</v>
      </c>
      <c r="E33" s="328">
        <f ca="1">TAXES!E33</f>
        <v>830.21754977207274</v>
      </c>
      <c r="F33" s="328">
        <f ca="1">TAXES!F33</f>
        <v>1769.2058308944956</v>
      </c>
      <c r="G33" s="328">
        <f ca="1">TAXES!G33</f>
        <v>2442.994031831322</v>
      </c>
      <c r="H33" s="328">
        <f ca="1">TAXES!H33</f>
        <v>876.27149762616716</v>
      </c>
      <c r="I33" s="328">
        <f ca="1">TAXES!I33</f>
        <v>3388.6828244460689</v>
      </c>
      <c r="J33" s="328">
        <f ca="1">TAXES!J33</f>
        <v>6125.2867198812592</v>
      </c>
      <c r="K33" s="328">
        <f ca="1">TAXES!K33</f>
        <v>6572.5344132428736</v>
      </c>
      <c r="L33" s="328">
        <f ca="1">TAXES!L33</f>
        <v>6182.5746014443357</v>
      </c>
      <c r="M33" s="328">
        <f ca="1">TAXES!M33</f>
        <v>6704.2763427436257</v>
      </c>
      <c r="N33" s="328">
        <f ca="1">TAXES!N33</f>
        <v>6422.370739417921</v>
      </c>
      <c r="O33" s="328">
        <f ca="1">TAXES!O33</f>
        <v>6323.7096941490645</v>
      </c>
      <c r="P33" s="328">
        <f ca="1">TAXES!P33</f>
        <v>5591.8380604040631</v>
      </c>
      <c r="Q33" s="328">
        <f ca="1">TAXES!Q33</f>
        <v>7638.4933085926195</v>
      </c>
      <c r="R33" s="328">
        <f ca="1">TAXES!R33</f>
        <v>11222.555978497012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711.86531890033655</v>
      </c>
      <c r="E34" s="327">
        <f t="shared" ca="1" si="4"/>
        <v>981.62500565755715</v>
      </c>
      <c r="F34" s="327">
        <f t="shared" ca="1" si="4"/>
        <v>2091.8573502065619</v>
      </c>
      <c r="G34" s="327">
        <f t="shared" ca="1" si="4"/>
        <v>2888.5248583051193</v>
      </c>
      <c r="H34" s="327">
        <f t="shared" ca="1" si="4"/>
        <v>1036.077849776836</v>
      </c>
      <c r="I34" s="327">
        <f t="shared" ca="1" si="4"/>
        <v>4006.679692126203</v>
      </c>
      <c r="J34" s="327">
        <f t="shared" ca="1" si="4"/>
        <v>7242.3602858170507</v>
      </c>
      <c r="K34" s="327">
        <f t="shared" ca="1" si="4"/>
        <v>7771.1729080592031</v>
      </c>
      <c r="L34" s="327">
        <f t="shared" ca="1" si="4"/>
        <v>7310.0958053551567</v>
      </c>
      <c r="M34" s="327">
        <f t="shared" ca="1" si="4"/>
        <v>7926.9407213594841</v>
      </c>
      <c r="N34" s="327">
        <f t="shared" ca="1" si="4"/>
        <v>7593.6237618041678</v>
      </c>
      <c r="O34" s="327">
        <f t="shared" ca="1" si="4"/>
        <v>7476.9698207415986</v>
      </c>
      <c r="P34" s="327">
        <f t="shared" ca="1" si="4"/>
        <v>6611.6261565263849</v>
      </c>
      <c r="Q34" s="327">
        <f t="shared" ca="1" si="4"/>
        <v>9031.5316019529764</v>
      </c>
      <c r="R34" s="327">
        <f t="shared" ca="1" si="4"/>
        <v>13269.222722295859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9731.5014711367257</v>
      </c>
      <c r="D36" s="335">
        <f t="shared" ca="1" si="5"/>
        <v>14795.419732259124</v>
      </c>
      <c r="E36" s="335">
        <f t="shared" ca="1" si="5"/>
        <v>13839.929264555129</v>
      </c>
      <c r="F36" s="335">
        <f t="shared" ca="1" si="5"/>
        <v>13508.953618005478</v>
      </c>
      <c r="G36" s="335">
        <f t="shared" ca="1" si="5"/>
        <v>13068.891751246259</v>
      </c>
      <c r="H36" s="335">
        <f t="shared" ca="1" si="5"/>
        <v>10283.153505427799</v>
      </c>
      <c r="I36" s="335">
        <f t="shared" ca="1" si="5"/>
        <v>11154.627982587963</v>
      </c>
      <c r="J36" s="335">
        <f t="shared" ca="1" si="5"/>
        <v>12279.406270093974</v>
      </c>
      <c r="K36" s="335">
        <f t="shared" ca="1" si="5"/>
        <v>12086.326207256587</v>
      </c>
      <c r="L36" s="335">
        <f t="shared" ca="1" si="5"/>
        <v>11853.566868299235</v>
      </c>
      <c r="M36" s="335">
        <f t="shared" ca="1" si="5"/>
        <v>12825.148138121263</v>
      </c>
      <c r="N36" s="335">
        <f t="shared" ca="1" si="5"/>
        <v>12745.014484085146</v>
      </c>
      <c r="O36" s="335">
        <f t="shared" ca="1" si="5"/>
        <v>12519.143614423987</v>
      </c>
      <c r="P36" s="335">
        <f t="shared" ca="1" si="5"/>
        <v>11656.34760697974</v>
      </c>
      <c r="Q36" s="335">
        <f t="shared" ca="1" si="5"/>
        <v>15875.854020493904</v>
      </c>
      <c r="R36" s="335">
        <f t="shared" ca="1" si="5"/>
        <v>18973.342298359792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3.6225485382601619E-3</v>
      </c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9369.68</v>
      </c>
      <c r="E44" s="685">
        <f ca="1">'144A DEBT'!E34</f>
        <v>9055.4599999999991</v>
      </c>
      <c r="F44" s="685">
        <f ca="1">'144A DEBT'!F34</f>
        <v>8740.07</v>
      </c>
      <c r="G44" s="685">
        <f ca="1">'144A DEBT'!G34</f>
        <v>8341.75</v>
      </c>
      <c r="H44" s="685">
        <f ca="1">'144A DEBT'!H34</f>
        <v>7986.67</v>
      </c>
      <c r="I44" s="685">
        <f ca="1">'144A DEBT'!I34</f>
        <v>7817.75</v>
      </c>
      <c r="J44" s="685">
        <f ca="1">'144A DEBT'!J34</f>
        <v>7293.27</v>
      </c>
      <c r="K44" s="685">
        <f ca="1">'144A DEBT'!K34</f>
        <v>6428.6</v>
      </c>
      <c r="L44" s="685">
        <f ca="1">'144A DEBT'!L34</f>
        <v>5491.87</v>
      </c>
      <c r="M44" s="685">
        <f ca="1">'144A DEBT'!M34</f>
        <v>4594.12</v>
      </c>
      <c r="N44" s="685">
        <f ca="1">'144A DEBT'!N34</f>
        <v>3708.18</v>
      </c>
      <c r="O44" s="685">
        <f ca="1">'144A DEBT'!O34</f>
        <v>2857.68</v>
      </c>
      <c r="P44" s="685">
        <f ca="1">'144A DEBT'!P34</f>
        <v>2018.99</v>
      </c>
      <c r="Q44" s="685">
        <f ca="1">'144A DEBT'!Q34</f>
        <v>1227.56</v>
      </c>
      <c r="R44" s="685">
        <f ca="1">'144A DEBT'!R34</f>
        <v>495.42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12429.68</v>
      </c>
      <c r="E46" s="685">
        <f t="shared" ca="1" si="8"/>
        <v>11845.46</v>
      </c>
      <c r="F46" s="685">
        <f t="shared" ca="1" si="8"/>
        <v>12385.07</v>
      </c>
      <c r="G46" s="685">
        <f t="shared" ca="1" si="8"/>
        <v>12580.75</v>
      </c>
      <c r="H46" s="685">
        <f t="shared" ca="1" si="8"/>
        <v>8796.67</v>
      </c>
      <c r="I46" s="685">
        <f t="shared" ca="1" si="8"/>
        <v>11822.75</v>
      </c>
      <c r="J46" s="685">
        <f t="shared" ca="1" si="8"/>
        <v>15258.27</v>
      </c>
      <c r="K46" s="685">
        <f t="shared" ca="1" si="8"/>
        <v>15473.6</v>
      </c>
      <c r="L46" s="685">
        <f t="shared" ca="1" si="8"/>
        <v>14041.869999999999</v>
      </c>
      <c r="M46" s="685">
        <f t="shared" ca="1" si="8"/>
        <v>13144.119999999999</v>
      </c>
      <c r="N46" s="685">
        <f t="shared" ca="1" si="8"/>
        <v>11808.18</v>
      </c>
      <c r="O46" s="685">
        <f t="shared" ca="1" si="8"/>
        <v>10957.68</v>
      </c>
      <c r="P46" s="685">
        <f t="shared" ca="1" si="8"/>
        <v>9668.9900000000016</v>
      </c>
      <c r="Q46" s="685">
        <f t="shared" ca="1" si="8"/>
        <v>8427.56</v>
      </c>
      <c r="R46" s="685">
        <f t="shared" ca="1" si="8"/>
        <v>6786.4200000000164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12429.68</v>
      </c>
      <c r="E49" s="690">
        <f t="shared" ca="1" si="9"/>
        <v>11845.46</v>
      </c>
      <c r="F49" s="690">
        <f t="shared" ca="1" si="9"/>
        <v>12385.07</v>
      </c>
      <c r="G49" s="690">
        <f t="shared" ca="1" si="9"/>
        <v>12580.75</v>
      </c>
      <c r="H49" s="690">
        <f t="shared" ca="1" si="9"/>
        <v>8796.67</v>
      </c>
      <c r="I49" s="690">
        <f t="shared" ca="1" si="9"/>
        <v>11822.75</v>
      </c>
      <c r="J49" s="690">
        <f t="shared" ca="1" si="9"/>
        <v>15258.27</v>
      </c>
      <c r="K49" s="690">
        <f t="shared" ca="1" si="9"/>
        <v>15473.6</v>
      </c>
      <c r="L49" s="690">
        <f t="shared" ca="1" si="9"/>
        <v>14041.869999999999</v>
      </c>
      <c r="M49" s="690">
        <f t="shared" ca="1" si="9"/>
        <v>13144.119999999999</v>
      </c>
      <c r="N49" s="690">
        <f t="shared" ca="1" si="9"/>
        <v>11808.18</v>
      </c>
      <c r="O49" s="690">
        <f t="shared" ca="1" si="9"/>
        <v>10957.68</v>
      </c>
      <c r="P49" s="690">
        <f t="shared" ca="1" si="9"/>
        <v>9668.9900000000016</v>
      </c>
      <c r="Q49" s="690">
        <f t="shared" ca="1" si="9"/>
        <v>8427.56</v>
      </c>
      <c r="R49" s="690">
        <f t="shared" ca="1" si="9"/>
        <v>6786.4200000000164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2.2477269939177402</v>
      </c>
      <c r="E52" s="693">
        <f t="shared" ca="1" si="10"/>
        <v>2.2455631945368846</v>
      </c>
      <c r="F52" s="693">
        <f t="shared" ca="1" si="10"/>
        <v>2.2484510019310497</v>
      </c>
      <c r="G52" s="693">
        <f t="shared" ca="1" si="10"/>
        <v>2.2513341179197526</v>
      </c>
      <c r="H52" s="693">
        <f t="shared" ca="1" si="10"/>
        <v>2.253997418433431</v>
      </c>
      <c r="I52" s="693">
        <f t="shared" ca="1" si="10"/>
        <v>2.2510110021094674</v>
      </c>
      <c r="J52" s="693">
        <f t="shared" ca="1" si="10"/>
        <v>2.2490978451109731</v>
      </c>
      <c r="K52" s="693">
        <f t="shared" ca="1" si="10"/>
        <v>2.2471777143624525</v>
      </c>
      <c r="L52" s="693">
        <f t="shared" ca="1" si="10"/>
        <v>2.3179133107044732</v>
      </c>
      <c r="M52" s="693">
        <f t="shared" ca="1" si="10"/>
        <v>2.5210041630088904</v>
      </c>
      <c r="N52" s="693">
        <f t="shared" ca="1" si="10"/>
        <v>2.648473736883278</v>
      </c>
      <c r="O52" s="693">
        <f t="shared" ca="1" si="10"/>
        <v>2.8293908359402344</v>
      </c>
      <c r="P52" s="693">
        <f t="shared" ca="1" si="10"/>
        <v>2.8832300667158872</v>
      </c>
      <c r="Q52" s="693">
        <f t="shared" ca="1" si="10"/>
        <v>3.934730621743272</v>
      </c>
      <c r="R52" s="693">
        <f t="shared" ca="1" si="10"/>
        <v>5.7058078890370432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2.7223273274903219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2.2455631945368846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2.2477269939177402</v>
      </c>
      <c r="E57" s="693">
        <f t="shared" ca="1" si="11"/>
        <v>2.2455631945368846</v>
      </c>
      <c r="F57" s="693">
        <f t="shared" ca="1" si="11"/>
        <v>2.2484510019310497</v>
      </c>
      <c r="G57" s="693">
        <f t="shared" ca="1" si="11"/>
        <v>2.2513341179197526</v>
      </c>
      <c r="H57" s="693">
        <f t="shared" ca="1" si="11"/>
        <v>2.253997418433431</v>
      </c>
      <c r="I57" s="693">
        <f t="shared" ca="1" si="11"/>
        <v>2.2510110021094674</v>
      </c>
      <c r="J57" s="693">
        <f t="shared" ca="1" si="11"/>
        <v>2.2490978451109731</v>
      </c>
      <c r="K57" s="693">
        <f t="shared" ca="1" si="11"/>
        <v>2.2471777143624525</v>
      </c>
      <c r="L57" s="693">
        <f t="shared" ca="1" si="11"/>
        <v>2.3179133107044732</v>
      </c>
      <c r="M57" s="693">
        <f t="shared" ca="1" si="11"/>
        <v>2.5210041630088904</v>
      </c>
      <c r="N57" s="693">
        <f t="shared" ca="1" si="11"/>
        <v>2.648473736883278</v>
      </c>
      <c r="O57" s="693">
        <f t="shared" ca="1" si="11"/>
        <v>2.8293908359402344</v>
      </c>
      <c r="P57" s="693">
        <f t="shared" ca="1" si="11"/>
        <v>2.8832300667158872</v>
      </c>
      <c r="Q57" s="693">
        <f t="shared" ca="1" si="11"/>
        <v>3.934730621743272</v>
      </c>
      <c r="R57" s="693">
        <f ca="1">IF(R49&gt;1,(R13-R21)/R49,0)</f>
        <v>5.7058078890370432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D10" sqref="D10"/>
    </sheetView>
  </sheetViews>
  <sheetFormatPr defaultRowHeight="15.75"/>
  <cols>
    <col min="1" max="1" width="9.77734375" customWidth="1"/>
    <col min="3" max="3" width="10.6640625" bestFit="1" customWidth="1"/>
    <col min="4" max="4" width="9.77734375" bestFit="1" customWidth="1"/>
  </cols>
  <sheetData>
    <row r="2" spans="1:7" ht="47.25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1'!$S39+0.0015</f>
        <v>6.1499999999999999E-2</v>
      </c>
      <c r="D4" s="119">
        <f>'ASSUM 1'!$S39</f>
        <v>0.06</v>
      </c>
    </row>
    <row r="5" spans="1:7">
      <c r="A5" t="s">
        <v>448</v>
      </c>
      <c r="C5" s="811">
        <f>C6-C4</f>
        <v>1.4999999999999999E-2</v>
      </c>
      <c r="D5" s="811">
        <f>'ASSUM 1'!S40</f>
        <v>4.4999999999999998E-2</v>
      </c>
    </row>
    <row r="6" spans="1:7">
      <c r="A6" t="s">
        <v>446</v>
      </c>
      <c r="C6" s="812">
        <f>'ENA Assumptions'!B3</f>
        <v>7.6499999999999999E-2</v>
      </c>
      <c r="D6" s="119">
        <f>SUM(D4:D5)</f>
        <v>0.105</v>
      </c>
    </row>
    <row r="7" spans="1:7">
      <c r="A7" t="s">
        <v>453</v>
      </c>
      <c r="C7" s="817">
        <f>'ENA IDC'!C41*1000</f>
        <v>9863.4374999999982</v>
      </c>
      <c r="D7" s="817">
        <f>'144A IDC'!C41*1000</f>
        <v>2700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36318.194086709373</v>
      </c>
      <c r="D9" s="774">
        <f ca="1">'144A FCF'!C7</f>
        <v>30405.249915035252</v>
      </c>
      <c r="F9" s="773"/>
      <c r="G9" s="827"/>
    </row>
    <row r="10" spans="1:7">
      <c r="A10" t="s">
        <v>447</v>
      </c>
      <c r="C10" s="119">
        <f ca="1">'ENE FCF'!B8</f>
        <v>0.22754127383232117</v>
      </c>
      <c r="D10" s="119">
        <f ca="1">'144A FCF'!B8</f>
        <v>0.18138399720191958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4" sqref="B4"/>
    </sheetView>
  </sheetViews>
  <sheetFormatPr defaultRowHeight="15.75"/>
  <cols>
    <col min="1" max="1" width="15.109375" bestFit="1" customWidth="1"/>
    <col min="8" max="8" width="6.66406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v>7.6499999999999999E-2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5" thickBot="1"/>
    <row r="9" spans="1:12" ht="16.5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.75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5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5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5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topLeftCell="A12" zoomScale="60" zoomScaleNormal="75" workbookViewId="0">
      <selection activeCell="D17" sqref="D17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'ENA Debt'!C34</f>
        <v>0</v>
      </c>
      <c r="D24" s="736">
        <f ca="1">'ENA Debt'!D34</f>
        <v>12371.85</v>
      </c>
      <c r="E24" s="736">
        <f ca="1">'ENA Debt'!E34</f>
        <v>12159.65</v>
      </c>
      <c r="F24" s="736">
        <f ca="1">'ENA Debt'!F34</f>
        <v>11918.07</v>
      </c>
      <c r="G24" s="736">
        <f ca="1">'ENA Debt'!G34</f>
        <v>11619.86</v>
      </c>
      <c r="H24" s="736">
        <f ca="1">'ENA Debt'!H34</f>
        <v>11273.68</v>
      </c>
      <c r="I24" s="736">
        <f ca="1">'ENA Debt'!I34</f>
        <v>10908.41</v>
      </c>
      <c r="J24" s="736">
        <f ca="1">'ENA Debt'!J34</f>
        <v>10434.92</v>
      </c>
      <c r="K24" s="736">
        <f ca="1">'ENA Debt'!K34</f>
        <v>9939.2999999999993</v>
      </c>
      <c r="L24" s="736">
        <f ca="1">'ENA Debt'!L34</f>
        <v>9318.34</v>
      </c>
      <c r="M24" s="736">
        <f ca="1">'ENA Debt'!M34</f>
        <v>8672.73</v>
      </c>
      <c r="N24" s="736">
        <f ca="1">'ENA Debt'!N34</f>
        <v>7887.51</v>
      </c>
      <c r="O24" s="736">
        <f ca="1">'ENA Debt'!O34</f>
        <v>7099.14</v>
      </c>
      <c r="P24" s="736">
        <f ca="1">'ENA Debt'!P34</f>
        <v>6292.93</v>
      </c>
      <c r="Q24" s="736">
        <f ca="1">'ENA Debt'!Q34</f>
        <v>5467.69</v>
      </c>
      <c r="R24" s="736">
        <f ca="1">'ENA Debt'!R34</f>
        <v>4534.5200000000004</v>
      </c>
      <c r="S24" s="736">
        <f ca="1">'ENA Debt'!S34</f>
        <v>3601.8</v>
      </c>
      <c r="T24" s="736">
        <f ca="1">'ENA Debt'!T34</f>
        <v>2671.56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'ENA Debt'!C44</f>
        <v>116.64334476967331</v>
      </c>
      <c r="D25" s="736">
        <f ca="1">'ENA Debt'!D44</f>
        <v>118.33964756432812</v>
      </c>
      <c r="E25" s="736">
        <f ca="1">'ENA Debt'!E44</f>
        <v>119.24335463118534</v>
      </c>
      <c r="F25" s="736">
        <f ca="1">'ENA Debt'!F44</f>
        <v>121.12468831859331</v>
      </c>
      <c r="G25" s="736">
        <f ca="1">'ENA Debt'!G44</f>
        <v>121.62949280459989</v>
      </c>
      <c r="H25" s="736">
        <f ca="1">'ENA Debt'!H44</f>
        <v>124.1581736019499</v>
      </c>
      <c r="I25" s="736">
        <f ca="1">'ENA Debt'!I44</f>
        <v>124.07494860845719</v>
      </c>
      <c r="J25" s="736">
        <f ca="1">'ENA Debt'!J44</f>
        <v>123.80759316743415</v>
      </c>
      <c r="K25" s="736">
        <f ca="1">'ENA Debt'!K44</f>
        <v>120.79604303124738</v>
      </c>
      <c r="L25" s="736">
        <f ca="1">'ENA Debt'!L44</f>
        <v>119.39227248067498</v>
      </c>
      <c r="M25" s="736">
        <f ca="1">'ENA Debt'!M44</f>
        <v>115.02544161875915</v>
      </c>
      <c r="N25" s="736">
        <f ca="1">'ENA Debt'!N44</f>
        <v>110.37798317122886</v>
      </c>
      <c r="O25" s="736">
        <f ca="1">'ENA Debt'!O44</f>
        <v>105.18385517122883</v>
      </c>
      <c r="P25" s="736">
        <f ca="1">'ENA Debt'!P44</f>
        <v>95.14071117122883</v>
      </c>
      <c r="Q25" s="736">
        <f ca="1">'ENA Debt'!Q44</f>
        <v>83.491083585614433</v>
      </c>
      <c r="R25" s="736">
        <f ca="1">'ENA Debt'!R44</f>
        <v>72.127471999999997</v>
      </c>
      <c r="S25" s="736">
        <f ca="1">'ENA Debt'!S44</f>
        <v>65.23699000000002</v>
      </c>
      <c r="T25" s="736">
        <f ca="1">'ENA Debt'!T44</f>
        <v>56.233493333333342</v>
      </c>
      <c r="U25" s="736">
        <f ca="1">'ENA Debt'!U44</f>
        <v>53.573880000000003</v>
      </c>
      <c r="V25" s="736">
        <f ca="1">'ENA Debt'!V44</f>
        <v>50.556240000000003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98.670844769673309</v>
      </c>
      <c r="D27" s="736">
        <f t="shared" ca="1" si="3"/>
        <v>12399.862738164327</v>
      </c>
      <c r="E27" s="736">
        <f t="shared" ca="1" si="3"/>
        <v>12114.258466777386</v>
      </c>
      <c r="F27" s="736">
        <f t="shared" ca="1" si="3"/>
        <v>11798.245506592741</v>
      </c>
      <c r="G27" s="736">
        <f t="shared" ca="1" si="3"/>
        <v>11422.165531272149</v>
      </c>
      <c r="H27" s="736">
        <f t="shared" ca="1" si="3"/>
        <v>10998.023313208125</v>
      </c>
      <c r="I27" s="736">
        <f t="shared" ca="1" si="3"/>
        <v>10550.005935083997</v>
      </c>
      <c r="J27" s="736">
        <f t="shared" ca="1" si="3"/>
        <v>9991.3524943778139</v>
      </c>
      <c r="K27" s="736">
        <f t="shared" ca="1" si="3"/>
        <v>9405.5326646743069</v>
      </c>
      <c r="L27" s="736">
        <f t="shared" ca="1" si="3"/>
        <v>8693.626531008098</v>
      </c>
      <c r="M27" s="736">
        <f t="shared" ca="1" si="3"/>
        <v>7951.6896932264226</v>
      </c>
      <c r="N27" s="736">
        <f t="shared" ca="1" si="3"/>
        <v>7067.3793076722995</v>
      </c>
      <c r="O27" s="736">
        <f t="shared" ca="1" si="3"/>
        <v>7204.3238551712293</v>
      </c>
      <c r="P27" s="736">
        <f t="shared" ca="1" si="3"/>
        <v>6288.4590171070195</v>
      </c>
      <c r="Q27" s="736">
        <f t="shared" ca="1" si="3"/>
        <v>5349.268179717461</v>
      </c>
      <c r="R27" s="736">
        <f t="shared" ca="1" si="3"/>
        <v>4299.6712256631981</v>
      </c>
      <c r="S27" s="736">
        <f t="shared" ca="1" si="3"/>
        <v>3252.1606909478937</v>
      </c>
      <c r="T27" s="736">
        <f t="shared" ca="1" si="3"/>
        <v>2202.1038401426104</v>
      </c>
      <c r="U27" s="736">
        <f t="shared" ca="1" si="3"/>
        <v>-585.92108789108181</v>
      </c>
      <c r="V27" s="737">
        <f t="shared" ca="1" si="3"/>
        <v>-705.81678608835068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10033.231567019442</v>
      </c>
      <c r="D29" s="736">
        <f t="shared" ca="1" si="4"/>
        <v>15538.664523595133</v>
      </c>
      <c r="E29" s="736">
        <f t="shared" ca="1" si="4"/>
        <v>14607.418891599364</v>
      </c>
      <c r="F29" s="736">
        <f t="shared" ca="1" si="4"/>
        <v>16102.139852909075</v>
      </c>
      <c r="G29" s="736">
        <f t="shared" ca="1" si="4"/>
        <v>16884.533941212692</v>
      </c>
      <c r="H29" s="736">
        <f t="shared" ca="1" si="4"/>
        <v>8808.5145794205619</v>
      </c>
      <c r="I29" s="736">
        <f t="shared" ca="1" si="4"/>
        <v>16141.154219469279</v>
      </c>
      <c r="J29" s="736">
        <f t="shared" ca="1" si="4"/>
        <v>24401.495601837934</v>
      </c>
      <c r="K29" s="736">
        <f t="shared" ca="1" si="4"/>
        <v>25400.74522292558</v>
      </c>
      <c r="L29" s="736">
        <f t="shared" ca="1" si="4"/>
        <v>23876.947950108508</v>
      </c>
      <c r="M29" s="736">
        <f t="shared" ca="1" si="4"/>
        <v>25219.882004996893</v>
      </c>
      <c r="N29" s="736">
        <f t="shared" ca="1" si="4"/>
        <v>24232.900472675057</v>
      </c>
      <c r="O29" s="736">
        <f t="shared" ca="1" si="4"/>
        <v>23883.663869722346</v>
      </c>
      <c r="P29" s="736">
        <f t="shared" ca="1" si="4"/>
        <v>21612.3378802763</v>
      </c>
      <c r="Q29" s="736">
        <f t="shared" ca="1" si="4"/>
        <v>27880.369160771661</v>
      </c>
      <c r="R29" s="736">
        <f t="shared" ca="1" si="4"/>
        <v>34472.074779351868</v>
      </c>
      <c r="S29" s="736">
        <f t="shared" ca="1" si="4"/>
        <v>40969.303964694824</v>
      </c>
      <c r="T29" s="736">
        <f t="shared" ca="1" si="4"/>
        <v>42509.40331184402</v>
      </c>
      <c r="U29" s="736">
        <f t="shared" ca="1" si="4"/>
        <v>47210.145264122897</v>
      </c>
      <c r="V29" s="737">
        <f t="shared" ca="1" si="4"/>
        <v>39040.65710870253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6700.2280643520207</v>
      </c>
      <c r="D33" s="742">
        <f t="shared" ca="1" si="5"/>
        <v>9824.9442333081279</v>
      </c>
      <c r="E33" s="742">
        <f t="shared" ca="1" si="5"/>
        <v>8893.6986013123569</v>
      </c>
      <c r="F33" s="742">
        <f t="shared" ca="1" si="5"/>
        <v>10388.419562622068</v>
      </c>
      <c r="G33" s="742">
        <f t="shared" ca="1" si="5"/>
        <v>11170.813650925687</v>
      </c>
      <c r="H33" s="742">
        <f t="shared" ca="1" si="5"/>
        <v>3094.794289133556</v>
      </c>
      <c r="I33" s="742">
        <f t="shared" ca="1" si="5"/>
        <v>10427.433929182273</v>
      </c>
      <c r="J33" s="742">
        <f t="shared" ca="1" si="5"/>
        <v>18687.775311550929</v>
      </c>
      <c r="K33" s="742">
        <f t="shared" ca="1" si="5"/>
        <v>19687.024932638575</v>
      </c>
      <c r="L33" s="742">
        <f t="shared" ca="1" si="5"/>
        <v>18163.227659821503</v>
      </c>
      <c r="M33" s="742">
        <f t="shared" ca="1" si="5"/>
        <v>19506.161714709888</v>
      </c>
      <c r="N33" s="742">
        <f t="shared" ca="1" si="5"/>
        <v>18519.180182388052</v>
      </c>
      <c r="O33" s="742">
        <f t="shared" ca="1" si="5"/>
        <v>18169.943579435341</v>
      </c>
      <c r="P33" s="742">
        <f t="shared" ca="1" si="5"/>
        <v>15898.617589989295</v>
      </c>
      <c r="Q33" s="742">
        <f t="shared" ca="1" si="5"/>
        <v>22166.648870484656</v>
      </c>
      <c r="R33" s="742">
        <f t="shared" ca="1" si="5"/>
        <v>28758.354489064863</v>
      </c>
      <c r="S33" s="742">
        <f t="shared" ca="1" si="5"/>
        <v>35255.583674407819</v>
      </c>
      <c r="T33" s="742">
        <f t="shared" ca="1" si="5"/>
        <v>36795.683021557015</v>
      </c>
      <c r="U33" s="742">
        <f t="shared" ca="1" si="5"/>
        <v>41496.424973835892</v>
      </c>
      <c r="V33" s="744">
        <f t="shared" ca="1" si="5"/>
        <v>33326.936818415525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'TAXES-ENA'!C14</f>
        <v>325.51323265238909</v>
      </c>
      <c r="D35" s="736">
        <f ca="1">'TAXES-ENA'!D14</f>
        <v>-66.694634484895289</v>
      </c>
      <c r="E35" s="736">
        <f ca="1">'TAXES-ENA'!E14</f>
        <v>-36.157568432386689</v>
      </c>
      <c r="F35" s="736">
        <f ca="1">'TAXES-ENA'!F14</f>
        <v>130.84151385295041</v>
      </c>
      <c r="G35" s="736">
        <f ca="1">'TAXES-ENA'!G14</f>
        <v>247.82420026552134</v>
      </c>
      <c r="H35" s="736">
        <f ca="1">'TAXES-ENA'!H14</f>
        <v>-38.168639705448257</v>
      </c>
      <c r="I35" s="736">
        <f ca="1">'TAXES-ENA'!I14</f>
        <v>431.80647060362674</v>
      </c>
      <c r="J35" s="736">
        <f ca="1">'TAXES-ENA'!J14</f>
        <v>927.42695354574607</v>
      </c>
      <c r="K35" s="736">
        <f ca="1">'TAXES-ENA'!K14</f>
        <v>986.47233287445465</v>
      </c>
      <c r="L35" s="736">
        <f ca="1">'TAXES-ENA'!L14</f>
        <v>895.95409444198049</v>
      </c>
      <c r="M35" s="736">
        <f ca="1">'TAXES-ENA'!M14</f>
        <v>975.62053979873349</v>
      </c>
      <c r="N35" s="736">
        <f ca="1">'TAXES-ENA'!N14</f>
        <v>917.31124579597338</v>
      </c>
      <c r="O35" s="736">
        <f ca="1">'TAXES-ENA'!O14</f>
        <v>895.44745168226075</v>
      </c>
      <c r="P35" s="736">
        <f ca="1">'TAXES-ENA'!P14</f>
        <v>760.07749025204794</v>
      </c>
      <c r="Q35" s="736">
        <f ca="1">'TAXES-ENA'!Q14</f>
        <v>1135.2497691452195</v>
      </c>
      <c r="R35" s="736">
        <f ca="1">'TAXES-ENA'!R14</f>
        <v>1799.993095478847</v>
      </c>
      <c r="S35" s="736">
        <f ca="1">'TAXES-ENA'!S14</f>
        <v>2458.1582378816893</v>
      </c>
      <c r="T35" s="736">
        <f ca="1">'TAXES-ENA'!T14</f>
        <v>2550.564198710641</v>
      </c>
      <c r="U35" s="736">
        <f ca="1">'TAXES-ENA'!U14</f>
        <v>2832.6087158473738</v>
      </c>
      <c r="V35" s="736">
        <f ca="1">'TAXES-ENA'!V14</f>
        <v>2342.4394265221517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(+C33-C35)*'TAXES-ENA'!C26</f>
        <v>2231.1501910948709</v>
      </c>
      <c r="D36" s="752">
        <f ca="1">(+D33-D35)*'TAXES-ENA'!D26</f>
        <v>3462.0736037275578</v>
      </c>
      <c r="E36" s="752">
        <f ca="1">(+E33-E35)*'TAXES-ENA'!E26</f>
        <v>3125.4496594106604</v>
      </c>
      <c r="F36" s="752">
        <f ca="1">(+F33-F35)*'TAXES-ENA'!F26</f>
        <v>3590.1523170691908</v>
      </c>
      <c r="G36" s="752">
        <f ca="1">(+G33-G35)*'TAXES-ENA'!G26</f>
        <v>3823.0463077310583</v>
      </c>
      <c r="H36" s="752">
        <f ca="1">(+H33-H35)*'TAXES-ENA'!H26</f>
        <v>1096.5370250936514</v>
      </c>
      <c r="I36" s="752">
        <f ca="1">(+I33-I35)*'TAXES-ENA'!I26</f>
        <v>3498.4696105025255</v>
      </c>
      <c r="J36" s="752">
        <f ca="1">(+J33-J35)*'TAXES-ENA'!J26</f>
        <v>6216.1219253018135</v>
      </c>
      <c r="K36" s="752">
        <f ca="1">(+K33-K35)*'TAXES-ENA'!K26</f>
        <v>6545.1934099174414</v>
      </c>
      <c r="L36" s="752">
        <f ca="1">(+L33-L35)*'TAXES-ENA'!L26</f>
        <v>6043.545747882833</v>
      </c>
      <c r="M36" s="752">
        <f ca="1">(+M33-M35)*'TAXES-ENA'!M26</f>
        <v>6485.6894112189038</v>
      </c>
      <c r="N36" s="752">
        <f ca="1">(+N33-N35)*'TAXES-ENA'!N26</f>
        <v>6160.6541278072273</v>
      </c>
      <c r="O36" s="752">
        <f ca="1">(+O33-O35)*'TAXES-ENA'!O26</f>
        <v>6046.0736447135787</v>
      </c>
      <c r="P36" s="752">
        <f ca="1">(+P33-P35)*'TAXES-ENA'!P26</f>
        <v>5298.489034908036</v>
      </c>
      <c r="Q36" s="752">
        <f ca="1">(+Q33-Q35)*'TAXES-ENA'!Q26</f>
        <v>7360.9896854688022</v>
      </c>
      <c r="R36" s="752">
        <f ca="1">(+R33-R35)*'TAXES-ENA'!R26</f>
        <v>9435.426487755105</v>
      </c>
      <c r="S36" s="752">
        <f ca="1">(+S33-S35)*'TAXES-ENA'!S26</f>
        <v>11479.098902784144</v>
      </c>
      <c r="T36" s="752">
        <f ca="1">(+T33-T35)*'TAXES-ENA'!T26</f>
        <v>11985.791587996229</v>
      </c>
      <c r="U36" s="752">
        <f ca="1">(+U33-U35)*'TAXES-ENA'!U26</f>
        <v>13532.33569029598</v>
      </c>
      <c r="V36" s="752">
        <f ca="1">(+V33-V35)*'TAXES-ENA'!V26</f>
        <v>10844.57408716268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2556.6634237472599</v>
      </c>
      <c r="D37" s="736">
        <f t="shared" ca="1" si="6"/>
        <v>3395.3789692426626</v>
      </c>
      <c r="E37" s="736">
        <f t="shared" ca="1" si="6"/>
        <v>3089.2920909782738</v>
      </c>
      <c r="F37" s="736">
        <f t="shared" ca="1" si="6"/>
        <v>3720.9938309221411</v>
      </c>
      <c r="G37" s="736">
        <f t="shared" ca="1" si="6"/>
        <v>4070.8705079965798</v>
      </c>
      <c r="H37" s="736">
        <f t="shared" ca="1" si="6"/>
        <v>1058.3683853882033</v>
      </c>
      <c r="I37" s="736">
        <f t="shared" ca="1" si="6"/>
        <v>3930.2760811061521</v>
      </c>
      <c r="J37" s="736">
        <f t="shared" ca="1" si="6"/>
        <v>7143.5488788475595</v>
      </c>
      <c r="K37" s="736">
        <f t="shared" ca="1" si="6"/>
        <v>7531.6657427918963</v>
      </c>
      <c r="L37" s="736">
        <f t="shared" ca="1" si="6"/>
        <v>6939.4998423248135</v>
      </c>
      <c r="M37" s="736">
        <f t="shared" ca="1" si="6"/>
        <v>7461.3099510176371</v>
      </c>
      <c r="N37" s="736">
        <f t="shared" ca="1" si="6"/>
        <v>7077.9653736032005</v>
      </c>
      <c r="O37" s="736">
        <f t="shared" ca="1" si="6"/>
        <v>6941.5210963958398</v>
      </c>
      <c r="P37" s="736">
        <f t="shared" ca="1" si="6"/>
        <v>6058.566525160084</v>
      </c>
      <c r="Q37" s="736">
        <f t="shared" ca="1" si="6"/>
        <v>8496.2394546140222</v>
      </c>
      <c r="R37" s="736">
        <f t="shared" ca="1" si="6"/>
        <v>11235.419583233952</v>
      </c>
      <c r="S37" s="736">
        <f t="shared" ca="1" si="6"/>
        <v>13937.257140665834</v>
      </c>
      <c r="T37" s="736">
        <f t="shared" ca="1" si="6"/>
        <v>14536.35578670687</v>
      </c>
      <c r="U37" s="736">
        <f t="shared" ca="1" si="6"/>
        <v>16364.944406143353</v>
      </c>
      <c r="V37" s="737">
        <f t="shared" ca="1" si="6"/>
        <v>13187.013513684833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4143.5646406047608</v>
      </c>
      <c r="D39" s="756">
        <f t="shared" ca="1" si="7"/>
        <v>6429.5652640654653</v>
      </c>
      <c r="E39" s="756">
        <f t="shared" ca="1" si="7"/>
        <v>5804.4065103340836</v>
      </c>
      <c r="F39" s="756">
        <f t="shared" ca="1" si="7"/>
        <v>6667.4257316999265</v>
      </c>
      <c r="G39" s="756">
        <f t="shared" ca="1" si="7"/>
        <v>7099.9431429291071</v>
      </c>
      <c r="H39" s="756">
        <f t="shared" ca="1" si="7"/>
        <v>2036.4259037453528</v>
      </c>
      <c r="I39" s="756">
        <f t="shared" ca="1" si="7"/>
        <v>6497.15784807612</v>
      </c>
      <c r="J39" s="756">
        <f t="shared" ca="1" si="7"/>
        <v>11544.22643270337</v>
      </c>
      <c r="K39" s="756">
        <f t="shared" ca="1" si="7"/>
        <v>12155.359189846678</v>
      </c>
      <c r="L39" s="756">
        <f t="shared" ca="1" si="7"/>
        <v>11223.727817496689</v>
      </c>
      <c r="M39" s="756">
        <f t="shared" ca="1" si="7"/>
        <v>12044.851763692252</v>
      </c>
      <c r="N39" s="756">
        <f t="shared" ca="1" si="7"/>
        <v>11441.214808784851</v>
      </c>
      <c r="O39" s="756">
        <f t="shared" ca="1" si="7"/>
        <v>11228.422483039501</v>
      </c>
      <c r="P39" s="756">
        <f t="shared" ca="1" si="7"/>
        <v>9840.0510648292111</v>
      </c>
      <c r="Q39" s="756">
        <f t="shared" ca="1" si="7"/>
        <v>13670.409415870634</v>
      </c>
      <c r="R39" s="756">
        <f t="shared" ca="1" si="7"/>
        <v>17522.934905830909</v>
      </c>
      <c r="S39" s="756">
        <f t="shared" ca="1" si="7"/>
        <v>21318.326533741987</v>
      </c>
      <c r="T39" s="756">
        <f t="shared" ca="1" si="7"/>
        <v>22259.327234850145</v>
      </c>
      <c r="U39" s="756">
        <f t="shared" ca="1" si="7"/>
        <v>25131.480567692539</v>
      </c>
      <c r="V39" s="757">
        <f t="shared" ca="1" si="7"/>
        <v>20139.923304730692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B8" sqref="B8"/>
    </sheetView>
  </sheetViews>
  <sheetFormatPr defaultRowHeight="15.75"/>
  <cols>
    <col min="2" max="2" width="9.33203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127.21159549103402</v>
      </c>
      <c r="K3" s="774">
        <f ca="1">-'ENA IDC'!K69</f>
        <v>103.54206356335902</v>
      </c>
      <c r="L3" s="774">
        <f ca="1">-'ENA IDC'!L69</f>
        <v>76.322896789812575</v>
      </c>
      <c r="M3" s="774">
        <f ca="1">-'ENA IDC'!M69</f>
        <v>49.103730016266127</v>
      </c>
      <c r="N3" s="774">
        <f ca="1">-'ENA IDC'!N69</f>
        <v>8.7509143129953983</v>
      </c>
      <c r="O3" s="774">
        <f ca="1">-'ENA IDC'!O69</f>
        <v>-12102.737583666059</v>
      </c>
      <c r="P3" s="774">
        <f ca="1">-'ENA IDC'!P69</f>
        <v>-17088.157308168396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9824.539584367054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13806.233287099907</v>
      </c>
      <c r="U4" s="776">
        <f ca="1">'CSHFLO-ENA'!E36+0.5*OandM!E11*(1-'TAXES-ENA'!E26-'ASSUM 1'!$N$40)</f>
        <v>12493.460449051245</v>
      </c>
      <c r="V4" s="776">
        <f ca="1">'CSHFLO-ENA'!F36+0.5*OandM!F11*(1-'TAXES-ENA'!F26-'ASSUM 1'!$N$40)</f>
        <v>13244.38387283337</v>
      </c>
      <c r="W4" s="776">
        <f ca="1">'CSHFLO-ENA'!G36+0.5*OandM!G11*(1-'TAXES-ENA'!G26-'ASSUM 1'!$N$40)</f>
        <v>12199.848884771051</v>
      </c>
      <c r="X4" s="776">
        <f ca="1">'CSHFLO-ENA'!H36+0.5*OandM!H11*(1-'TAXES-ENA'!H26-'ASSUM 1'!$N$40)</f>
        <v>5778.546365048458</v>
      </c>
      <c r="Y4" s="776">
        <f ca="1">'CSHFLO-ENA'!I36+0.5*OandM!I11*(1-'TAXES-ENA'!I26-'ASSUM 1'!$N$40)</f>
        <v>9176.7263047164306</v>
      </c>
      <c r="Z4" s="776">
        <f ca="1">'CSHFLO-ENA'!J36+0.5*OandM!J11*(1-'TAXES-ENA'!J26-'ASSUM 1'!$N$40)</f>
        <v>14022.776200560542</v>
      </c>
      <c r="AA4" s="776">
        <f ca="1">'CSHFLO-ENA'!K36+0.5*OandM!K11*(1-'TAXES-ENA'!K26-'ASSUM 1'!$N$40)</f>
        <v>13281.754635909536</v>
      </c>
      <c r="AB4" s="776">
        <f ca="1">'CSHFLO-ENA'!L36+0.5*OandM!L11*(1-'TAXES-ENA'!L26-'ASSUM 1'!$N$40)</f>
        <v>12362.502928650281</v>
      </c>
      <c r="AC4" s="776">
        <f ca="1">'CSHFLO-ENA'!M36+0.5*OandM!M11*(1-'TAXES-ENA'!M26-'ASSUM 1'!$N$40)</f>
        <v>11618.364753945345</v>
      </c>
      <c r="AD4" s="776">
        <f ca="1">'CSHFLO-ENA'!N36+0.5*OandM!N11*(1-'TAXES-ENA'!N26-'ASSUM 1'!$N$40)</f>
        <v>11024.393468664752</v>
      </c>
      <c r="AE4" s="776">
        <f ca="1">'CSHFLO-ENA'!O36+0.5*OandM!O11*(1-'TAXES-ENA'!O26-'ASSUM 1'!$N$40)</f>
        <v>10565.884821177246</v>
      </c>
      <c r="AF4" s="776">
        <f ca="1">'CSHFLO-ENA'!P36+0.5*OandM!P11*(1-'TAXES-ENA'!P26-'ASSUM 1'!$N$40)</f>
        <v>9240.5185326725805</v>
      </c>
      <c r="AG4" s="776">
        <f ca="1">'CSHFLO-ENA'!Q36+0.5*OandM!Q11*(1-'TAXES-ENA'!Q26-'ASSUM 1'!$N$40)</f>
        <v>11827.395324443618</v>
      </c>
      <c r="AH4" s="776">
        <f ca="1">'CSHFLO-ENA'!R36+0.5*OandM!R11*(1-'TAXES-ENA'!R26-'ASSUM 1'!$N$40)</f>
        <v>14136.196873955158</v>
      </c>
      <c r="AI4" s="776">
        <f ca="1">'CSHFLO-ENA'!S36+0.5*OandM!S11*(1-'TAXES-ENA'!S26-'ASSUM 1'!$N$40)</f>
        <v>16381.953640607404</v>
      </c>
      <c r="AJ4" s="776">
        <f ca="1">'CSHFLO-ENA'!T36+0.5*OandM!T11*(1-'TAXES-ENA'!T26-'ASSUM 1'!$N$40)</f>
        <v>17354.352471839826</v>
      </c>
      <c r="AK4" s="776">
        <f ca="1">'CSHFLO-ENA'!U36+0.5*OandM!U11*(1-'TAXES-ENA'!U26-'ASSUM 1'!$N$40)</f>
        <v>23172.833203867987</v>
      </c>
      <c r="AL4" s="776">
        <f ca="1">'CSHFLO-ENA'!V36+0.5*OandM!V11*(1-'TAXES-ENA'!V26-'ASSUM 1'!$N$40)</f>
        <v>35601.701614225291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127.21159549103402</v>
      </c>
      <c r="K5" s="774">
        <f t="shared" ca="1" si="0"/>
        <v>103.54206356335902</v>
      </c>
      <c r="L5" s="774">
        <f t="shared" ca="1" si="0"/>
        <v>76.322896789812575</v>
      </c>
      <c r="M5" s="774">
        <f t="shared" ca="1" si="0"/>
        <v>49.103730016266127</v>
      </c>
      <c r="N5" s="774">
        <f t="shared" ca="1" si="0"/>
        <v>8.7509143129953983</v>
      </c>
      <c r="O5" s="774">
        <f t="shared" ca="1" si="0"/>
        <v>-2278.1979992990055</v>
      </c>
      <c r="P5" s="774">
        <f t="shared" ca="1" si="0"/>
        <v>-17088.157308168396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13806.233287099907</v>
      </c>
      <c r="U5" s="774">
        <f t="shared" ca="1" si="0"/>
        <v>12493.460449051245</v>
      </c>
      <c r="V5" s="774">
        <f t="shared" ca="1" si="0"/>
        <v>13244.38387283337</v>
      </c>
      <c r="W5" s="774">
        <f t="shared" ca="1" si="0"/>
        <v>12199.848884771051</v>
      </c>
      <c r="X5" s="774">
        <f t="shared" ca="1" si="0"/>
        <v>5778.546365048458</v>
      </c>
      <c r="Y5" s="774">
        <f t="shared" ca="1" si="0"/>
        <v>9176.7263047164306</v>
      </c>
      <c r="Z5" s="774">
        <f t="shared" ca="1" si="0"/>
        <v>14022.776200560542</v>
      </c>
      <c r="AA5" s="774">
        <f t="shared" ca="1" si="0"/>
        <v>13281.754635909536</v>
      </c>
      <c r="AB5" s="774">
        <f t="shared" ca="1" si="0"/>
        <v>12362.502928650281</v>
      </c>
      <c r="AC5" s="774">
        <f t="shared" ca="1" si="0"/>
        <v>11618.364753945345</v>
      </c>
      <c r="AD5" s="774">
        <f t="shared" ca="1" si="0"/>
        <v>11024.393468664752</v>
      </c>
      <c r="AE5" s="774">
        <f t="shared" ca="1" si="0"/>
        <v>10565.884821177246</v>
      </c>
      <c r="AF5" s="774">
        <f t="shared" ca="1" si="0"/>
        <v>9240.5185326725805</v>
      </c>
      <c r="AG5" s="774">
        <f t="shared" ca="1" si="0"/>
        <v>11827.395324443618</v>
      </c>
      <c r="AH5" s="774">
        <f t="shared" ca="1" si="0"/>
        <v>14136.196873955158</v>
      </c>
      <c r="AI5" s="774">
        <f t="shared" ca="1" si="0"/>
        <v>16381.953640607404</v>
      </c>
      <c r="AJ5" s="774">
        <f t="shared" ca="1" si="0"/>
        <v>17354.352471839826</v>
      </c>
      <c r="AK5" s="774">
        <f t="shared" ca="1" si="0"/>
        <v>23172.833203867987</v>
      </c>
      <c r="AL5" s="774">
        <f t="shared" ca="1" si="0"/>
        <v>35601.701614225291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36318.194086709373</v>
      </c>
    </row>
    <row r="8" spans="1:39">
      <c r="A8" t="s">
        <v>419</v>
      </c>
      <c r="B8" s="119">
        <f ca="1">XIRR(D$5:AL$5,D$1:AL$1)</f>
        <v>0.22754127383232117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8" zoomScaleNormal="100" workbookViewId="0">
      <selection activeCell="E49" sqref="E49"/>
    </sheetView>
  </sheetViews>
  <sheetFormatPr defaultRowHeight="15.75"/>
  <cols>
    <col min="1" max="1" width="8.88671875" style="782"/>
    <col min="2" max="2" width="4.109375" style="782" customWidth="1"/>
    <col min="3" max="3" width="8.88671875" style="782"/>
    <col min="4" max="4" width="12.109375" style="782" bestFit="1" customWidth="1"/>
    <col min="5" max="5" width="10.5546875" style="782" bestFit="1" customWidth="1"/>
    <col min="6" max="6" width="9.88671875" style="782" bestFit="1" customWidth="1"/>
    <col min="7" max="13" width="10" style="782" bestFit="1" customWidth="1"/>
    <col min="14" max="24" width="9" style="782" bestFit="1" customWidth="1"/>
    <col min="25" max="25" width="8.5546875" style="782" bestFit="1" customWidth="1"/>
    <col min="26" max="26" width="7.5546875" style="782" bestFit="1" customWidth="1"/>
    <col min="27" max="27" width="4.44140625" style="782" customWidth="1"/>
    <col min="28" max="16384" width="8.8867187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5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7.25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798">
        <f ca="1">OandM!C34-OandM!C21-OandM!C13-OandM!C11-OandM!C14-OandM!C16+OandM!C41</f>
        <v>986.97383617792377</v>
      </c>
      <c r="E16" s="798">
        <f ca="1">OandM!D34-OandM!D21-OandM!D13-OandM!D11-OandM!D16-OandM!D14+OandM!D41</f>
        <v>2791.3941350267269</v>
      </c>
      <c r="F16" s="798">
        <f ca="1">OandM!E34-OandM!E21-OandM!E13-OandM!E11-OandM!E16-OandM!E14+OandM!E41</f>
        <v>2842.4641539090062</v>
      </c>
      <c r="G16" s="798">
        <f ca="1">OandM!F34-OandM!F21-OandM!F13-OandM!F11-OandM!F16-OandM!F14+OandM!F41</f>
        <v>2658.1199210448749</v>
      </c>
      <c r="H16" s="798">
        <f ca="1">OandM!G34-OandM!G21-OandM!G13-OandM!G11-OandM!G16-OandM!G14+OandM!G41</f>
        <v>2714.9257780988901</v>
      </c>
      <c r="I16" s="798">
        <f ca="1">OandM!H34-OandM!H21-OandM!H13-OandM!H11-OandM!H16-OandM!H14+OandM!H41</f>
        <v>2719.4629941428752</v>
      </c>
      <c r="J16" s="798">
        <f ca="1">OandM!I34-OandM!I21-OandM!I13-OandM!I11-OandM!I16-OandM!I14+OandM!I41</f>
        <v>2822.9413915242176</v>
      </c>
      <c r="K16" s="798">
        <f ca="1">OandM!J34-OandM!J21-OandM!J13-OandM!J11-OandM!J16-OandM!J14+OandM!J41</f>
        <v>2932.7786202568104</v>
      </c>
      <c r="L16" s="798">
        <f ca="1">OandM!K34-OandM!K21-OandM!K13-OandM!K11-OandM!K16-OandM!K14+OandM!K41</f>
        <v>2998.3721567959601</v>
      </c>
      <c r="M16" s="798">
        <f ca="1">OandM!L34-OandM!L21-OandM!L13-OandM!L11-OandM!L16-OandM!L14+OandM!L41</f>
        <v>3049.1216947464745</v>
      </c>
      <c r="N16" s="798">
        <f ca="1">OandM!M34-OandM!M21-OandM!M13-OandM!M11-OandM!M16-OandM!M14+OandM!M41</f>
        <v>3119.2453620212746</v>
      </c>
      <c r="O16" s="798">
        <f ca="1">OandM!N34-OandM!N21-OandM!N13-OandM!N11-OandM!N16-OandM!N14+OandM!N41</f>
        <v>3175.829937050657</v>
      </c>
      <c r="P16" s="798">
        <f ca="1">OandM!O34-OandM!O21-OandM!O13-OandM!O11-OandM!O16-OandM!O14+OandM!O41</f>
        <v>23797.085157009093</v>
      </c>
      <c r="Q16" s="798">
        <f ca="1">OandM!P34-OandM!P21-OandM!P13-OandM!P11-OandM!P16-OandM!P14+OandM!P41</f>
        <v>3299.1815009428901</v>
      </c>
      <c r="R16" s="798">
        <f ca="1">OandM!Q34-OandM!Q21-OandM!Q13-OandM!Q11-OandM!Q16-OandM!Q14+OandM!Q41</f>
        <v>3406.7113985489277</v>
      </c>
      <c r="S16" s="798">
        <f ca="1">OandM!R34-OandM!R21-OandM!R13-OandM!R11-OandM!R16-OandM!R14+OandM!R41</f>
        <v>3516.4582074322207</v>
      </c>
      <c r="T16" s="798">
        <f ca="1">OandM!S34-OandM!S21-OandM!S13-OandM!S11-OandM!S16-OandM!S14+OandM!S41</f>
        <v>3628.649794694184</v>
      </c>
      <c r="U16" s="798">
        <f ca="1">OandM!T34-OandM!T21-OandM!T13-OandM!T11-OandM!T16-OandM!T14+OandM!T41</f>
        <v>3711.8920862405503</v>
      </c>
      <c r="V16" s="798">
        <f ca="1">OandM!U34-OandM!U21-OandM!U13-OandM!U11-OandM!U16-OandM!U14+OandM!U41</f>
        <v>3806.5145864687788</v>
      </c>
      <c r="W16" s="798">
        <f ca="1">OandM!V34-OandM!V21-OandM!V13-OandM!V11-OandM!V16-OandM!V14+OandM!V41</f>
        <v>3838.9581367304399</v>
      </c>
      <c r="X16" s="798">
        <f>OandM!W34-OandM!W21-OandM!W13-OandM!W11-OandM!W16-OandM!W14+OandM!W41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20" spans="1:24">
      <c r="A20" s="782" t="s">
        <v>435</v>
      </c>
      <c r="D20" s="798">
        <f>D13+E13</f>
        <v>177498.08799999999</v>
      </c>
      <c r="E20" s="798">
        <f>E13</f>
        <v>173868.51499999998</v>
      </c>
      <c r="F20" s="798">
        <f t="shared" ref="F20:W20" si="1">F13</f>
        <v>158402.66899999999</v>
      </c>
      <c r="G20" s="798">
        <f t="shared" si="1"/>
        <v>145413.53899999999</v>
      </c>
      <c r="H20" s="798">
        <f t="shared" si="1"/>
        <v>133452.22099999999</v>
      </c>
      <c r="I20" s="798">
        <f t="shared" si="1"/>
        <v>122155.982</v>
      </c>
      <c r="J20" s="798">
        <f t="shared" si="1"/>
        <v>111060.765</v>
      </c>
      <c r="K20" s="798">
        <f t="shared" si="1"/>
        <v>100253.368</v>
      </c>
      <c r="L20" s="798">
        <f t="shared" si="1"/>
        <v>89726.133000000002</v>
      </c>
      <c r="M20" s="798">
        <f t="shared" si="1"/>
        <v>79821.683999999994</v>
      </c>
      <c r="N20" s="798">
        <f t="shared" si="1"/>
        <v>70177.642000000007</v>
      </c>
      <c r="O20" s="798">
        <f t="shared" si="1"/>
        <v>61159.364999999998</v>
      </c>
      <c r="P20" s="798">
        <f t="shared" si="1"/>
        <v>52623.319000000003</v>
      </c>
      <c r="Q20" s="798">
        <f t="shared" si="1"/>
        <v>44512.258000000002</v>
      </c>
      <c r="R20" s="798">
        <f t="shared" si="1"/>
        <v>36909.182999999997</v>
      </c>
      <c r="S20" s="798">
        <f t="shared" si="1"/>
        <v>29822.007000000001</v>
      </c>
      <c r="T20" s="798">
        <f t="shared" si="1"/>
        <v>23003.49</v>
      </c>
      <c r="U20" s="798">
        <f t="shared" si="1"/>
        <v>16699.155999999999</v>
      </c>
      <c r="V20" s="798">
        <f t="shared" si="1"/>
        <v>10779.319</v>
      </c>
      <c r="W20" s="798">
        <f t="shared" si="1"/>
        <v>5259.3959999999997</v>
      </c>
      <c r="X20" s="798">
        <v>0</v>
      </c>
    </row>
    <row r="21" spans="1:24">
      <c r="A21" s="782" t="s">
        <v>436</v>
      </c>
      <c r="D21" s="800">
        <f ca="1">-D17</f>
        <v>-36323.556323857578</v>
      </c>
      <c r="E21" s="800">
        <f ca="1">-E17</f>
        <v>-35461.495151547417</v>
      </c>
      <c r="F21" s="800">
        <f t="shared" ref="F21:X21" ca="1" si="2">-F17</f>
        <v>-33182.88604555952</v>
      </c>
      <c r="G21" s="800">
        <f t="shared" ca="1" si="2"/>
        <v>-31014.383752125621</v>
      </c>
      <c r="H21" s="800">
        <f t="shared" ca="1" si="2"/>
        <v>-29119.180985010404</v>
      </c>
      <c r="I21" s="800">
        <f t="shared" ca="1" si="2"/>
        <v>-27310.111304535218</v>
      </c>
      <c r="J21" s="800">
        <f t="shared" ca="1" si="2"/>
        <v>-25616.566426868045</v>
      </c>
      <c r="K21" s="800">
        <f t="shared" ca="1" si="2"/>
        <v>-23973.588835347455</v>
      </c>
      <c r="L21" s="800">
        <f t="shared" ca="1" si="2"/>
        <v>-22378.351584260392</v>
      </c>
      <c r="M21" s="800">
        <f t="shared" ca="1" si="2"/>
        <v>-20854.131220796724</v>
      </c>
      <c r="N21" s="800">
        <f t="shared" ca="1" si="2"/>
        <v>-19405.515468313559</v>
      </c>
      <c r="O21" s="800">
        <f t="shared" ca="1" si="2"/>
        <v>-18020.533223769922</v>
      </c>
      <c r="P21" s="800">
        <f t="shared" ca="1" si="2"/>
        <v>-16702.676707353807</v>
      </c>
      <c r="Q21" s="800">
        <f t="shared" ca="1" si="2"/>
        <v>-7473.7567975082093</v>
      </c>
      <c r="R21" s="800">
        <f t="shared" ca="1" si="2"/>
        <v>-6277.9815944137508</v>
      </c>
      <c r="S21" s="800">
        <f t="shared" ca="1" si="2"/>
        <v>-5124.0105790171965</v>
      </c>
      <c r="T21" s="800">
        <f t="shared" ca="1" si="2"/>
        <v>-4010.7899654068237</v>
      </c>
      <c r="U21" s="800">
        <f t="shared" ca="1" si="2"/>
        <v>-2937.203426189039</v>
      </c>
      <c r="V21" s="800">
        <f t="shared" ca="1" si="2"/>
        <v>-1910.8343331065369</v>
      </c>
      <c r="W21" s="800">
        <f t="shared" ca="1" si="2"/>
        <v>-927.15862947482958</v>
      </c>
      <c r="X21" s="800">
        <f t="shared" si="2"/>
        <v>0</v>
      </c>
    </row>
    <row r="22" spans="1:24">
      <c r="A22" s="782" t="s">
        <v>437</v>
      </c>
      <c r="D22" s="801">
        <f ca="1">SUM(D20:D21)</f>
        <v>141174.53167614242</v>
      </c>
      <c r="E22" s="801">
        <f ca="1">SUM(E20:E21)</f>
        <v>138407.01984845256</v>
      </c>
      <c r="F22" s="801">
        <f t="shared" ref="F22:X22" ca="1" si="3">SUM(F20:F21)</f>
        <v>125219.78295444048</v>
      </c>
      <c r="G22" s="801">
        <f t="shared" ca="1" si="3"/>
        <v>114399.15524787437</v>
      </c>
      <c r="H22" s="801">
        <f t="shared" ca="1" si="3"/>
        <v>104333.04001498959</v>
      </c>
      <c r="I22" s="801">
        <f t="shared" ca="1" si="3"/>
        <v>94845.870695464779</v>
      </c>
      <c r="J22" s="801">
        <f t="shared" ca="1" si="3"/>
        <v>85444.198573131958</v>
      </c>
      <c r="K22" s="801">
        <f t="shared" ca="1" si="3"/>
        <v>76279.779164652544</v>
      </c>
      <c r="L22" s="801">
        <f t="shared" ca="1" si="3"/>
        <v>67347.781415739606</v>
      </c>
      <c r="M22" s="801">
        <f t="shared" ca="1" si="3"/>
        <v>58967.552779203266</v>
      </c>
      <c r="N22" s="801">
        <f t="shared" ca="1" si="3"/>
        <v>50772.126531686445</v>
      </c>
      <c r="O22" s="801">
        <f t="shared" ca="1" si="3"/>
        <v>43138.831776230072</v>
      </c>
      <c r="P22" s="801">
        <f t="shared" ca="1" si="3"/>
        <v>35920.642292646196</v>
      </c>
      <c r="Q22" s="801">
        <f t="shared" ca="1" si="3"/>
        <v>37038.501202491796</v>
      </c>
      <c r="R22" s="801">
        <f t="shared" ca="1" si="3"/>
        <v>30631.201405586246</v>
      </c>
      <c r="S22" s="801">
        <f t="shared" ca="1" si="3"/>
        <v>24697.996420982803</v>
      </c>
      <c r="T22" s="801">
        <f t="shared" ca="1" si="3"/>
        <v>18992.700034593177</v>
      </c>
      <c r="U22" s="801">
        <f t="shared" ca="1" si="3"/>
        <v>13761.952573810961</v>
      </c>
      <c r="V22" s="801">
        <f t="shared" ca="1" si="3"/>
        <v>8868.4846668934624</v>
      </c>
      <c r="W22" s="801">
        <f t="shared" ca="1" si="3"/>
        <v>4332.2373705251703</v>
      </c>
      <c r="X22" s="801">
        <f t="shared" si="3"/>
        <v>0</v>
      </c>
    </row>
    <row r="23" spans="1:24">
      <c r="A23" s="782" t="s">
        <v>438</v>
      </c>
      <c r="D23" s="802">
        <f ca="1">D22/315</f>
        <v>448.17311643219813</v>
      </c>
      <c r="E23" s="802">
        <f t="shared" ref="E23:X23" ca="1" si="4">E22/315</f>
        <v>439.38736459826208</v>
      </c>
      <c r="F23" s="802">
        <f t="shared" ca="1" si="4"/>
        <v>397.52312049028723</v>
      </c>
      <c r="G23" s="802">
        <f t="shared" ca="1" si="4"/>
        <v>363.17192142182341</v>
      </c>
      <c r="H23" s="802">
        <f t="shared" ca="1" si="4"/>
        <v>331.21600004758596</v>
      </c>
      <c r="I23" s="802">
        <f t="shared" ca="1" si="4"/>
        <v>301.09800220782472</v>
      </c>
      <c r="J23" s="802">
        <f t="shared" ca="1" si="4"/>
        <v>271.25142404168878</v>
      </c>
      <c r="K23" s="802">
        <f t="shared" ca="1" si="4"/>
        <v>242.15802909413506</v>
      </c>
      <c r="L23" s="802">
        <f t="shared" ca="1" si="4"/>
        <v>213.80248068488763</v>
      </c>
      <c r="M23" s="802">
        <f t="shared" ca="1" si="4"/>
        <v>187.19858025143893</v>
      </c>
      <c r="N23" s="802">
        <f t="shared" ca="1" si="4"/>
        <v>161.18135406884585</v>
      </c>
      <c r="O23" s="802">
        <f t="shared" ca="1" si="4"/>
        <v>136.94867230549229</v>
      </c>
      <c r="P23" s="802">
        <f t="shared" ca="1" si="4"/>
        <v>114.03378505601967</v>
      </c>
      <c r="Q23" s="802">
        <f t="shared" ca="1" si="4"/>
        <v>117.58254349997395</v>
      </c>
      <c r="R23" s="802">
        <f t="shared" ca="1" si="4"/>
        <v>97.241909224083315</v>
      </c>
      <c r="S23" s="802">
        <f t="shared" ca="1" si="4"/>
        <v>78.406337844389853</v>
      </c>
      <c r="T23" s="802">
        <f t="shared" ca="1" si="4"/>
        <v>60.294285824105323</v>
      </c>
      <c r="U23" s="802">
        <f t="shared" ca="1" si="4"/>
        <v>43.688738329558603</v>
      </c>
      <c r="V23" s="802">
        <f t="shared" ca="1" si="4"/>
        <v>28.153919577439563</v>
      </c>
      <c r="W23" s="802">
        <f t="shared" ca="1" si="4"/>
        <v>13.753134509603715</v>
      </c>
      <c r="X23" s="802">
        <f t="shared" si="4"/>
        <v>0</v>
      </c>
    </row>
    <row r="25" spans="1:24">
      <c r="A25" s="782" t="s">
        <v>439</v>
      </c>
      <c r="D25" s="798">
        <f>'ENA Debt'!C20</f>
        <v>118125</v>
      </c>
      <c r="E25" s="798">
        <f ca="1">'ENA Debt'!D20</f>
        <v>118125</v>
      </c>
      <c r="F25" s="798">
        <f ca="1">'ENA Debt'!E20</f>
        <v>116139.18709601989</v>
      </c>
      <c r="G25" s="798">
        <f ca="1">'ENA Debt'!F20</f>
        <v>113919.29186216624</v>
      </c>
      <c r="H25" s="798">
        <f ca="1">'ENA Debt'!G20</f>
        <v>111159.92158167947</v>
      </c>
      <c r="I25" s="798">
        <f ca="1">'ENA Debt'!H20</f>
        <v>107862.97055031684</v>
      </c>
      <c r="J25" s="798">
        <f ca="1">'ENA Debt'!I20</f>
        <v>104566.0195189542</v>
      </c>
      <c r="K25" s="798">
        <f ca="1">'ENA Debt'!J20</f>
        <v>100056.57736831481</v>
      </c>
      <c r="L25" s="798">
        <f ca="1">'ENA Debt'!K20</f>
        <v>95547.135217675401</v>
      </c>
      <c r="M25" s="798">
        <f ca="1">'ENA Debt'!L20</f>
        <v>89633.161382558668</v>
      </c>
      <c r="N25" s="798">
        <f ca="1">'ENA Debt'!M20</f>
        <v>83719.187547441936</v>
      </c>
      <c r="O25" s="798">
        <f ca="1">'ENA Debt'!N20</f>
        <v>76240.861017735515</v>
      </c>
      <c r="P25" s="798">
        <f ca="1">'ENA Debt'!O20</f>
        <v>68762.53448802908</v>
      </c>
      <c r="Q25" s="798">
        <f ca="1">'ENA Debt'!P20</f>
        <v>61084.40948802908</v>
      </c>
      <c r="R25" s="798">
        <f ca="1">'ENA Debt'!Q20</f>
        <v>53406.28448802908</v>
      </c>
      <c r="S25" s="798">
        <f ca="1">'ENA Debt'!R20</f>
        <v>44519.01724702007</v>
      </c>
      <c r="T25" s="798">
        <f ca="1">'ENA Debt'!S20</f>
        <v>35631.750006011047</v>
      </c>
      <c r="U25" s="798">
        <f ca="1">'ENA Debt'!T20</f>
        <v>26772.375006011047</v>
      </c>
      <c r="V25" s="798">
        <f ca="1">'ENA Debt'!U20</f>
        <v>17913.000006011047</v>
      </c>
      <c r="W25" s="798">
        <f ca="1">'ENA Debt'!V20</f>
        <v>12006.750006011047</v>
      </c>
      <c r="X25" s="798">
        <f ca="1">'ENA Debt'!W20</f>
        <v>6100.5000060110469</v>
      </c>
    </row>
    <row r="26" spans="1:24">
      <c r="A26" s="782" t="s">
        <v>438</v>
      </c>
      <c r="D26" s="802">
        <f>D25/315</f>
        <v>375</v>
      </c>
      <c r="E26" s="802">
        <f t="shared" ref="E26:X26" ca="1" si="5">E25/315</f>
        <v>375</v>
      </c>
      <c r="F26" s="802">
        <f t="shared" ca="1" si="5"/>
        <v>368.69583205085678</v>
      </c>
      <c r="G26" s="802">
        <f t="shared" ca="1" si="5"/>
        <v>361.64854559417853</v>
      </c>
      <c r="H26" s="802">
        <f t="shared" ca="1" si="5"/>
        <v>352.88863994183959</v>
      </c>
      <c r="I26" s="802">
        <f t="shared" ca="1" si="5"/>
        <v>342.42212873116455</v>
      </c>
      <c r="J26" s="802">
        <f t="shared" ca="1" si="5"/>
        <v>331.95561752048951</v>
      </c>
      <c r="K26" s="802">
        <f t="shared" ca="1" si="5"/>
        <v>317.63992815338037</v>
      </c>
      <c r="L26" s="802">
        <f t="shared" ca="1" si="5"/>
        <v>303.32423878627111</v>
      </c>
      <c r="M26" s="802">
        <f t="shared" ca="1" si="5"/>
        <v>284.5497186747894</v>
      </c>
      <c r="N26" s="802">
        <f t="shared" ca="1" si="5"/>
        <v>265.77519856330775</v>
      </c>
      <c r="O26" s="802">
        <f t="shared" ca="1" si="5"/>
        <v>242.0344794213826</v>
      </c>
      <c r="P26" s="802">
        <f t="shared" ca="1" si="5"/>
        <v>218.29376027945739</v>
      </c>
      <c r="Q26" s="802">
        <f t="shared" ca="1" si="5"/>
        <v>193.91876027945739</v>
      </c>
      <c r="R26" s="802">
        <f t="shared" ca="1" si="5"/>
        <v>169.54376027945739</v>
      </c>
      <c r="S26" s="802">
        <f t="shared" ca="1" si="5"/>
        <v>141.3302134826034</v>
      </c>
      <c r="T26" s="802">
        <f t="shared" ca="1" si="5"/>
        <v>113.11666668574935</v>
      </c>
      <c r="U26" s="802">
        <f t="shared" ca="1" si="5"/>
        <v>84.991666685749351</v>
      </c>
      <c r="V26" s="802">
        <f t="shared" ca="1" si="5"/>
        <v>56.866666685749358</v>
      </c>
      <c r="W26" s="802">
        <f t="shared" ca="1" si="5"/>
        <v>38.116666685749358</v>
      </c>
      <c r="X26" s="802">
        <f t="shared" ca="1" si="5"/>
        <v>19.366666685749355</v>
      </c>
    </row>
    <row r="28" spans="1:24">
      <c r="A28" s="782" t="s">
        <v>440</v>
      </c>
      <c r="D28" s="803">
        <f ca="1">D23-D26</f>
        <v>73.173116432198128</v>
      </c>
      <c r="E28" s="803">
        <f t="shared" ref="E28:X28" ca="1" si="6">E23-E26</f>
        <v>64.387364598262081</v>
      </c>
      <c r="F28" s="803">
        <f t="shared" ca="1" si="6"/>
        <v>28.827288439430447</v>
      </c>
      <c r="G28" s="803">
        <f t="shared" ca="1" si="6"/>
        <v>1.5233758276448839</v>
      </c>
      <c r="H28" s="803">
        <f t="shared" ca="1" si="6"/>
        <v>-21.672639894253621</v>
      </c>
      <c r="I28" s="803">
        <f t="shared" ca="1" si="6"/>
        <v>-41.324126523339828</v>
      </c>
      <c r="J28" s="803">
        <f t="shared" ca="1" si="6"/>
        <v>-60.704193478800732</v>
      </c>
      <c r="K28" s="803">
        <f t="shared" ca="1" si="6"/>
        <v>-75.481899059245308</v>
      </c>
      <c r="L28" s="803">
        <f t="shared" ca="1" si="6"/>
        <v>-89.521758101383483</v>
      </c>
      <c r="M28" s="803">
        <f t="shared" ca="1" si="6"/>
        <v>-97.351138423350477</v>
      </c>
      <c r="N28" s="803">
        <f t="shared" ca="1" si="6"/>
        <v>-104.59384449446191</v>
      </c>
      <c r="O28" s="803">
        <f t="shared" ca="1" si="6"/>
        <v>-105.0858071158903</v>
      </c>
      <c r="P28" s="803">
        <f t="shared" ca="1" si="6"/>
        <v>-104.25997522343772</v>
      </c>
      <c r="Q28" s="803">
        <f t="shared" ca="1" si="6"/>
        <v>-76.336216779483436</v>
      </c>
      <c r="R28" s="803">
        <f t="shared" ca="1" si="6"/>
        <v>-72.301851055374073</v>
      </c>
      <c r="S28" s="803">
        <f t="shared" ca="1" si="6"/>
        <v>-62.923875638213545</v>
      </c>
      <c r="T28" s="803">
        <f t="shared" ca="1" si="6"/>
        <v>-52.822380861644028</v>
      </c>
      <c r="U28" s="803">
        <f t="shared" ca="1" si="6"/>
        <v>-41.302928356190748</v>
      </c>
      <c r="V28" s="803">
        <f t="shared" ca="1" si="6"/>
        <v>-28.712747108309795</v>
      </c>
      <c r="W28" s="803">
        <f t="shared" ca="1" si="6"/>
        <v>-24.363532176145643</v>
      </c>
      <c r="X28" s="803">
        <f t="shared" ca="1" si="6"/>
        <v>-19.366666685749355</v>
      </c>
    </row>
    <row r="30" spans="1:24">
      <c r="D30" s="820">
        <v>99985999.839548931</v>
      </c>
      <c r="E30" s="782">
        <v>93551390.07684584</v>
      </c>
      <c r="F30" s="782">
        <v>87491484.602945432</v>
      </c>
      <c r="G30" s="782">
        <v>81828522.704920158</v>
      </c>
      <c r="H30" s="782">
        <v>76306112.916078985</v>
      </c>
      <c r="I30" s="782">
        <v>71014178.633394286</v>
      </c>
      <c r="J30" s="782">
        <v>65831615.613365315</v>
      </c>
      <c r="K30" s="782">
        <v>60732075.875586517</v>
      </c>
      <c r="L30" s="782">
        <v>55537158.461356468</v>
      </c>
      <c r="M30" s="782">
        <v>50579096.256008282</v>
      </c>
      <c r="N30" s="782">
        <v>45666421.137754805</v>
      </c>
      <c r="O30" s="782">
        <v>40888400.348361887</v>
      </c>
      <c r="P30" s="782">
        <v>36299226.474739678</v>
      </c>
      <c r="Q30" s="782">
        <v>31788400.242337156</v>
      </c>
      <c r="R30" s="782">
        <v>27459753.715427317</v>
      </c>
      <c r="S30" s="782">
        <v>23364865.931039035</v>
      </c>
      <c r="T30" s="782">
        <v>19414286.08395062</v>
      </c>
      <c r="U30" s="782">
        <v>15825613.038721051</v>
      </c>
      <c r="V30" s="782">
        <v>12518393.295802344</v>
      </c>
      <c r="W30" s="782">
        <v>9411917.5974087473</v>
      </c>
      <c r="X30" s="782">
        <v>6549851.1193869784</v>
      </c>
    </row>
    <row r="31" spans="1:24">
      <c r="D31" s="823">
        <f>D30-$X$30/2</f>
        <v>96711074.279855445</v>
      </c>
      <c r="E31" s="823">
        <f t="shared" ref="E31:X31" si="7">E30-$X$30/2</f>
        <v>90276464.517152354</v>
      </c>
      <c r="F31" s="823">
        <f t="shared" si="7"/>
        <v>84216559.043251947</v>
      </c>
      <c r="G31" s="823">
        <f t="shared" si="7"/>
        <v>78553597.145226672</v>
      </c>
      <c r="H31" s="823">
        <f t="shared" si="7"/>
        <v>73031187.356385499</v>
      </c>
      <c r="I31" s="823">
        <f t="shared" si="7"/>
        <v>67739253.073700801</v>
      </c>
      <c r="J31" s="823">
        <f t="shared" si="7"/>
        <v>62556690.053671822</v>
      </c>
      <c r="K31" s="823">
        <f t="shared" si="7"/>
        <v>57457150.315893024</v>
      </c>
      <c r="L31" s="823">
        <f t="shared" si="7"/>
        <v>52262232.901662976</v>
      </c>
      <c r="M31" s="823">
        <f t="shared" si="7"/>
        <v>47304170.696314797</v>
      </c>
      <c r="N31" s="823">
        <f t="shared" si="7"/>
        <v>42391495.578061312</v>
      </c>
      <c r="O31" s="823">
        <f t="shared" si="7"/>
        <v>37613474.788668394</v>
      </c>
      <c r="P31" s="823">
        <f t="shared" si="7"/>
        <v>33024300.915046189</v>
      </c>
      <c r="Q31" s="823">
        <f t="shared" si="7"/>
        <v>28513474.682643667</v>
      </c>
      <c r="R31" s="823">
        <f t="shared" si="7"/>
        <v>24184828.155733828</v>
      </c>
      <c r="S31" s="823">
        <f t="shared" si="7"/>
        <v>20089940.371345546</v>
      </c>
      <c r="T31" s="823">
        <f t="shared" si="7"/>
        <v>16139360.524257131</v>
      </c>
      <c r="U31" s="823">
        <f t="shared" si="7"/>
        <v>12550687.479027562</v>
      </c>
      <c r="V31" s="823">
        <f t="shared" si="7"/>
        <v>9243467.7361088544</v>
      </c>
      <c r="W31" s="823">
        <f t="shared" si="7"/>
        <v>6136992.0377152581</v>
      </c>
      <c r="X31" s="823">
        <f t="shared" si="7"/>
        <v>3274925.5596934892</v>
      </c>
    </row>
    <row r="33" spans="4:25">
      <c r="D33" s="782">
        <f>D31*118125000/$E$31</f>
        <v>126544561.86792059</v>
      </c>
      <c r="E33" s="782">
        <f t="shared" ref="E33:X33" si="8">E31*118125000/$E$31</f>
        <v>118125000</v>
      </c>
      <c r="F33" s="782">
        <f t="shared" si="8"/>
        <v>110195731.41451524</v>
      </c>
      <c r="G33" s="782">
        <f t="shared" si="8"/>
        <v>102785855.7865531</v>
      </c>
      <c r="H33" s="782">
        <f t="shared" si="8"/>
        <v>95559889.862921685</v>
      </c>
      <c r="I33" s="782">
        <f t="shared" si="8"/>
        <v>88635496.661597773</v>
      </c>
      <c r="J33" s="782">
        <f t="shared" si="8"/>
        <v>81854213.632679328</v>
      </c>
      <c r="K33" s="782">
        <f t="shared" si="8"/>
        <v>75181564.95567371</v>
      </c>
      <c r="L33" s="782">
        <f t="shared" si="8"/>
        <v>68384116.441954702</v>
      </c>
      <c r="M33" s="782">
        <f t="shared" si="8"/>
        <v>61896588.367619477</v>
      </c>
      <c r="N33" s="782">
        <f t="shared" si="8"/>
        <v>55468448.415002763</v>
      </c>
      <c r="O33" s="782">
        <f t="shared" si="8"/>
        <v>49216501.035740882</v>
      </c>
      <c r="P33" s="782">
        <f t="shared" si="8"/>
        <v>43211656.176994495</v>
      </c>
      <c r="Q33" s="782">
        <f t="shared" si="8"/>
        <v>37309327.684707239</v>
      </c>
      <c r="R33" s="782">
        <f t="shared" si="8"/>
        <v>31645377.79781203</v>
      </c>
      <c r="S33" s="782">
        <f t="shared" si="8"/>
        <v>26287296.684223864</v>
      </c>
      <c r="T33" s="782">
        <f t="shared" si="8"/>
        <v>21118039.703090604</v>
      </c>
      <c r="U33" s="782">
        <f t="shared" si="8"/>
        <v>16422330.741346756</v>
      </c>
      <c r="V33" s="782">
        <f t="shared" si="8"/>
        <v>12094897.95782158</v>
      </c>
      <c r="W33" s="782">
        <f t="shared" si="8"/>
        <v>8030134.8566588936</v>
      </c>
      <c r="X33" s="782">
        <f t="shared" si="8"/>
        <v>4285176.4721611645</v>
      </c>
    </row>
    <row r="35" spans="4:25">
      <c r="E35" s="822">
        <f>(E33-F33)/$E$33</f>
        <v>6.7126083263363029E-2</v>
      </c>
      <c r="F35" s="822">
        <f t="shared" ref="F35:X35" si="9">(F33-G33)/$E$33</f>
        <v>6.2729105845182154E-2</v>
      </c>
      <c r="G35" s="822">
        <f t="shared" si="9"/>
        <v>6.1172198295292399E-2</v>
      </c>
      <c r="H35" s="822">
        <f t="shared" si="9"/>
        <v>5.861920170432941E-2</v>
      </c>
      <c r="I35" s="822">
        <f t="shared" si="9"/>
        <v>5.7407687017299008E-2</v>
      </c>
      <c r="J35" s="822">
        <f t="shared" si="9"/>
        <v>5.6488031128089894E-2</v>
      </c>
      <c r="K35" s="822">
        <f t="shared" si="9"/>
        <v>5.7544537682277311E-2</v>
      </c>
      <c r="L35" s="822">
        <f t="shared" si="9"/>
        <v>5.4920872586964868E-2</v>
      </c>
      <c r="M35" s="822">
        <f t="shared" si="9"/>
        <v>5.4418116000988052E-2</v>
      </c>
      <c r="N35" s="822">
        <f t="shared" si="9"/>
        <v>5.2926538660418042E-2</v>
      </c>
      <c r="O35" s="822">
        <f t="shared" si="9"/>
        <v>5.0834665470868887E-2</v>
      </c>
      <c r="P35" s="822">
        <f t="shared" si="9"/>
        <v>4.9966802051109045E-2</v>
      </c>
      <c r="Q35" s="822">
        <f t="shared" si="9"/>
        <v>4.7948782111282194E-2</v>
      </c>
      <c r="R35" s="822">
        <f t="shared" si="9"/>
        <v>4.5359416834608805E-2</v>
      </c>
      <c r="S35" s="822">
        <f t="shared" si="9"/>
        <v>4.3760905660387386E-2</v>
      </c>
      <c r="T35" s="822">
        <f t="shared" si="9"/>
        <v>3.9752033538572262E-2</v>
      </c>
      <c r="U35" s="822">
        <f t="shared" si="9"/>
        <v>3.6634351606562338E-2</v>
      </c>
      <c r="V35" s="822">
        <f t="shared" si="9"/>
        <v>3.4410692919895756E-2</v>
      </c>
      <c r="W35" s="822">
        <f t="shared" si="9"/>
        <v>3.1703351403155382E-2</v>
      </c>
      <c r="X35" s="822">
        <f t="shared" si="9"/>
        <v>3.6276626219353771E-2</v>
      </c>
    </row>
    <row r="37" spans="4:25">
      <c r="D37" s="821">
        <f>D31*102375000/$E$31</f>
        <v>109671953.61886452</v>
      </c>
      <c r="E37" s="821">
        <f t="shared" ref="E37:X37" si="10">E31*102375000/$E$31</f>
        <v>102375000</v>
      </c>
      <c r="F37" s="821">
        <f t="shared" si="10"/>
        <v>95502967.225913212</v>
      </c>
      <c r="G37" s="821">
        <f t="shared" si="10"/>
        <v>89081075.015012696</v>
      </c>
      <c r="H37" s="821">
        <f t="shared" si="10"/>
        <v>82818571.214532122</v>
      </c>
      <c r="I37" s="821">
        <f t="shared" si="10"/>
        <v>76817430.440051392</v>
      </c>
      <c r="J37" s="821">
        <f t="shared" si="10"/>
        <v>70940318.481655419</v>
      </c>
      <c r="K37" s="821">
        <f t="shared" si="10"/>
        <v>65157356.294917218</v>
      </c>
      <c r="L37" s="821">
        <f t="shared" si="10"/>
        <v>59266234.249694079</v>
      </c>
      <c r="M37" s="821">
        <f t="shared" si="10"/>
        <v>53643709.918603547</v>
      </c>
      <c r="N37" s="821">
        <f t="shared" si="10"/>
        <v>48072655.293002397</v>
      </c>
      <c r="O37" s="821">
        <f t="shared" si="10"/>
        <v>42654300.897642098</v>
      </c>
      <c r="P37" s="821">
        <f t="shared" si="10"/>
        <v>37450102.020061895</v>
      </c>
      <c r="Q37" s="821">
        <f t="shared" si="10"/>
        <v>32334750.66007961</v>
      </c>
      <c r="R37" s="821">
        <f t="shared" si="10"/>
        <v>27425994.09143709</v>
      </c>
      <c r="S37" s="821">
        <f t="shared" si="10"/>
        <v>22782323.792994019</v>
      </c>
      <c r="T37" s="821">
        <f t="shared" si="10"/>
        <v>18302301.076011855</v>
      </c>
      <c r="U37" s="821">
        <f t="shared" si="10"/>
        <v>14232686.642500523</v>
      </c>
      <c r="V37" s="821">
        <f t="shared" si="10"/>
        <v>10482244.896778705</v>
      </c>
      <c r="W37" s="821">
        <f t="shared" si="10"/>
        <v>6959450.2091043731</v>
      </c>
      <c r="X37" s="821">
        <f t="shared" si="10"/>
        <v>3713819.6092063417</v>
      </c>
    </row>
    <row r="39" spans="4:25">
      <c r="E39" s="822">
        <f>(E37-F37)/$E37</f>
        <v>6.7126083263363015E-2</v>
      </c>
      <c r="F39" s="822">
        <f t="shared" ref="F39:X39" si="11">(F37-G37)/$E$37</f>
        <v>6.2729105845182084E-2</v>
      </c>
      <c r="G39" s="822">
        <f t="shared" si="11"/>
        <v>6.1172198295292544E-2</v>
      </c>
      <c r="H39" s="822">
        <f t="shared" si="11"/>
        <v>5.8619201704329479E-2</v>
      </c>
      <c r="I39" s="822">
        <f t="shared" si="11"/>
        <v>5.7407687017298883E-2</v>
      </c>
      <c r="J39" s="822">
        <f t="shared" si="11"/>
        <v>5.6488031128089873E-2</v>
      </c>
      <c r="K39" s="822">
        <f t="shared" si="11"/>
        <v>5.7544537682277304E-2</v>
      </c>
      <c r="L39" s="822">
        <f t="shared" si="11"/>
        <v>5.4920872586964903E-2</v>
      </c>
      <c r="M39" s="822">
        <f t="shared" si="11"/>
        <v>5.4418116000988039E-2</v>
      </c>
      <c r="N39" s="822">
        <f t="shared" si="11"/>
        <v>5.2926538660418056E-2</v>
      </c>
      <c r="O39" s="822">
        <f t="shared" si="11"/>
        <v>5.0834665470868894E-2</v>
      </c>
      <c r="P39" s="822">
        <f t="shared" si="11"/>
        <v>4.9966802051109017E-2</v>
      </c>
      <c r="Q39" s="822">
        <f t="shared" si="11"/>
        <v>4.7948782111282243E-2</v>
      </c>
      <c r="R39" s="822">
        <f t="shared" si="11"/>
        <v>4.5359416834608757E-2</v>
      </c>
      <c r="S39" s="822">
        <f t="shared" si="11"/>
        <v>4.3760905660387435E-2</v>
      </c>
      <c r="T39" s="822">
        <f t="shared" si="11"/>
        <v>3.9752033538572228E-2</v>
      </c>
      <c r="U39" s="822">
        <f t="shared" si="11"/>
        <v>3.6634351606562331E-2</v>
      </c>
      <c r="V39" s="822">
        <f t="shared" si="11"/>
        <v>3.4410692919895791E-2</v>
      </c>
      <c r="W39" s="822">
        <f t="shared" si="11"/>
        <v>3.1703351403155375E-2</v>
      </c>
      <c r="X39" s="822">
        <f t="shared" si="11"/>
        <v>3.6276626219353764E-2</v>
      </c>
    </row>
    <row r="42" spans="4:25">
      <c r="D42" s="825">
        <v>36617</v>
      </c>
      <c r="E42" s="825">
        <v>36982</v>
      </c>
      <c r="F42" s="825">
        <v>37347</v>
      </c>
      <c r="G42" s="825">
        <v>37712</v>
      </c>
      <c r="H42" s="825">
        <v>38078</v>
      </c>
      <c r="I42" s="825">
        <v>38444</v>
      </c>
      <c r="J42" s="825">
        <v>38808</v>
      </c>
      <c r="K42" s="825">
        <v>37347</v>
      </c>
      <c r="L42" s="825">
        <v>39539</v>
      </c>
      <c r="M42" s="825">
        <v>39904</v>
      </c>
      <c r="N42" s="825">
        <v>40269</v>
      </c>
      <c r="O42" s="825">
        <v>40634</v>
      </c>
      <c r="P42" s="825">
        <v>41000</v>
      </c>
      <c r="Q42" s="825">
        <v>41365</v>
      </c>
      <c r="R42" s="825">
        <v>41730</v>
      </c>
      <c r="S42" s="825">
        <v>42095</v>
      </c>
      <c r="T42" s="825">
        <v>42461</v>
      </c>
      <c r="U42" s="825">
        <v>42826</v>
      </c>
      <c r="V42" s="825">
        <v>43191</v>
      </c>
      <c r="W42" s="825">
        <v>43556</v>
      </c>
      <c r="X42" s="825">
        <v>43922</v>
      </c>
      <c r="Y42" s="825">
        <v>44105</v>
      </c>
    </row>
    <row r="43" spans="4:25">
      <c r="D43" s="782">
        <v>134921749.54653946</v>
      </c>
      <c r="E43" s="782">
        <v>131743725.11320361</v>
      </c>
      <c r="F43" s="782">
        <v>129528966.26157856</v>
      </c>
      <c r="G43" s="782">
        <v>127053137.54226491</v>
      </c>
      <c r="H43" s="782">
        <v>123975637.26952</v>
      </c>
      <c r="I43" s="782">
        <f>AVERAGE(H43,J43)</f>
        <v>120298578.13396417</v>
      </c>
      <c r="J43" s="782">
        <v>116621518.99840833</v>
      </c>
      <c r="K43" s="782">
        <f>AVERAGE(J43,L43)</f>
        <v>111592179.67897782</v>
      </c>
      <c r="L43" s="782">
        <v>106562840.35954729</v>
      </c>
      <c r="M43" s="782">
        <f>AVERAGE(L43,N43)</f>
        <v>99967039.781682327</v>
      </c>
      <c r="N43" s="782">
        <v>93371239.203817368</v>
      </c>
      <c r="O43" s="782">
        <f>AVERAGE(N43,P43)</f>
        <v>85030730.466154546</v>
      </c>
      <c r="P43" s="782">
        <v>76690221.728491709</v>
      </c>
      <c r="Q43" s="782">
        <f>AVERAGE(P43,R43)</f>
        <v>78366953.325643212</v>
      </c>
      <c r="R43" s="782">
        <v>80043684.922794715</v>
      </c>
      <c r="S43" s="782">
        <f>AVERAGE(R43,T43)</f>
        <v>70131797.579666078</v>
      </c>
      <c r="T43" s="782">
        <v>60219910.236537427</v>
      </c>
      <c r="U43" s="782">
        <f>AVERAGE(T43,V43)</f>
        <v>54365549.56701088</v>
      </c>
      <c r="V43" s="782">
        <v>48511188.897484325</v>
      </c>
      <c r="W43" s="782">
        <v>36519301.376975343</v>
      </c>
      <c r="X43" s="782">
        <v>24062331.709243521</v>
      </c>
      <c r="Y43" s="782">
        <v>6767554.5</v>
      </c>
    </row>
    <row r="44" spans="4:25">
      <c r="E44" s="822">
        <f>(E43-F43)/$E43</f>
        <v>1.6811114531048641E-2</v>
      </c>
      <c r="F44" s="822">
        <f t="shared" ref="F44:S44" si="12">(F43-G43)/$E43</f>
        <v>1.8792763884475275E-2</v>
      </c>
      <c r="G44" s="822">
        <f t="shared" si="12"/>
        <v>2.3359748406237193E-2</v>
      </c>
      <c r="H44" s="822">
        <f t="shared" si="12"/>
        <v>2.7910696561800129E-2</v>
      </c>
      <c r="I44" s="822">
        <f t="shared" si="12"/>
        <v>2.7910696561800129E-2</v>
      </c>
      <c r="J44" s="822">
        <f t="shared" si="12"/>
        <v>3.8175171645624471E-2</v>
      </c>
      <c r="K44" s="822">
        <f t="shared" si="12"/>
        <v>3.8175171645624582E-2</v>
      </c>
      <c r="L44" s="822">
        <f t="shared" si="12"/>
        <v>5.0065386963951242E-2</v>
      </c>
      <c r="M44" s="822">
        <f t="shared" si="12"/>
        <v>5.0065386963951242E-2</v>
      </c>
      <c r="N44" s="822">
        <f t="shared" si="12"/>
        <v>6.3308584378467064E-2</v>
      </c>
      <c r="O44" s="822">
        <f t="shared" si="12"/>
        <v>6.3308584378467175E-2</v>
      </c>
      <c r="P44" s="822">
        <v>6.5000000000000002E-2</v>
      </c>
      <c r="Q44" s="822">
        <v>6.5000000000000002E-2</v>
      </c>
      <c r="R44" s="822">
        <f t="shared" si="12"/>
        <v>7.523612479161064E-2</v>
      </c>
      <c r="S44" s="822">
        <f t="shared" si="12"/>
        <v>7.5236124791610764E-2</v>
      </c>
      <c r="T44" s="822">
        <v>7.4999999999999997E-2</v>
      </c>
      <c r="U44" s="822">
        <v>7.4999999999999997E-2</v>
      </c>
      <c r="V44" s="822">
        <v>0.05</v>
      </c>
      <c r="W44" s="822">
        <v>0.05</v>
      </c>
      <c r="X44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H57" sqref="H57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12371.85</v>
      </c>
      <c r="E26" s="327">
        <f ca="1">'IS-ENA'!E24</f>
        <v>12159.65</v>
      </c>
      <c r="F26" s="327">
        <f ca="1">'IS-ENA'!F24</f>
        <v>11918.07</v>
      </c>
      <c r="G26" s="327">
        <f ca="1">'IS-ENA'!G24</f>
        <v>11619.86</v>
      </c>
      <c r="H26" s="327">
        <f ca="1">'IS-ENA'!H24</f>
        <v>11273.68</v>
      </c>
      <c r="I26" s="327">
        <f ca="1">'IS-ENA'!I24</f>
        <v>10908.41</v>
      </c>
      <c r="J26" s="327">
        <f ca="1">'IS-ENA'!J24</f>
        <v>10434.92</v>
      </c>
      <c r="K26" s="327">
        <f ca="1">'IS-ENA'!K24</f>
        <v>9939.2999999999993</v>
      </c>
      <c r="L26" s="327">
        <f ca="1">'IS-ENA'!L24</f>
        <v>9318.34</v>
      </c>
      <c r="M26" s="327">
        <f ca="1">'IS-ENA'!M24</f>
        <v>8672.73</v>
      </c>
      <c r="N26" s="327">
        <f ca="1">'IS-ENA'!N24</f>
        <v>7887.51</v>
      </c>
      <c r="O26" s="327">
        <f ca="1">'IS-ENA'!O24</f>
        <v>7099.14</v>
      </c>
      <c r="P26" s="327">
        <f ca="1">'IS-ENA'!P24</f>
        <v>6292.93</v>
      </c>
      <c r="Q26" s="327">
        <f ca="1">'IS-ENA'!Q24</f>
        <v>5467.69</v>
      </c>
      <c r="R26" s="327">
        <f ca="1">'IS-ENA'!R24</f>
        <v>4534.5200000000004</v>
      </c>
      <c r="S26" s="327">
        <f ca="1">'IS-ENA'!S24</f>
        <v>3601.8</v>
      </c>
      <c r="T26" s="327">
        <f ca="1">'IS-ENA'!T24</f>
        <v>2671.56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116.64334476967331</v>
      </c>
      <c r="D28" s="327">
        <f ca="1">'IS-ENA'!D25</f>
        <v>118.33964756432812</v>
      </c>
      <c r="E28" s="327">
        <f ca="1">'IS-ENA'!E25</f>
        <v>119.24335463118534</v>
      </c>
      <c r="F28" s="327">
        <f ca="1">'IS-ENA'!F25</f>
        <v>121.12468831859331</v>
      </c>
      <c r="G28" s="327">
        <f ca="1">'IS-ENA'!G25</f>
        <v>121.62949280459989</v>
      </c>
      <c r="H28" s="327">
        <f ca="1">'IS-ENA'!H25</f>
        <v>124.1581736019499</v>
      </c>
      <c r="I28" s="327">
        <f ca="1">'IS-ENA'!I25</f>
        <v>124.07494860845719</v>
      </c>
      <c r="J28" s="327">
        <f ca="1">'IS-ENA'!J25</f>
        <v>123.80759316743415</v>
      </c>
      <c r="K28" s="327">
        <f ca="1">'IS-ENA'!K25</f>
        <v>120.79604303124738</v>
      </c>
      <c r="L28" s="327">
        <f ca="1">'IS-ENA'!L25</f>
        <v>119.39227248067498</v>
      </c>
      <c r="M28" s="327">
        <f ca="1">'IS-ENA'!M25</f>
        <v>115.02544161875915</v>
      </c>
      <c r="N28" s="327">
        <f ca="1">'IS-ENA'!N25</f>
        <v>110.37798317122886</v>
      </c>
      <c r="O28" s="327">
        <f ca="1">'IS-ENA'!O25</f>
        <v>105.18385517122883</v>
      </c>
      <c r="P28" s="327">
        <f ca="1">'IS-ENA'!P25</f>
        <v>95.14071117122883</v>
      </c>
      <c r="Q28" s="327">
        <f ca="1">'IS-ENA'!Q25</f>
        <v>83.491083585614433</v>
      </c>
      <c r="R28" s="327">
        <f ca="1">'IS-ENA'!R25</f>
        <v>72.127471999999997</v>
      </c>
      <c r="S28" s="327">
        <f ca="1">'IS-ENA'!S25</f>
        <v>65.23699000000002</v>
      </c>
      <c r="T28" s="327">
        <f ca="1">'IS-ENA'!T25</f>
        <v>56.233493333333342</v>
      </c>
      <c r="U28" s="327">
        <f ca="1">'IS-ENA'!U25</f>
        <v>53.573880000000003</v>
      </c>
      <c r="V28" s="327">
        <f ca="1">'IS-ENA'!V25</f>
        <v>50.556240000000003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98.670844769673309</v>
      </c>
      <c r="D30" s="327">
        <f t="shared" ca="1" si="3"/>
        <v>14385.675642144448</v>
      </c>
      <c r="E30" s="327">
        <f t="shared" ca="1" si="3"/>
        <v>14334.153700631028</v>
      </c>
      <c r="F30" s="327">
        <f t="shared" ca="1" si="3"/>
        <v>14557.615787079509</v>
      </c>
      <c r="G30" s="327">
        <f t="shared" ca="1" si="3"/>
        <v>14719.11656263479</v>
      </c>
      <c r="H30" s="327">
        <f t="shared" ca="1" si="3"/>
        <v>14294.974344570766</v>
      </c>
      <c r="I30" s="327">
        <f t="shared" ca="1" si="3"/>
        <v>15059.448085723387</v>
      </c>
      <c r="J30" s="327">
        <f t="shared" ca="1" si="3"/>
        <v>14500.794645017218</v>
      </c>
      <c r="K30" s="327">
        <f t="shared" ca="1" si="3"/>
        <v>15319.506499791047</v>
      </c>
      <c r="L30" s="327">
        <f t="shared" ca="1" si="3"/>
        <v>14607.600366124838</v>
      </c>
      <c r="M30" s="327">
        <f t="shared" ca="1" si="3"/>
        <v>15430.016222932845</v>
      </c>
      <c r="N30" s="327">
        <f t="shared" ca="1" si="3"/>
        <v>14545.705837378735</v>
      </c>
      <c r="O30" s="327">
        <f t="shared" ca="1" si="3"/>
        <v>14882.448855171227</v>
      </c>
      <c r="P30" s="327">
        <f t="shared" ca="1" si="3"/>
        <v>13966.584017107019</v>
      </c>
      <c r="Q30" s="327">
        <f t="shared" ca="1" si="3"/>
        <v>14236.535420726468</v>
      </c>
      <c r="R30" s="327">
        <f t="shared" ca="1" si="3"/>
        <v>13186.93846667222</v>
      </c>
      <c r="S30" s="327">
        <f t="shared" ca="1" si="3"/>
        <v>12111.535690947892</v>
      </c>
      <c r="T30" s="327">
        <f t="shared" ca="1" si="3"/>
        <v>11061.47884014261</v>
      </c>
      <c r="U30" s="327">
        <f t="shared" ca="1" si="3"/>
        <v>5320.3289121089183</v>
      </c>
      <c r="V30" s="327">
        <f t="shared" ca="1" si="3"/>
        <v>5200.4332139116495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-66.694634484895289</v>
      </c>
      <c r="E32" s="327">
        <f ca="1">+'IS-ENA'!E35</f>
        <v>-36.157568432386689</v>
      </c>
      <c r="F32" s="327">
        <f ca="1">+'IS-ENA'!F35</f>
        <v>130.84151385295041</v>
      </c>
      <c r="G32" s="327">
        <f ca="1">+'IS-ENA'!G35</f>
        <v>247.82420026552134</v>
      </c>
      <c r="H32" s="327">
        <f ca="1">+'IS-ENA'!H35</f>
        <v>-38.168639705448257</v>
      </c>
      <c r="I32" s="327">
        <f ca="1">+'IS-ENA'!I35</f>
        <v>431.80647060362674</v>
      </c>
      <c r="J32" s="327">
        <f ca="1">+'IS-ENA'!J35</f>
        <v>927.42695354574607</v>
      </c>
      <c r="K32" s="327">
        <f ca="1">+'IS-ENA'!K35</f>
        <v>986.47233287445465</v>
      </c>
      <c r="L32" s="327">
        <f ca="1">+'IS-ENA'!L35</f>
        <v>895.95409444198049</v>
      </c>
      <c r="M32" s="327">
        <f ca="1">+'IS-ENA'!M35</f>
        <v>975.62053979873349</v>
      </c>
      <c r="N32" s="327">
        <f ca="1">+'IS-ENA'!N35</f>
        <v>917.31124579597338</v>
      </c>
      <c r="O32" s="327">
        <f ca="1">+'IS-ENA'!O35</f>
        <v>895.44745168226075</v>
      </c>
      <c r="P32" s="327">
        <f ca="1">+'IS-ENA'!P35</f>
        <v>760.07749025204794</v>
      </c>
      <c r="Q32" s="327">
        <f ca="1">+'IS-ENA'!Q35</f>
        <v>1135.2497691452195</v>
      </c>
      <c r="R32" s="327">
        <f ca="1">+'IS-ENA'!R35</f>
        <v>1799.993095478847</v>
      </c>
      <c r="S32" s="327">
        <f ca="1">+'IS-ENA'!S35</f>
        <v>2458.1582378816893</v>
      </c>
      <c r="T32" s="327">
        <f ca="1">+'IS-ENA'!T35</f>
        <v>2550.564198710641</v>
      </c>
      <c r="U32" s="327">
        <f ca="1">+'IS-ENA'!U35</f>
        <v>2832.6087158473738</v>
      </c>
      <c r="V32" s="327">
        <f ca="1">+'IS-ENA'!V35</f>
        <v>2342.4394265221517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0</v>
      </c>
      <c r="E33" s="328">
        <f ca="1">+'TAXES-ENA'!E33</f>
        <v>0</v>
      </c>
      <c r="F33" s="328">
        <f ca="1">+'TAXES-ENA'!F33</f>
        <v>111.28610434941471</v>
      </c>
      <c r="G33" s="328">
        <f ca="1">+'TAXES-ENA'!G33</f>
        <v>1358.9026981226086</v>
      </c>
      <c r="H33" s="328">
        <f ca="1">+'TAXES-ENA'!H33</f>
        <v>0</v>
      </c>
      <c r="I33" s="328">
        <f ca="1">+'TAXES-ENA'!I33</f>
        <v>2158.4474394250119</v>
      </c>
      <c r="J33" s="328">
        <f ca="1">+'TAXES-ENA'!J33</f>
        <v>5085.3911286091743</v>
      </c>
      <c r="K33" s="328">
        <f ca="1">+'TAXES-ENA'!K33</f>
        <v>5409.156625261593</v>
      </c>
      <c r="L33" s="328">
        <f ca="1">+'TAXES-ENA'!L33</f>
        <v>4912.8149511901929</v>
      </c>
      <c r="M33" s="328">
        <f ca="1">+'TAXES-ENA'!M33</f>
        <v>5349.6526265630546</v>
      </c>
      <c r="N33" s="328">
        <f ca="1">+'TAXES-ENA'!N33</f>
        <v>5029.9233311145872</v>
      </c>
      <c r="O33" s="328">
        <f ca="1">+'TAXES-ENA'!O33</f>
        <v>4910.0368600577294</v>
      </c>
      <c r="P33" s="328">
        <f ca="1">+'TAXES-ENA'!P33</f>
        <v>4167.758238215396</v>
      </c>
      <c r="Q33" s="328">
        <f ca="1">+'TAXES-ENA'!Q33</f>
        <v>6224.9529008129539</v>
      </c>
      <c r="R33" s="328">
        <f ca="1">+'TAXES-ENA'!R33</f>
        <v>9869.9621402090106</v>
      </c>
      <c r="S33" s="328">
        <f ca="1">+'TAXES-ENA'!S33</f>
        <v>13478.901004384596</v>
      </c>
      <c r="T33" s="328">
        <f ca="1">+'TAXES-ENA'!T33</f>
        <v>13985.593689596681</v>
      </c>
      <c r="U33" s="328">
        <f ca="1">+'TAXES-ENA'!U33</f>
        <v>15532.137791896432</v>
      </c>
      <c r="V33" s="328">
        <f ca="1">+'TAXES-ENA'!V33</f>
        <v>12844.376188763132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-66.694634484895289</v>
      </c>
      <c r="E34" s="327">
        <f t="shared" ca="1" si="4"/>
        <v>-36.157568432386689</v>
      </c>
      <c r="F34" s="327">
        <f t="shared" ca="1" si="4"/>
        <v>242.12761820236511</v>
      </c>
      <c r="G34" s="327">
        <f t="shared" ca="1" si="4"/>
        <v>1606.7268983881299</v>
      </c>
      <c r="H34" s="327">
        <f t="shared" ca="1" si="4"/>
        <v>-38.168639705448257</v>
      </c>
      <c r="I34" s="327">
        <f t="shared" ca="1" si="4"/>
        <v>2590.2539100286385</v>
      </c>
      <c r="J34" s="327">
        <f t="shared" ca="1" si="4"/>
        <v>6012.8180821549204</v>
      </c>
      <c r="K34" s="327">
        <f t="shared" ca="1" si="4"/>
        <v>6395.6289581360479</v>
      </c>
      <c r="L34" s="327">
        <f t="shared" ca="1" si="4"/>
        <v>5808.7690456321734</v>
      </c>
      <c r="M34" s="327">
        <f t="shared" ca="1" si="4"/>
        <v>6325.2731663617878</v>
      </c>
      <c r="N34" s="327">
        <f t="shared" ca="1" si="4"/>
        <v>5947.2345769105605</v>
      </c>
      <c r="O34" s="327">
        <f t="shared" ca="1" si="4"/>
        <v>5805.4843117399905</v>
      </c>
      <c r="P34" s="327">
        <f t="shared" ca="1" si="4"/>
        <v>4927.8357284674439</v>
      </c>
      <c r="Q34" s="327">
        <f t="shared" ca="1" si="4"/>
        <v>7360.2026699581729</v>
      </c>
      <c r="R34" s="327">
        <f t="shared" ca="1" si="4"/>
        <v>11669.955235687858</v>
      </c>
      <c r="S34" s="327">
        <f t="shared" ca="1" si="4"/>
        <v>15937.059242266285</v>
      </c>
      <c r="T34" s="327">
        <f t="shared" ca="1" si="4"/>
        <v>16536.157888307323</v>
      </c>
      <c r="U34" s="327">
        <f t="shared" ca="1" si="4"/>
        <v>18364.746507743806</v>
      </c>
      <c r="V34" s="327">
        <f t="shared" ca="1" si="4"/>
        <v>15186.815615285283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9707.7183343670531</v>
      </c>
      <c r="D36" s="335">
        <f t="shared" ca="1" si="5"/>
        <v>13619.546254099907</v>
      </c>
      <c r="E36" s="335">
        <f t="shared" ca="1" si="5"/>
        <v>12301.732866160244</v>
      </c>
      <c r="F36" s="335">
        <f t="shared" ca="1" si="5"/>
        <v>13047.479645204314</v>
      </c>
      <c r="G36" s="335">
        <f t="shared" ca="1" si="5"/>
        <v>11997.628242996008</v>
      </c>
      <c r="H36" s="335">
        <f t="shared" ca="1" si="5"/>
        <v>5570.8657659454902</v>
      </c>
      <c r="I36" s="335">
        <f t="shared" ca="1" si="5"/>
        <v>8963.4383294376821</v>
      </c>
      <c r="J36" s="335">
        <f t="shared" ca="1" si="5"/>
        <v>13803.729449949267</v>
      </c>
      <c r="K36" s="335">
        <f t="shared" ca="1" si="5"/>
        <v>13056.793623031757</v>
      </c>
      <c r="L36" s="335">
        <f t="shared" ca="1" si="5"/>
        <v>12131.467968424804</v>
      </c>
      <c r="M36" s="335">
        <f t="shared" ca="1" si="5"/>
        <v>11381.091849793778</v>
      </c>
      <c r="N36" s="335">
        <f t="shared" ca="1" si="5"/>
        <v>10780.714196101093</v>
      </c>
      <c r="O36" s="335">
        <f t="shared" ca="1" si="5"/>
        <v>10315.626208254369</v>
      </c>
      <c r="P36" s="335">
        <f t="shared" ca="1" si="5"/>
        <v>8983.5029372007866</v>
      </c>
      <c r="Q36" s="335">
        <f t="shared" ca="1" si="5"/>
        <v>11563.440307894085</v>
      </c>
      <c r="R36" s="335">
        <f t="shared" ca="1" si="5"/>
        <v>13865.115071958788</v>
      </c>
      <c r="S36" s="335">
        <f t="shared" ca="1" si="5"/>
        <v>16103.552629957132</v>
      </c>
      <c r="T36" s="335">
        <f t="shared" ca="1" si="5"/>
        <v>17068.434633901998</v>
      </c>
      <c r="U36" s="335">
        <f t="shared" ca="1" si="5"/>
        <v>22879.195584305835</v>
      </c>
      <c r="V36" s="335">
        <f t="shared" ca="1" si="5"/>
        <v>35300.135778934964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12371.85</v>
      </c>
      <c r="E44" s="685">
        <f ca="1">'ENA Debt'!E34</f>
        <v>12159.65</v>
      </c>
      <c r="F44" s="685">
        <f ca="1">'ENA Debt'!F34</f>
        <v>11918.07</v>
      </c>
      <c r="G44" s="685">
        <f ca="1">'ENA Debt'!G34</f>
        <v>11619.86</v>
      </c>
      <c r="H44" s="685">
        <f ca="1">'ENA Debt'!H34</f>
        <v>11273.68</v>
      </c>
      <c r="I44" s="685">
        <f ca="1">'ENA Debt'!I34</f>
        <v>10908.41</v>
      </c>
      <c r="J44" s="685">
        <f ca="1">'ENA Debt'!J34</f>
        <v>10434.92</v>
      </c>
      <c r="K44" s="685">
        <f ca="1">'ENA Debt'!K34</f>
        <v>9939.2999999999993</v>
      </c>
      <c r="L44" s="685">
        <f ca="1">'ENA Debt'!L34</f>
        <v>9318.34</v>
      </c>
      <c r="M44" s="685">
        <f ca="1">'ENA Debt'!M34</f>
        <v>8672.73</v>
      </c>
      <c r="N44" s="685">
        <f ca="1">'ENA Debt'!N34</f>
        <v>7887.51</v>
      </c>
      <c r="O44" s="685">
        <f ca="1">'ENA Debt'!O34</f>
        <v>7099.14</v>
      </c>
      <c r="P44" s="685">
        <f ca="1">'ENA Debt'!P34</f>
        <v>6292.93</v>
      </c>
      <c r="Q44" s="685">
        <f ca="1">'ENA Debt'!Q34</f>
        <v>5467.69</v>
      </c>
      <c r="R44" s="685">
        <f ca="1">'ENA Debt'!R34</f>
        <v>4534.5200000000004</v>
      </c>
      <c r="S44" s="685">
        <f ca="1">'ENA Debt'!S34</f>
        <v>3601.8</v>
      </c>
      <c r="T44" s="685">
        <f ca="1">'ENA Debt'!T34</f>
        <v>2671.56</v>
      </c>
      <c r="U44" s="685">
        <f ca="1">'ENA Debt'!U34</f>
        <v>1787.84</v>
      </c>
      <c r="V44" s="685">
        <f ca="1">'ENA Debt'!V34</f>
        <v>1167.69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14357.662903980121</v>
      </c>
      <c r="E46" s="685">
        <f t="shared" ca="1" si="8"/>
        <v>14379.545233853642</v>
      </c>
      <c r="F46" s="685">
        <f t="shared" ca="1" si="8"/>
        <v>14677.440280486768</v>
      </c>
      <c r="G46" s="685">
        <f t="shared" ca="1" si="8"/>
        <v>14916.811031362642</v>
      </c>
      <c r="H46" s="685">
        <f t="shared" ca="1" si="8"/>
        <v>14570.631031362642</v>
      </c>
      <c r="I46" s="685">
        <f t="shared" ca="1" si="8"/>
        <v>15417.85215063939</v>
      </c>
      <c r="J46" s="685">
        <f t="shared" ca="1" si="8"/>
        <v>14944.362150639405</v>
      </c>
      <c r="K46" s="685">
        <f t="shared" ca="1" si="8"/>
        <v>15853.273835116739</v>
      </c>
      <c r="L46" s="685">
        <f t="shared" ca="1" si="8"/>
        <v>15232.31383511674</v>
      </c>
      <c r="M46" s="685">
        <f t="shared" ca="1" si="8"/>
        <v>16151.056529706422</v>
      </c>
      <c r="N46" s="685">
        <f t="shared" ca="1" si="8"/>
        <v>15365.836529706436</v>
      </c>
      <c r="O46" s="685">
        <f t="shared" ca="1" si="8"/>
        <v>14777.264999999999</v>
      </c>
      <c r="P46" s="685">
        <f t="shared" ca="1" si="8"/>
        <v>13971.055</v>
      </c>
      <c r="Q46" s="685">
        <f t="shared" ca="1" si="8"/>
        <v>14354.957241009008</v>
      </c>
      <c r="R46" s="685">
        <f t="shared" ca="1" si="8"/>
        <v>13421.787241009022</v>
      </c>
      <c r="S46" s="685">
        <f t="shared" ca="1" si="8"/>
        <v>12461.174999999999</v>
      </c>
      <c r="T46" s="685">
        <f ca="1">T45+T44</f>
        <v>11530.934999999999</v>
      </c>
      <c r="U46" s="685">
        <f ca="1">U45+U44</f>
        <v>7694.09</v>
      </c>
      <c r="V46" s="685">
        <f ca="1">V45+V44</f>
        <v>7073.9400000000005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14357.662903980121</v>
      </c>
      <c r="E49" s="690">
        <f t="shared" ca="1" si="9"/>
        <v>14379.545233853642</v>
      </c>
      <c r="F49" s="690">
        <f t="shared" ca="1" si="9"/>
        <v>14677.440280486768</v>
      </c>
      <c r="G49" s="690">
        <f t="shared" ca="1" si="9"/>
        <v>14916.811031362642</v>
      </c>
      <c r="H49" s="690">
        <f t="shared" ca="1" si="9"/>
        <v>14570.631031362642</v>
      </c>
      <c r="I49" s="690">
        <f t="shared" ca="1" si="9"/>
        <v>15417.85215063939</v>
      </c>
      <c r="J49" s="690">
        <f t="shared" ca="1" si="9"/>
        <v>14944.362150639405</v>
      </c>
      <c r="K49" s="690">
        <f t="shared" ca="1" si="9"/>
        <v>15853.273835116739</v>
      </c>
      <c r="L49" s="690">
        <f t="shared" ca="1" si="9"/>
        <v>15232.31383511674</v>
      </c>
      <c r="M49" s="690">
        <f t="shared" ca="1" si="9"/>
        <v>16151.056529706422</v>
      </c>
      <c r="N49" s="690">
        <f t="shared" ca="1" si="9"/>
        <v>15365.836529706436</v>
      </c>
      <c r="O49" s="690">
        <f t="shared" ca="1" si="9"/>
        <v>14777.264999999999</v>
      </c>
      <c r="P49" s="690">
        <f t="shared" ca="1" si="9"/>
        <v>13971.055</v>
      </c>
      <c r="Q49" s="690">
        <f t="shared" ca="1" si="9"/>
        <v>14354.957241009008</v>
      </c>
      <c r="R49" s="690">
        <f t="shared" ca="1" si="9"/>
        <v>13421.787241009022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1.9458965883656842</v>
      </c>
      <c r="E52" s="693">
        <f t="shared" ca="1" si="10"/>
        <v>1.8498310319115912</v>
      </c>
      <c r="F52" s="693">
        <f t="shared" ca="1" si="10"/>
        <v>1.897280623754829</v>
      </c>
      <c r="G52" s="693">
        <f t="shared" ca="1" si="10"/>
        <v>1.8987618495983316</v>
      </c>
      <c r="H52" s="693">
        <f t="shared" ca="1" si="10"/>
        <v>1.360797032615308</v>
      </c>
      <c r="I52" s="693">
        <f t="shared" ca="1" si="10"/>
        <v>1.7261250182689059</v>
      </c>
      <c r="J52" s="693">
        <f t="shared" ca="1" si="10"/>
        <v>2.2963403744637647</v>
      </c>
      <c r="K52" s="693">
        <f t="shared" ca="1" si="10"/>
        <v>2.1933595194662705</v>
      </c>
      <c r="L52" s="693">
        <f t="shared" ca="1" si="10"/>
        <v>2.1367625255426188</v>
      </c>
      <c r="M52" s="693">
        <f t="shared" ca="1" si="10"/>
        <v>2.051654093225487</v>
      </c>
      <c r="N52" s="693">
        <f t="shared" ca="1" si="10"/>
        <v>2.03527185454106</v>
      </c>
      <c r="O52" s="693">
        <f t="shared" ca="1" si="10"/>
        <v>2.09805802191174</v>
      </c>
      <c r="P52" s="693">
        <f t="shared" ca="1" si="10"/>
        <v>1.9954056928968678</v>
      </c>
      <c r="Q52" s="693">
        <f t="shared" ca="1" si="10"/>
        <v>2.3100158253239007</v>
      </c>
      <c r="R52" s="693">
        <f t="shared" ca="1" si="10"/>
        <v>2.88501136838225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2.0453714280179072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1.360797032615308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1.9458965883656842</v>
      </c>
      <c r="E57" s="693">
        <f t="shared" ca="1" si="11"/>
        <v>1.8498310319115912</v>
      </c>
      <c r="F57" s="693">
        <f t="shared" ca="1" si="11"/>
        <v>1.897280623754829</v>
      </c>
      <c r="G57" s="693">
        <f t="shared" ca="1" si="11"/>
        <v>1.8987618495983316</v>
      </c>
      <c r="H57" s="693">
        <f t="shared" ca="1" si="11"/>
        <v>1.360797032615308</v>
      </c>
      <c r="I57" s="693">
        <f t="shared" ca="1" si="11"/>
        <v>1.7261250182689059</v>
      </c>
      <c r="J57" s="693">
        <f t="shared" ca="1" si="11"/>
        <v>2.2963403744637647</v>
      </c>
      <c r="K57" s="693">
        <f t="shared" ca="1" si="11"/>
        <v>2.1933595194662705</v>
      </c>
      <c r="L57" s="693">
        <f t="shared" ca="1" si="11"/>
        <v>2.1367625255426188</v>
      </c>
      <c r="M57" s="693">
        <f t="shared" ca="1" si="11"/>
        <v>2.051654093225487</v>
      </c>
      <c r="N57" s="693">
        <f t="shared" ca="1" si="11"/>
        <v>2.03527185454106</v>
      </c>
      <c r="O57" s="693">
        <f t="shared" ca="1" si="11"/>
        <v>2.09805802191174</v>
      </c>
      <c r="P57" s="693">
        <f t="shared" ca="1" si="11"/>
        <v>1.9954056928968678</v>
      </c>
      <c r="Q57" s="693">
        <f t="shared" ca="1" si="11"/>
        <v>2.3100158253239007</v>
      </c>
      <c r="R57" s="693">
        <f ca="1">IF(R49&gt;1,(R13-R21)/R49,0)</f>
        <v>2.88501136838225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5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14357.662903980121</v>
      </c>
      <c r="E10" s="819">
        <f t="shared" ca="1" si="0"/>
        <v>14379.545233853642</v>
      </c>
      <c r="F10" s="819">
        <f t="shared" ca="1" si="0"/>
        <v>14677.440280486768</v>
      </c>
      <c r="G10" s="819">
        <f t="shared" ca="1" si="0"/>
        <v>14916.811031362642</v>
      </c>
      <c r="H10" s="819">
        <f t="shared" ca="1" si="0"/>
        <v>14570.631031362642</v>
      </c>
      <c r="I10" s="819">
        <f t="shared" ca="1" si="0"/>
        <v>15417.85215063939</v>
      </c>
      <c r="J10" s="819">
        <f t="shared" ca="1" si="0"/>
        <v>14944.362150639405</v>
      </c>
      <c r="K10" s="819">
        <f t="shared" ca="1" si="0"/>
        <v>15853.273835116739</v>
      </c>
      <c r="L10" s="819">
        <f t="shared" ca="1" si="0"/>
        <v>15232.31383511674</v>
      </c>
      <c r="M10" s="819">
        <f t="shared" ca="1" si="0"/>
        <v>16151.056529706422</v>
      </c>
      <c r="N10" s="819">
        <f t="shared" ca="1" si="0"/>
        <v>15365.836529706436</v>
      </c>
      <c r="O10" s="819">
        <f t="shared" ca="1" si="0"/>
        <v>14777.264999999999</v>
      </c>
      <c r="P10" s="819">
        <f t="shared" ca="1" si="0"/>
        <v>13971.055</v>
      </c>
      <c r="Q10" s="819">
        <f t="shared" ca="1" si="0"/>
        <v>14354.957241009008</v>
      </c>
      <c r="R10" s="819">
        <f t="shared" ca="1" si="0"/>
        <v>13421.787241009022</v>
      </c>
      <c r="S10" s="819">
        <f t="shared" ca="1" si="0"/>
        <v>12461.174999999999</v>
      </c>
      <c r="T10" s="819">
        <f t="shared" ca="1" si="0"/>
        <v>11530.934999999999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72853.264090633951</v>
      </c>
      <c r="E15" s="327">
        <f t="shared" ca="1" si="1"/>
        <v>71753.706191150908</v>
      </c>
      <c r="F15" s="327">
        <f t="shared" ca="1" si="1"/>
        <v>74071.648611202487</v>
      </c>
      <c r="G15" s="327">
        <f t="shared" ca="1" si="1"/>
        <v>74925.177374209787</v>
      </c>
      <c r="H15" s="327">
        <f t="shared" ca="1" si="1"/>
        <v>62174.39808813703</v>
      </c>
      <c r="I15" s="327">
        <f t="shared" ca="1" si="1"/>
        <v>73879.659298401501</v>
      </c>
      <c r="J15" s="327">
        <f t="shared" ca="1" si="1"/>
        <v>85292.775493717345</v>
      </c>
      <c r="K15" s="327">
        <f t="shared" ca="1" si="1"/>
        <v>87125.247861469383</v>
      </c>
      <c r="L15" s="327">
        <f t="shared" ca="1" si="1"/>
        <v>83732.459227071435</v>
      </c>
      <c r="M15" s="327">
        <f t="shared" ca="1" si="1"/>
        <v>85989.874037767207</v>
      </c>
      <c r="N15" s="327">
        <f t="shared" ca="1" si="1"/>
        <v>82930.041372692038</v>
      </c>
      <c r="O15" s="327">
        <f t="shared" ca="1" si="1"/>
        <v>82989.219208195907</v>
      </c>
      <c r="P15" s="327">
        <f t="shared" ca="1" si="1"/>
        <v>77848.178718046242</v>
      </c>
      <c r="Q15" s="327">
        <f t="shared" ca="1" si="1"/>
        <v>86646.068189856349</v>
      </c>
      <c r="R15" s="327">
        <f t="shared" ca="1" si="1"/>
        <v>94137.617139527079</v>
      </c>
      <c r="S15" s="327">
        <f t="shared" ca="1" si="1"/>
        <v>101698.70408603661</v>
      </c>
      <c r="T15" s="327">
        <f t="shared" ca="1" si="1"/>
        <v>102089.30540512736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OandM!C62</f>
        <v>0</v>
      </c>
      <c r="D22" s="327">
        <f ca="1">OandM!D62</f>
        <v>0</v>
      </c>
      <c r="E22" s="327">
        <f ca="1">OandM!E62</f>
        <v>121.9483600178628</v>
      </c>
      <c r="F22" s="327">
        <f ca="1">OandM!F62</f>
        <v>53.162309015630854</v>
      </c>
      <c r="G22" s="327">
        <f ca="1">OandM!G62</f>
        <v>-16.772231534086586</v>
      </c>
      <c r="H22" s="327">
        <f ca="1">OandM!H62</f>
        <v>-21.133578182123301</v>
      </c>
      <c r="I22" s="327">
        <f ca="1">OandM!I62</f>
        <v>78.019829363568761</v>
      </c>
      <c r="J22" s="327">
        <f ca="1">OandM!J62</f>
        <v>75.50591909434047</v>
      </c>
      <c r="K22" s="327">
        <f ca="1">OandM!K62</f>
        <v>34.348806641033889</v>
      </c>
      <c r="L22" s="327">
        <f ca="1">OandM!L62</f>
        <v>22.737100934786213</v>
      </c>
      <c r="M22" s="327">
        <f ca="1">OandM!M62</f>
        <v>35.190459134901175</v>
      </c>
      <c r="N22" s="327">
        <f ca="1">OandM!N62</f>
        <v>26.625169956970012</v>
      </c>
      <c r="O22" s="327">
        <f ca="1">OandM!O62</f>
        <v>84.428349727989144</v>
      </c>
      <c r="P22" s="327">
        <f ca="1">OandM!P62</f>
        <v>22.874214608067632</v>
      </c>
      <c r="Q22" s="327">
        <f ca="1">OandM!Q62</f>
        <v>69.458941910391786</v>
      </c>
      <c r="R22" s="327">
        <f ca="1">OandM!R62</f>
        <v>49.737230696203369</v>
      </c>
      <c r="S22" s="327">
        <f ca="1">OandM!S62</f>
        <v>69.317092471398155</v>
      </c>
      <c r="T22" s="327">
        <f ca="1">OandM!T62</f>
        <v>45.435789634695084</v>
      </c>
      <c r="U22" s="327">
        <f ca="1">OandM!U62</f>
        <v>59.95317207325752</v>
      </c>
      <c r="V22" s="327">
        <f ca="1">OandM!V62</f>
        <v>-2225.083763750702</v>
      </c>
      <c r="W22" s="326"/>
    </row>
    <row r="23" spans="1:23">
      <c r="A23" s="331" t="s">
        <v>306</v>
      </c>
      <c r="C23" s="328">
        <f ca="1">IF(C6='ASSUM 1'!$D$36,-OandM!C42,0)</f>
        <v>0</v>
      </c>
      <c r="D23" s="328">
        <f ca="1">IF(D6='ASSUM 1'!$D$36,-OandM!D42,0)</f>
        <v>0</v>
      </c>
      <c r="E23" s="328">
        <f ca="1">IF(E6='ASSUM 1'!$D$36,-OandM!E42,0)</f>
        <v>0</v>
      </c>
      <c r="F23" s="328">
        <f ca="1">IF(F6='ASSUM 1'!$D$36,-OandM!F42,0)</f>
        <v>0</v>
      </c>
      <c r="G23" s="328">
        <f ca="1">IF(G6='ASSUM 1'!$D$36,-OandM!G42,0)</f>
        <v>0</v>
      </c>
      <c r="H23" s="328">
        <f ca="1">IF(H6='ASSUM 1'!$D$36,-OandM!H42,0)</f>
        <v>0</v>
      </c>
      <c r="I23" s="328">
        <f ca="1">IF(I6='ASSUM 1'!$D$36,-OandM!I42,0)</f>
        <v>0</v>
      </c>
      <c r="J23" s="328">
        <f ca="1">IF(J6='ASSUM 1'!$D$36,-OandM!J42,0)</f>
        <v>0</v>
      </c>
      <c r="K23" s="328">
        <f ca="1">IF(K6='ASSUM 1'!$D$36,-OandM!K42,0)</f>
        <v>0</v>
      </c>
      <c r="L23" s="328">
        <f ca="1">IF(L6='ASSUM 1'!$D$36,-OandM!L42,0)</f>
        <v>0</v>
      </c>
      <c r="M23" s="328">
        <f ca="1">IF(M6='ASSUM 1'!$D$36,-OandM!M42,0)</f>
        <v>0</v>
      </c>
      <c r="N23" s="328">
        <f ca="1">IF(N6='ASSUM 1'!$D$36,-OandM!N42,0)</f>
        <v>0</v>
      </c>
      <c r="O23" s="328">
        <f ca="1">IF(O6='ASSUM 1'!$D$36,-OandM!O42,0)</f>
        <v>0</v>
      </c>
      <c r="P23" s="328">
        <f ca="1">IF(P6='ASSUM 1'!$D$36,-OandM!P42,0)</f>
        <v>0</v>
      </c>
      <c r="Q23" s="328">
        <f ca="1">IF(Q6='ASSUM 1'!$D$36,-OandM!Q42,0)</f>
        <v>0</v>
      </c>
      <c r="R23" s="328">
        <f ca="1">IF(R6='ASSUM 1'!$D$36,-OandM!R42,0)</f>
        <v>0</v>
      </c>
      <c r="S23" s="328">
        <f ca="1">IF(S6='ASSUM 1'!$D$36,-OandM!S42,0)</f>
        <v>0</v>
      </c>
      <c r="T23" s="328">
        <f ca="1">IF(T6='ASSUM 1'!$D$36,-OandM!T42,0)</f>
        <v>0</v>
      </c>
      <c r="U23" s="328">
        <f ca="1">IF(U6='ASSUM 1'!$D$36,-OandM!U42,0)</f>
        <v>0</v>
      </c>
      <c r="V23" s="328">
        <f ca="1">IF(V6='ASSUM 1'!$D$36,-OandM!V42,0)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42296.190165739594</v>
      </c>
      <c r="E26" s="327">
        <f t="shared" ca="1" si="4"/>
        <v>40979.27423221252</v>
      </c>
      <c r="F26" s="327">
        <f t="shared" ca="1" si="4"/>
        <v>42524.663330972966</v>
      </c>
      <c r="G26" s="327">
        <f t="shared" ca="1" si="4"/>
        <v>43240.282735381566</v>
      </c>
      <c r="H26" s="327">
        <f t="shared" ca="1" si="4"/>
        <v>34398.302502173457</v>
      </c>
      <c r="I26" s="327">
        <f t="shared" ca="1" si="4"/>
        <v>42030.992475829087</v>
      </c>
      <c r="J26" s="327">
        <f t="shared" ca="1" si="4"/>
        <v>49261.70432776081</v>
      </c>
      <c r="K26" s="327">
        <f t="shared" ca="1" si="4"/>
        <v>50625.202916075585</v>
      </c>
      <c r="L26" s="327">
        <f t="shared" ca="1" si="4"/>
        <v>47780.151215298567</v>
      </c>
      <c r="M26" s="327">
        <f t="shared" ca="1" si="4"/>
        <v>49287.437768794836</v>
      </c>
      <c r="N26" s="327">
        <f t="shared" ca="1" si="4"/>
        <v>46639.491140096827</v>
      </c>
      <c r="O26" s="327">
        <f t="shared" ca="1" si="4"/>
        <v>45780.82437516559</v>
      </c>
      <c r="P26" s="327">
        <f t="shared" ca="1" si="4"/>
        <v>41848.97768277525</v>
      </c>
      <c r="Q26" s="327">
        <f t="shared" ca="1" si="4"/>
        <v>47515.13563958773</v>
      </c>
      <c r="R26" s="327">
        <f t="shared" ca="1" si="4"/>
        <v>52143.796015327898</v>
      </c>
      <c r="S26" s="327">
        <f t="shared" ca="1" si="4"/>
        <v>56613.322563171321</v>
      </c>
      <c r="T26" s="327">
        <f t="shared" ca="1" si="4"/>
        <v>56197.006362351924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12371.85</v>
      </c>
      <c r="E29" s="327">
        <f ca="1">'IS-ENA'!E24</f>
        <v>12159.65</v>
      </c>
      <c r="F29" s="327">
        <f ca="1">'IS-ENA'!F24</f>
        <v>11918.07</v>
      </c>
      <c r="G29" s="327">
        <f ca="1">'IS-ENA'!G24</f>
        <v>11619.86</v>
      </c>
      <c r="H29" s="327">
        <f ca="1">'IS-ENA'!H24</f>
        <v>11273.68</v>
      </c>
      <c r="I29" s="327">
        <f ca="1">'IS-ENA'!I24</f>
        <v>10908.41</v>
      </c>
      <c r="J29" s="327">
        <f ca="1">'IS-ENA'!J24</f>
        <v>10434.92</v>
      </c>
      <c r="K29" s="327">
        <f ca="1">'IS-ENA'!K24</f>
        <v>9939.2999999999993</v>
      </c>
      <c r="L29" s="327">
        <f ca="1">'IS-ENA'!L24</f>
        <v>9318.34</v>
      </c>
      <c r="M29" s="327">
        <f ca="1">'IS-ENA'!M24</f>
        <v>8672.73</v>
      </c>
      <c r="N29" s="327">
        <f ca="1">'IS-ENA'!N24</f>
        <v>7887.51</v>
      </c>
      <c r="O29" s="327">
        <f ca="1">'IS-ENA'!O24</f>
        <v>7099.14</v>
      </c>
      <c r="P29" s="327">
        <f ca="1">'IS-ENA'!P24</f>
        <v>6292.93</v>
      </c>
      <c r="Q29" s="327">
        <f ca="1">'IS-ENA'!Q24</f>
        <v>5467.69</v>
      </c>
      <c r="R29" s="327">
        <f ca="1">'IS-ENA'!R24</f>
        <v>4534.5200000000004</v>
      </c>
      <c r="S29" s="327">
        <f ca="1">'IS-ENA'!S24</f>
        <v>3601.8</v>
      </c>
      <c r="T29" s="327">
        <f ca="1">'IS-ENA'!T24</f>
        <v>2671.56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14357.662903980121</v>
      </c>
      <c r="E31" s="327">
        <f t="shared" ca="1" si="5"/>
        <v>14379.545233853642</v>
      </c>
      <c r="F31" s="327">
        <f t="shared" ca="1" si="5"/>
        <v>14677.440280486768</v>
      </c>
      <c r="G31" s="327">
        <f t="shared" ca="1" si="5"/>
        <v>14916.811031362642</v>
      </c>
      <c r="H31" s="327">
        <f t="shared" ca="1" si="5"/>
        <v>14570.631031362642</v>
      </c>
      <c r="I31" s="327">
        <f t="shared" ca="1" si="5"/>
        <v>15417.85215063939</v>
      </c>
      <c r="J31" s="327">
        <f t="shared" ca="1" si="5"/>
        <v>14944.362150639405</v>
      </c>
      <c r="K31" s="327">
        <f t="shared" ca="1" si="5"/>
        <v>15853.273835116739</v>
      </c>
      <c r="L31" s="327">
        <f t="shared" ca="1" si="5"/>
        <v>15232.31383511674</v>
      </c>
      <c r="M31" s="327">
        <f t="shared" ca="1" si="5"/>
        <v>16151.056529706422</v>
      </c>
      <c r="N31" s="327">
        <f t="shared" ca="1" si="5"/>
        <v>15365.836529706436</v>
      </c>
      <c r="O31" s="327">
        <f t="shared" ca="1" si="5"/>
        <v>14777.264999999999</v>
      </c>
      <c r="P31" s="327">
        <f t="shared" ca="1" si="5"/>
        <v>13971.055</v>
      </c>
      <c r="Q31" s="327">
        <f t="shared" ca="1" si="5"/>
        <v>14354.957241009008</v>
      </c>
      <c r="R31" s="327">
        <f t="shared" ca="1" si="5"/>
        <v>13421.787241009022</v>
      </c>
      <c r="S31" s="327">
        <f t="shared" ca="1" si="5"/>
        <v>12461.174999999999</v>
      </c>
      <c r="T31" s="327">
        <f t="shared" ca="1" si="5"/>
        <v>11530.934999999999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116.64334476967331</v>
      </c>
      <c r="D32" s="327">
        <f ca="1">'IS-ENA'!D25</f>
        <v>118.33964756432812</v>
      </c>
      <c r="E32" s="327">
        <f ca="1">'IS-ENA'!E25</f>
        <v>119.24335463118534</v>
      </c>
      <c r="F32" s="327">
        <f ca="1">'IS-ENA'!F25</f>
        <v>121.12468831859331</v>
      </c>
      <c r="G32" s="327">
        <f ca="1">'IS-ENA'!G25</f>
        <v>121.62949280459989</v>
      </c>
      <c r="H32" s="327">
        <f ca="1">'IS-ENA'!H25</f>
        <v>124.1581736019499</v>
      </c>
      <c r="I32" s="327">
        <f ca="1">'IS-ENA'!I25</f>
        <v>124.07494860845719</v>
      </c>
      <c r="J32" s="327">
        <f ca="1">'IS-ENA'!J25</f>
        <v>123.80759316743415</v>
      </c>
      <c r="K32" s="327">
        <f ca="1">'IS-ENA'!K25</f>
        <v>120.79604303124738</v>
      </c>
      <c r="L32" s="327">
        <f ca="1">'IS-ENA'!L25</f>
        <v>119.39227248067498</v>
      </c>
      <c r="M32" s="327">
        <f ca="1">'IS-ENA'!M25</f>
        <v>115.02544161875915</v>
      </c>
      <c r="N32" s="327">
        <f ca="1">'IS-ENA'!N25</f>
        <v>110.37798317122886</v>
      </c>
      <c r="O32" s="327">
        <f ca="1">'IS-ENA'!O25</f>
        <v>105.18385517122883</v>
      </c>
      <c r="P32" s="327">
        <f ca="1">'IS-ENA'!P25</f>
        <v>95.14071117122883</v>
      </c>
      <c r="Q32" s="327">
        <f ca="1">'IS-ENA'!Q25</f>
        <v>83.491083585614433</v>
      </c>
      <c r="R32" s="327">
        <f ca="1">'IS-ENA'!R25</f>
        <v>72.127471999999997</v>
      </c>
      <c r="S32" s="327">
        <f ca="1">'IS-ENA'!S25</f>
        <v>65.23699000000002</v>
      </c>
      <c r="T32" s="327">
        <f ca="1">'IS-ENA'!T25</f>
        <v>56.233493333333342</v>
      </c>
      <c r="U32" s="327">
        <f ca="1">'IS-ENA'!U25</f>
        <v>53.573880000000003</v>
      </c>
      <c r="V32" s="327">
        <f ca="1">'IS-ENA'!V25</f>
        <v>50.556240000000003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98.670844769673309</v>
      </c>
      <c r="D34" s="327">
        <f t="shared" ca="1" si="6"/>
        <v>28743.338546124571</v>
      </c>
      <c r="E34" s="327">
        <f t="shared" ca="1" si="6"/>
        <v>28713.698934484666</v>
      </c>
      <c r="F34" s="327">
        <f t="shared" ca="1" si="6"/>
        <v>29235.056067566275</v>
      </c>
      <c r="G34" s="327">
        <f t="shared" ca="1" si="6"/>
        <v>29635.927593997436</v>
      </c>
      <c r="H34" s="327">
        <f t="shared" ca="1" si="6"/>
        <v>28865.605375933406</v>
      </c>
      <c r="I34" s="327">
        <f t="shared" ca="1" si="6"/>
        <v>30477.300236362778</v>
      </c>
      <c r="J34" s="327">
        <f t="shared" ca="1" si="6"/>
        <v>29445.156795656625</v>
      </c>
      <c r="K34" s="327">
        <f t="shared" ca="1" si="6"/>
        <v>31172.780334907788</v>
      </c>
      <c r="L34" s="327">
        <f t="shared" ca="1" si="6"/>
        <v>29839.91420124158</v>
      </c>
      <c r="M34" s="327">
        <f t="shared" ca="1" si="6"/>
        <v>31581.072752639269</v>
      </c>
      <c r="N34" s="327">
        <f t="shared" ca="1" si="6"/>
        <v>29911.542367085171</v>
      </c>
      <c r="O34" s="327">
        <f t="shared" ca="1" si="6"/>
        <v>29659.713855171227</v>
      </c>
      <c r="P34" s="327">
        <f t="shared" ca="1" si="6"/>
        <v>27937.63901710702</v>
      </c>
      <c r="Q34" s="327">
        <f t="shared" ca="1" si="6"/>
        <v>28591.492661735476</v>
      </c>
      <c r="R34" s="327">
        <f t="shared" ca="1" si="6"/>
        <v>26608.725707681242</v>
      </c>
      <c r="S34" s="327">
        <f t="shared" ca="1" si="6"/>
        <v>24572.710690947893</v>
      </c>
      <c r="T34" s="327">
        <f t="shared" ca="1" si="6"/>
        <v>22592.41384014261</v>
      </c>
      <c r="U34" s="327">
        <f t="shared" ca="1" si="6"/>
        <v>11226.578912108918</v>
      </c>
      <c r="V34" s="327">
        <f t="shared" ca="1" si="6"/>
        <v>11106.683213911649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-66.694634484895289</v>
      </c>
      <c r="E36" s="327">
        <f ca="1">+'IS-ENA'!E35</f>
        <v>-36.157568432386689</v>
      </c>
      <c r="F36" s="327">
        <f ca="1">+'IS-ENA'!F35</f>
        <v>130.84151385295041</v>
      </c>
      <c r="G36" s="327">
        <f ca="1">+'IS-ENA'!G35</f>
        <v>247.82420026552134</v>
      </c>
      <c r="H36" s="327">
        <f ca="1">+'IS-ENA'!H35</f>
        <v>-38.168639705448257</v>
      </c>
      <c r="I36" s="327">
        <f ca="1">+'IS-ENA'!I35</f>
        <v>431.80647060362674</v>
      </c>
      <c r="J36" s="327">
        <f ca="1">+'IS-ENA'!J35</f>
        <v>927.42695354574607</v>
      </c>
      <c r="K36" s="327">
        <f ca="1">+'IS-ENA'!K35</f>
        <v>986.47233287445465</v>
      </c>
      <c r="L36" s="327">
        <f ca="1">+'IS-ENA'!L35</f>
        <v>895.95409444198049</v>
      </c>
      <c r="M36" s="327">
        <f ca="1">+'IS-ENA'!M35</f>
        <v>975.62053979873349</v>
      </c>
      <c r="N36" s="327">
        <f ca="1">+'IS-ENA'!N35</f>
        <v>917.31124579597338</v>
      </c>
      <c r="O36" s="327">
        <f ca="1">+'IS-ENA'!O35</f>
        <v>895.44745168226075</v>
      </c>
      <c r="P36" s="327">
        <f ca="1">+'IS-ENA'!P35</f>
        <v>760.07749025204794</v>
      </c>
      <c r="Q36" s="327">
        <f ca="1">+'IS-ENA'!Q35</f>
        <v>1135.2497691452195</v>
      </c>
      <c r="R36" s="327">
        <f ca="1">+'IS-ENA'!R35</f>
        <v>1799.993095478847</v>
      </c>
      <c r="S36" s="327">
        <f ca="1">+'IS-ENA'!S35</f>
        <v>2458.1582378816893</v>
      </c>
      <c r="T36" s="327">
        <f ca="1">+'IS-ENA'!T35</f>
        <v>2550.564198710641</v>
      </c>
      <c r="U36" s="327">
        <f ca="1">+'IS-ENA'!U35</f>
        <v>2832.6087158473738</v>
      </c>
      <c r="V36" s="327">
        <f ca="1">+'IS-ENA'!V35</f>
        <v>2342.4394265221517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0</v>
      </c>
      <c r="E37" s="328">
        <f ca="1">+'TAXES-ENA'!E33</f>
        <v>0</v>
      </c>
      <c r="F37" s="328">
        <f ca="1">+'TAXES-ENA'!F33</f>
        <v>111.28610434941471</v>
      </c>
      <c r="G37" s="328">
        <f ca="1">+'TAXES-ENA'!G33</f>
        <v>1358.9026981226086</v>
      </c>
      <c r="H37" s="328">
        <f ca="1">+'TAXES-ENA'!H33</f>
        <v>0</v>
      </c>
      <c r="I37" s="328">
        <f ca="1">+'TAXES-ENA'!I33</f>
        <v>2158.4474394250119</v>
      </c>
      <c r="J37" s="328">
        <f ca="1">+'TAXES-ENA'!J33</f>
        <v>5085.3911286091743</v>
      </c>
      <c r="K37" s="328">
        <f ca="1">+'TAXES-ENA'!K33</f>
        <v>5409.156625261593</v>
      </c>
      <c r="L37" s="328">
        <f ca="1">+'TAXES-ENA'!L33</f>
        <v>4912.8149511901929</v>
      </c>
      <c r="M37" s="328">
        <f ca="1">+'TAXES-ENA'!M33</f>
        <v>5349.6526265630546</v>
      </c>
      <c r="N37" s="328">
        <f ca="1">+'TAXES-ENA'!N33</f>
        <v>5029.9233311145872</v>
      </c>
      <c r="O37" s="328">
        <f ca="1">+'TAXES-ENA'!O33</f>
        <v>4910.0368600577294</v>
      </c>
      <c r="P37" s="328">
        <f ca="1">+'TAXES-ENA'!P33</f>
        <v>4167.758238215396</v>
      </c>
      <c r="Q37" s="328">
        <f ca="1">+'TAXES-ENA'!Q33</f>
        <v>6224.9529008129539</v>
      </c>
      <c r="R37" s="328">
        <f ca="1">+'TAXES-ENA'!R33</f>
        <v>9869.9621402090106</v>
      </c>
      <c r="S37" s="328">
        <f ca="1">+'TAXES-ENA'!S33</f>
        <v>13478.901004384596</v>
      </c>
      <c r="T37" s="328">
        <f ca="1">+'TAXES-ENA'!T33</f>
        <v>13985.593689596681</v>
      </c>
      <c r="U37" s="328">
        <f ca="1">+'TAXES-ENA'!U33</f>
        <v>15532.137791896432</v>
      </c>
      <c r="V37" s="328">
        <f ca="1">+'TAXES-ENA'!V33</f>
        <v>12844.376188763132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-66.694634484895289</v>
      </c>
      <c r="E38" s="327">
        <f t="shared" ca="1" si="7"/>
        <v>-36.157568432386689</v>
      </c>
      <c r="F38" s="327">
        <f t="shared" ca="1" si="7"/>
        <v>242.12761820236511</v>
      </c>
      <c r="G38" s="327">
        <f t="shared" ca="1" si="7"/>
        <v>1606.7268983881299</v>
      </c>
      <c r="H38" s="327">
        <f t="shared" ca="1" si="7"/>
        <v>-38.168639705448257</v>
      </c>
      <c r="I38" s="327">
        <f t="shared" ca="1" si="7"/>
        <v>2590.2539100286385</v>
      </c>
      <c r="J38" s="327">
        <f t="shared" ca="1" si="7"/>
        <v>6012.8180821549204</v>
      </c>
      <c r="K38" s="327">
        <f t="shared" ca="1" si="7"/>
        <v>6395.6289581360479</v>
      </c>
      <c r="L38" s="327">
        <f t="shared" ca="1" si="7"/>
        <v>5808.7690456321734</v>
      </c>
      <c r="M38" s="327">
        <f t="shared" ca="1" si="7"/>
        <v>6325.2731663617878</v>
      </c>
      <c r="N38" s="327">
        <f t="shared" ca="1" si="7"/>
        <v>5947.2345769105605</v>
      </c>
      <c r="O38" s="327">
        <f t="shared" ca="1" si="7"/>
        <v>5805.4843117399905</v>
      </c>
      <c r="P38" s="327">
        <f t="shared" ca="1" si="7"/>
        <v>4927.8357284674439</v>
      </c>
      <c r="Q38" s="327">
        <f t="shared" ca="1" si="7"/>
        <v>7360.2026699581729</v>
      </c>
      <c r="R38" s="327">
        <f t="shared" ca="1" si="7"/>
        <v>11669.955235687858</v>
      </c>
      <c r="S38" s="327">
        <f t="shared" ca="1" si="7"/>
        <v>15937.059242266285</v>
      </c>
      <c r="T38" s="327">
        <f t="shared" ca="1" si="7"/>
        <v>16536.157888307323</v>
      </c>
      <c r="U38" s="327">
        <f t="shared" ca="1" si="7"/>
        <v>18364.746507743806</v>
      </c>
      <c r="V38" s="327">
        <f t="shared" ca="1" si="7"/>
        <v>15186.815615285283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9707.7183343670549</v>
      </c>
      <c r="D40" s="335">
        <f t="shared" ca="1" si="8"/>
        <v>13619.546254099918</v>
      </c>
      <c r="E40" s="335">
        <f t="shared" ca="1" si="8"/>
        <v>12301.732866160241</v>
      </c>
      <c r="F40" s="335">
        <f t="shared" ca="1" si="8"/>
        <v>13047.479645204327</v>
      </c>
      <c r="G40" s="335">
        <f t="shared" ca="1" si="8"/>
        <v>11997.628242996001</v>
      </c>
      <c r="H40" s="335">
        <f t="shared" ca="1" si="8"/>
        <v>5570.8657659454993</v>
      </c>
      <c r="I40" s="335">
        <f t="shared" ca="1" si="8"/>
        <v>8963.4383294376712</v>
      </c>
      <c r="J40" s="335">
        <f t="shared" ca="1" si="8"/>
        <v>13803.729449949264</v>
      </c>
      <c r="K40" s="335">
        <f t="shared" ca="1" si="8"/>
        <v>13056.79362303175</v>
      </c>
      <c r="L40" s="335">
        <f t="shared" ca="1" si="8"/>
        <v>12131.467968424815</v>
      </c>
      <c r="M40" s="335">
        <f t="shared" ca="1" si="8"/>
        <v>11381.091849793778</v>
      </c>
      <c r="N40" s="335">
        <f t="shared" ca="1" si="8"/>
        <v>10780.714196101097</v>
      </c>
      <c r="O40" s="335">
        <f t="shared" ca="1" si="8"/>
        <v>10315.626208254373</v>
      </c>
      <c r="P40" s="335">
        <f t="shared" ca="1" si="8"/>
        <v>8983.5029372007866</v>
      </c>
      <c r="Q40" s="335">
        <f t="shared" ca="1" si="8"/>
        <v>11563.440307894081</v>
      </c>
      <c r="R40" s="335">
        <f t="shared" ca="1" si="8"/>
        <v>13865.115071958799</v>
      </c>
      <c r="S40" s="335">
        <f t="shared" ca="1" si="8"/>
        <v>16103.552629957143</v>
      </c>
      <c r="T40" s="335">
        <f t="shared" ca="1" si="8"/>
        <v>17068.43463390199</v>
      </c>
      <c r="U40" s="335">
        <f t="shared" ca="1" si="8"/>
        <v>22879.195584305828</v>
      </c>
      <c r="V40" s="335">
        <f t="shared" ca="1" si="8"/>
        <v>35300.135778934964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7.25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12371.85</v>
      </c>
      <c r="E48" s="685">
        <f ca="1">'ENA Debt'!E34</f>
        <v>12159.65</v>
      </c>
      <c r="F48" s="685">
        <f ca="1">'ENA Debt'!F34</f>
        <v>11918.07</v>
      </c>
      <c r="G48" s="685">
        <f ca="1">'ENA Debt'!G34</f>
        <v>11619.86</v>
      </c>
      <c r="H48" s="685">
        <f ca="1">'ENA Debt'!H34</f>
        <v>11273.68</v>
      </c>
      <c r="I48" s="685">
        <f ca="1">'ENA Debt'!I34</f>
        <v>10908.41</v>
      </c>
      <c r="J48" s="685">
        <f ca="1">'ENA Debt'!J34</f>
        <v>10434.92</v>
      </c>
      <c r="K48" s="685">
        <f ca="1">'ENA Debt'!K34</f>
        <v>9939.2999999999993</v>
      </c>
      <c r="L48" s="685">
        <f ca="1">'ENA Debt'!L34</f>
        <v>9318.34</v>
      </c>
      <c r="M48" s="685">
        <f ca="1">'ENA Debt'!M34</f>
        <v>8672.73</v>
      </c>
      <c r="N48" s="685">
        <f ca="1">'ENA Debt'!N34</f>
        <v>7887.51</v>
      </c>
      <c r="O48" s="685">
        <f ca="1">'ENA Debt'!O34</f>
        <v>7099.14</v>
      </c>
      <c r="P48" s="685">
        <f ca="1">'ENA Debt'!P34</f>
        <v>6292.93</v>
      </c>
      <c r="Q48" s="685">
        <f ca="1">'ENA Debt'!Q34</f>
        <v>5467.69</v>
      </c>
      <c r="R48" s="685">
        <f ca="1">'ENA Debt'!R34</f>
        <v>4534.5200000000004</v>
      </c>
      <c r="S48" s="685">
        <f ca="1">'ENA Debt'!S34</f>
        <v>3601.8</v>
      </c>
      <c r="T48" s="685">
        <f ca="1">'ENA Debt'!T34</f>
        <v>2671.56</v>
      </c>
      <c r="U48" s="685">
        <f ca="1">'ENA Debt'!U34</f>
        <v>1787.84</v>
      </c>
      <c r="V48" s="685">
        <f ca="1">'ENA Debt'!V34</f>
        <v>1167.69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14357.662903980121</v>
      </c>
      <c r="E50" s="685">
        <f t="shared" ca="1" si="11"/>
        <v>14379.545233853642</v>
      </c>
      <c r="F50" s="685">
        <f t="shared" ca="1" si="11"/>
        <v>14677.440280486768</v>
      </c>
      <c r="G50" s="685">
        <f t="shared" ca="1" si="11"/>
        <v>14916.811031362642</v>
      </c>
      <c r="H50" s="685">
        <f t="shared" ca="1" si="11"/>
        <v>14570.631031362642</v>
      </c>
      <c r="I50" s="685">
        <f t="shared" ca="1" si="11"/>
        <v>15417.85215063939</v>
      </c>
      <c r="J50" s="685">
        <f t="shared" ca="1" si="11"/>
        <v>14944.362150639405</v>
      </c>
      <c r="K50" s="685">
        <f t="shared" ca="1" si="11"/>
        <v>15853.273835116739</v>
      </c>
      <c r="L50" s="685">
        <f t="shared" ca="1" si="11"/>
        <v>15232.31383511674</v>
      </c>
      <c r="M50" s="685">
        <f t="shared" ca="1" si="11"/>
        <v>16151.056529706422</v>
      </c>
      <c r="N50" s="685">
        <f t="shared" ca="1" si="11"/>
        <v>15365.836529706436</v>
      </c>
      <c r="O50" s="685">
        <f t="shared" ca="1" si="11"/>
        <v>14777.264999999999</v>
      </c>
      <c r="P50" s="685">
        <f t="shared" ca="1" si="11"/>
        <v>13971.055</v>
      </c>
      <c r="Q50" s="685">
        <f t="shared" ca="1" si="11"/>
        <v>14354.957241009008</v>
      </c>
      <c r="R50" s="685">
        <f t="shared" ca="1" si="11"/>
        <v>13421.787241009022</v>
      </c>
      <c r="S50" s="685">
        <f t="shared" ca="1" si="11"/>
        <v>12461.174999999999</v>
      </c>
      <c r="T50" s="685">
        <f t="shared" ca="1" si="11"/>
        <v>11530.934999999999</v>
      </c>
      <c r="U50" s="685">
        <f t="shared" ca="1" si="11"/>
        <v>7694.09</v>
      </c>
      <c r="V50" s="685">
        <f t="shared" ca="1" si="11"/>
        <v>7073.9400000000005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14357.662903980121</v>
      </c>
      <c r="E53" s="690">
        <f t="shared" ca="1" si="12"/>
        <v>14379.545233853642</v>
      </c>
      <c r="F53" s="690">
        <f t="shared" ca="1" si="12"/>
        <v>14677.440280486768</v>
      </c>
      <c r="G53" s="690">
        <f t="shared" ca="1" si="12"/>
        <v>14916.811031362642</v>
      </c>
      <c r="H53" s="690">
        <f t="shared" ca="1" si="12"/>
        <v>14570.631031362642</v>
      </c>
      <c r="I53" s="690">
        <f t="shared" ca="1" si="12"/>
        <v>15417.85215063939</v>
      </c>
      <c r="J53" s="690">
        <f t="shared" ca="1" si="12"/>
        <v>14944.362150639405</v>
      </c>
      <c r="K53" s="690">
        <f t="shared" ca="1" si="12"/>
        <v>15853.273835116739</v>
      </c>
      <c r="L53" s="690">
        <f t="shared" ca="1" si="12"/>
        <v>15232.31383511674</v>
      </c>
      <c r="M53" s="690">
        <f t="shared" ca="1" si="12"/>
        <v>16151.056529706422</v>
      </c>
      <c r="N53" s="690">
        <f t="shared" ca="1" si="12"/>
        <v>15365.836529706436</v>
      </c>
      <c r="O53" s="690">
        <f t="shared" ca="1" si="12"/>
        <v>14777.264999999999</v>
      </c>
      <c r="P53" s="690">
        <f t="shared" ca="1" si="12"/>
        <v>13971.055</v>
      </c>
      <c r="Q53" s="690">
        <f t="shared" ca="1" si="12"/>
        <v>14354.957241009008</v>
      </c>
      <c r="R53" s="690">
        <f t="shared" ca="1" si="12"/>
        <v>13421.787241009022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2.9458965883656849</v>
      </c>
      <c r="E56" s="693">
        <f t="shared" ca="1" si="13"/>
        <v>2.8498310319115907</v>
      </c>
      <c r="F56" s="693">
        <f t="shared" ca="1" si="13"/>
        <v>2.8972806237548299</v>
      </c>
      <c r="G56" s="693">
        <f t="shared" ca="1" si="13"/>
        <v>2.8987618495983316</v>
      </c>
      <c r="H56" s="693">
        <f t="shared" ca="1" si="13"/>
        <v>2.3607970326153085</v>
      </c>
      <c r="I56" s="693">
        <f t="shared" ca="1" si="13"/>
        <v>2.7261250182689052</v>
      </c>
      <c r="J56" s="693">
        <f t="shared" ca="1" si="13"/>
        <v>3.2963403744637647</v>
      </c>
      <c r="K56" s="693">
        <f t="shared" ca="1" si="13"/>
        <v>3.1933595194662701</v>
      </c>
      <c r="L56" s="693">
        <f t="shared" ca="1" si="13"/>
        <v>3.1367625255426193</v>
      </c>
      <c r="M56" s="693">
        <f t="shared" ca="1" si="13"/>
        <v>3.0516540932254874</v>
      </c>
      <c r="N56" s="693">
        <f t="shared" ca="1" si="13"/>
        <v>3.0352718545410604</v>
      </c>
      <c r="O56" s="693">
        <f t="shared" ca="1" si="13"/>
        <v>3.0980580219117404</v>
      </c>
      <c r="P56" s="693">
        <f t="shared" ca="1" si="13"/>
        <v>2.9954056928968678</v>
      </c>
      <c r="Q56" s="693">
        <f t="shared" ca="1" si="13"/>
        <v>3.3100158253239003</v>
      </c>
      <c r="R56" s="693">
        <f t="shared" ca="1" si="13"/>
        <v>3.8850113683822509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3.0453714280179076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2.3607970326153085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2.9458965883656849</v>
      </c>
      <c r="E61" s="693">
        <f t="shared" ca="1" si="14"/>
        <v>2.8498310319115907</v>
      </c>
      <c r="F61" s="693">
        <f t="shared" ca="1" si="14"/>
        <v>2.8972806237548299</v>
      </c>
      <c r="G61" s="693">
        <f t="shared" ca="1" si="14"/>
        <v>2.8987618495983316</v>
      </c>
      <c r="H61" s="693">
        <f t="shared" ca="1" si="14"/>
        <v>2.3607970326153085</v>
      </c>
      <c r="I61" s="693">
        <f t="shared" ca="1" si="14"/>
        <v>2.7261250182689052</v>
      </c>
      <c r="J61" s="693">
        <f t="shared" ca="1" si="14"/>
        <v>3.2963403744637647</v>
      </c>
      <c r="K61" s="693">
        <f t="shared" ca="1" si="14"/>
        <v>3.1933595194662701</v>
      </c>
      <c r="L61" s="693">
        <f t="shared" ca="1" si="14"/>
        <v>3.1367625255426193</v>
      </c>
      <c r="M61" s="693">
        <f t="shared" ca="1" si="14"/>
        <v>3.0516540932254874</v>
      </c>
      <c r="N61" s="693">
        <f t="shared" ca="1" si="14"/>
        <v>3.0352718545410604</v>
      </c>
      <c r="O61" s="693">
        <f t="shared" ca="1" si="14"/>
        <v>3.0980580219117404</v>
      </c>
      <c r="P61" s="693">
        <f t="shared" ca="1" si="14"/>
        <v>2.9954056928968678</v>
      </c>
      <c r="Q61" s="693">
        <f t="shared" ca="1" si="14"/>
        <v>3.3100158253239003</v>
      </c>
      <c r="R61" s="693">
        <f ca="1">IF(R53&gt;1,(R15-R24)/R53,0)</f>
        <v>3.8850113683822509</v>
      </c>
      <c r="S61" s="693"/>
      <c r="T61" s="693"/>
      <c r="U61" s="693"/>
      <c r="V61" s="694"/>
      <c r="W61" s="673"/>
    </row>
    <row r="62" spans="1:23" ht="16.5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10033.231567019442</v>
      </c>
      <c r="D9" s="557">
        <f ca="1">'IS-ENA'!D29</f>
        <v>15538.664523595133</v>
      </c>
      <c r="E9" s="557">
        <f ca="1">'IS-ENA'!E29</f>
        <v>14607.418891599364</v>
      </c>
      <c r="F9" s="557">
        <f ca="1">'IS-ENA'!F29</f>
        <v>16102.139852909075</v>
      </c>
      <c r="G9" s="557">
        <f ca="1">'IS-ENA'!G29</f>
        <v>16884.533941212692</v>
      </c>
      <c r="H9" s="557">
        <f ca="1">'IS-ENA'!H29</f>
        <v>8808.5145794205619</v>
      </c>
      <c r="I9" s="557">
        <f ca="1">'IS-ENA'!I29</f>
        <v>16141.154219469279</v>
      </c>
      <c r="J9" s="557">
        <f ca="1">'IS-ENA'!J29</f>
        <v>24401.495601837934</v>
      </c>
      <c r="K9" s="557">
        <f ca="1">'IS-ENA'!K29</f>
        <v>25400.74522292558</v>
      </c>
      <c r="L9" s="557">
        <f ca="1">'IS-ENA'!L29</f>
        <v>23876.947950108508</v>
      </c>
      <c r="M9" s="557">
        <f ca="1">'IS-ENA'!M29</f>
        <v>25219.882004996893</v>
      </c>
      <c r="N9" s="557">
        <f ca="1">'IS-ENA'!N29</f>
        <v>24232.900472675057</v>
      </c>
      <c r="O9" s="557">
        <f ca="1">'IS-ENA'!O29</f>
        <v>23883.663869722346</v>
      </c>
      <c r="P9" s="557">
        <f ca="1">'IS-ENA'!P29</f>
        <v>21612.3378802763</v>
      </c>
      <c r="Q9" s="557">
        <f ca="1">'IS-ENA'!Q29</f>
        <v>27880.369160771661</v>
      </c>
      <c r="R9" s="557">
        <f ca="1">'IS-ENA'!R29</f>
        <v>34472.074779351868</v>
      </c>
      <c r="S9" s="557">
        <f ca="1">'IS-ENA'!S29</f>
        <v>40969.303964694824</v>
      </c>
      <c r="T9" s="557">
        <f ca="1">'IS-ENA'!T29</f>
        <v>42509.40331184402</v>
      </c>
      <c r="U9" s="557">
        <f ca="1">'IS-ENA'!U29</f>
        <v>47210.145264122897</v>
      </c>
      <c r="V9" s="557">
        <f ca="1">'IS-ENA'!V29</f>
        <v>39040.65710870253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204.97432613476849</v>
      </c>
      <c r="D13" s="557">
        <f t="shared" ca="1" si="0"/>
        <v>-1111.5772414149214</v>
      </c>
      <c r="E13" s="557">
        <f t="shared" ca="1" si="0"/>
        <v>-602.62614053977813</v>
      </c>
      <c r="F13" s="557">
        <f t="shared" ca="1" si="0"/>
        <v>2180.6918975491735</v>
      </c>
      <c r="G13" s="557">
        <f t="shared" ca="1" si="0"/>
        <v>4130.4033377586893</v>
      </c>
      <c r="H13" s="557">
        <f t="shared" ca="1" si="0"/>
        <v>-636.14399509080431</v>
      </c>
      <c r="I13" s="557">
        <f t="shared" ca="1" si="0"/>
        <v>7196.7745100604461</v>
      </c>
      <c r="J13" s="557">
        <f t="shared" ca="1" si="0"/>
        <v>15457.115892429101</v>
      </c>
      <c r="K13" s="557">
        <f t="shared" ca="1" si="0"/>
        <v>16441.205547907579</v>
      </c>
      <c r="L13" s="557">
        <f t="shared" ca="1" si="0"/>
        <v>14932.568240699675</v>
      </c>
      <c r="M13" s="557">
        <f t="shared" ca="1" si="0"/>
        <v>16260.342329978892</v>
      </c>
      <c r="N13" s="557">
        <f t="shared" ca="1" si="0"/>
        <v>15288.520763266224</v>
      </c>
      <c r="O13" s="557">
        <f t="shared" ca="1" si="0"/>
        <v>14924.124194704345</v>
      </c>
      <c r="P13" s="557">
        <f t="shared" ca="1" si="0"/>
        <v>12667.958170867467</v>
      </c>
      <c r="Q13" s="557">
        <f t="shared" ca="1" si="0"/>
        <v>18920.82948575366</v>
      </c>
      <c r="R13" s="557">
        <f t="shared" ca="1" si="0"/>
        <v>29999.884924647449</v>
      </c>
      <c r="S13" s="557">
        <f t="shared" ca="1" si="0"/>
        <v>40969.303964694824</v>
      </c>
      <c r="T13" s="557">
        <f t="shared" ca="1" si="0"/>
        <v>42509.40331184402</v>
      </c>
      <c r="U13" s="557">
        <f t="shared" ca="1" si="0"/>
        <v>47210.145264122897</v>
      </c>
      <c r="V13" s="557">
        <f t="shared" ca="1" si="0"/>
        <v>39040.65710870253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-66.694634484895289</v>
      </c>
      <c r="E14" s="559">
        <f ca="1">IF(E5='ASSUM 1'!$M$39,+CSHFLO!E13*'ASSUM 1'!$N$39,E13*'ASSUM 1'!$N$40)</f>
        <v>-36.157568432386689</v>
      </c>
      <c r="F14" s="559">
        <f ca="1">IF(F5='ASSUM 1'!$M$39,+CSHFLO!F13*'ASSUM 1'!$N$39,F13*'ASSUM 1'!$N$40)</f>
        <v>130.84151385295041</v>
      </c>
      <c r="G14" s="559">
        <f ca="1">IF(G5='ASSUM 1'!$M$39,+CSHFLO!G13*'ASSUM 1'!$N$39,G13*'ASSUM 1'!$N$40)</f>
        <v>247.82420026552134</v>
      </c>
      <c r="H14" s="559">
        <f ca="1">IF(H5='ASSUM 1'!$M$39,+CSHFLO!H13*'ASSUM 1'!$N$39,H13*'ASSUM 1'!$N$40)</f>
        <v>-38.168639705448257</v>
      </c>
      <c r="I14" s="559">
        <f ca="1">IF(I5='ASSUM 1'!$M$39,+CSHFLO!I13*'ASSUM 1'!$N$39,I13*'ASSUM 1'!$N$40)</f>
        <v>431.80647060362674</v>
      </c>
      <c r="J14" s="559">
        <f ca="1">IF(J5='ASSUM 1'!$M$39,+CSHFLO!J13*'ASSUM 1'!$N$39,J13*'ASSUM 1'!$N$40)</f>
        <v>927.42695354574607</v>
      </c>
      <c r="K14" s="559">
        <f ca="1">IF(K5='ASSUM 1'!$M$39,+CSHFLO!K13*'ASSUM 1'!$N$39,K13*'ASSUM 1'!$N$40)</f>
        <v>986.47233287445465</v>
      </c>
      <c r="L14" s="559">
        <f ca="1">IF(L5='ASSUM 1'!$M$39,+CSHFLO!L13*'ASSUM 1'!$N$39,L13*'ASSUM 1'!$N$40)</f>
        <v>895.95409444198049</v>
      </c>
      <c r="M14" s="559">
        <f ca="1">IF(M5='ASSUM 1'!$M$39,+CSHFLO!M13*'ASSUM 1'!$N$39,M13*'ASSUM 1'!$N$40)</f>
        <v>975.62053979873349</v>
      </c>
      <c r="N14" s="559">
        <f ca="1">IF(N5='ASSUM 1'!$M$39,+CSHFLO!N13*'ASSUM 1'!$N$39,N13*'ASSUM 1'!$N$40)</f>
        <v>917.31124579597338</v>
      </c>
      <c r="O14" s="559">
        <f ca="1">IF(O5='ASSUM 1'!$M$39,+CSHFLO!O13*'ASSUM 1'!$N$39,O13*'ASSUM 1'!$N$40)</f>
        <v>895.44745168226075</v>
      </c>
      <c r="P14" s="559">
        <f ca="1">IF(P5='ASSUM 1'!$M$39,+CSHFLO!P13*'ASSUM 1'!$N$39,P13*'ASSUM 1'!$N$40)</f>
        <v>760.07749025204794</v>
      </c>
      <c r="Q14" s="559">
        <f ca="1">IF(Q5='ASSUM 1'!$M$39,+CSHFLO!Q13*'ASSUM 1'!$N$39,Q13*'ASSUM 1'!$N$40)</f>
        <v>1135.2497691452195</v>
      </c>
      <c r="R14" s="559">
        <f ca="1">IF(R5='ASSUM 1'!$M$39,+CSHFLO!R13*'ASSUM 1'!$N$39,R13*'ASSUM 1'!$N$40)</f>
        <v>1799.993095478847</v>
      </c>
      <c r="S14" s="559">
        <f ca="1">IF(S5='ASSUM 1'!$M$39,+CSHFLO!S13*'ASSUM 1'!$N$39,S13*'ASSUM 1'!$N$40)</f>
        <v>2458.1582378816893</v>
      </c>
      <c r="T14" s="559">
        <f ca="1">IF(T5='ASSUM 1'!$M$39,+CSHFLO!T13*'ASSUM 1'!$N$39,T13*'ASSUM 1'!$N$40)</f>
        <v>2550.564198710641</v>
      </c>
      <c r="U14" s="559">
        <f ca="1">IF(U5='ASSUM 1'!$M$39,+CSHFLO!U13*'ASSUM 1'!$N$39,U13*'ASSUM 1'!$N$40)</f>
        <v>2832.6087158473738</v>
      </c>
      <c r="V14" s="559">
        <f ca="1">IF(V5='ASSUM 1'!$M$39,+CSHFLO!V13*'ASSUM 1'!$N$39,V13*'ASSUM 1'!$N$40)</f>
        <v>2342.4394265221517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-120.5389065176206</v>
      </c>
      <c r="D15" s="557">
        <f t="shared" ca="1" si="1"/>
        <v>-1044.8826069300262</v>
      </c>
      <c r="E15" s="557">
        <f t="shared" ca="1" si="1"/>
        <v>-566.46857210739142</v>
      </c>
      <c r="F15" s="557">
        <f t="shared" ca="1" si="1"/>
        <v>2049.8503836962232</v>
      </c>
      <c r="G15" s="557">
        <f t="shared" ca="1" si="1"/>
        <v>3882.5791374931678</v>
      </c>
      <c r="H15" s="557">
        <f t="shared" ca="1" si="1"/>
        <v>-597.97535538535601</v>
      </c>
      <c r="I15" s="557">
        <f t="shared" ca="1" si="1"/>
        <v>6764.9680394568195</v>
      </c>
      <c r="J15" s="557">
        <f t="shared" ca="1" si="1"/>
        <v>14529.688938883355</v>
      </c>
      <c r="K15" s="557">
        <f t="shared" ca="1" si="1"/>
        <v>15454.733215033124</v>
      </c>
      <c r="L15" s="557">
        <f t="shared" ca="1" si="1"/>
        <v>14036.614146257694</v>
      </c>
      <c r="M15" s="557">
        <f t="shared" ca="1" si="1"/>
        <v>15284.721790180158</v>
      </c>
      <c r="N15" s="557">
        <f t="shared" ca="1" si="1"/>
        <v>14371.20951747025</v>
      </c>
      <c r="O15" s="557">
        <f t="shared" ca="1" si="1"/>
        <v>14028.676743022084</v>
      </c>
      <c r="P15" s="557">
        <f t="shared" ca="1" si="1"/>
        <v>11907.880680615419</v>
      </c>
      <c r="Q15" s="557">
        <f t="shared" ca="1" si="1"/>
        <v>17785.579716608441</v>
      </c>
      <c r="R15" s="557">
        <f t="shared" ca="1" si="1"/>
        <v>28199.891829168602</v>
      </c>
      <c r="S15" s="557">
        <f t="shared" ca="1" si="1"/>
        <v>38511.145726813134</v>
      </c>
      <c r="T15" s="557">
        <f t="shared" ca="1" si="1"/>
        <v>39958.839113133377</v>
      </c>
      <c r="U15" s="557">
        <f t="shared" ca="1" si="1"/>
        <v>44377.536548275522</v>
      </c>
      <c r="V15" s="557">
        <f t="shared" ca="1" si="1"/>
        <v>36698.217682180381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120.5389065176206</v>
      </c>
      <c r="E18" s="561">
        <f t="shared" ca="1" si="2"/>
        <v>1165.4215134476467</v>
      </c>
      <c r="F18" s="561">
        <f t="shared" ca="1" si="2"/>
        <v>1731.8900855550382</v>
      </c>
      <c r="G18" s="561">
        <f t="shared" ca="1" si="2"/>
        <v>0</v>
      </c>
      <c r="H18" s="561">
        <f t="shared" ca="1" si="2"/>
        <v>0</v>
      </c>
      <c r="I18" s="561">
        <f t="shared" ca="1" si="2"/>
        <v>597.97535538535601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120.5389065176206</v>
      </c>
      <c r="D19" s="561">
        <f t="shared" ca="1" si="3"/>
        <v>1044.8826069300262</v>
      </c>
      <c r="E19" s="561">
        <f t="shared" ca="1" si="3"/>
        <v>566.46857210739142</v>
      </c>
      <c r="F19" s="561">
        <f t="shared" ca="1" si="3"/>
        <v>0</v>
      </c>
      <c r="G19" s="561">
        <f t="shared" ca="1" si="3"/>
        <v>0</v>
      </c>
      <c r="H19" s="561">
        <f t="shared" ca="1" si="3"/>
        <v>597.97535538535601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0</v>
      </c>
      <c r="E20" s="561">
        <f t="shared" ca="1" si="4"/>
        <v>0</v>
      </c>
      <c r="F20" s="561">
        <f t="shared" ca="1" si="4"/>
        <v>-1731.8900855550382</v>
      </c>
      <c r="G20" s="561">
        <f t="shared" ca="1" si="4"/>
        <v>0</v>
      </c>
      <c r="H20" s="561">
        <f t="shared" ca="1" si="4"/>
        <v>0</v>
      </c>
      <c r="I20" s="561">
        <f t="shared" ca="1" si="4"/>
        <v>-597.97535538535601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120.5389065176206</v>
      </c>
      <c r="D21" s="561">
        <f t="shared" ca="1" si="5"/>
        <v>1165.4215134476467</v>
      </c>
      <c r="E21" s="561">
        <f t="shared" ca="1" si="5"/>
        <v>1731.8900855550382</v>
      </c>
      <c r="F21" s="561">
        <f t="shared" ca="1" si="5"/>
        <v>0</v>
      </c>
      <c r="G21" s="561">
        <f t="shared" ca="1" si="5"/>
        <v>0</v>
      </c>
      <c r="H21" s="561">
        <f t="shared" ca="1" si="5"/>
        <v>597.97535538535601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0</v>
      </c>
      <c r="E23" s="562">
        <f t="shared" ca="1" si="6"/>
        <v>0</v>
      </c>
      <c r="F23" s="562">
        <f t="shared" ca="1" si="6"/>
        <v>317.96029814118492</v>
      </c>
      <c r="G23" s="562">
        <f t="shared" ca="1" si="6"/>
        <v>3882.5791374931678</v>
      </c>
      <c r="H23" s="562">
        <f t="shared" ca="1" si="6"/>
        <v>0</v>
      </c>
      <c r="I23" s="562">
        <f t="shared" ca="1" si="6"/>
        <v>6166.9926840714634</v>
      </c>
      <c r="J23" s="562">
        <f t="shared" ca="1" si="6"/>
        <v>14529.688938883355</v>
      </c>
      <c r="K23" s="562">
        <f t="shared" ca="1" si="6"/>
        <v>15454.733215033124</v>
      </c>
      <c r="L23" s="562">
        <f t="shared" ca="1" si="6"/>
        <v>14036.614146257694</v>
      </c>
      <c r="M23" s="562">
        <f t="shared" ca="1" si="6"/>
        <v>15284.721790180158</v>
      </c>
      <c r="N23" s="562">
        <f t="shared" ca="1" si="6"/>
        <v>14371.20951747025</v>
      </c>
      <c r="O23" s="562">
        <f t="shared" ca="1" si="6"/>
        <v>14028.676743022084</v>
      </c>
      <c r="P23" s="562">
        <f t="shared" ca="1" si="6"/>
        <v>11907.880680615419</v>
      </c>
      <c r="Q23" s="562">
        <f t="shared" ca="1" si="6"/>
        <v>17785.579716608441</v>
      </c>
      <c r="R23" s="562">
        <f t="shared" ca="1" si="6"/>
        <v>28199.891829168602</v>
      </c>
      <c r="S23" s="562">
        <f t="shared" ca="1" si="6"/>
        <v>38511.145726813134</v>
      </c>
      <c r="T23" s="562">
        <f t="shared" ca="1" si="6"/>
        <v>39958.839113133377</v>
      </c>
      <c r="U23" s="562">
        <f t="shared" ca="1" si="6"/>
        <v>44377.536548275522</v>
      </c>
      <c r="V23" s="562">
        <f t="shared" ca="1" si="6"/>
        <v>36698.217682180381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0</v>
      </c>
      <c r="E28" s="565">
        <f t="shared" ca="1" si="7"/>
        <v>0</v>
      </c>
      <c r="F28" s="565">
        <f t="shared" ca="1" si="7"/>
        <v>317.96029814118492</v>
      </c>
      <c r="G28" s="565">
        <f t="shared" ca="1" si="7"/>
        <v>3882.5791374931678</v>
      </c>
      <c r="H28" s="565">
        <f t="shared" ca="1" si="7"/>
        <v>0</v>
      </c>
      <c r="I28" s="565">
        <f t="shared" ca="1" si="7"/>
        <v>6166.9926840714634</v>
      </c>
      <c r="J28" s="565">
        <f t="shared" ca="1" si="7"/>
        <v>14529.688938883355</v>
      </c>
      <c r="K28" s="565">
        <f t="shared" ca="1" si="7"/>
        <v>15454.733215033124</v>
      </c>
      <c r="L28" s="565">
        <f t="shared" ca="1" si="7"/>
        <v>14036.614146257694</v>
      </c>
      <c r="M28" s="565">
        <f t="shared" ca="1" si="7"/>
        <v>15284.721790180158</v>
      </c>
      <c r="N28" s="565">
        <f t="shared" ca="1" si="7"/>
        <v>14371.20951747025</v>
      </c>
      <c r="O28" s="565">
        <f t="shared" ca="1" si="7"/>
        <v>14028.676743022084</v>
      </c>
      <c r="P28" s="565">
        <f t="shared" ca="1" si="7"/>
        <v>11907.880680615419</v>
      </c>
      <c r="Q28" s="565">
        <f t="shared" ca="1" si="7"/>
        <v>17785.579716608441</v>
      </c>
      <c r="R28" s="565">
        <f t="shared" ca="1" si="7"/>
        <v>28199.891829168602</v>
      </c>
      <c r="S28" s="565">
        <f t="shared" ca="1" si="7"/>
        <v>38511.145726813134</v>
      </c>
      <c r="T28" s="565">
        <f t="shared" ca="1" si="7"/>
        <v>39958.839113133377</v>
      </c>
      <c r="U28" s="565">
        <f t="shared" ca="1" si="7"/>
        <v>44377.536548275522</v>
      </c>
      <c r="V28" s="565">
        <f t="shared" ca="1" si="7"/>
        <v>36698.217682180381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0</v>
      </c>
      <c r="E30" s="562">
        <f t="shared" ca="1" si="8"/>
        <v>0</v>
      </c>
      <c r="F30" s="562">
        <f t="shared" ca="1" si="8"/>
        <v>111.28610434941471</v>
      </c>
      <c r="G30" s="562">
        <f t="shared" ca="1" si="8"/>
        <v>1358.9026981226086</v>
      </c>
      <c r="H30" s="562">
        <f t="shared" ca="1" si="8"/>
        <v>0</v>
      </c>
      <c r="I30" s="562">
        <f t="shared" ca="1" si="8"/>
        <v>2158.4474394250119</v>
      </c>
      <c r="J30" s="562">
        <f t="shared" ca="1" si="8"/>
        <v>5085.3911286091743</v>
      </c>
      <c r="K30" s="562">
        <f t="shared" ca="1" si="8"/>
        <v>5409.156625261593</v>
      </c>
      <c r="L30" s="562">
        <f t="shared" ca="1" si="8"/>
        <v>4912.8149511901929</v>
      </c>
      <c r="M30" s="562">
        <f t="shared" ca="1" si="8"/>
        <v>5349.6526265630546</v>
      </c>
      <c r="N30" s="562">
        <f t="shared" ca="1" si="8"/>
        <v>5029.9233311145872</v>
      </c>
      <c r="O30" s="562">
        <f t="shared" ca="1" si="8"/>
        <v>4910.0368600577294</v>
      </c>
      <c r="P30" s="562">
        <f t="shared" ca="1" si="8"/>
        <v>4167.758238215396</v>
      </c>
      <c r="Q30" s="562">
        <f t="shared" ca="1" si="8"/>
        <v>6224.9529008129539</v>
      </c>
      <c r="R30" s="562">
        <f t="shared" ca="1" si="8"/>
        <v>9869.9621402090106</v>
      </c>
      <c r="S30" s="562">
        <f t="shared" ca="1" si="8"/>
        <v>13478.901004384596</v>
      </c>
      <c r="T30" s="562">
        <f t="shared" ca="1" si="8"/>
        <v>13985.593689596681</v>
      </c>
      <c r="U30" s="562">
        <f t="shared" ca="1" si="8"/>
        <v>15532.137791896432</v>
      </c>
      <c r="V30" s="562">
        <f t="shared" ca="1" si="8"/>
        <v>12844.376188763132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0</v>
      </c>
      <c r="E33" s="562">
        <f t="shared" ca="1" si="9"/>
        <v>0</v>
      </c>
      <c r="F33" s="562">
        <f t="shared" ca="1" si="9"/>
        <v>111.28610434941471</v>
      </c>
      <c r="G33" s="562">
        <f t="shared" ca="1" si="9"/>
        <v>1358.9026981226086</v>
      </c>
      <c r="H33" s="562">
        <f t="shared" ca="1" si="9"/>
        <v>0</v>
      </c>
      <c r="I33" s="562">
        <f t="shared" ca="1" si="9"/>
        <v>2158.4474394250119</v>
      </c>
      <c r="J33" s="562">
        <f t="shared" ca="1" si="9"/>
        <v>5085.3911286091743</v>
      </c>
      <c r="K33" s="562">
        <f t="shared" ca="1" si="9"/>
        <v>5409.156625261593</v>
      </c>
      <c r="L33" s="562">
        <f t="shared" ca="1" si="9"/>
        <v>4912.8149511901929</v>
      </c>
      <c r="M33" s="562">
        <f t="shared" ca="1" si="9"/>
        <v>5349.6526265630546</v>
      </c>
      <c r="N33" s="562">
        <f t="shared" ca="1" si="9"/>
        <v>5029.9233311145872</v>
      </c>
      <c r="O33" s="562">
        <f t="shared" ca="1" si="9"/>
        <v>4910.0368600577294</v>
      </c>
      <c r="P33" s="562">
        <f t="shared" ca="1" si="9"/>
        <v>4167.758238215396</v>
      </c>
      <c r="Q33" s="562">
        <f t="shared" ca="1" si="9"/>
        <v>6224.9529008129539</v>
      </c>
      <c r="R33" s="562">
        <f t="shared" ca="1" si="9"/>
        <v>9869.9621402090106</v>
      </c>
      <c r="S33" s="562">
        <f t="shared" ca="1" si="9"/>
        <v>13478.901004384596</v>
      </c>
      <c r="T33" s="562">
        <f t="shared" ca="1" si="9"/>
        <v>13985.593689596681</v>
      </c>
      <c r="U33" s="562">
        <f t="shared" ca="1" si="9"/>
        <v>15532.137791896432</v>
      </c>
      <c r="V33" s="562">
        <f t="shared" ca="1" si="9"/>
        <v>12844.376188763132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36" zoomScaleNormal="100" workbookViewId="0">
      <selection activeCell="D53" sqref="D53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3" ht="23.25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7.6499999999999999E-2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5" thickBot="1">
      <c r="A16" s="347"/>
      <c r="B16" s="354"/>
      <c r="C16" s="347"/>
      <c r="D16" s="347"/>
    </row>
    <row r="17" spans="1:24" ht="16.5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6201.5625</v>
      </c>
      <c r="E22" s="351">
        <f ca="1">IF(OR(E7&lt;12,E19=0),0,+E20*'ASSUM 1'!$S$42/2)</f>
        <v>6097.3073225410435</v>
      </c>
      <c r="F22" s="351">
        <f ca="1">IF(OR(F7&lt;12,F19=0),0,+F20*'ASSUM 1'!$S$42/2)</f>
        <v>5980.7628227637269</v>
      </c>
      <c r="G22" s="351">
        <f ca="1">IF(OR(G7&lt;12,G19=0),0,+G20*'ASSUM 1'!$S$42/2)</f>
        <v>5835.8958830381725</v>
      </c>
      <c r="H22" s="351">
        <f ca="1">IF(OR(H7&lt;12,H19=0),0,+H20*'ASSUM 1'!$S$42/2)</f>
        <v>5662.8059538916341</v>
      </c>
      <c r="I22" s="351">
        <f ca="1">IF(OR(I7&lt;12,I19=0),0,+I20*'ASSUM 1'!$S$42/2)</f>
        <v>5489.7160247450956</v>
      </c>
      <c r="J22" s="351">
        <f ca="1">IF(OR(J7&lt;12,J19=0),0,+J20*'ASSUM 1'!$S$42/2)</f>
        <v>5252.9703118365278</v>
      </c>
      <c r="K22" s="351">
        <f ca="1">IF(OR(K7&lt;12,K19=0),0,+K20*'ASSUM 1'!$S$42/2)</f>
        <v>5016.2245989279581</v>
      </c>
      <c r="L22" s="351">
        <f ca="1">IF(OR(L7&lt;12,L19=0),0,+L20*'ASSUM 1'!$S$42/2)</f>
        <v>4705.7409725843299</v>
      </c>
      <c r="M22" s="351">
        <f ca="1">IF(OR(M7&lt;12,M19=0),0,+M20*'ASSUM 1'!$S$42/2)</f>
        <v>4395.2573462407017</v>
      </c>
      <c r="N22" s="351">
        <f ca="1">IF(OR(N7&lt;12,N19=0),0,+N20*'ASSUM 1'!$S$42/2)</f>
        <v>4002.6452034311142</v>
      </c>
      <c r="O22" s="351">
        <f ca="1">IF(OR(O7&lt;12,O19=0),0,+O20*'ASSUM 1'!$S$42/2)</f>
        <v>3610.0330606215266</v>
      </c>
      <c r="P22" s="351">
        <f ca="1">IF(OR(P7&lt;12,P19=0),0,+P20*'ASSUM 1'!$S$42/2)</f>
        <v>3206.9314981215266</v>
      </c>
      <c r="Q22" s="351">
        <f ca="1">IF(OR(Q7&lt;12,Q19=0),0,+Q20*'ASSUM 1'!$S$42/2)</f>
        <v>2803.8299356215266</v>
      </c>
      <c r="R22" s="351">
        <f ca="1">IF(OR(R7&lt;12,R19=0),0,+R20*'ASSUM 1'!$S$42/2)</f>
        <v>2337.2484054685538</v>
      </c>
      <c r="S22" s="351">
        <f ca="1">IF(OR(S7&lt;12,S19=0),0,+S20*'ASSUM 1'!$S$42/2)</f>
        <v>1870.66687531558</v>
      </c>
      <c r="T22" s="351">
        <f ca="1">IF(OR(T7&lt;12,T19=0),0,+T20*'ASSUM 1'!$S$42/2)</f>
        <v>1405.54968781558</v>
      </c>
      <c r="U22" s="351">
        <f ca="1">IF(OR(U7&lt;12,U19=0),0,+U20*'ASSUM 1'!$S$42/2)</f>
        <v>940.43250031557989</v>
      </c>
      <c r="V22" s="351">
        <f ca="1">IF(OR(V7&lt;12,V19=0),0,+V20*'ASSUM 1'!$S$42/2)</f>
        <v>630.35437531557989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6797.3063711940358</v>
      </c>
      <c r="E23" s="351">
        <f t="shared" ref="E23:W23" ca="1" si="2">E22+E21</f>
        <v>6763.2758926971364</v>
      </c>
      <c r="F23" s="351">
        <f t="shared" ca="1" si="2"/>
        <v>6808.5739069097572</v>
      </c>
      <c r="G23" s="351">
        <f t="shared" ca="1" si="2"/>
        <v>6824.981192446965</v>
      </c>
      <c r="H23" s="351">
        <f t="shared" ca="1" si="2"/>
        <v>6651.8912633004265</v>
      </c>
      <c r="I23" s="351">
        <f t="shared" ca="1" si="2"/>
        <v>6842.548669936913</v>
      </c>
      <c r="J23" s="351">
        <f t="shared" ca="1" si="2"/>
        <v>6605.8029570283488</v>
      </c>
      <c r="K23" s="351">
        <f t="shared" ca="1" si="2"/>
        <v>6790.4167494629801</v>
      </c>
      <c r="L23" s="351">
        <f t="shared" ca="1" si="2"/>
        <v>6479.9331231193519</v>
      </c>
      <c r="M23" s="351">
        <f t="shared" ca="1" si="2"/>
        <v>6638.7553051526284</v>
      </c>
      <c r="N23" s="351">
        <f t="shared" ca="1" si="2"/>
        <v>6246.1431623430453</v>
      </c>
      <c r="O23" s="351">
        <f t="shared" ca="1" si="2"/>
        <v>5913.4705606215266</v>
      </c>
      <c r="P23" s="351">
        <f t="shared" ca="1" si="2"/>
        <v>5510.3689981215266</v>
      </c>
      <c r="Q23" s="351">
        <f t="shared" ca="1" si="2"/>
        <v>5470.0101079242286</v>
      </c>
      <c r="R23" s="351">
        <f t="shared" ca="1" si="2"/>
        <v>5003.4285777712612</v>
      </c>
      <c r="S23" s="351">
        <f t="shared" ca="1" si="2"/>
        <v>4528.4793753155809</v>
      </c>
      <c r="T23" s="351">
        <f t="shared" ca="1" si="2"/>
        <v>4063.3621878155805</v>
      </c>
      <c r="U23" s="351">
        <f t="shared" ca="1" si="2"/>
        <v>2712.3075003155805</v>
      </c>
      <c r="V23" s="351">
        <f t="shared" ca="1" si="2"/>
        <v>2402.2293753155805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6170.285946762313</v>
      </c>
      <c r="E29" s="351">
        <f ca="1">E27*'ASSUM 1'!$S$42/2</f>
        <v>6062.3439726078486</v>
      </c>
      <c r="F29" s="351">
        <f ca="1">F27*'ASSUM 1'!$S$42/2</f>
        <v>5937.3027408460612</v>
      </c>
      <c r="G29" s="351">
        <f ca="1">G27*'ASSUM 1'!$S$42/2</f>
        <v>5783.9689042942109</v>
      </c>
      <c r="H29" s="351">
        <f ca="1">H27*'ASSUM 1'!$S$42/2</f>
        <v>5610.8789751476725</v>
      </c>
      <c r="I29" s="351">
        <f ca="1">I27*'ASSUM 1'!$S$42/2</f>
        <v>5418.692310872525</v>
      </c>
      <c r="J29" s="351">
        <f ca="1">J27*'ASSUM 1'!$S$42/2</f>
        <v>5181.9465979639572</v>
      </c>
      <c r="K29" s="351">
        <f ca="1">K27*'ASSUM 1'!$S$42/2</f>
        <v>4923.07951102487</v>
      </c>
      <c r="L29" s="351">
        <f ca="1">L27*'ASSUM 1'!$S$42/2</f>
        <v>4612.5958846812418</v>
      </c>
      <c r="M29" s="351">
        <f ca="1">M27*'ASSUM 1'!$S$42/2</f>
        <v>4277.4737033978254</v>
      </c>
      <c r="N29" s="351">
        <f ca="1">N27*'ASSUM 1'!$S$42/2</f>
        <v>3884.8615605882378</v>
      </c>
      <c r="O29" s="351">
        <f ca="1">O27*'ASSUM 1'!$S$42/2</f>
        <v>3489.1025918715263</v>
      </c>
      <c r="P29" s="351">
        <f ca="1">P27*'ASSUM 1'!$S$42/2</f>
        <v>3086.0010293715268</v>
      </c>
      <c r="Q29" s="351">
        <f ca="1">Q27*'ASSUM 1'!$S$42/2</f>
        <v>2663.8554765756348</v>
      </c>
      <c r="R29" s="351">
        <f ca="1">R27*'ASSUM 1'!$S$42/2</f>
        <v>2197.2739464226615</v>
      </c>
      <c r="S29" s="351">
        <f ca="1">S27*'ASSUM 1'!$S$42/2</f>
        <v>1731.13171906558</v>
      </c>
      <c r="T29" s="351">
        <f ca="1">T27*'ASSUM 1'!$S$42/2</f>
        <v>1266.01453156558</v>
      </c>
      <c r="U29" s="351">
        <f ca="1">U27*'ASSUM 1'!$S$42/2</f>
        <v>847.40906281557989</v>
      </c>
      <c r="V29" s="351">
        <f ca="1">V27*'ASSUM 1'!$S$42/2</f>
        <v>537.33093781558</v>
      </c>
      <c r="W29" s="351">
        <f ca="1">W27*'ASSUM 1'!$S$42/2</f>
        <v>224.27606281557991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7560.3549795483978</v>
      </c>
      <c r="E30" s="351">
        <f t="shared" ref="E30:W30" ca="1" si="6">E29+E28</f>
        <v>7616.2706363053976</v>
      </c>
      <c r="F30" s="351">
        <f t="shared" ca="1" si="6"/>
        <v>7868.861937186799</v>
      </c>
      <c r="G30" s="351">
        <f t="shared" ca="1" si="6"/>
        <v>8091.8346262480591</v>
      </c>
      <c r="H30" s="351">
        <f t="shared" ca="1" si="6"/>
        <v>7918.7446971015206</v>
      </c>
      <c r="I30" s="351">
        <f t="shared" ca="1" si="6"/>
        <v>8575.3018163200977</v>
      </c>
      <c r="J30" s="351">
        <f t="shared" ca="1" si="6"/>
        <v>8338.5561034115399</v>
      </c>
      <c r="K30" s="351">
        <f t="shared" ca="1" si="6"/>
        <v>9062.861195606587</v>
      </c>
      <c r="L30" s="351">
        <f t="shared" ca="1" si="6"/>
        <v>8752.3775692629606</v>
      </c>
      <c r="M30" s="351">
        <f t="shared" ca="1" si="6"/>
        <v>9512.3022741923196</v>
      </c>
      <c r="N30" s="351">
        <f t="shared" ca="1" si="6"/>
        <v>9119.690131382742</v>
      </c>
      <c r="O30" s="351">
        <f t="shared" ca="1" si="6"/>
        <v>8863.7900918715259</v>
      </c>
      <c r="P30" s="351">
        <f t="shared" ca="1" si="6"/>
        <v>8460.6885293715277</v>
      </c>
      <c r="Q30" s="351">
        <f t="shared" ca="1" si="6"/>
        <v>8884.9425452819396</v>
      </c>
      <c r="R30" s="351">
        <f t="shared" ca="1" si="6"/>
        <v>8418.3610151289759</v>
      </c>
      <c r="S30" s="351">
        <f t="shared" ca="1" si="6"/>
        <v>7932.69421906558</v>
      </c>
      <c r="T30" s="351">
        <f t="shared" ca="1" si="6"/>
        <v>7467.57703156558</v>
      </c>
      <c r="U30" s="351">
        <f t="shared" ca="1" si="6"/>
        <v>4981.78406281558</v>
      </c>
      <c r="V30" s="351">
        <f t="shared" ca="1" si="6"/>
        <v>4671.70593781558</v>
      </c>
      <c r="W30" s="351">
        <f t="shared" ca="1" si="6"/>
        <v>4490.9510628155804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12371.85</v>
      </c>
      <c r="E34" s="351">
        <f t="shared" ca="1" si="8"/>
        <v>12159.65</v>
      </c>
      <c r="F34" s="351">
        <f t="shared" ca="1" si="8"/>
        <v>11918.07</v>
      </c>
      <c r="G34" s="351">
        <f t="shared" ca="1" si="8"/>
        <v>11619.86</v>
      </c>
      <c r="H34" s="351">
        <f t="shared" ca="1" si="8"/>
        <v>11273.68</v>
      </c>
      <c r="I34" s="351">
        <f t="shared" ca="1" si="8"/>
        <v>10908.41</v>
      </c>
      <c r="J34" s="351">
        <f t="shared" ca="1" si="8"/>
        <v>10434.92</v>
      </c>
      <c r="K34" s="351">
        <f t="shared" ca="1" si="8"/>
        <v>9939.2999999999993</v>
      </c>
      <c r="L34" s="351">
        <f t="shared" ca="1" si="8"/>
        <v>9318.34</v>
      </c>
      <c r="M34" s="351">
        <f t="shared" ca="1" si="8"/>
        <v>8672.73</v>
      </c>
      <c r="N34" s="351">
        <f t="shared" ca="1" si="8"/>
        <v>7887.51</v>
      </c>
      <c r="O34" s="351">
        <f t="shared" ca="1" si="8"/>
        <v>7099.14</v>
      </c>
      <c r="P34" s="351">
        <f t="shared" ca="1" si="8"/>
        <v>6292.93</v>
      </c>
      <c r="Q34" s="351">
        <f t="shared" ca="1" si="8"/>
        <v>5467.69</v>
      </c>
      <c r="R34" s="351">
        <f t="shared" ca="1" si="8"/>
        <v>4534.5200000000004</v>
      </c>
      <c r="S34" s="351">
        <f t="shared" ca="1" si="8"/>
        <v>3601.8</v>
      </c>
      <c r="T34" s="351">
        <f ca="1">ROUND(+T29+T22,2)</f>
        <v>2671.56</v>
      </c>
      <c r="U34" s="351">
        <f ca="1">ROUND(+U29+U22,2)</f>
        <v>1787.84</v>
      </c>
      <c r="V34" s="351">
        <f ca="1">ROUND(+V29+V22,2)</f>
        <v>1167.69</v>
      </c>
      <c r="W34" s="351">
        <f ca="1">ROUND(+W29+W22,2)</f>
        <v>224.28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5" thickBot="1">
      <c r="A36" s="359" t="s">
        <v>406</v>
      </c>
      <c r="C36" s="351">
        <f t="shared" ref="C36:S36" ca="1" si="10">C34+C35</f>
        <v>0</v>
      </c>
      <c r="D36" s="351">
        <f t="shared" ca="1" si="10"/>
        <v>14357.662903980121</v>
      </c>
      <c r="E36" s="351">
        <f t="shared" ca="1" si="10"/>
        <v>14379.545233853642</v>
      </c>
      <c r="F36" s="351">
        <f t="shared" ca="1" si="10"/>
        <v>14677.440280486768</v>
      </c>
      <c r="G36" s="351">
        <f t="shared" ca="1" si="10"/>
        <v>14916.811031362642</v>
      </c>
      <c r="H36" s="351">
        <f t="shared" ca="1" si="10"/>
        <v>14570.631031362642</v>
      </c>
      <c r="I36" s="351">
        <f t="shared" ca="1" si="10"/>
        <v>15417.85215063939</v>
      </c>
      <c r="J36" s="351">
        <f t="shared" ca="1" si="10"/>
        <v>14944.362150639405</v>
      </c>
      <c r="K36" s="351">
        <f t="shared" ca="1" si="10"/>
        <v>15853.273835116739</v>
      </c>
      <c r="L36" s="351">
        <f t="shared" ca="1" si="10"/>
        <v>15232.31383511674</v>
      </c>
      <c r="M36" s="351">
        <f t="shared" ca="1" si="10"/>
        <v>16151.056529706422</v>
      </c>
      <c r="N36" s="351">
        <f t="shared" ca="1" si="10"/>
        <v>15365.836529706436</v>
      </c>
      <c r="O36" s="351">
        <f t="shared" ca="1" si="10"/>
        <v>14777.264999999999</v>
      </c>
      <c r="P36" s="351">
        <f t="shared" ca="1" si="10"/>
        <v>13971.055</v>
      </c>
      <c r="Q36" s="351">
        <f t="shared" ca="1" si="10"/>
        <v>14354.957241009008</v>
      </c>
      <c r="R36" s="351">
        <f t="shared" ca="1" si="10"/>
        <v>13421.787241009022</v>
      </c>
      <c r="S36" s="351">
        <f t="shared" ca="1" si="10"/>
        <v>12461.174999999999</v>
      </c>
      <c r="T36" s="351">
        <f ca="1">T34+T35</f>
        <v>11530.934999999999</v>
      </c>
      <c r="U36" s="351">
        <f ca="1">U34+U35</f>
        <v>7694.09</v>
      </c>
      <c r="V36" s="351">
        <f ca="1">V34+V35</f>
        <v>7073.9400000000005</v>
      </c>
      <c r="W36" s="351">
        <f ca="1">W34+W35</f>
        <v>6319.53</v>
      </c>
      <c r="X36" s="767"/>
    </row>
    <row r="37" spans="1:44" ht="16.5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4671.70593781558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11643.396666666667</v>
      </c>
      <c r="D40" s="351">
        <f t="shared" ref="D40:R40" ca="1" si="11">C42</f>
        <v>14580.418096209163</v>
      </c>
      <c r="E40" s="351">
        <f t="shared" ca="1" si="11"/>
        <v>14792.455945541014</v>
      </c>
      <c r="F40" s="351">
        <f t="shared" ca="1" si="11"/>
        <v>14905.419328898168</v>
      </c>
      <c r="G40" s="351">
        <f t="shared" ca="1" si="11"/>
        <v>15140.586039824164</v>
      </c>
      <c r="H40" s="351">
        <f t="shared" ca="1" si="11"/>
        <v>15203.686600574985</v>
      </c>
      <c r="I40" s="351">
        <f t="shared" ca="1" si="11"/>
        <v>15519.771700243737</v>
      </c>
      <c r="J40" s="351">
        <f t="shared" ca="1" si="11"/>
        <v>15509.368576057148</v>
      </c>
      <c r="K40" s="351">
        <f t="shared" ca="1" si="11"/>
        <v>15475.949145929268</v>
      </c>
      <c r="L40" s="351">
        <f t="shared" ca="1" si="11"/>
        <v>15099.505378905922</v>
      </c>
      <c r="M40" s="351">
        <f t="shared" ca="1" si="11"/>
        <v>14924.034060084372</v>
      </c>
      <c r="N40" s="351">
        <f t="shared" ca="1" si="11"/>
        <v>14378.180202344893</v>
      </c>
      <c r="O40" s="351">
        <f t="shared" ca="1" si="11"/>
        <v>13797.247896403607</v>
      </c>
      <c r="P40" s="351">
        <f t="shared" ca="1" si="11"/>
        <v>13147.981896403604</v>
      </c>
      <c r="Q40" s="351">
        <f t="shared" ca="1" si="11"/>
        <v>11892.588896403604</v>
      </c>
      <c r="R40" s="351">
        <f t="shared" ca="1" si="11"/>
        <v>10436.385448201803</v>
      </c>
      <c r="S40" s="351">
        <f ca="1">R42</f>
        <v>9015.9339999999993</v>
      </c>
      <c r="T40" s="351">
        <f ca="1">S42</f>
        <v>8154.6237500000016</v>
      </c>
      <c r="U40" s="351">
        <f ca="1">T42</f>
        <v>7029.1866666666674</v>
      </c>
      <c r="V40" s="351">
        <f ca="1">U42</f>
        <v>6696.7350000000006</v>
      </c>
      <c r="W40" s="351">
        <f ca="1">V42</f>
        <v>6319.53</v>
      </c>
    </row>
    <row r="41" spans="1:44">
      <c r="A41" s="337" t="s">
        <v>328</v>
      </c>
      <c r="C41" s="364">
        <f ca="1">C40-((AVERAGE(D36:H36))*'ASSUM 1'!$Q$46/12)</f>
        <v>-2937.0214295424958</v>
      </c>
      <c r="D41" s="364">
        <f ca="1">D40-((AVERAGE(E36:I36))*'ASSUM 1'!$Q$46/12)</f>
        <v>-212.03784933185125</v>
      </c>
      <c r="E41" s="364">
        <f ca="1">E40-((AVERAGE(F36:J36))*'ASSUM 1'!$Q$46/12)</f>
        <v>-112.96338335715336</v>
      </c>
      <c r="F41" s="364">
        <f ca="1">F40-((AVERAGE(G36:K36))*'ASSUM 1'!$Q$46/12)</f>
        <v>-235.16671092599609</v>
      </c>
      <c r="G41" s="364">
        <f ca="1">G40-((AVERAGE(H36:L36))*'ASSUM 1'!$Q$46/12)</f>
        <v>-63.100560750821387</v>
      </c>
      <c r="H41" s="364">
        <f ca="1">H40-((AVERAGE(I36:M36))*'ASSUM 1'!$Q$46/12)</f>
        <v>-316.08509966875135</v>
      </c>
      <c r="I41" s="364">
        <f ca="1">I40-((AVERAGE(J36:N36))*'ASSUM 1'!$Q$46/12)</f>
        <v>10.403124186588684</v>
      </c>
      <c r="J41" s="364">
        <f ca="1">J40-((AVERAGE(K36:O36))*'ASSUM 1'!$Q$46/12)</f>
        <v>33.419430127880332</v>
      </c>
      <c r="K41" s="364">
        <f ca="1">K40-((AVERAGE(L36:P36))*'ASSUM 1'!$Q$46/12)</f>
        <v>376.44376702334557</v>
      </c>
      <c r="L41" s="364">
        <f ca="1">L40-((AVERAGE(M36:Q36))*'ASSUM 1'!$Q$46/12)</f>
        <v>175.47131882155008</v>
      </c>
      <c r="M41" s="364">
        <f ca="1">M40-((AVERAGE(N36:R36))*'ASSUM 1'!$Q$46/12)</f>
        <v>545.85385773947928</v>
      </c>
      <c r="N41" s="364">
        <f ca="1">N40-((AVERAGE(O36:S36))*'ASSUM 1'!$Q$46/12)</f>
        <v>580.93230594128545</v>
      </c>
      <c r="O41" s="364">
        <f ca="1">O40-((AVERAGE(P36:T36))*'ASSUM 1'!$Q$46/12)</f>
        <v>649.26600000000326</v>
      </c>
      <c r="P41" s="364">
        <f ca="1">P40-((AVERAGE(Q36:U36))*'ASSUM 1'!$Q$46/12)</f>
        <v>1255.393</v>
      </c>
      <c r="Q41" s="364">
        <f ca="1">Q40-((AVERAGE(R36:V36))*'ASSUM 1'!$Q$46/12)</f>
        <v>1456.2034482018007</v>
      </c>
      <c r="R41" s="364">
        <f ca="1">R40-((AVERAGE(S36:W36))*'ASSUM 1'!$Q$46/12)</f>
        <v>1420.4514482018039</v>
      </c>
      <c r="S41" s="364">
        <f ca="1">S40-((AVERAGE(T36:X36))*'ASSUM 1'!$Q$46/12)</f>
        <v>861.31024999999772</v>
      </c>
      <c r="T41" s="364">
        <f ca="1">T40-((AVERAGE(U36:Y36))*'ASSUM 1'!$Q$46/12)</f>
        <v>1125.4370833333342</v>
      </c>
      <c r="U41" s="364">
        <f ca="1">U40-((AVERAGE(V36:Z36))*'ASSUM 1'!$Q$46/12)</f>
        <v>332.45166666666682</v>
      </c>
      <c r="V41" s="364">
        <f ca="1">V40-((AVERAGE(W36:AA36))*'ASSUM 1'!$Q$46/12)</f>
        <v>377.20500000000084</v>
      </c>
      <c r="W41" s="364">
        <v>0</v>
      </c>
    </row>
    <row r="42" spans="1:44">
      <c r="A42" s="337"/>
      <c r="C42" s="351">
        <f t="shared" ref="C42:R42" ca="1" si="12">C40-C41</f>
        <v>14580.418096209163</v>
      </c>
      <c r="D42" s="351">
        <f t="shared" ca="1" si="12"/>
        <v>14792.455945541014</v>
      </c>
      <c r="E42" s="351">
        <f t="shared" ca="1" si="12"/>
        <v>14905.419328898168</v>
      </c>
      <c r="F42" s="351">
        <f t="shared" ca="1" si="12"/>
        <v>15140.586039824164</v>
      </c>
      <c r="G42" s="351">
        <f t="shared" ca="1" si="12"/>
        <v>15203.686600574985</v>
      </c>
      <c r="H42" s="351">
        <f t="shared" ca="1" si="12"/>
        <v>15519.771700243737</v>
      </c>
      <c r="I42" s="351">
        <f t="shared" ca="1" si="12"/>
        <v>15509.368576057148</v>
      </c>
      <c r="J42" s="351">
        <f t="shared" ca="1" si="12"/>
        <v>15475.949145929268</v>
      </c>
      <c r="K42" s="351">
        <f t="shared" ca="1" si="12"/>
        <v>15099.505378905922</v>
      </c>
      <c r="L42" s="351">
        <f t="shared" ca="1" si="12"/>
        <v>14924.034060084372</v>
      </c>
      <c r="M42" s="351">
        <f t="shared" ca="1" si="12"/>
        <v>14378.180202344893</v>
      </c>
      <c r="N42" s="351">
        <f t="shared" ca="1" si="12"/>
        <v>13797.247896403607</v>
      </c>
      <c r="O42" s="351">
        <f t="shared" ca="1" si="12"/>
        <v>13147.981896403604</v>
      </c>
      <c r="P42" s="351">
        <f t="shared" ca="1" si="12"/>
        <v>11892.588896403604</v>
      </c>
      <c r="Q42" s="351">
        <f t="shared" ca="1" si="12"/>
        <v>10436.385448201803</v>
      </c>
      <c r="R42" s="351">
        <f t="shared" ca="1" si="12"/>
        <v>9015.9339999999993</v>
      </c>
      <c r="S42" s="351">
        <f ca="1">S40-S41</f>
        <v>8154.6237500000016</v>
      </c>
      <c r="T42" s="351">
        <f ca="1">T40-T41</f>
        <v>7029.1866666666674</v>
      </c>
      <c r="U42" s="351">
        <f ca="1">U40-U41</f>
        <v>6696.7350000000006</v>
      </c>
      <c r="V42" s="351">
        <f ca="1">V40-V41</f>
        <v>6319.53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116.64334476967331</v>
      </c>
      <c r="D44" s="351">
        <f ca="1">D42*'ASSUM 1'!$S$46</f>
        <v>118.33964756432812</v>
      </c>
      <c r="E44" s="351">
        <f ca="1">E42*'ASSUM 1'!$S$46</f>
        <v>119.24335463118534</v>
      </c>
      <c r="F44" s="351">
        <f ca="1">F42*'ASSUM 1'!$S$46</f>
        <v>121.12468831859331</v>
      </c>
      <c r="G44" s="351">
        <f ca="1">G42*'ASSUM 1'!$S$46</f>
        <v>121.62949280459989</v>
      </c>
      <c r="H44" s="351">
        <f ca="1">H42*'ASSUM 1'!$S$46</f>
        <v>124.1581736019499</v>
      </c>
      <c r="I44" s="351">
        <f ca="1">I42*'ASSUM 1'!$S$46</f>
        <v>124.07494860845719</v>
      </c>
      <c r="J44" s="351">
        <f ca="1">J42*'ASSUM 1'!$S$46</f>
        <v>123.80759316743415</v>
      </c>
      <c r="K44" s="351">
        <f ca="1">K42*'ASSUM 1'!$S$46</f>
        <v>120.79604303124738</v>
      </c>
      <c r="L44" s="351">
        <f ca="1">L42*'ASSUM 1'!$S$46</f>
        <v>119.39227248067498</v>
      </c>
      <c r="M44" s="351">
        <f ca="1">M42*'ASSUM 1'!$S$46</f>
        <v>115.02544161875915</v>
      </c>
      <c r="N44" s="351">
        <f ca="1">N42*'ASSUM 1'!$S$46</f>
        <v>110.37798317122886</v>
      </c>
      <c r="O44" s="351">
        <f ca="1">O42*'ASSUM 1'!$S$46</f>
        <v>105.18385517122883</v>
      </c>
      <c r="P44" s="351">
        <f ca="1">P42*'ASSUM 1'!$S$46</f>
        <v>95.14071117122883</v>
      </c>
      <c r="Q44" s="351">
        <f ca="1">Q42*'ASSUM 1'!$S$46</f>
        <v>83.491083585614433</v>
      </c>
      <c r="R44" s="351">
        <f ca="1">R42*'ASSUM 1'!$S$46</f>
        <v>72.127471999999997</v>
      </c>
      <c r="S44" s="351">
        <f ca="1">S42*'ASSUM 1'!$S$46</f>
        <v>65.23699000000002</v>
      </c>
      <c r="T44" s="351">
        <f ca="1">T42*'ASSUM 1'!$S$46</f>
        <v>56.233493333333342</v>
      </c>
      <c r="U44" s="351">
        <f ca="1">U42*'ASSUM 1'!$S$46</f>
        <v>53.573880000000003</v>
      </c>
      <c r="V44" s="351">
        <f ca="1">V42*'ASSUM 1'!$S$46</f>
        <v>50.556240000000003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view="pageBreakPreview" topLeftCell="B1" zoomScale="60" zoomScaleNormal="75" workbookViewId="0">
      <selection activeCell="B1" sqref="A1:IV65536"/>
    </sheetView>
  </sheetViews>
  <sheetFormatPr defaultColWidth="9.77734375" defaultRowHeight="15.75"/>
  <cols>
    <col min="1" max="1" width="31.77734375" style="2" customWidth="1"/>
    <col min="2" max="2" width="9.77734375" style="2" customWidth="1"/>
    <col min="3" max="3" width="25.77734375" style="2" customWidth="1"/>
    <col min="4" max="4" width="10.77734375" style="2" customWidth="1"/>
    <col min="5" max="5" width="11.109375" style="7" customWidth="1"/>
    <col min="6" max="6" width="3.44140625" customWidth="1"/>
    <col min="7" max="11" width="9.77734375" customWidth="1"/>
    <col min="12" max="12" width="25.77734375" customWidth="1"/>
    <col min="13" max="14" width="9.77734375" style="97" customWidth="1"/>
    <col min="15" max="15" width="2.77734375" customWidth="1"/>
    <col min="16" max="17" width="9.77734375" style="97" customWidth="1"/>
    <col min="18" max="16384" width="9.7773437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3.25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5" thickBot="1">
      <c r="A4" s="102"/>
      <c r="B4" s="102"/>
      <c r="C4" s="51"/>
      <c r="D4" s="51"/>
      <c r="T4" s="101"/>
    </row>
    <row r="5" spans="1:21" ht="17.25" thickTop="1" thickBot="1">
      <c r="A5" s="17"/>
      <c r="B5" s="93"/>
      <c r="C5" s="103"/>
      <c r="D5" s="103"/>
      <c r="E5" s="104"/>
      <c r="F5" s="27"/>
      <c r="T5" s="101"/>
    </row>
    <row r="6" spans="1:21" ht="16.5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11.643396666666668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23.082015676357056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>
      <c r="A62" s="137" t="s">
        <v>175</v>
      </c>
      <c r="B62" s="51"/>
      <c r="C62" s="51"/>
      <c r="D62" s="51"/>
      <c r="E62" s="117">
        <f ca="1">IF('ASSUM 1'!N26=0,+#REF!+#REF!,'144A IDC'!D115/1000)</f>
        <v>4.5922063114815979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5" thickBot="1">
      <c r="A63" s="31"/>
      <c r="B63" s="51"/>
      <c r="C63" s="51"/>
      <c r="D63" s="51"/>
      <c r="E63" s="117"/>
      <c r="F63" s="27"/>
      <c r="L63" s="27"/>
      <c r="R63" s="1"/>
      <c r="T63" s="126"/>
      <c r="U63" s="120"/>
    </row>
    <row r="64" spans="1:21" ht="16.5" thickTop="1">
      <c r="A64" s="73" t="s">
        <v>176</v>
      </c>
      <c r="B64" s="51"/>
      <c r="C64" s="51"/>
      <c r="D64" s="51"/>
      <c r="E64" s="138">
        <f ca="1">E14+E23+E30+E53+E60+E62</f>
        <v>176.14867176803224</v>
      </c>
      <c r="F64" s="27"/>
      <c r="G64" s="113"/>
      <c r="H64" s="113"/>
      <c r="I64" s="113"/>
      <c r="L64" s="19"/>
      <c r="M64" s="108"/>
      <c r="N64" s="108"/>
      <c r="O64" s="19"/>
      <c r="P64" s="108"/>
      <c r="Q64" s="108"/>
      <c r="T64" s="139"/>
      <c r="U64" s="120"/>
    </row>
    <row r="65" spans="1:254" ht="16.5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5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56" zoomScale="60" zoomScaleNormal="100" workbookViewId="0">
      <selection activeCell="D97" sqref="D97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9.8634374999999981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9863.4374999999982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30.245453176357053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-127.21159549103402</v>
      </c>
      <c r="K65" s="427">
        <f t="shared" ca="1" si="4"/>
        <v>-103.54206356335902</v>
      </c>
      <c r="L65" s="427">
        <f t="shared" ca="1" si="4"/>
        <v>-76.322896789812575</v>
      </c>
      <c r="M65" s="427">
        <f t="shared" ca="1" si="4"/>
        <v>-49.103730016266127</v>
      </c>
      <c r="N65" s="427">
        <f t="shared" ca="1" si="4"/>
        <v>-8.7509143129953983</v>
      </c>
      <c r="O65" s="427">
        <f t="shared" ca="1" si="4"/>
        <v>4518.28125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78750.74364240779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2100.21943511891</v>
      </c>
      <c r="P68" s="427">
        <f t="shared" ca="1" si="5"/>
        <v>0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64748.253006377126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-127.21159549103402</v>
      </c>
      <c r="K69" s="437">
        <f t="shared" ca="1" si="6"/>
        <v>-103.54206356335902</v>
      </c>
      <c r="L69" s="437">
        <f t="shared" ca="1" si="6"/>
        <v>-76.322896789812575</v>
      </c>
      <c r="M69" s="437">
        <f t="shared" ca="1" si="6"/>
        <v>-49.103730016266127</v>
      </c>
      <c r="N69" s="437">
        <f t="shared" ca="1" si="6"/>
        <v>-8.7509143129953983</v>
      </c>
      <c r="O69" s="437">
        <f t="shared" ca="1" si="6"/>
        <v>12102.737583666059</v>
      </c>
      <c r="P69" s="437">
        <f t="shared" ca="1" si="6"/>
        <v>17088.157308168396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>
      <c r="A70" s="418" t="s">
        <v>337</v>
      </c>
      <c r="B70" s="418"/>
      <c r="C70" s="438">
        <f ca="1">C68+C69</f>
        <v>182873.25300637714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35067.711187143228</v>
      </c>
      <c r="J70" s="440">
        <f t="shared" ca="1" si="7"/>
        <v>8716.2618442530165</v>
      </c>
      <c r="K70" s="440">
        <f t="shared" ca="1" si="7"/>
        <v>5577.1455990786399</v>
      </c>
      <c r="L70" s="440">
        <f t="shared" ca="1" si="7"/>
        <v>6456.2771288613303</v>
      </c>
      <c r="M70" s="440">
        <f t="shared" ca="1" si="7"/>
        <v>6483.4962956348763</v>
      </c>
      <c r="N70" s="440">
        <f t="shared" ca="1" si="7"/>
        <v>9675.924854471974</v>
      </c>
      <c r="O70" s="440">
        <f t="shared" ca="1" si="7"/>
        <v>14202.957018784969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178.71990295655064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35067.711187143235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35067.711187143235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2100.21943511891</v>
      </c>
      <c r="P77" s="440">
        <f ca="1">IF(P8&gt;=$D$92,IF(SUM($D77:O77)&gt;=($D$91+HLOOKUP($D$92,$D$8:$Y$69,62)),0,MIN(P73,($D$91-SUM($D77:O77)+HLOOKUP($D$92,$D$8:$Y$69,62)))),0)</f>
        <v>0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69225.422648293446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7584.4563336660594</v>
      </c>
      <c r="P78" s="437">
        <f t="shared" ca="1" si="9"/>
        <v>17088.157308168396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143667.3901930289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35067.711187143235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1.6500000000000001E-2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1'!S22+0.0535</f>
        <v>8.3499999999999991E-2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78750.74364240779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2100.21943511891</v>
      </c>
      <c r="P102" s="619">
        <f ca="1">P77+IF(P101&gt;0,SUM($D78:O78),0)</f>
        <v>0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78750.74364240779</v>
      </c>
      <c r="J103" s="427">
        <f ca="1">SUM($D$102:J102)</f>
        <v>87594.217082151838</v>
      </c>
      <c r="K103" s="427">
        <f ca="1">SUM($D$102:K102)</f>
        <v>93274.904744793836</v>
      </c>
      <c r="L103" s="453">
        <f ca="1">SUM($D$102:L102)</f>
        <v>99807.504770444983</v>
      </c>
      <c r="M103" s="427">
        <f ca="1">SUM($D$102:M102)</f>
        <v>106340.10479609613</v>
      </c>
      <c r="N103" s="427">
        <f ca="1">SUM($D$102:N102)</f>
        <v>116024.7805648811</v>
      </c>
      <c r="O103" s="427">
        <f ca="1">SUM($D$102:O102)</f>
        <v>118125.00000000001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30530.782917848162</v>
      </c>
      <c r="K104" s="427">
        <f t="shared" ca="1" si="13"/>
        <v>24850.095255206164</v>
      </c>
      <c r="L104" s="427">
        <f t="shared" ca="1" si="13"/>
        <v>18317.495229555017</v>
      </c>
      <c r="M104" s="427">
        <f t="shared" ca="1" si="13"/>
        <v>11784.89520390387</v>
      </c>
      <c r="N104" s="427">
        <f t="shared" ca="1" si="13"/>
        <v>2100.2194351188955</v>
      </c>
      <c r="O104" s="427">
        <f t="shared" ca="1" si="13"/>
        <v>0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7.6499999999999999E-2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4518.28125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7.6499999999999999E-2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4518.28125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8.3499999999999991E-2</v>
      </c>
      <c r="D109" s="440">
        <f>$D$91*C109</f>
        <v>9863.4374999999982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127.21159549103402</v>
      </c>
      <c r="K111" s="427">
        <f ca="1">IF(K9&gt;=1,+K104*'ASSUM 1'!S43/12,0)</f>
        <v>103.54206356335902</v>
      </c>
      <c r="L111" s="427">
        <f ca="1">IF(L9&gt;=1,+L104*'ASSUM 1'!S43/12,0)</f>
        <v>76.322896789812575</v>
      </c>
      <c r="M111" s="427">
        <f ca="1">IF(M9&gt;=1,+M104*'ASSUM 1'!S43/12,0)</f>
        <v>49.103730016266127</v>
      </c>
      <c r="N111" s="427">
        <f ca="1">IF(N9&gt;=1,+N104*'ASSUM 1'!S43/12,0)</f>
        <v>8.7509143129953983</v>
      </c>
      <c r="O111" s="427">
        <f ca="1">IF(O9&gt;=1,+O104*'ASSUM 1'!S43/12,0)</f>
        <v>0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4518.28125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-127.21159549103402</v>
      </c>
      <c r="K113" s="427">
        <f t="shared" ca="1" si="18"/>
        <v>-103.54206356335902</v>
      </c>
      <c r="L113" s="427">
        <f t="shared" ca="1" si="18"/>
        <v>-76.322896789812575</v>
      </c>
      <c r="M113" s="427">
        <f t="shared" ca="1" si="18"/>
        <v>-49.103730016266127</v>
      </c>
      <c r="N113" s="427">
        <f t="shared" ca="1" si="18"/>
        <v>-8.7509143129953983</v>
      </c>
      <c r="O113" s="427">
        <f t="shared" ca="1" si="18"/>
        <v>4518.28125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4153.350049826533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9863.4374999999982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182873.25300637714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35067.711187143235</v>
      </c>
      <c r="J121" s="427">
        <f t="shared" ca="1" si="19"/>
        <v>8716.2618442530165</v>
      </c>
      <c r="K121" s="427">
        <f t="shared" ca="1" si="19"/>
        <v>5577.1455990786399</v>
      </c>
      <c r="L121" s="427">
        <f t="shared" ca="1" si="19"/>
        <v>6456.2771288613303</v>
      </c>
      <c r="M121" s="427">
        <f t="shared" ca="1" si="19"/>
        <v>6483.4962956348763</v>
      </c>
      <c r="N121" s="427">
        <f t="shared" ca="1" si="19"/>
        <v>9675.924854471974</v>
      </c>
      <c r="O121" s="427">
        <f t="shared" ca="1" si="19"/>
        <v>14202.957018784969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78750.74364240779</v>
      </c>
      <c r="J122" s="427">
        <f t="shared" ca="1" si="20"/>
        <v>87467.005486660812</v>
      </c>
      <c r="K122" s="427">
        <f t="shared" ca="1" si="20"/>
        <v>93044.151085739446</v>
      </c>
      <c r="L122" s="427">
        <f t="shared" ca="1" si="20"/>
        <v>99500.428214600775</v>
      </c>
      <c r="M122" s="427">
        <f t="shared" ca="1" si="20"/>
        <v>105983.92451023565</v>
      </c>
      <c r="N122" s="427">
        <f t="shared" ca="1" si="20"/>
        <v>115659.84936470762</v>
      </c>
      <c r="O122" s="427">
        <f t="shared" ca="1" si="20"/>
        <v>129862.8063834926</v>
      </c>
      <c r="P122" s="427">
        <f t="shared" ca="1" si="20"/>
        <v>146950.96369166099</v>
      </c>
      <c r="Q122" s="427">
        <f t="shared" ca="1" si="20"/>
        <v>158359.7052464351</v>
      </c>
      <c r="R122" s="427">
        <f t="shared" ca="1" si="20"/>
        <v>169768.44680120921</v>
      </c>
      <c r="S122" s="427">
        <f t="shared" ca="1" si="20"/>
        <v>182873.25300637714</v>
      </c>
      <c r="T122" s="427">
        <f t="shared" ca="1" si="20"/>
        <v>182873.25300637714</v>
      </c>
      <c r="U122" s="427">
        <f t="shared" ca="1" si="20"/>
        <v>182873.25300637714</v>
      </c>
      <c r="V122" s="427">
        <f t="shared" ca="1" si="20"/>
        <v>182873.25300637714</v>
      </c>
      <c r="W122" s="427">
        <f t="shared" ca="1" si="20"/>
        <v>182873.25300637714</v>
      </c>
      <c r="X122" s="427">
        <f t="shared" ca="1" si="20"/>
        <v>182873.25300637714</v>
      </c>
      <c r="Y122" s="427">
        <f t="shared" ca="1" si="20"/>
        <v>182873.25300637714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19809.231866399103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-127.21159549103402</v>
      </c>
      <c r="K125" s="467">
        <f ca="1">-IF(K101&gt;0,SUM($D$124:J125),0)+IF(YEAR(K$8)=$B$125,K$78+K113,0)</f>
        <v>-103.54206356335902</v>
      </c>
      <c r="L125" s="467">
        <f ca="1">-IF(L101&gt;0,SUM($D$124:K125),0)+IF(YEAR(L$8)=$B$125,L$78+L113,0)</f>
        <v>-76.322896789812575</v>
      </c>
      <c r="M125" s="467">
        <f ca="1">-IF(M101&gt;0,SUM($D$124:L125),0)+IF(YEAR(M$8)=$B$125,M$78+M113,0)</f>
        <v>-49.103730016266127</v>
      </c>
      <c r="N125" s="467">
        <f ca="1">-IF(N101&gt;0,SUM($D$124:M125),0)+IF(YEAR(N$8)=$B$125,N$78+N113,0)</f>
        <v>-8.7509143129953983</v>
      </c>
      <c r="O125" s="467">
        <f ca="1">-IF(O101&gt;0,SUM($D$124:N125),0)+IF(YEAR(O$8)=$B$125,O$78+O113,0)</f>
        <v>12102.737583666059</v>
      </c>
      <c r="P125" s="467">
        <f ca="1">-IF(P101&gt;0,SUM($D$124:O125),0)+IF(YEAR(P$8)=$B$125,P$78+P113,0)</f>
        <v>17088.157308168396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64748.253006377126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-127.21159549103402</v>
      </c>
      <c r="K127" s="427">
        <f t="shared" ca="1" si="23"/>
        <v>-103.54206356335902</v>
      </c>
      <c r="L127" s="427">
        <f t="shared" ca="1" si="23"/>
        <v>-76.322896789812575</v>
      </c>
      <c r="M127" s="427">
        <f t="shared" ca="1" si="23"/>
        <v>-49.103730016266127</v>
      </c>
      <c r="N127" s="427">
        <f t="shared" ca="1" si="23"/>
        <v>-8.7509143129953983</v>
      </c>
      <c r="O127" s="427">
        <f t="shared" ca="1" si="23"/>
        <v>12102.737583666059</v>
      </c>
      <c r="P127" s="427">
        <f t="shared" ca="1" si="23"/>
        <v>17088.157308168396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A17" sqref="A1:IV65536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4" ht="23.25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0.105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4564.3499999999995</v>
      </c>
      <c r="F22" s="351">
        <f ca="1">IF(OR(F7&lt;12,F19=0),0,+F20*'ASSUM 1'!$S$42/2)</f>
        <v>4417.875</v>
      </c>
      <c r="G22" s="351">
        <f ca="1">IF(OR(G7&lt;12,G19=0),0,+G20*'ASSUM 1'!$S$42/2)</f>
        <v>4226.5124999999998</v>
      </c>
      <c r="H22" s="351">
        <f ca="1">IF(OR(H7&lt;12,H19=0),0,+H20*'ASSUM 1'!$S$42/2)</f>
        <v>4003.9649999999997</v>
      </c>
      <c r="I22" s="351">
        <f ca="1">IF(OR(I7&lt;12,I19=0),0,+I20*'ASSUM 1'!$S$42/2)</f>
        <v>3961.44</v>
      </c>
      <c r="J22" s="351">
        <f ca="1">IF(OR(J7&lt;12,J19=0),0,+J20*'ASSUM 1'!$S$42/2)</f>
        <v>3751.1774999999998</v>
      </c>
      <c r="K22" s="351">
        <f ca="1">IF(OR(K7&lt;12,K19=0),0,+K20*'ASSUM 1'!$S$42/2)</f>
        <v>3333.0149999999999</v>
      </c>
      <c r="L22" s="351">
        <f ca="1">IF(OR(L7&lt;12,L19=0),0,+L20*'ASSUM 1'!$S$42/2)</f>
        <v>2858.1524999999997</v>
      </c>
      <c r="M22" s="351">
        <f ca="1">IF(OR(M7&lt;12,M19=0),0,+M20*'ASSUM 1'!$S$42/2)</f>
        <v>2409.2774999999997</v>
      </c>
      <c r="N22" s="351">
        <f ca="1">IF(OR(N7&lt;12,N19=0),0,+N20*'ASSUM 1'!$S$42/2)</f>
        <v>1960.4024999999999</v>
      </c>
      <c r="O22" s="351">
        <f ca="1">IF(OR(O7&lt;12,O19=0),0,+O20*'ASSUM 1'!$S$42/2)</f>
        <v>1535.1524999999999</v>
      </c>
      <c r="P22" s="351">
        <f ca="1">IF(OR(P7&lt;12,P19=0),0,+P20*'ASSUM 1'!$S$42/2)</f>
        <v>1109.9024999999999</v>
      </c>
      <c r="Q22" s="351">
        <f ca="1">IF(OR(Q7&lt;12,Q19=0),0,+Q20*'ASSUM 1'!$S$42/2)</f>
        <v>708.27749999999992</v>
      </c>
      <c r="R22" s="351">
        <f ca="1">IF(OR(R7&lt;12,R19=0),0,+R20*'ASSUM 1'!$S$42/2)</f>
        <v>330.27749999999997</v>
      </c>
      <c r="S22" s="351">
        <f ca="1">IF(OR(S7&lt;12,S19=0),0,+S20*'ASSUM 1'!$S$42/2)</f>
        <v>-8.5947249317541714E-13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6022.5240170780644</v>
      </c>
      <c r="E23" s="351">
        <f ca="1">IF(E7&lt;12,0,IF(E20&gt;1,PMT('ASSUM 1'!$S$42/2,'ASSUM 1'!$S$32*IF('ASSUM 1'!$S$34="semi",2,1),-(($C$20))),0))</f>
        <v>6022.5240170780644</v>
      </c>
      <c r="F23" s="351">
        <f ca="1">IF(F7&lt;12,0,IF(F20&gt;1,PMT('ASSUM 1'!$S$42/2,'ASSUM 1'!$S$32*IF('ASSUM 1'!$S$34="semi",2,1),-(($C$20))),0))</f>
        <v>6022.5240170780644</v>
      </c>
      <c r="G23" s="351">
        <f ca="1">IF(G7&lt;12,0,IF(G20&gt;1,PMT('ASSUM 1'!$S$42/2,'ASSUM 1'!$S$32*IF('ASSUM 1'!$S$34="semi",2,1),-(($C$20))),0))</f>
        <v>6022.5240170780644</v>
      </c>
      <c r="H23" s="351">
        <f ca="1">IF(H7&lt;12,0,IF(H20&gt;1,PMT('ASSUM 1'!$S$42/2,'ASSUM 1'!$S$32*IF('ASSUM 1'!$S$34="semi",2,1),-(($C$20))),0))</f>
        <v>6022.5240170780644</v>
      </c>
      <c r="I23" s="351">
        <f ca="1">IF(I7&lt;12,0,IF(I20&gt;1,PMT('ASSUM 1'!$S$42/2,'ASSUM 1'!$S$32*IF('ASSUM 1'!$S$34="semi",2,1),-(($C$20))),0))</f>
        <v>6022.5240170780644</v>
      </c>
      <c r="J23" s="351">
        <f ca="1">IF(J7&lt;12,0,IF(J20&gt;1,PMT('ASSUM 1'!$S$42/2,'ASSUM 1'!$S$32*IF('ASSUM 1'!$S$34="semi",2,1),-(($C$20))),0))</f>
        <v>6022.5240170780644</v>
      </c>
      <c r="K23" s="351">
        <f ca="1">IF(K7&lt;12,0,IF(K20&gt;1,PMT('ASSUM 1'!$S$42/2,'ASSUM 1'!$S$32*IF('ASSUM 1'!$S$34="semi",2,1),-(($C$20))),0))</f>
        <v>6022.5240170780644</v>
      </c>
      <c r="L23" s="351">
        <f ca="1">IF(L7&lt;12,0,IF(L20&gt;1,PMT('ASSUM 1'!$S$42/2,'ASSUM 1'!$S$32*IF('ASSUM 1'!$S$34="semi",2,1),-(($C$20))),0))</f>
        <v>6022.5240170780644</v>
      </c>
      <c r="M23" s="351">
        <f ca="1">IF(M7&lt;12,0,IF(M20&gt;1,PMT('ASSUM 1'!$S$42/2,'ASSUM 1'!$S$32*IF('ASSUM 1'!$S$34="semi",2,1),-(($C$20))),0))</f>
        <v>6022.5240170780644</v>
      </c>
      <c r="N23" s="351">
        <f ca="1">IF(N7&lt;12,0,IF(N20&gt;1,PMT('ASSUM 1'!$S$42/2,'ASSUM 1'!$S$32*IF('ASSUM 1'!$S$34="semi",2,1),-(($C$20))),0))</f>
        <v>6022.5240170780644</v>
      </c>
      <c r="O23" s="351">
        <f ca="1">IF(O7&lt;12,0,IF(O20&gt;1,PMT('ASSUM 1'!$S$42/2,'ASSUM 1'!$S$32*IF('ASSUM 1'!$S$34="semi",2,1),-(($C$20))),0))</f>
        <v>6022.5240170780644</v>
      </c>
      <c r="P23" s="351">
        <f ca="1">IF(P7&lt;12,0,IF(P20&gt;1,PMT('ASSUM 1'!$S$42/2,'ASSUM 1'!$S$32*IF('ASSUM 1'!$S$34="semi",2,1),-(($C$20))),0))</f>
        <v>6022.5240170780644</v>
      </c>
      <c r="Q23" s="351">
        <f ca="1">IF(Q7&lt;12,0,IF(Q20&gt;1,PMT('ASSUM 1'!$S$42/2,'ASSUM 1'!$S$32*IF('ASSUM 1'!$S$34="semi",2,1),-(($C$20))),0))</f>
        <v>6022.5240170780644</v>
      </c>
      <c r="R23" s="351">
        <f ca="1">IF(R7&lt;12,0,IF(R20&gt;1,PMT('ASSUM 1'!$S$42/2,'ASSUM 1'!$S$32*IF('ASSUM 1'!$S$34="semi",2,1),-(($C$20))),0))</f>
        <v>6022.5240170780644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4644.6750000000002</v>
      </c>
      <c r="E29" s="351">
        <f ca="1">E27*'ASSUM 1'!$S$42/2</f>
        <v>4491.1125000000002</v>
      </c>
      <c r="F29" s="351">
        <f ca="1">F27*'ASSUM 1'!$S$42/2</f>
        <v>4322.1937499999995</v>
      </c>
      <c r="G29" s="351">
        <f ca="1">G27*'ASSUM 1'!$S$42/2</f>
        <v>4115.2387499999995</v>
      </c>
      <c r="H29" s="351">
        <f ca="1">H27*'ASSUM 1'!$S$42/2</f>
        <v>3982.7024999999999</v>
      </c>
      <c r="I29" s="351">
        <f ca="1">I27*'ASSUM 1'!$S$42/2</f>
        <v>3856.3087499999997</v>
      </c>
      <c r="J29" s="351">
        <f ca="1">J27*'ASSUM 1'!$S$42/2</f>
        <v>3542.0962500000001</v>
      </c>
      <c r="K29" s="351">
        <f ca="1">K27*'ASSUM 1'!$S$42/2</f>
        <v>3095.5837499999998</v>
      </c>
      <c r="L29" s="351">
        <f ca="1">L27*'ASSUM 1'!$S$42/2</f>
        <v>2633.7149999999997</v>
      </c>
      <c r="M29" s="351">
        <f ca="1">M27*'ASSUM 1'!$S$42/2</f>
        <v>2184.84</v>
      </c>
      <c r="N29" s="351">
        <f ca="1">N27*'ASSUM 1'!$S$42/2</f>
        <v>1747.7774999999999</v>
      </c>
      <c r="O29" s="351">
        <f ca="1">O27*'ASSUM 1'!$S$42/2</f>
        <v>1322.5274999999999</v>
      </c>
      <c r="P29" s="351">
        <f ca="1">P27*'ASSUM 1'!$S$42/2</f>
        <v>909.08999999999992</v>
      </c>
      <c r="Q29" s="351">
        <f ca="1">Q27*'ASSUM 1'!$S$42/2</f>
        <v>519.27750000000003</v>
      </c>
      <c r="R29" s="351">
        <f ca="1">R27*'ASSUM 1'!$S$42/2</f>
        <v>165.13874999999956</v>
      </c>
      <c r="S29" s="351">
        <f ca="1">S27*'ASSUM 1'!$S$42/2</f>
        <v>-8.5947249317541714E-13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6022.5240170780644</v>
      </c>
      <c r="D30" s="351">
        <f ca="1">IF(D27&gt;1,PMT('ASSUM 1'!$S$42/2,'ASSUM 1'!$S$32*IF('ASSUM 1'!$S$34="semi",2,1),-(($C$20))),0)</f>
        <v>6022.5240170780644</v>
      </c>
      <c r="E30" s="351">
        <f ca="1">IF(E27&gt;1,PMT('ASSUM 1'!$S$42/2,'ASSUM 1'!$S$32*IF('ASSUM 1'!$S$34="semi",2,1),-(($C$20))),0)</f>
        <v>6022.5240170780644</v>
      </c>
      <c r="F30" s="351">
        <f ca="1">IF(F27&gt;1,PMT('ASSUM 1'!$S$42/2,'ASSUM 1'!$S$32*IF('ASSUM 1'!$S$34="semi",2,1),-(($C$20))),0)</f>
        <v>6022.5240170780644</v>
      </c>
      <c r="G30" s="351">
        <f ca="1">IF(G27&gt;1,PMT('ASSUM 1'!$S$42/2,'ASSUM 1'!$S$32*IF('ASSUM 1'!$S$34="semi",2,1),-(($C$20))),0)</f>
        <v>6022.5240170780644</v>
      </c>
      <c r="H30" s="351">
        <f ca="1">IF(H27&gt;1,PMT('ASSUM 1'!$S$42/2,'ASSUM 1'!$S$32*IF('ASSUM 1'!$S$34="semi",2,1),-(($C$20))),0)</f>
        <v>6022.5240170780644</v>
      </c>
      <c r="I30" s="351">
        <f ca="1">IF(I27&gt;1,PMT('ASSUM 1'!$S$42/2,'ASSUM 1'!$S$32*IF('ASSUM 1'!$S$34="semi",2,1),-(($C$20))),0)</f>
        <v>6022.5240170780644</v>
      </c>
      <c r="J30" s="351">
        <f ca="1">IF(J27&gt;1,PMT('ASSUM 1'!$S$42/2,'ASSUM 1'!$S$32*IF('ASSUM 1'!$S$34="semi",2,1),-(($C$20))),0)</f>
        <v>6022.5240170780644</v>
      </c>
      <c r="K30" s="351">
        <f ca="1">IF(K27&gt;1,PMT('ASSUM 1'!$S$42/2,'ASSUM 1'!$S$32*IF('ASSUM 1'!$S$34="semi",2,1),-(($C$20))),0)</f>
        <v>6022.5240170780644</v>
      </c>
      <c r="L30" s="351">
        <f ca="1">IF(L27&gt;1,PMT('ASSUM 1'!$S$42/2,'ASSUM 1'!$S$32*IF('ASSUM 1'!$S$34="semi",2,1),-(($C$20))),0)</f>
        <v>6022.5240170780644</v>
      </c>
      <c r="M30" s="351">
        <f ca="1">IF(M27&gt;1,PMT('ASSUM 1'!$S$42/2,'ASSUM 1'!$S$32*IF('ASSUM 1'!$S$34="semi",2,1),-(($C$20))),0)</f>
        <v>6022.5240170780644</v>
      </c>
      <c r="N30" s="351">
        <f ca="1">IF(N27&gt;1,PMT('ASSUM 1'!$S$42/2,'ASSUM 1'!$S$32*IF('ASSUM 1'!$S$34="semi",2,1),-(($C$20))),0)</f>
        <v>6022.5240170780644</v>
      </c>
      <c r="O30" s="351">
        <f ca="1">IF(O27&gt;1,PMT('ASSUM 1'!$S$42/2,'ASSUM 1'!$S$32*IF('ASSUM 1'!$S$34="semi",2,1),-(($C$20))),0)</f>
        <v>6022.5240170780644</v>
      </c>
      <c r="P30" s="351">
        <f ca="1">IF(P27&gt;1,PMT('ASSUM 1'!$S$42/2,'ASSUM 1'!$S$32*IF('ASSUM 1'!$S$34="semi",2,1),-(($C$20))),0)</f>
        <v>6022.5240170780644</v>
      </c>
      <c r="Q30" s="351">
        <f ca="1">IF(Q27&gt;1,PMT('ASSUM 1'!$S$42/2,'ASSUM 1'!$S$32*IF('ASSUM 1'!$S$34="semi",2,1),-(($C$20))),0)</f>
        <v>6022.5240170780644</v>
      </c>
      <c r="R30" s="351">
        <f ca="1">IF(R27&gt;1,PMT('ASSUM 1'!$S$42/2,'ASSUM 1'!$S$32*IF('ASSUM 1'!$S$34="semi",2,1),-(($C$20))),0)</f>
        <v>6022.5240170780644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9369.68</v>
      </c>
      <c r="E34" s="351">
        <f t="shared" ca="1" si="6"/>
        <v>9055.4599999999991</v>
      </c>
      <c r="F34" s="351">
        <f t="shared" ca="1" si="6"/>
        <v>8740.07</v>
      </c>
      <c r="G34" s="351">
        <f t="shared" ca="1" si="6"/>
        <v>8341.75</v>
      </c>
      <c r="H34" s="351">
        <f t="shared" ca="1" si="6"/>
        <v>7986.67</v>
      </c>
      <c r="I34" s="351">
        <f t="shared" ca="1" si="6"/>
        <v>7817.75</v>
      </c>
      <c r="J34" s="351">
        <f t="shared" ca="1" si="6"/>
        <v>7293.27</v>
      </c>
      <c r="K34" s="351">
        <f t="shared" ca="1" si="6"/>
        <v>6428.6</v>
      </c>
      <c r="L34" s="351">
        <f t="shared" ca="1" si="6"/>
        <v>5491.87</v>
      </c>
      <c r="M34" s="351">
        <f t="shared" ca="1" si="6"/>
        <v>4594.12</v>
      </c>
      <c r="N34" s="351">
        <f t="shared" ca="1" si="6"/>
        <v>3708.18</v>
      </c>
      <c r="O34" s="351">
        <f t="shared" ca="1" si="6"/>
        <v>2857.68</v>
      </c>
      <c r="P34" s="351">
        <f t="shared" ca="1" si="6"/>
        <v>2018.99</v>
      </c>
      <c r="Q34" s="351">
        <f t="shared" ca="1" si="6"/>
        <v>1227.56</v>
      </c>
      <c r="R34" s="351">
        <f t="shared" ca="1" si="6"/>
        <v>495.42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12429.68</v>
      </c>
      <c r="E36" s="351">
        <f t="shared" ca="1" si="8"/>
        <v>11845.46</v>
      </c>
      <c r="F36" s="351">
        <f t="shared" ca="1" si="8"/>
        <v>12385.07</v>
      </c>
      <c r="G36" s="351">
        <f t="shared" ca="1" si="8"/>
        <v>12580.75</v>
      </c>
      <c r="H36" s="351">
        <f t="shared" ca="1" si="8"/>
        <v>8796.67</v>
      </c>
      <c r="I36" s="351">
        <f t="shared" ca="1" si="8"/>
        <v>11822.75</v>
      </c>
      <c r="J36" s="351">
        <f t="shared" ca="1" si="8"/>
        <v>15258.27</v>
      </c>
      <c r="K36" s="351">
        <f t="shared" ca="1" si="8"/>
        <v>15473.6</v>
      </c>
      <c r="L36" s="351">
        <f t="shared" ca="1" si="8"/>
        <v>14041.869999999999</v>
      </c>
      <c r="M36" s="351">
        <f t="shared" ca="1" si="8"/>
        <v>13144.119999999999</v>
      </c>
      <c r="N36" s="351">
        <f t="shared" ca="1" si="8"/>
        <v>11808.18</v>
      </c>
      <c r="O36" s="351">
        <f t="shared" ca="1" si="8"/>
        <v>10957.68</v>
      </c>
      <c r="P36" s="351">
        <f t="shared" ca="1" si="8"/>
        <v>9668.9900000000016</v>
      </c>
      <c r="Q36" s="351">
        <f t="shared" ca="1" si="8"/>
        <v>8427.56</v>
      </c>
      <c r="R36" s="351">
        <f t="shared" ca="1" si="8"/>
        <v>6786.4200000000164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11643.396666666667</v>
      </c>
      <c r="D40" s="351">
        <f t="shared" ref="D40:R40" ca="1" si="9">C42</f>
        <v>11607.526</v>
      </c>
      <c r="E40" s="351">
        <f t="shared" ca="1" si="9"/>
        <v>11486.14</v>
      </c>
      <c r="F40" s="351">
        <f t="shared" ca="1" si="9"/>
        <v>12168.701999999999</v>
      </c>
      <c r="G40" s="351">
        <f t="shared" ca="1" si="9"/>
        <v>12786.408000000001</v>
      </c>
      <c r="H40" s="351">
        <f t="shared" ca="1" si="9"/>
        <v>13078.632000000003</v>
      </c>
      <c r="I40" s="351">
        <f t="shared" ca="1" si="9"/>
        <v>13948.121999999998</v>
      </c>
      <c r="J40" s="351">
        <f t="shared" ca="1" si="9"/>
        <v>13945.208000000004</v>
      </c>
      <c r="K40" s="351">
        <f t="shared" ca="1" si="9"/>
        <v>13085.090000000002</v>
      </c>
      <c r="L40" s="351">
        <f t="shared" ca="1" si="9"/>
        <v>11924.168</v>
      </c>
      <c r="M40" s="351">
        <f t="shared" ca="1" si="9"/>
        <v>10801.306</v>
      </c>
      <c r="N40" s="351">
        <f t="shared" ca="1" si="9"/>
        <v>9529.7660000000033</v>
      </c>
      <c r="O40" s="351">
        <f t="shared" ca="1" si="9"/>
        <v>7168.1300000000047</v>
      </c>
      <c r="P40" s="351">
        <f t="shared" ca="1" si="9"/>
        <v>6220.7425000000048</v>
      </c>
      <c r="Q40" s="351">
        <f t="shared" ca="1" si="9"/>
        <v>5071.3266666666723</v>
      </c>
      <c r="R40" s="351">
        <f t="shared" ca="1" si="9"/>
        <v>3393.2100000000082</v>
      </c>
      <c r="S40" s="351"/>
    </row>
    <row r="41" spans="1:23">
      <c r="A41" s="337" t="s">
        <v>328</v>
      </c>
      <c r="C41" s="364">
        <f ca="1">C40-((AVERAGE(D36:H36))*'ASSUM 1'!$Q$46/12)</f>
        <v>35.870666666667603</v>
      </c>
      <c r="D41" s="364">
        <f ca="1">D40-((AVERAGE(E36:I36))*'ASSUM 1'!$Q$46/12)</f>
        <v>121.38600000000042</v>
      </c>
      <c r="E41" s="364">
        <f ca="1">E40-((AVERAGE(F36:J36))*'ASSUM 1'!$Q$46/12)</f>
        <v>-682.5619999999999</v>
      </c>
      <c r="F41" s="364">
        <f ca="1">F40-((AVERAGE(G36:K36))*'ASSUM 1'!$Q$46/12)</f>
        <v>-617.70600000000195</v>
      </c>
      <c r="G41" s="364">
        <f ca="1">G40-((AVERAGE(H36:L36))*'ASSUM 1'!$Q$46/12)</f>
        <v>-292.22400000000198</v>
      </c>
      <c r="H41" s="364">
        <f ca="1">H40-((AVERAGE(I36:M36))*'ASSUM 1'!$Q$46/12)</f>
        <v>-869.48999999999432</v>
      </c>
      <c r="I41" s="364">
        <f ca="1">I40-((AVERAGE(J36:N36))*'ASSUM 1'!$Q$46/12)</f>
        <v>2.9139999999933934</v>
      </c>
      <c r="J41" s="364">
        <f ca="1">J40-((AVERAGE(K36:O36))*'ASSUM 1'!$Q$46/12)</f>
        <v>860.11800000000221</v>
      </c>
      <c r="K41" s="364">
        <f ca="1">K40-((AVERAGE(L36:P36))*'ASSUM 1'!$Q$46/12)</f>
        <v>1160.9220000000023</v>
      </c>
      <c r="L41" s="364">
        <f ca="1">L40-((AVERAGE(M36:Q36))*'ASSUM 1'!$Q$46/12)</f>
        <v>1122.8619999999992</v>
      </c>
      <c r="M41" s="364">
        <f ca="1">M40-((AVERAGE(N36:R36))*'ASSUM 1'!$Q$46/12)</f>
        <v>1271.5399999999972</v>
      </c>
      <c r="N41" s="364">
        <f ca="1">N40-((AVERAGE(O36:S36))*'ASSUM 1'!$Q$46/12)</f>
        <v>2361.6359999999986</v>
      </c>
      <c r="O41" s="364">
        <f ca="1">O40-((AVERAGE(P36:T36))*'ASSUM 1'!$Q$46/12)</f>
        <v>947.38749999999982</v>
      </c>
      <c r="P41" s="364">
        <f ca="1">P40-((AVERAGE(Q36:U36))*'ASSUM 1'!$Q$46/12)</f>
        <v>1149.4158333333326</v>
      </c>
      <c r="Q41" s="364">
        <f ca="1">Q40-((AVERAGE(R36:V36))*'ASSUM 1'!$Q$46/12)</f>
        <v>1678.1166666666641</v>
      </c>
      <c r="R41" s="364">
        <f ca="1">R40-((AVERAGE(S36:W36))*'ASSUM 1'!$Q$46/12)</f>
        <v>3393.2100000000082</v>
      </c>
      <c r="S41" s="364"/>
    </row>
    <row r="42" spans="1:23">
      <c r="A42" s="337"/>
      <c r="C42" s="351">
        <f t="shared" ref="C42:R42" ca="1" si="10">C40-C41</f>
        <v>11607.526</v>
      </c>
      <c r="D42" s="351">
        <f t="shared" ca="1" si="10"/>
        <v>11486.14</v>
      </c>
      <c r="E42" s="351">
        <f t="shared" ca="1" si="10"/>
        <v>12168.701999999999</v>
      </c>
      <c r="F42" s="351">
        <f t="shared" ca="1" si="10"/>
        <v>12786.408000000001</v>
      </c>
      <c r="G42" s="351">
        <f t="shared" ca="1" si="10"/>
        <v>13078.632000000003</v>
      </c>
      <c r="H42" s="351">
        <f t="shared" ca="1" si="10"/>
        <v>13948.121999999998</v>
      </c>
      <c r="I42" s="351">
        <f t="shared" ca="1" si="10"/>
        <v>13945.208000000004</v>
      </c>
      <c r="J42" s="351">
        <f t="shared" ca="1" si="10"/>
        <v>13085.090000000002</v>
      </c>
      <c r="K42" s="351">
        <f t="shared" ca="1" si="10"/>
        <v>11924.168</v>
      </c>
      <c r="L42" s="351">
        <f t="shared" ca="1" si="10"/>
        <v>10801.306</v>
      </c>
      <c r="M42" s="351">
        <f t="shared" ca="1" si="10"/>
        <v>9529.7660000000033</v>
      </c>
      <c r="N42" s="351">
        <f t="shared" ca="1" si="10"/>
        <v>7168.1300000000047</v>
      </c>
      <c r="O42" s="351">
        <f t="shared" ca="1" si="10"/>
        <v>6220.7425000000048</v>
      </c>
      <c r="P42" s="351">
        <f t="shared" ca="1" si="10"/>
        <v>5071.3266666666723</v>
      </c>
      <c r="Q42" s="351">
        <f t="shared" ca="1" si="10"/>
        <v>3393.2100000000082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92.860208</v>
      </c>
      <c r="D44" s="351">
        <f ca="1">D42*'ASSUM 1'!$S$46</f>
        <v>91.889119999999991</v>
      </c>
      <c r="E44" s="351">
        <f ca="1">E42*'ASSUM 1'!$S$46</f>
        <v>97.349615999999997</v>
      </c>
      <c r="F44" s="351">
        <f ca="1">F42*'ASSUM 1'!$S$46</f>
        <v>102.29126400000001</v>
      </c>
      <c r="G44" s="351">
        <f ca="1">G42*'ASSUM 1'!$S$46</f>
        <v>104.62905600000003</v>
      </c>
      <c r="H44" s="351">
        <f ca="1">H42*'ASSUM 1'!$S$46</f>
        <v>111.58497599999998</v>
      </c>
      <c r="I44" s="351">
        <f ca="1">I42*'ASSUM 1'!$S$46</f>
        <v>111.56166400000004</v>
      </c>
      <c r="J44" s="351">
        <f ca="1">J42*'ASSUM 1'!$S$46</f>
        <v>104.68072000000002</v>
      </c>
      <c r="K44" s="351">
        <f ca="1">K42*'ASSUM 1'!$S$46</f>
        <v>95.393343999999999</v>
      </c>
      <c r="L44" s="351">
        <f ca="1">L42*'ASSUM 1'!$S$46</f>
        <v>86.410448000000002</v>
      </c>
      <c r="M44" s="351">
        <f ca="1">M42*'ASSUM 1'!$S$46</f>
        <v>76.238128000000032</v>
      </c>
      <c r="N44" s="351">
        <f ca="1">N42*'ASSUM 1'!$S$46</f>
        <v>57.34504000000004</v>
      </c>
      <c r="O44" s="351">
        <f ca="1">O42*'ASSUM 1'!$S$46</f>
        <v>49.765940000000043</v>
      </c>
      <c r="P44" s="351">
        <f ca="1">P42*'ASSUM 1'!$S$46</f>
        <v>40.570613333333377</v>
      </c>
      <c r="Q44" s="351">
        <f ca="1">Q42*'ASSUM 1'!$S$46</f>
        <v>27.145680000000066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43" zoomScale="60" zoomScaleNormal="75" workbookViewId="0">
      <selection activeCell="A43" sqref="A1:IV65536"/>
    </sheetView>
  </sheetViews>
  <sheetFormatPr defaultColWidth="9.77734375" defaultRowHeight="15.75"/>
  <cols>
    <col min="1" max="1" width="28.77734375" style="369" customWidth="1"/>
    <col min="2" max="16384" width="9.77734375" style="369"/>
  </cols>
  <sheetData>
    <row r="1" spans="1:26" ht="23.25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>
      <c r="A49" s="382" t="str">
        <f>'ASSUM 2'!A49</f>
        <v xml:space="preserve">Debt Reserve </v>
      </c>
      <c r="B49" s="367">
        <f ca="1">'ASSUM 2'!E49</f>
        <v>11.643396666666668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>
      <c r="A53" s="382" t="str">
        <f>'ASSUM 2'!A53</f>
        <v xml:space="preserve">   Total Soft Costs</v>
      </c>
      <c r="B53" s="367">
        <f ca="1">SUM(B33:B52)</f>
        <v>23.082015676357056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171.55646545655065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view="pageBreakPreview" topLeftCell="A45" zoomScale="60" zoomScaleNormal="75" workbookViewId="0">
      <selection activeCell="A45" sqref="A1:IV65536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11.643396666666668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11643.396666666667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23.082015676357056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-76.719557739967556</v>
      </c>
      <c r="J65" s="427">
        <f t="shared" ca="1" si="3"/>
        <v>-39.871751741034011</v>
      </c>
      <c r="K65" s="427">
        <f t="shared" ca="1" si="3"/>
        <v>-16.202219813359019</v>
      </c>
      <c r="L65" s="427">
        <f t="shared" ca="1" si="3"/>
        <v>-1.1373145935067442E-5</v>
      </c>
      <c r="M65" s="427">
        <f t="shared" ca="1" si="3"/>
        <v>-1.1373145935067442E-5</v>
      </c>
      <c r="N65" s="427">
        <f t="shared" ca="1" si="3"/>
        <v>-1.1373145935067442E-5</v>
      </c>
      <c r="O65" s="427">
        <f t="shared" ca="1" si="3"/>
        <v>4724.9999886268542</v>
      </c>
      <c r="P65" s="427">
        <f t="shared" ca="1" si="3"/>
        <v>-1.1373145935067442E-5</v>
      </c>
      <c r="Q65" s="427">
        <f t="shared" ca="1" si="3"/>
        <v>-1.1373145935067442E-5</v>
      </c>
      <c r="R65" s="427">
        <f t="shared" ca="1" si="3"/>
        <v>-1.1373145935067442E-5</v>
      </c>
      <c r="S65" s="427">
        <f t="shared" ca="1" si="3"/>
        <v>-1.1373145935067442E-5</v>
      </c>
      <c r="T65" s="427">
        <f t="shared" ca="1" si="3"/>
        <v>-1.1373145935067442E-5</v>
      </c>
      <c r="U65" s="427">
        <f t="shared" ca="1" si="3"/>
        <v>-1.1373145935067442E-5</v>
      </c>
      <c r="V65" s="427">
        <f t="shared" ca="1" si="3"/>
        <v>-1.1373145935067442E-5</v>
      </c>
      <c r="W65" s="427">
        <f t="shared" ca="1" si="3"/>
        <v>-1.1373145935067442E-5</v>
      </c>
      <c r="X65" s="427">
        <f t="shared" ca="1" si="3"/>
        <v>-1.1373145935067442E-5</v>
      </c>
      <c r="Y65" s="427">
        <f t="shared" ca="1" si="3"/>
        <v>-1.1373145935067442E-5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89999.997270444976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71587.30614240779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86148.674497587184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-43759.75201300453</v>
      </c>
      <c r="J69" s="437">
        <f t="shared" ca="1" si="5"/>
        <v>-39.871751741034011</v>
      </c>
      <c r="K69" s="437">
        <f t="shared" ca="1" si="5"/>
        <v>-16.202219813359019</v>
      </c>
      <c r="L69" s="437">
        <f t="shared" ca="1" si="5"/>
        <v>2644.0699886268544</v>
      </c>
      <c r="M69" s="437">
        <f t="shared" ca="1" si="5"/>
        <v>6532.6000142779967</v>
      </c>
      <c r="N69" s="437">
        <f t="shared" ca="1" si="5"/>
        <v>9684.6757574118237</v>
      </c>
      <c r="O69" s="437">
        <f t="shared" ca="1" si="5"/>
        <v>14409.675757411824</v>
      </c>
      <c r="P69" s="437">
        <f t="shared" ca="1" si="5"/>
        <v>17088.157296795249</v>
      </c>
      <c r="Q69" s="437">
        <f t="shared" ca="1" si="5"/>
        <v>11408.741543400958</v>
      </c>
      <c r="R69" s="437">
        <f t="shared" ca="1" si="5"/>
        <v>11408.741543400958</v>
      </c>
      <c r="S69" s="437">
        <f t="shared" ca="1" si="5"/>
        <v>13104.80619379478</v>
      </c>
      <c r="T69" s="437">
        <f t="shared" ca="1" si="5"/>
        <v>-1.1373145935067442E-5</v>
      </c>
      <c r="U69" s="437">
        <f t="shared" ca="1" si="5"/>
        <v>-1.1373145935067442E-5</v>
      </c>
      <c r="V69" s="437">
        <f t="shared" ca="1" si="5"/>
        <v>-1.1373145935067442E-5</v>
      </c>
      <c r="W69" s="437">
        <f t="shared" ca="1" si="5"/>
        <v>-1.1373145935067442E-5</v>
      </c>
      <c r="X69" s="437">
        <f t="shared" ca="1" si="5"/>
        <v>-1.1373145935067442E-5</v>
      </c>
      <c r="Y69" s="437">
        <f t="shared" ca="1" si="5"/>
        <v>-1.1373145935067442E-5</v>
      </c>
      <c r="Z69" s="403"/>
      <c r="AA69" s="403"/>
    </row>
    <row r="70" spans="1:27">
      <c r="A70" s="418" t="s">
        <v>337</v>
      </c>
      <c r="B70" s="418"/>
      <c r="C70" s="438">
        <f ca="1">C68+C69</f>
        <v>176148.67176803216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27827.554129403259</v>
      </c>
      <c r="J70" s="440">
        <f t="shared" ca="1" si="6"/>
        <v>8803.6016880030165</v>
      </c>
      <c r="K70" s="440">
        <f t="shared" ca="1" si="6"/>
        <v>5664.4854428286399</v>
      </c>
      <c r="L70" s="440">
        <f t="shared" ca="1" si="6"/>
        <v>6532.6000142779967</v>
      </c>
      <c r="M70" s="440">
        <f t="shared" ca="1" si="6"/>
        <v>6532.6000142779967</v>
      </c>
      <c r="N70" s="440">
        <f t="shared" ca="1" si="6"/>
        <v>9684.6757574118237</v>
      </c>
      <c r="O70" s="440">
        <f t="shared" ca="1" si="6"/>
        <v>14409.675757411824</v>
      </c>
      <c r="P70" s="440">
        <f t="shared" ca="1" si="6"/>
        <v>17088.157296795249</v>
      </c>
      <c r="Q70" s="440">
        <f t="shared" ca="1" si="6"/>
        <v>11408.741543400958</v>
      </c>
      <c r="R70" s="440">
        <f t="shared" ca="1" si="6"/>
        <v>11408.741543400958</v>
      </c>
      <c r="S70" s="440">
        <f t="shared" ca="1" si="6"/>
        <v>13104.80619379478</v>
      </c>
      <c r="T70" s="440">
        <f t="shared" ca="1" si="6"/>
        <v>-1.1373145935067442E-5</v>
      </c>
      <c r="U70" s="440">
        <f t="shared" ca="1" si="6"/>
        <v>-1.1373145935067442E-5</v>
      </c>
      <c r="V70" s="440">
        <f t="shared" ca="1" si="6"/>
        <v>-1.1373145935067442E-5</v>
      </c>
      <c r="W70" s="440">
        <f t="shared" ca="1" si="6"/>
        <v>-1.1373145935067442E-5</v>
      </c>
      <c r="X70" s="440">
        <f t="shared" ca="1" si="6"/>
        <v>-1.1373145935067442E-5</v>
      </c>
      <c r="Y70" s="440">
        <f t="shared" ca="1" si="6"/>
        <v>-1.1373145935067442E-5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171.55646545655065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27904.273687143235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46316.964815180421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27904.273687143235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136503.9526930289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27904.273687143235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0.06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4.4999999999999998E-2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71587.30614240779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71587.30614240779</v>
      </c>
      <c r="J103" s="427">
        <f ca="1">SUM($D$102:J102)</f>
        <v>80430.779582151838</v>
      </c>
      <c r="K103" s="427">
        <f ca="1">SUM($D$102:K102)</f>
        <v>86111.467244793836</v>
      </c>
      <c r="L103" s="453">
        <f ca="1">SUM($D$102:L102)</f>
        <v>89999.997270444976</v>
      </c>
      <c r="M103" s="427">
        <f ca="1">SUM($D$102:M102)</f>
        <v>89999.997270444976</v>
      </c>
      <c r="N103" s="427">
        <f ca="1">SUM($D$102:N102)</f>
        <v>89999.997270444976</v>
      </c>
      <c r="O103" s="427">
        <f ca="1">SUM($D$102:O102)</f>
        <v>89999.997270444976</v>
      </c>
      <c r="P103" s="427">
        <f ca="1">SUM($D$102:P102)</f>
        <v>89999.997270444976</v>
      </c>
      <c r="Q103" s="427">
        <f ca="1">SUM($D$102:Q102)</f>
        <v>89999.997270444976</v>
      </c>
      <c r="R103" s="427">
        <f ca="1">SUM($D$102:R102)</f>
        <v>89999.997270444976</v>
      </c>
      <c r="S103" s="427">
        <f ca="1">SUM($D$102:S102)</f>
        <v>89999.997270444976</v>
      </c>
      <c r="T103" s="427">
        <f ca="1">SUM($D$102:T102)</f>
        <v>89999.997270444976</v>
      </c>
      <c r="U103" s="427">
        <f ca="1">SUM($D$102:U102)</f>
        <v>89999.997270444976</v>
      </c>
      <c r="V103" s="427">
        <f ca="1">SUM($D$102:V102)</f>
        <v>89999.997270444976</v>
      </c>
      <c r="W103" s="427">
        <f ca="1">SUM($D$102:W102)</f>
        <v>89999.997270444976</v>
      </c>
      <c r="X103" s="427">
        <f ca="1">SUM($D$102:X102)</f>
        <v>89999.997270444976</v>
      </c>
      <c r="Y103" s="427">
        <f ca="1">SUM($D$102:Y102)</f>
        <v>89999.997270444976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18412.69385759221</v>
      </c>
      <c r="J104" s="427">
        <f t="shared" ca="1" si="12"/>
        <v>9569.2204178481625</v>
      </c>
      <c r="K104" s="427">
        <f t="shared" ca="1" si="12"/>
        <v>3888.5327552061644</v>
      </c>
      <c r="L104" s="427">
        <f t="shared" ca="1" si="12"/>
        <v>2.7295550244161859E-3</v>
      </c>
      <c r="M104" s="427">
        <f t="shared" ca="1" si="12"/>
        <v>2.7295550244161859E-3</v>
      </c>
      <c r="N104" s="427">
        <f t="shared" ca="1" si="12"/>
        <v>2.7295550244161859E-3</v>
      </c>
      <c r="O104" s="427">
        <f t="shared" ca="1" si="12"/>
        <v>2.7295550244161859E-3</v>
      </c>
      <c r="P104" s="427">
        <f t="shared" ca="1" si="12"/>
        <v>2.7295550244161859E-3</v>
      </c>
      <c r="Q104" s="427">
        <f t="shared" ca="1" si="12"/>
        <v>2.7295550244161859E-3</v>
      </c>
      <c r="R104" s="427">
        <f t="shared" ca="1" si="12"/>
        <v>2.7295550244161859E-3</v>
      </c>
      <c r="S104" s="427">
        <f t="shared" ca="1" si="12"/>
        <v>2.7295550244161859E-3</v>
      </c>
      <c r="T104" s="427">
        <f t="shared" ca="1" si="12"/>
        <v>2.7295550244161859E-3</v>
      </c>
      <c r="U104" s="427">
        <f t="shared" ca="1" si="12"/>
        <v>2.7295550244161859E-3</v>
      </c>
      <c r="V104" s="427">
        <f t="shared" ca="1" si="12"/>
        <v>2.7295550244161859E-3</v>
      </c>
      <c r="W104" s="427">
        <f t="shared" ca="1" si="12"/>
        <v>2.7295550244161859E-3</v>
      </c>
      <c r="X104" s="427">
        <f t="shared" ca="1" si="12"/>
        <v>2.7295550244161859E-3</v>
      </c>
      <c r="Y104" s="427">
        <f t="shared" ca="1" si="12"/>
        <v>2.7295550244161859E-3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0.105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4725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0.105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4725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76.719557739967556</v>
      </c>
      <c r="J111" s="427">
        <f ca="1">IF(J9&gt;=1,+J104*'ASSUM 1'!S43/12,0)</f>
        <v>39.871751741034011</v>
      </c>
      <c r="K111" s="427">
        <f ca="1">IF(K9&gt;=1,+K104*'ASSUM 1'!S43/12,0)</f>
        <v>16.202219813359019</v>
      </c>
      <c r="L111" s="427">
        <f ca="1">IF(L9&gt;=1,+L104*'ASSUM 1'!S43/12,0)</f>
        <v>1.1373145935067442E-5</v>
      </c>
      <c r="M111" s="427">
        <f ca="1">IF(M9&gt;=1,+M104*'ASSUM 1'!S43/12,0)</f>
        <v>1.1373145935067442E-5</v>
      </c>
      <c r="N111" s="427">
        <f ca="1">IF(N9&gt;=1,+N104*'ASSUM 1'!S43/12,0)</f>
        <v>1.1373145935067442E-5</v>
      </c>
      <c r="O111" s="427">
        <f ca="1">IF(O9&gt;=1,+O104*'ASSUM 1'!S43/12,0)</f>
        <v>1.1373145935067442E-5</v>
      </c>
      <c r="P111" s="427">
        <f ca="1">IF(P9&gt;=1,+P104*'ASSUM 1'!S43/12,0)</f>
        <v>1.1373145935067442E-5</v>
      </c>
      <c r="Q111" s="427">
        <f ca="1">IF(Q9&gt;=1,+Q104*'ASSUM 1'!S43/12,0)</f>
        <v>1.1373145935067442E-5</v>
      </c>
      <c r="R111" s="427">
        <f ca="1">IF(R9&gt;=1,+R104*'ASSUM 1'!S43/12,0)</f>
        <v>1.1373145935067442E-5</v>
      </c>
      <c r="S111" s="427">
        <f ca="1">IF(S9&gt;=1,+S104*'ASSUM 1'!S43/12,0)</f>
        <v>1.1373145935067442E-5</v>
      </c>
      <c r="T111" s="427">
        <f ca="1">IF(T9&gt;=1,+T104*'ASSUM 1'!S43/12,0)</f>
        <v>1.1373145935067442E-5</v>
      </c>
      <c r="U111" s="427">
        <f ca="1">IF(U9&gt;=1,+U104*'ASSUM 1'!S43/12,0)</f>
        <v>1.1373145935067442E-5</v>
      </c>
      <c r="V111" s="427">
        <f ca="1">IF(V9&gt;=1,+V104*'ASSUM 1'!S43/12,0)</f>
        <v>1.1373145935067442E-5</v>
      </c>
      <c r="W111" s="427">
        <f ca="1">IF(W9&gt;=1,+W104*'ASSUM 1'!S43/12,0)</f>
        <v>1.1373145935067442E-5</v>
      </c>
      <c r="X111" s="427">
        <f ca="1">IF(X9&gt;=1,+X104*'ASSUM 1'!S43/12,0)</f>
        <v>1.1373145935067442E-5</v>
      </c>
      <c r="Y111" s="427">
        <f ca="1">IF(Y9&gt;=1,+Y104*'ASSUM 1'!S43/12,0)</f>
        <v>1.1373145935067442E-5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4725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-76.719557739967556</v>
      </c>
      <c r="J113" s="427">
        <f t="shared" ca="1" si="17"/>
        <v>-39.871751741034011</v>
      </c>
      <c r="K113" s="427">
        <f t="shared" ca="1" si="17"/>
        <v>-16.202219813359019</v>
      </c>
      <c r="L113" s="427">
        <f t="shared" ca="1" si="17"/>
        <v>-1.1373145935067442E-5</v>
      </c>
      <c r="M113" s="427">
        <f t="shared" ca="1" si="17"/>
        <v>-1.1373145935067442E-5</v>
      </c>
      <c r="N113" s="427">
        <f t="shared" ca="1" si="17"/>
        <v>-1.1373145935067442E-5</v>
      </c>
      <c r="O113" s="427">
        <f t="shared" ca="1" si="17"/>
        <v>4724.9999886268542</v>
      </c>
      <c r="P113" s="427">
        <f t="shared" ca="1" si="17"/>
        <v>-1.1373145935067442E-5</v>
      </c>
      <c r="Q113" s="427">
        <f t="shared" ca="1" si="17"/>
        <v>-1.1373145935067442E-5</v>
      </c>
      <c r="R113" s="427">
        <f t="shared" ca="1" si="17"/>
        <v>-1.1373145935067442E-5</v>
      </c>
      <c r="S113" s="427">
        <f t="shared" ca="1" si="17"/>
        <v>-1.1373145935067442E-5</v>
      </c>
      <c r="T113" s="427">
        <f t="shared" ca="1" si="17"/>
        <v>-1.1373145935067442E-5</v>
      </c>
      <c r="U113" s="427">
        <f t="shared" ca="1" si="17"/>
        <v>-1.1373145935067442E-5</v>
      </c>
      <c r="V113" s="427">
        <f t="shared" ca="1" si="17"/>
        <v>-1.1373145935067442E-5</v>
      </c>
      <c r="W113" s="427">
        <f t="shared" ca="1" si="17"/>
        <v>-1.1373145935067442E-5</v>
      </c>
      <c r="X113" s="427">
        <f t="shared" ca="1" si="17"/>
        <v>-1.1373145935067442E-5</v>
      </c>
      <c r="Y113" s="427">
        <f t="shared" ca="1" si="17"/>
        <v>-1.1373145935067442E-5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4592.2063114815983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176148.67176803222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27827.554129403266</v>
      </c>
      <c r="J121" s="427">
        <f t="shared" ca="1" si="18"/>
        <v>8803.6016880030165</v>
      </c>
      <c r="K121" s="427">
        <f t="shared" ca="1" si="18"/>
        <v>5664.4854428286399</v>
      </c>
      <c r="L121" s="427">
        <f t="shared" ca="1" si="18"/>
        <v>6532.6000142779967</v>
      </c>
      <c r="M121" s="427">
        <f t="shared" ca="1" si="18"/>
        <v>6532.6000142779967</v>
      </c>
      <c r="N121" s="427">
        <f t="shared" ca="1" si="18"/>
        <v>9684.6757574118237</v>
      </c>
      <c r="O121" s="427">
        <f t="shared" ca="1" si="18"/>
        <v>14409.675757411824</v>
      </c>
      <c r="P121" s="427">
        <f t="shared" ca="1" si="18"/>
        <v>17088.157296795249</v>
      </c>
      <c r="Q121" s="427">
        <f t="shared" ca="1" si="18"/>
        <v>11408.741543400958</v>
      </c>
      <c r="R121" s="427">
        <f t="shared" ca="1" si="18"/>
        <v>11408.741543400958</v>
      </c>
      <c r="S121" s="427">
        <f t="shared" ca="1" si="18"/>
        <v>13104.80619379478</v>
      </c>
      <c r="T121" s="427">
        <f t="shared" ca="1" si="18"/>
        <v>-1.1373145935067442E-5</v>
      </c>
      <c r="U121" s="427">
        <f t="shared" ca="1" si="18"/>
        <v>-1.1373145935067442E-5</v>
      </c>
      <c r="V121" s="427">
        <f t="shared" ca="1" si="18"/>
        <v>-1.1373145935067442E-5</v>
      </c>
      <c r="W121" s="427">
        <f t="shared" ca="1" si="18"/>
        <v>-1.1373145935067442E-5</v>
      </c>
      <c r="X121" s="427">
        <f t="shared" ca="1" si="18"/>
        <v>-1.1373145935067442E-5</v>
      </c>
      <c r="Y121" s="427">
        <f t="shared" ca="1" si="18"/>
        <v>-1.1373145935067442E-5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71510.586584667821</v>
      </c>
      <c r="J122" s="427">
        <f t="shared" ca="1" si="19"/>
        <v>80314.188272670843</v>
      </c>
      <c r="K122" s="427">
        <f t="shared" ca="1" si="19"/>
        <v>85978.673715499477</v>
      </c>
      <c r="L122" s="427">
        <f t="shared" ca="1" si="19"/>
        <v>92511.273729777473</v>
      </c>
      <c r="M122" s="427">
        <f t="shared" ca="1" si="19"/>
        <v>99043.873744055469</v>
      </c>
      <c r="N122" s="427">
        <f t="shared" ca="1" si="19"/>
        <v>108728.54950146729</v>
      </c>
      <c r="O122" s="427">
        <f t="shared" ca="1" si="19"/>
        <v>123138.22525887912</v>
      </c>
      <c r="P122" s="427">
        <f t="shared" ca="1" si="19"/>
        <v>140226.38255567435</v>
      </c>
      <c r="Q122" s="427">
        <f t="shared" ca="1" si="19"/>
        <v>151635.1240990753</v>
      </c>
      <c r="R122" s="427">
        <f t="shared" ca="1" si="19"/>
        <v>163043.86564247624</v>
      </c>
      <c r="S122" s="427">
        <f t="shared" ca="1" si="19"/>
        <v>176148.67183627104</v>
      </c>
      <c r="T122" s="427">
        <f t="shared" ca="1" si="19"/>
        <v>176148.6718248979</v>
      </c>
      <c r="U122" s="427">
        <f t="shared" ca="1" si="19"/>
        <v>176148.67181352476</v>
      </c>
      <c r="V122" s="427">
        <f t="shared" ca="1" si="19"/>
        <v>176148.67180215163</v>
      </c>
      <c r="W122" s="427">
        <f t="shared" ca="1" si="19"/>
        <v>176148.67179077849</v>
      </c>
      <c r="X122" s="427">
        <f t="shared" ca="1" si="19"/>
        <v>176148.67177940535</v>
      </c>
      <c r="Y122" s="427">
        <f t="shared" ca="1" si="19"/>
        <v>176148.67176803222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41209.653448594356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-43759.75201300453</v>
      </c>
      <c r="J125" s="467">
        <f ca="1">-IF(J101&gt;0,SUM($D$124:I125),0)+IF(YEAR(J$8)=$B$125,J$78+J113,0)</f>
        <v>-39.871751741034011</v>
      </c>
      <c r="K125" s="467">
        <f ca="1">-IF(K101&gt;0,SUM($D$124:J125),0)+IF(YEAR(K$8)=$B$125,K$78+K113,0)</f>
        <v>-16.202219813359019</v>
      </c>
      <c r="L125" s="467">
        <f ca="1">-IF(L101&gt;0,SUM($D$124:K125),0)+IF(YEAR(L$8)=$B$125,L$78+L113,0)</f>
        <v>2644.0699886268544</v>
      </c>
      <c r="M125" s="467">
        <f ca="1">-IF(M101&gt;0,SUM($D$124:L125),0)+IF(YEAR(M$8)=$B$125,M$78+M113,0)</f>
        <v>6532.6000142779967</v>
      </c>
      <c r="N125" s="467">
        <f ca="1">-IF(N101&gt;0,SUM($D$124:M125),0)+IF(YEAR(N$8)=$B$125,N$78+N113,0)</f>
        <v>9684.6757574118237</v>
      </c>
      <c r="O125" s="467">
        <f ca="1">-IF(O101&gt;0,SUM($D$124:N125),0)+IF(YEAR(O$8)=$B$125,O$78+O113,0)</f>
        <v>14409.675757411824</v>
      </c>
      <c r="P125" s="467">
        <f ca="1">-IF(P101&gt;0,SUM($D$124:O125),0)+IF(YEAR(P$8)=$B$125,P$78+P113,0)</f>
        <v>17088.157296795249</v>
      </c>
      <c r="Q125" s="467">
        <f ca="1">-IF(Q101&gt;0,SUM($D$124:P125),0)+IF(YEAR(Q$8)=$B$125,Q$78+Q113,0)</f>
        <v>11408.741543400958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24513.547668956853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11408.741543400958</v>
      </c>
      <c r="S126" s="437">
        <f t="shared" ca="1" si="21"/>
        <v>13104.80619379478</v>
      </c>
      <c r="T126" s="437">
        <f t="shared" ca="1" si="21"/>
        <v>-1.1373145935067442E-5</v>
      </c>
      <c r="U126" s="437">
        <f t="shared" ca="1" si="21"/>
        <v>-1.1373145935067442E-5</v>
      </c>
      <c r="V126" s="437">
        <f t="shared" ca="1" si="21"/>
        <v>-1.1373145935067442E-5</v>
      </c>
      <c r="W126" s="437">
        <f t="shared" ca="1" si="21"/>
        <v>-1.1373145935067442E-5</v>
      </c>
      <c r="X126" s="437">
        <f t="shared" ca="1" si="21"/>
        <v>-1.1373145935067442E-5</v>
      </c>
      <c r="Y126" s="437">
        <f t="shared" ca="1" si="21"/>
        <v>-1.1373145935067442E-5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86148.674497587199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-43759.75201300453</v>
      </c>
      <c r="J127" s="427">
        <f t="shared" ca="1" si="22"/>
        <v>-39.871751741034011</v>
      </c>
      <c r="K127" s="427">
        <f t="shared" ca="1" si="22"/>
        <v>-16.202219813359019</v>
      </c>
      <c r="L127" s="427">
        <f t="shared" ca="1" si="22"/>
        <v>2644.0699886268544</v>
      </c>
      <c r="M127" s="427">
        <f t="shared" ca="1" si="22"/>
        <v>6532.6000142779967</v>
      </c>
      <c r="N127" s="427">
        <f t="shared" ca="1" si="22"/>
        <v>9684.6757574118237</v>
      </c>
      <c r="O127" s="427">
        <f t="shared" ca="1" si="22"/>
        <v>14409.675757411824</v>
      </c>
      <c r="P127" s="427">
        <f t="shared" ca="1" si="22"/>
        <v>17088.157296795249</v>
      </c>
      <c r="Q127" s="427">
        <f t="shared" ca="1" si="22"/>
        <v>11408.741543400958</v>
      </c>
      <c r="R127" s="427">
        <f t="shared" ca="1" si="22"/>
        <v>11408.741543400958</v>
      </c>
      <c r="S127" s="427">
        <f t="shared" ca="1" si="22"/>
        <v>13104.80619379478</v>
      </c>
      <c r="T127" s="427">
        <f t="shared" ca="1" si="22"/>
        <v>-1.1373145935067442E-5</v>
      </c>
      <c r="U127" s="427">
        <f t="shared" ca="1" si="22"/>
        <v>-1.1373145935067442E-5</v>
      </c>
      <c r="V127" s="427">
        <f t="shared" ca="1" si="22"/>
        <v>-1.1373145935067442E-5</v>
      </c>
      <c r="W127" s="427">
        <f t="shared" ca="1" si="22"/>
        <v>-1.1373145935067442E-5</v>
      </c>
      <c r="X127" s="427">
        <f t="shared" ca="1" si="22"/>
        <v>-1.1373145935067442E-5</v>
      </c>
      <c r="Y127" s="427">
        <f t="shared" ca="1" si="22"/>
        <v>-1.1373145935067442E-5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13560.877020476568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13560.877020476568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77734375" defaultRowHeight="15.75"/>
  <cols>
    <col min="1" max="1" width="25.77734375" style="473" customWidth="1"/>
    <col min="2" max="4" width="9.77734375" style="501" customWidth="1"/>
    <col min="5" max="16384" width="9.77734375" style="473"/>
  </cols>
  <sheetData>
    <row r="1" spans="1:27" ht="23.25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>
      <c r="A11" s="490"/>
      <c r="B11" s="491" t="s">
        <v>366</v>
      </c>
      <c r="C11" s="491" t="s">
        <v>367</v>
      </c>
      <c r="D11" s="488"/>
      <c r="E11" s="491"/>
      <c r="AA11" s="484"/>
    </row>
    <row r="12" spans="1:27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>
      <c r="A63" s="494" t="str">
        <f ca="1">'TAXDEPR 144A'!A63</f>
        <v>Interest During Construction</v>
      </c>
      <c r="B63" s="488">
        <v>1</v>
      </c>
      <c r="C63" s="496">
        <f ca="1">IF(B63=1,'ASSUM 2'!E62,0)</f>
        <v>4.5922063114815979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93.992526843190589</v>
      </c>
      <c r="G63" s="500">
        <f ca="1">IF(SUM($F63:F63)&lt;$C63*1000,MIN(+$C63*$E63*1000,$C63*1000-SUM($F63:F63)),0)</f>
        <v>161.13004601689815</v>
      </c>
      <c r="H63" s="500">
        <f ca="1">IF(SUM($F63:G63)&lt;$C63*1000,MIN(+$C63*$E63*1000,$C63*1000-SUM($F63:G63)),0)</f>
        <v>161.13004601689815</v>
      </c>
      <c r="I63" s="500">
        <f ca="1">IF(SUM($F63:H63)&lt;$C63*1000,MIN(+$C63*$E63*1000,$C63*1000-SUM($F63:H63)),0)</f>
        <v>161.13004601689815</v>
      </c>
      <c r="J63" s="500">
        <f ca="1">IF(SUM($F63:I63)&lt;$C63*1000,MIN(+$C63*$E63*1000,$C63*1000-SUM($F63:I63)),0)</f>
        <v>161.13004601689815</v>
      </c>
      <c r="K63" s="500">
        <f ca="1">IF(SUM($F63:J63)&lt;$C63*1000,MIN(+$C63*$E63*1000,$C63*1000-SUM($F63:J63)),0)</f>
        <v>161.13004601689815</v>
      </c>
      <c r="L63" s="500">
        <f ca="1">IF(SUM($F63:K63)&lt;$C63*1000,MIN(+$C63*$E63*1000,$C63*1000-SUM($F63:K63)),0)</f>
        <v>161.13004601689815</v>
      </c>
      <c r="M63" s="500">
        <f ca="1">IF(SUM($F63:L63)&lt;$C63*1000,MIN(+$C63*$E63*1000,$C63*1000-SUM($F63:L63)),0)</f>
        <v>161.13004601689815</v>
      </c>
      <c r="N63" s="500">
        <f ca="1">IF(SUM($F63:M63)&lt;$C63*1000,MIN(+$C63*$E63*1000,$C63*1000-SUM($F63:M63)),0)</f>
        <v>161.13004601689815</v>
      </c>
      <c r="O63" s="500">
        <f ca="1">IF(SUM($F63:N63)&lt;$C63*1000,MIN(+$C63*$E63*1000,$C63*1000-SUM($F63:N63)),0)</f>
        <v>161.13004601689815</v>
      </c>
      <c r="P63" s="500">
        <f ca="1">IF(SUM($F63:O63)&lt;$C63*1000,MIN(+$C63*$E63*1000,$C63*1000-SUM($F63:O63)),0)</f>
        <v>161.13004601689815</v>
      </c>
      <c r="Q63" s="500">
        <f ca="1">IF(SUM($F63:P63)&lt;$C63*1000,MIN(+$C63*$E63*1000,$C63*1000-SUM($F63:P63)),0)</f>
        <v>161.13004601689815</v>
      </c>
      <c r="R63" s="500">
        <f ca="1">IF(SUM($F63:Q63)&lt;$C63*1000,MIN(+$C63*$E63*1000,$C63*1000-SUM($F63:Q63)),0)</f>
        <v>161.13004601689815</v>
      </c>
      <c r="S63" s="500">
        <f ca="1">IF(SUM($F63:R63)&lt;$C63*1000,MIN(+$C63*$E63*1000,$C63*1000-SUM($F63:R63)),0)</f>
        <v>161.13004601689815</v>
      </c>
      <c r="T63" s="500">
        <f ca="1">IF(SUM($F63:S63)&lt;$C63*1000,MIN(+$C63*$E63*1000,$C63*1000-SUM($F63:S63)),0)</f>
        <v>161.13004601689815</v>
      </c>
      <c r="U63" s="500">
        <f ca="1">IF(SUM($F63:T63)&lt;$C63*1000,MIN(+$C63*$E63*1000,$C63*1000-SUM($F63:T63)),0)</f>
        <v>161.13004601689815</v>
      </c>
      <c r="V63" s="500">
        <f ca="1">IF(SUM($F63:U63)&lt;$C63*1000,MIN(+$C63*$E63*1000,$C63*1000-SUM($F63:U63)),0)</f>
        <v>161.13004601689815</v>
      </c>
      <c r="W63" s="500">
        <f ca="1">IF(SUM($F63:V63)&lt;$C63*1000,MIN(+$C63*$E63*1000,$C63*1000-SUM($F63:V63)),0)</f>
        <v>161.13004601689815</v>
      </c>
      <c r="X63" s="500">
        <f ca="1">IF(SUM($F63:W63)&lt;$C63*1000,MIN(+$C63*$E63*1000,$C63*1000-SUM($F63:W63)),0)</f>
        <v>161.13004601689815</v>
      </c>
      <c r="Y63" s="500">
        <f ca="1">IF(SUM($F63:X63)&lt;$C63*1000,MIN(+$C63*$E63*1000,$C63*1000-SUM($F63:X63)),0)</f>
        <v>161.13004601689815</v>
      </c>
      <c r="Z63" s="500"/>
      <c r="AA63" s="498">
        <f ca="1">SUM(F63:Y63)-C63*1000</f>
        <v>-1436.7429103173426</v>
      </c>
    </row>
    <row r="64" spans="1:27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3333.0035026674209</v>
      </c>
      <c r="G67" s="633">
        <f t="shared" ca="1" si="5"/>
        <v>5713.7202902870058</v>
      </c>
      <c r="H67" s="633">
        <f t="shared" ca="1" si="5"/>
        <v>5713.7202902870058</v>
      </c>
      <c r="I67" s="633">
        <f t="shared" ca="1" si="5"/>
        <v>5713.7202902870058</v>
      </c>
      <c r="J67" s="633">
        <f t="shared" ca="1" si="5"/>
        <v>5713.7202902870058</v>
      </c>
      <c r="K67" s="633">
        <f t="shared" ca="1" si="5"/>
        <v>5713.7202902870058</v>
      </c>
      <c r="L67" s="633">
        <f t="shared" ca="1" si="5"/>
        <v>5713.7202902870058</v>
      </c>
      <c r="M67" s="633">
        <f t="shared" ca="1" si="5"/>
        <v>5713.7202902870058</v>
      </c>
      <c r="N67" s="633">
        <f t="shared" ca="1" si="5"/>
        <v>5713.7202902870058</v>
      </c>
      <c r="O67" s="633">
        <f t="shared" ca="1" si="5"/>
        <v>5713.7202902870058</v>
      </c>
      <c r="P67" s="633">
        <f t="shared" ca="1" si="5"/>
        <v>5713.7202902870058</v>
      </c>
      <c r="Q67" s="633">
        <f t="shared" ca="1" si="5"/>
        <v>5713.7202902870058</v>
      </c>
      <c r="R67" s="633">
        <f t="shared" ca="1" si="5"/>
        <v>5713.7202902870058</v>
      </c>
      <c r="S67" s="633">
        <f t="shared" ca="1" si="5"/>
        <v>5713.7202902870058</v>
      </c>
      <c r="T67" s="633">
        <f t="shared" ca="1" si="5"/>
        <v>5713.7202902870058</v>
      </c>
      <c r="U67" s="633">
        <f t="shared" ca="1" si="5"/>
        <v>5713.7202902870058</v>
      </c>
      <c r="V67" s="633">
        <f t="shared" ca="1" si="5"/>
        <v>5713.7202902870058</v>
      </c>
      <c r="W67" s="633">
        <f t="shared" ca="1" si="5"/>
        <v>5713.7202902870058</v>
      </c>
      <c r="X67" s="633">
        <f t="shared" ca="1" si="5"/>
        <v>5713.7202902870058</v>
      </c>
      <c r="Y67" s="633">
        <f t="shared" ca="1" si="5"/>
        <v>5713.7202902870058</v>
      </c>
      <c r="Z67" s="633"/>
      <c r="AA67" s="498"/>
    </row>
    <row r="68" spans="1:27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162841.02827317978</v>
      </c>
      <c r="G69" s="635">
        <f t="shared" ref="G69:Y69" ca="1" si="6">F70</f>
        <v>159508.02477051236</v>
      </c>
      <c r="H69" s="635">
        <f t="shared" ca="1" si="6"/>
        <v>153794.30448022534</v>
      </c>
      <c r="I69" s="635">
        <f t="shared" ca="1" si="6"/>
        <v>148080.58418993832</v>
      </c>
      <c r="J69" s="635">
        <f t="shared" ca="1" si="6"/>
        <v>142366.8638996513</v>
      </c>
      <c r="K69" s="635">
        <f t="shared" ca="1" si="6"/>
        <v>136653.14360936428</v>
      </c>
      <c r="L69" s="635">
        <f t="shared" ca="1" si="6"/>
        <v>130939.42331907728</v>
      </c>
      <c r="M69" s="635">
        <f t="shared" ca="1" si="6"/>
        <v>125225.70302879027</v>
      </c>
      <c r="N69" s="635">
        <f t="shared" ca="1" si="6"/>
        <v>119511.98273850327</v>
      </c>
      <c r="O69" s="635">
        <f t="shared" ca="1" si="6"/>
        <v>113798.26244821626</v>
      </c>
      <c r="P69" s="635">
        <f t="shared" ca="1" si="6"/>
        <v>108084.54215792926</v>
      </c>
      <c r="Q69" s="635">
        <f t="shared" ca="1" si="6"/>
        <v>102370.82186764225</v>
      </c>
      <c r="R69" s="635">
        <f t="shared" ca="1" si="6"/>
        <v>96657.10157735525</v>
      </c>
      <c r="S69" s="635">
        <f t="shared" ca="1" si="6"/>
        <v>90943.381287068245</v>
      </c>
      <c r="T69" s="635">
        <f t="shared" ca="1" si="6"/>
        <v>85229.66099678124</v>
      </c>
      <c r="U69" s="635">
        <f t="shared" ca="1" si="6"/>
        <v>79515.940706494235</v>
      </c>
      <c r="V69" s="635">
        <f t="shared" ca="1" si="6"/>
        <v>73802.22041620723</v>
      </c>
      <c r="W69" s="635">
        <f t="shared" ca="1" si="6"/>
        <v>68088.500125920225</v>
      </c>
      <c r="X69" s="635">
        <f t="shared" ca="1" si="6"/>
        <v>62374.779835633221</v>
      </c>
      <c r="Y69" s="635">
        <f t="shared" ca="1" si="6"/>
        <v>56661.059545346216</v>
      </c>
      <c r="Z69" s="635"/>
      <c r="AA69" s="498"/>
    </row>
    <row r="70" spans="1:27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159508.02477051236</v>
      </c>
      <c r="G70" s="639">
        <f t="shared" ca="1" si="7"/>
        <v>153794.30448022534</v>
      </c>
      <c r="H70" s="639">
        <f t="shared" ca="1" si="7"/>
        <v>148080.58418993832</v>
      </c>
      <c r="I70" s="639">
        <f t="shared" ca="1" si="7"/>
        <v>142366.8638996513</v>
      </c>
      <c r="J70" s="639">
        <f t="shared" ca="1" si="7"/>
        <v>136653.14360936428</v>
      </c>
      <c r="K70" s="639">
        <f t="shared" ca="1" si="7"/>
        <v>130939.42331907728</v>
      </c>
      <c r="L70" s="639">
        <f t="shared" ca="1" si="7"/>
        <v>125225.70302879027</v>
      </c>
      <c r="M70" s="639">
        <f t="shared" ca="1" si="7"/>
        <v>119511.98273850327</v>
      </c>
      <c r="N70" s="639">
        <f t="shared" ca="1" si="7"/>
        <v>113798.26244821626</v>
      </c>
      <c r="O70" s="639">
        <f t="shared" ca="1" si="7"/>
        <v>108084.54215792926</v>
      </c>
      <c r="P70" s="639">
        <f t="shared" ca="1" si="7"/>
        <v>102370.82186764225</v>
      </c>
      <c r="Q70" s="639">
        <f t="shared" ca="1" si="7"/>
        <v>96657.10157735525</v>
      </c>
      <c r="R70" s="639">
        <f t="shared" ca="1" si="7"/>
        <v>90943.381287068245</v>
      </c>
      <c r="S70" s="639">
        <f t="shared" ca="1" si="7"/>
        <v>85229.66099678124</v>
      </c>
      <c r="T70" s="639">
        <f t="shared" ca="1" si="7"/>
        <v>79515.940706494235</v>
      </c>
      <c r="U70" s="639">
        <f t="shared" ca="1" si="7"/>
        <v>73802.22041620723</v>
      </c>
      <c r="V70" s="639">
        <f t="shared" ca="1" si="7"/>
        <v>68088.500125920225</v>
      </c>
      <c r="W70" s="639">
        <f t="shared" ca="1" si="7"/>
        <v>62374.779835633221</v>
      </c>
      <c r="X70" s="639">
        <f t="shared" ca="1" si="7"/>
        <v>56661.059545346216</v>
      </c>
      <c r="Y70" s="639">
        <f t="shared" ca="1" si="7"/>
        <v>50947.339255059211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77734375" defaultRowHeight="15.75"/>
  <cols>
    <col min="1" max="1" width="21.77734375" style="503" customWidth="1"/>
    <col min="2" max="16384" width="9.77734375" style="503"/>
  </cols>
  <sheetData>
    <row r="1" spans="1:28" ht="23.25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10057.014703789115</v>
      </c>
      <c r="D9" s="557">
        <f ca="1">'Co IS'!D29</f>
        <v>18567.285051159459</v>
      </c>
      <c r="E9" s="557">
        <f ca="1">'Co IS'!E29</f>
        <v>17733.502630230549</v>
      </c>
      <c r="F9" s="557">
        <f ca="1">'Co IS'!F29</f>
        <v>19298.973277227669</v>
      </c>
      <c r="G9" s="557">
        <f ca="1">'Co IS'!G29</f>
        <v>20179.644378017292</v>
      </c>
      <c r="H9" s="557">
        <f ca="1">'Co IS'!H29</f>
        <v>12108.097777022513</v>
      </c>
      <c r="I9" s="557">
        <f ca="1">'Co IS'!I29</f>
        <v>19244.327504077737</v>
      </c>
      <c r="J9" s="557">
        <f ca="1">'Co IS'!J29</f>
        <v>27562.272475005368</v>
      </c>
      <c r="K9" s="557">
        <f ca="1">'Co IS'!K29</f>
        <v>28936.847921956825</v>
      </c>
      <c r="L9" s="557">
        <f ca="1">'Co IS'!L29</f>
        <v>27736.399774589183</v>
      </c>
      <c r="M9" s="557">
        <f ca="1">'Co IS'!M29</f>
        <v>29337.279318615649</v>
      </c>
      <c r="N9" s="557">
        <f ca="1">'Co IS'!N29</f>
        <v>28465.263415846286</v>
      </c>
      <c r="O9" s="557">
        <f ca="1">'Co IS'!O29</f>
        <v>28180.541784893576</v>
      </c>
      <c r="P9" s="557">
        <f ca="1">'Co IS'!P29</f>
        <v>25940.847978114194</v>
      </c>
      <c r="Q9" s="557">
        <f ca="1">'Co IS'!Q29</f>
        <v>32176.844564357274</v>
      </c>
      <c r="R9" s="557">
        <f ca="1">'Co IS'!R29</f>
        <v>38583.302251351874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228.75746290444113</v>
      </c>
      <c r="D13" s="557">
        <f t="shared" ca="1" si="0"/>
        <v>1917.0432861494046</v>
      </c>
      <c r="E13" s="557">
        <f t="shared" ca="1" si="0"/>
        <v>2523.4575980914069</v>
      </c>
      <c r="F13" s="557">
        <f t="shared" ca="1" si="0"/>
        <v>5377.5253218677681</v>
      </c>
      <c r="G13" s="557">
        <f t="shared" ca="1" si="0"/>
        <v>7425.5137745632892</v>
      </c>
      <c r="H13" s="557">
        <f t="shared" ca="1" si="0"/>
        <v>2663.4392025111465</v>
      </c>
      <c r="I13" s="557">
        <f t="shared" ca="1" si="0"/>
        <v>10299.947794668904</v>
      </c>
      <c r="J13" s="557">
        <f t="shared" ca="1" si="0"/>
        <v>18617.892765596534</v>
      </c>
      <c r="K13" s="557">
        <f t="shared" ca="1" si="0"/>
        <v>19977.308246938825</v>
      </c>
      <c r="L13" s="557">
        <f t="shared" ca="1" si="0"/>
        <v>18792.02006518035</v>
      </c>
      <c r="M13" s="557">
        <f t="shared" ca="1" si="0"/>
        <v>20377.739643597648</v>
      </c>
      <c r="N13" s="557">
        <f t="shared" ca="1" si="0"/>
        <v>19520.883706437453</v>
      </c>
      <c r="O13" s="557">
        <f t="shared" ca="1" si="0"/>
        <v>19221.002109875575</v>
      </c>
      <c r="P13" s="557">
        <f t="shared" ca="1" si="0"/>
        <v>16996.468268705361</v>
      </c>
      <c r="Q13" s="557">
        <f t="shared" ca="1" si="0"/>
        <v>23217.304889339273</v>
      </c>
      <c r="R13" s="557">
        <f t="shared" ca="1" si="0"/>
        <v>34111.112396647455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115.02259716896427</v>
      </c>
      <c r="E14" s="559">
        <f ca="1">IF(E5='ASSUM 1'!$M$39,+CSHFLO!E13*'ASSUM 1'!$N$39,E13*'ASSUM 1'!$N$40)</f>
        <v>151.40745588548441</v>
      </c>
      <c r="F14" s="559">
        <f ca="1">IF(F5='ASSUM 1'!$M$39,+CSHFLO!F13*'ASSUM 1'!$N$39,F13*'ASSUM 1'!$N$40)</f>
        <v>322.65151931206606</v>
      </c>
      <c r="G14" s="559">
        <f ca="1">IF(G5='ASSUM 1'!$M$39,+CSHFLO!G13*'ASSUM 1'!$N$39,G13*'ASSUM 1'!$N$40)</f>
        <v>445.53082647379733</v>
      </c>
      <c r="H14" s="559">
        <f ca="1">IF(H5='ASSUM 1'!$M$39,+CSHFLO!H13*'ASSUM 1'!$N$39,H13*'ASSUM 1'!$N$40)</f>
        <v>159.80635215066877</v>
      </c>
      <c r="I14" s="559">
        <f ca="1">IF(I5='ASSUM 1'!$M$39,+CSHFLO!I13*'ASSUM 1'!$N$39,I13*'ASSUM 1'!$N$40)</f>
        <v>617.99686768013419</v>
      </c>
      <c r="J14" s="559">
        <f ca="1">IF(J5='ASSUM 1'!$M$39,+CSHFLO!J13*'ASSUM 1'!$N$39,J13*'ASSUM 1'!$N$40)</f>
        <v>1117.073565935792</v>
      </c>
      <c r="K14" s="559">
        <f ca="1">IF(K5='ASSUM 1'!$M$39,+CSHFLO!K13*'ASSUM 1'!$N$39,K13*'ASSUM 1'!$N$40)</f>
        <v>1198.6384948163295</v>
      </c>
      <c r="L14" s="559">
        <f ca="1">IF(L5='ASSUM 1'!$M$39,+CSHFLO!L13*'ASSUM 1'!$N$39,L13*'ASSUM 1'!$N$40)</f>
        <v>1127.521203910821</v>
      </c>
      <c r="M14" s="559">
        <f ca="1">IF(M5='ASSUM 1'!$M$39,+CSHFLO!M13*'ASSUM 1'!$N$39,M13*'ASSUM 1'!$N$40)</f>
        <v>1222.6643786158588</v>
      </c>
      <c r="N14" s="559">
        <f ca="1">IF(N5='ASSUM 1'!$M$39,+CSHFLO!N13*'ASSUM 1'!$N$39,N13*'ASSUM 1'!$N$40)</f>
        <v>1171.253022386247</v>
      </c>
      <c r="O14" s="559">
        <f ca="1">IF(O5='ASSUM 1'!$M$39,+CSHFLO!O13*'ASSUM 1'!$N$39,O13*'ASSUM 1'!$N$40)</f>
        <v>1153.2601265925346</v>
      </c>
      <c r="P14" s="559">
        <f ca="1">IF(P5='ASSUM 1'!$M$39,+CSHFLO!P13*'ASSUM 1'!$N$39,P13*'ASSUM 1'!$N$40)</f>
        <v>1019.7880961223216</v>
      </c>
      <c r="Q14" s="559">
        <f ca="1">IF(Q5='ASSUM 1'!$M$39,+CSHFLO!Q13*'ASSUM 1'!$N$39,Q13*'ASSUM 1'!$N$40)</f>
        <v>1393.0382933603564</v>
      </c>
      <c r="R14" s="559">
        <f ca="1">IF(R5='ASSUM 1'!$M$39,+CSHFLO!R13*'ASSUM 1'!$N$39,R13*'ASSUM 1'!$N$40)</f>
        <v>2046.6667437988472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-96.755769747947966</v>
      </c>
      <c r="D15" s="557">
        <f t="shared" ca="1" si="1"/>
        <v>1802.0206889804404</v>
      </c>
      <c r="E15" s="557">
        <f t="shared" ca="1" si="1"/>
        <v>2372.0501422059224</v>
      </c>
      <c r="F15" s="557">
        <f t="shared" ca="1" si="1"/>
        <v>5054.8738025557022</v>
      </c>
      <c r="G15" s="557">
        <f t="shared" ca="1" si="1"/>
        <v>6979.9829480894914</v>
      </c>
      <c r="H15" s="557">
        <f t="shared" ca="1" si="1"/>
        <v>2503.6328503604777</v>
      </c>
      <c r="I15" s="557">
        <f t="shared" ca="1" si="1"/>
        <v>9681.9509269887694</v>
      </c>
      <c r="J15" s="557">
        <f t="shared" ca="1" si="1"/>
        <v>17500.819199660742</v>
      </c>
      <c r="K15" s="557">
        <f t="shared" ca="1" si="1"/>
        <v>18778.669752122496</v>
      </c>
      <c r="L15" s="557">
        <f t="shared" ca="1" si="1"/>
        <v>17664.498861269531</v>
      </c>
      <c r="M15" s="557">
        <f t="shared" ca="1" si="1"/>
        <v>19155.075264981788</v>
      </c>
      <c r="N15" s="557">
        <f t="shared" ca="1" si="1"/>
        <v>18349.630684051204</v>
      </c>
      <c r="O15" s="557">
        <f t="shared" ca="1" si="1"/>
        <v>18067.741983283042</v>
      </c>
      <c r="P15" s="557">
        <f t="shared" ca="1" si="1"/>
        <v>15976.680172583039</v>
      </c>
      <c r="Q15" s="557">
        <f t="shared" ca="1" si="1"/>
        <v>21824.266595978916</v>
      </c>
      <c r="R15" s="557">
        <f t="shared" ca="1" si="1"/>
        <v>32064.445652848608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96.755769747947966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96.755769747947966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-96.755769747947966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96.755769747947966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1705.2649192324925</v>
      </c>
      <c r="E23" s="562">
        <f t="shared" ca="1" si="6"/>
        <v>2372.0501422059224</v>
      </c>
      <c r="F23" s="562">
        <f t="shared" ca="1" si="6"/>
        <v>5054.8738025557022</v>
      </c>
      <c r="G23" s="562">
        <f t="shared" ca="1" si="6"/>
        <v>6979.9829480894914</v>
      </c>
      <c r="H23" s="562">
        <f t="shared" ca="1" si="6"/>
        <v>2503.6328503604777</v>
      </c>
      <c r="I23" s="562">
        <f t="shared" ca="1" si="6"/>
        <v>9681.9509269887694</v>
      </c>
      <c r="J23" s="562">
        <f t="shared" ca="1" si="6"/>
        <v>17500.819199660742</v>
      </c>
      <c r="K23" s="562">
        <f t="shared" ca="1" si="6"/>
        <v>18778.669752122496</v>
      </c>
      <c r="L23" s="562">
        <f t="shared" ca="1" si="6"/>
        <v>17664.498861269531</v>
      </c>
      <c r="M23" s="562">
        <f t="shared" ca="1" si="6"/>
        <v>19155.075264981788</v>
      </c>
      <c r="N23" s="562">
        <f t="shared" ca="1" si="6"/>
        <v>18349.630684051204</v>
      </c>
      <c r="O23" s="562">
        <f t="shared" ca="1" si="6"/>
        <v>18067.741983283042</v>
      </c>
      <c r="P23" s="562">
        <f t="shared" ca="1" si="6"/>
        <v>15976.680172583039</v>
      </c>
      <c r="Q23" s="562">
        <f t="shared" ca="1" si="6"/>
        <v>21824.266595978916</v>
      </c>
      <c r="R23" s="562">
        <f t="shared" ca="1" si="6"/>
        <v>32064.445652848608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1705.2649192324925</v>
      </c>
      <c r="E28" s="565">
        <f t="shared" ca="1" si="7"/>
        <v>2372.0501422059224</v>
      </c>
      <c r="F28" s="565">
        <f t="shared" ca="1" si="7"/>
        <v>5054.8738025557022</v>
      </c>
      <c r="G28" s="565">
        <f t="shared" ca="1" si="7"/>
        <v>6979.9829480894914</v>
      </c>
      <c r="H28" s="565">
        <f t="shared" ca="1" si="7"/>
        <v>2503.6328503604777</v>
      </c>
      <c r="I28" s="565">
        <f t="shared" ca="1" si="7"/>
        <v>9681.9509269887694</v>
      </c>
      <c r="J28" s="565">
        <f t="shared" ca="1" si="7"/>
        <v>17500.819199660742</v>
      </c>
      <c r="K28" s="565">
        <f t="shared" ca="1" si="7"/>
        <v>18778.669752122496</v>
      </c>
      <c r="L28" s="565">
        <f t="shared" ca="1" si="7"/>
        <v>17664.498861269531</v>
      </c>
      <c r="M28" s="565">
        <f t="shared" ca="1" si="7"/>
        <v>19155.075264981788</v>
      </c>
      <c r="N28" s="565">
        <f t="shared" ca="1" si="7"/>
        <v>18349.630684051204</v>
      </c>
      <c r="O28" s="565">
        <f t="shared" ca="1" si="7"/>
        <v>18067.741983283042</v>
      </c>
      <c r="P28" s="565">
        <f t="shared" ca="1" si="7"/>
        <v>15976.680172583039</v>
      </c>
      <c r="Q28" s="565">
        <f t="shared" ca="1" si="7"/>
        <v>21824.266595978916</v>
      </c>
      <c r="R28" s="565">
        <f t="shared" ca="1" si="7"/>
        <v>32064.445652848608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596.84272173137231</v>
      </c>
      <c r="E30" s="562">
        <f t="shared" ca="1" si="8"/>
        <v>830.21754977207274</v>
      </c>
      <c r="F30" s="562">
        <f t="shared" ca="1" si="8"/>
        <v>1769.2058308944956</v>
      </c>
      <c r="G30" s="562">
        <f t="shared" ca="1" si="8"/>
        <v>2442.994031831322</v>
      </c>
      <c r="H30" s="562">
        <f t="shared" ca="1" si="8"/>
        <v>876.27149762616716</v>
      </c>
      <c r="I30" s="562">
        <f t="shared" ca="1" si="8"/>
        <v>3388.6828244460689</v>
      </c>
      <c r="J30" s="562">
        <f t="shared" ca="1" si="8"/>
        <v>6125.2867198812592</v>
      </c>
      <c r="K30" s="562">
        <f t="shared" ca="1" si="8"/>
        <v>6572.5344132428736</v>
      </c>
      <c r="L30" s="562">
        <f t="shared" ca="1" si="8"/>
        <v>6182.5746014443357</v>
      </c>
      <c r="M30" s="562">
        <f t="shared" ca="1" si="8"/>
        <v>6704.2763427436257</v>
      </c>
      <c r="N30" s="562">
        <f t="shared" ca="1" si="8"/>
        <v>6422.370739417921</v>
      </c>
      <c r="O30" s="562">
        <f t="shared" ca="1" si="8"/>
        <v>6323.7096941490645</v>
      </c>
      <c r="P30" s="562">
        <f t="shared" ca="1" si="8"/>
        <v>5591.8380604040631</v>
      </c>
      <c r="Q30" s="562">
        <f t="shared" ca="1" si="8"/>
        <v>7638.4933085926195</v>
      </c>
      <c r="R30" s="562">
        <f t="shared" ca="1" si="8"/>
        <v>11222.555978497012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596.84272173137231</v>
      </c>
      <c r="E33" s="562">
        <f t="shared" ca="1" si="9"/>
        <v>830.21754977207274</v>
      </c>
      <c r="F33" s="562">
        <f t="shared" ca="1" si="9"/>
        <v>1769.2058308944956</v>
      </c>
      <c r="G33" s="562">
        <f t="shared" ca="1" si="9"/>
        <v>2442.994031831322</v>
      </c>
      <c r="H33" s="562">
        <f t="shared" ca="1" si="9"/>
        <v>876.27149762616716</v>
      </c>
      <c r="I33" s="562">
        <f t="shared" ca="1" si="9"/>
        <v>3388.6828244460689</v>
      </c>
      <c r="J33" s="562">
        <f t="shared" ca="1" si="9"/>
        <v>6125.2867198812592</v>
      </c>
      <c r="K33" s="562">
        <f t="shared" ca="1" si="9"/>
        <v>6572.5344132428736</v>
      </c>
      <c r="L33" s="562">
        <f t="shared" ca="1" si="9"/>
        <v>6182.5746014443357</v>
      </c>
      <c r="M33" s="562">
        <f t="shared" ca="1" si="9"/>
        <v>6704.2763427436257</v>
      </c>
      <c r="N33" s="562">
        <f t="shared" ca="1" si="9"/>
        <v>6422.370739417921</v>
      </c>
      <c r="O33" s="562">
        <f t="shared" ca="1" si="9"/>
        <v>6323.7096941490645</v>
      </c>
      <c r="P33" s="562">
        <f t="shared" ca="1" si="9"/>
        <v>5591.8380604040631</v>
      </c>
      <c r="Q33" s="562">
        <f t="shared" ca="1" si="9"/>
        <v>7638.4933085926195</v>
      </c>
      <c r="R33" s="562">
        <f t="shared" ca="1" si="9"/>
        <v>11222.555978497012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77734375" defaultRowHeight="15.75"/>
  <cols>
    <col min="1" max="1" width="17.77734375" style="147" customWidth="1"/>
    <col min="2" max="19" width="9.77734375" style="147" customWidth="1"/>
    <col min="20" max="20" width="10.77734375" style="147" customWidth="1"/>
    <col min="21" max="21" width="11.77734375" style="147" customWidth="1"/>
    <col min="22" max="16384" width="9.7773437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topLeftCell="A9" zoomScaleNormal="75" workbookViewId="0">
      <selection activeCell="D13" sqref="D13:V13"/>
    </sheetView>
  </sheetViews>
  <sheetFormatPr defaultColWidth="8.77734375" defaultRowHeight="15"/>
  <cols>
    <col min="1" max="1" width="23.77734375" style="191" customWidth="1"/>
    <col min="2" max="2" width="5.77734375" style="191" customWidth="1"/>
    <col min="3" max="22" width="10.109375" style="580" customWidth="1"/>
    <col min="23" max="23" width="4.109375" style="580" customWidth="1"/>
    <col min="24" max="51" width="10.77734375" style="580" customWidth="1"/>
    <col min="52" max="252" width="10.77734375" style="191" customWidth="1"/>
    <col min="253" max="16384" width="8.77734375" style="191"/>
  </cols>
  <sheetData>
    <row r="1" spans="1:41" ht="23.25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75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75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75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75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75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75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75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75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75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75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75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75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75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75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75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75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75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75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75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75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75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75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75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75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75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75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75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75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75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75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75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75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75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75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75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75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75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75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75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75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75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75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75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75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75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75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75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75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75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75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75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75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75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75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75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75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75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75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75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75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75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75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75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75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75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75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75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75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75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75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75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75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75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75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75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75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75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75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75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75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75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75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75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75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75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75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75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75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75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75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75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75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75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75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75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75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75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75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75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75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75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75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75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75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75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75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75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75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75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75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75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75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75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75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75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75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75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75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75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75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75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sqref="A1:IV65536"/>
    </sheetView>
  </sheetViews>
  <sheetFormatPr defaultColWidth="9.77734375" defaultRowHeight="15.75"/>
  <cols>
    <col min="1" max="1" width="18.21875" style="214" customWidth="1"/>
    <col min="2" max="16384" width="9.77734375" style="214"/>
  </cols>
  <sheetData>
    <row r="1" spans="1:22" ht="23.25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sqref="A1:IV65536"/>
    </sheetView>
  </sheetViews>
  <sheetFormatPr defaultColWidth="9.77734375" defaultRowHeight="15"/>
  <cols>
    <col min="1" max="1" width="22.77734375" style="238" customWidth="1"/>
    <col min="2" max="2" width="4.77734375" style="238" customWidth="1"/>
    <col min="3" max="3" width="11.33203125" style="238" customWidth="1"/>
    <col min="4" max="4" width="11.77734375" style="238" customWidth="1"/>
    <col min="5" max="11" width="11.44140625" style="238" customWidth="1"/>
    <col min="12" max="12" width="10.77734375" style="238" customWidth="1"/>
    <col min="13" max="22" width="11.21875" style="238" customWidth="1"/>
    <col min="23" max="16384" width="9.77734375" style="238"/>
  </cols>
  <sheetData>
    <row r="1" spans="1:256" ht="23.25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7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75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75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75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75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7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75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75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75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75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75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7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75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75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75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75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7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75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75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75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75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75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75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75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75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75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75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75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75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75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75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75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7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75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75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75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77"/>
  <sheetViews>
    <sheetView tabSelected="1" showOutlineSymbols="0" view="pageBreakPreview" zoomScaleNormal="75" workbookViewId="0">
      <selection activeCell="A15" sqref="A15"/>
    </sheetView>
  </sheetViews>
  <sheetFormatPr defaultColWidth="9.77734375" defaultRowHeight="15"/>
  <cols>
    <col min="1" max="1" width="21.77734375" style="255" customWidth="1"/>
    <col min="2" max="2" width="6.77734375" style="255" customWidth="1"/>
    <col min="3" max="16384" width="9.77734375" style="255"/>
  </cols>
  <sheetData>
    <row r="1" spans="1:22" ht="23.25">
      <c r="A1" s="254" t="str">
        <f ca="1">OandM!A1</f>
        <v>DELMARVA, VA</v>
      </c>
      <c r="Q1" s="256"/>
      <c r="R1" s="256"/>
    </row>
    <row r="2" spans="1:22" ht="15.75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75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75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75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75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75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75">
      <c r="A11" s="267" t="str">
        <f>'ASSUM 1'!F31</f>
        <v xml:space="preserve">   Management Fee </v>
      </c>
      <c r="B11" s="267"/>
      <c r="C11" s="268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75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75">
      <c r="A13" s="267" t="str">
        <f>'ASSUM 1'!F33</f>
        <v xml:space="preserve">   Variable Costs mills/kw</v>
      </c>
      <c r="B13" s="267"/>
      <c r="C13" s="268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75">
      <c r="A14" s="267" t="str">
        <f>'ASSUM 1'!F34</f>
        <v xml:space="preserve">   Maintenance Reserve</v>
      </c>
      <c r="B14" s="267"/>
      <c r="C14" s="268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75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75">
      <c r="A16" s="267" t="str">
        <f>'ASSUM 1'!F36</f>
        <v xml:space="preserve">   TPS Parts Co. </v>
      </c>
      <c r="B16" s="267"/>
      <c r="C16" s="268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75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75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75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75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75">
      <c r="A21" s="267" t="str">
        <f>'ASSUM 1'!F40</f>
        <v xml:space="preserve">   Marketing Fee</v>
      </c>
      <c r="B21" s="267"/>
      <c r="C21" s="26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75">
      <c r="A22" s="267" t="str">
        <f>'ASSUM 1'!F41</f>
        <v xml:space="preserve">   Property Tax</v>
      </c>
      <c r="B22" s="267"/>
      <c r="C22" s="268">
        <f t="shared" ref="C22:V22" ca="1" si="3">C56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75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75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75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75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75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75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75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75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75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75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75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75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6" spans="1:255" ht="15.75">
      <c r="A36" s="263" t="s">
        <v>263</v>
      </c>
      <c r="B36" s="263"/>
      <c r="C36" s="273">
        <f ca="1">C18/Tariff!C17</f>
        <v>3.5204405968705887E-2</v>
      </c>
      <c r="D36" s="273">
        <f ca="1">D18/Tariff!D17</f>
        <v>2.5531131306806322E-2</v>
      </c>
      <c r="E36" s="273">
        <f ca="1">E18/Tariff!E17</f>
        <v>2.424021149885075E-2</v>
      </c>
      <c r="F36" s="273">
        <f ca="1">F18/Tariff!F17</f>
        <v>2.4133042380569632E-2</v>
      </c>
      <c r="G36" s="273">
        <f ca="1">G18/Tariff!G17</f>
        <v>2.5869929365397667E-2</v>
      </c>
      <c r="H36" s="273">
        <f ca="1">H18/Tariff!H17</f>
        <v>2.776354290902255E-2</v>
      </c>
      <c r="I36" s="273">
        <f ca="1">I18/Tariff!I17</f>
        <v>2.7639044733087047E-2</v>
      </c>
      <c r="J36" s="273">
        <f ca="1">J18/Tariff!J17</f>
        <v>2.7666467371993134E-2</v>
      </c>
      <c r="K36" s="273">
        <f ca="1">K18/Tariff!K17</f>
        <v>2.8542230311872138E-2</v>
      </c>
      <c r="L36" s="273">
        <f ca="1">L18/Tariff!L17</f>
        <v>2.9679586078268764E-2</v>
      </c>
      <c r="M36" s="273">
        <f ca="1">M18/Tariff!M17</f>
        <v>3.062825611613243E-2</v>
      </c>
      <c r="N36" s="273">
        <f ca="1">N18/Tariff!N17</f>
        <v>3.1790521004949758E-2</v>
      </c>
      <c r="O36" s="273">
        <f ca="1">O18/Tariff!O17</f>
        <v>3.1739778504643254E-2</v>
      </c>
      <c r="P36" s="273">
        <f ca="1">P18/Tariff!P17</f>
        <v>3.3059360920835328E-2</v>
      </c>
      <c r="Q36" s="273">
        <f ca="1">Q18/Tariff!Q17</f>
        <v>3.3506978603307744E-2</v>
      </c>
      <c r="R36" s="273">
        <f ca="1">R18/Tariff!R17</f>
        <v>3.5238673582092886E-2</v>
      </c>
      <c r="S36" s="273">
        <f ca="1">S18/Tariff!S17</f>
        <v>3.5808463775921215E-2</v>
      </c>
      <c r="T36" s="273">
        <f ca="1">T18/Tariff!T17</f>
        <v>3.6901996181664169E-2</v>
      </c>
      <c r="U36" s="273">
        <f ca="1">U18/Tariff!U17</f>
        <v>3.7751440141833209E-2</v>
      </c>
      <c r="V36" s="273">
        <f ca="1">V18/Tariff!V17</f>
        <v>3.9908973770186817E-2</v>
      </c>
    </row>
    <row r="37" spans="1:255" ht="15.75">
      <c r="A37" s="263" t="s">
        <v>264</v>
      </c>
      <c r="B37" s="263"/>
      <c r="C37" s="273">
        <f ca="1">C34/Tariff!C17</f>
        <v>3.8287649370032678E-2</v>
      </c>
      <c r="D37" s="273">
        <f ca="1">D34/Tariff!D17</f>
        <v>3.0757854125255935E-2</v>
      </c>
      <c r="E37" s="273">
        <f ca="1">E34/Tariff!E17</f>
        <v>2.9067334434387689E-2</v>
      </c>
      <c r="F37" s="273">
        <f ca="1">F34/Tariff!F17</f>
        <v>2.7744304730452078E-2</v>
      </c>
      <c r="G37" s="273">
        <f ca="1">G34/Tariff!G17</f>
        <v>2.9697551530008588E-2</v>
      </c>
      <c r="H37" s="273">
        <f ca="1">H34/Tariff!H17</f>
        <v>3.1552633066579412E-2</v>
      </c>
      <c r="I37" s="273">
        <f ca="1">I34/Tariff!I17</f>
        <v>3.1558678122293543E-2</v>
      </c>
      <c r="J37" s="273">
        <f ca="1">J34/Tariff!J17</f>
        <v>3.1752358686471936E-2</v>
      </c>
      <c r="K37" s="273">
        <f ca="1">K34/Tariff!K17</f>
        <v>3.2705559855421298E-2</v>
      </c>
      <c r="L37" s="273">
        <f ca="1">L34/Tariff!L17</f>
        <v>3.3877776352137214E-2</v>
      </c>
      <c r="M37" s="273">
        <f ca="1">M34/Tariff!M17</f>
        <v>3.491389126859943E-2</v>
      </c>
      <c r="N37" s="273">
        <f ca="1">N34/Tariff!N17</f>
        <v>3.6116340873619437E-2</v>
      </c>
      <c r="O37" s="273">
        <f ca="1">O34/Tariff!O17</f>
        <v>3.5987139904169671E-2</v>
      </c>
      <c r="P37" s="273">
        <f ca="1">P34/Tariff!P17</f>
        <v>3.7324031318431691E-2</v>
      </c>
      <c r="Q37" s="273">
        <f ca="1">Q34/Tariff!Q17</f>
        <v>3.792474623357045E-2</v>
      </c>
      <c r="R37" s="273">
        <f ca="1">R34/Tariff!R17</f>
        <v>3.9995991423173352E-2</v>
      </c>
      <c r="S37" s="273">
        <f ca="1">S34/Tariff!S17</f>
        <v>4.0735091803315429E-2</v>
      </c>
      <c r="T37" s="273">
        <f ca="1">T34/Tariff!T17</f>
        <v>4.1918144359658821E-2</v>
      </c>
      <c r="U37" s="273">
        <f ca="1">U34/Tariff!U17</f>
        <v>4.2864320679854066E-2</v>
      </c>
      <c r="V37" s="273">
        <f ca="1">V34/Tariff!V17</f>
        <v>4.4975649972272755E-2</v>
      </c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  <c r="CB37" s="263"/>
      <c r="CC37" s="263"/>
      <c r="CD37" s="263"/>
      <c r="CE37" s="263"/>
      <c r="CF37" s="263"/>
      <c r="CG37" s="263"/>
      <c r="CH37" s="263"/>
      <c r="CI37" s="263"/>
      <c r="CJ37" s="263"/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3"/>
      <c r="DC37" s="263"/>
      <c r="DD37" s="263"/>
      <c r="DE37" s="263"/>
      <c r="DF37" s="263"/>
      <c r="DG37" s="263"/>
      <c r="DH37" s="263"/>
      <c r="DI37" s="263"/>
      <c r="DJ37" s="263"/>
      <c r="DK37" s="263"/>
      <c r="DL37" s="263"/>
      <c r="DM37" s="263"/>
      <c r="DN37" s="263"/>
      <c r="DO37" s="263"/>
      <c r="DP37" s="263"/>
      <c r="DQ37" s="263"/>
      <c r="DR37" s="263"/>
      <c r="DS37" s="263"/>
      <c r="DT37" s="263"/>
      <c r="DU37" s="263"/>
      <c r="DV37" s="263"/>
      <c r="DW37" s="263"/>
      <c r="DX37" s="263"/>
      <c r="DY37" s="263"/>
      <c r="DZ37" s="263"/>
      <c r="EA37" s="263"/>
      <c r="EB37" s="263"/>
      <c r="EC37" s="263"/>
      <c r="ED37" s="263"/>
      <c r="EE37" s="263"/>
      <c r="EF37" s="263"/>
      <c r="EG37" s="263"/>
      <c r="EH37" s="263"/>
      <c r="EI37" s="263"/>
      <c r="EJ37" s="263"/>
      <c r="EK37" s="263"/>
      <c r="EL37" s="263"/>
      <c r="EM37" s="263"/>
      <c r="EN37" s="263"/>
      <c r="EO37" s="263"/>
      <c r="EP37" s="263"/>
      <c r="EQ37" s="263"/>
      <c r="ER37" s="263"/>
      <c r="ES37" s="263"/>
      <c r="ET37" s="263"/>
      <c r="EU37" s="263"/>
      <c r="EV37" s="263"/>
      <c r="EW37" s="263"/>
      <c r="EX37" s="263"/>
      <c r="EY37" s="263"/>
      <c r="EZ37" s="263"/>
      <c r="FA37" s="263"/>
      <c r="FB37" s="263"/>
      <c r="FC37" s="263"/>
      <c r="FD37" s="263"/>
      <c r="FE37" s="263"/>
      <c r="FF37" s="263"/>
      <c r="FG37" s="263"/>
      <c r="FH37" s="263"/>
      <c r="FI37" s="263"/>
      <c r="FJ37" s="263"/>
      <c r="FK37" s="263"/>
      <c r="FL37" s="263"/>
      <c r="FM37" s="263"/>
      <c r="FN37" s="263"/>
      <c r="FO37" s="263"/>
      <c r="FP37" s="263"/>
      <c r="FQ37" s="263"/>
      <c r="FR37" s="263"/>
      <c r="FS37" s="263"/>
      <c r="FT37" s="263"/>
      <c r="FU37" s="263"/>
      <c r="FV37" s="263"/>
      <c r="FW37" s="263"/>
      <c r="FX37" s="263"/>
      <c r="FY37" s="263"/>
      <c r="FZ37" s="263"/>
      <c r="GA37" s="263"/>
      <c r="GB37" s="263"/>
      <c r="GC37" s="263"/>
      <c r="GD37" s="263"/>
      <c r="GE37" s="263"/>
      <c r="GF37" s="263"/>
      <c r="GG37" s="263"/>
      <c r="GH37" s="263"/>
      <c r="GI37" s="263"/>
      <c r="GJ37" s="263"/>
      <c r="GK37" s="263"/>
      <c r="GL37" s="263"/>
      <c r="GM37" s="263"/>
      <c r="GN37" s="263"/>
      <c r="GO37" s="263"/>
      <c r="GP37" s="263"/>
      <c r="GQ37" s="263"/>
      <c r="GR37" s="263"/>
      <c r="GS37" s="263"/>
      <c r="GT37" s="263"/>
      <c r="GU37" s="263"/>
      <c r="GV37" s="263"/>
      <c r="GW37" s="263"/>
      <c r="GX37" s="263"/>
      <c r="GY37" s="263"/>
      <c r="GZ37" s="263"/>
      <c r="HA37" s="263"/>
      <c r="HB37" s="263"/>
      <c r="HC37" s="263"/>
      <c r="HD37" s="263"/>
      <c r="HE37" s="263"/>
      <c r="HF37" s="263"/>
      <c r="HG37" s="263"/>
      <c r="HH37" s="263"/>
      <c r="HI37" s="263"/>
      <c r="HJ37" s="263"/>
      <c r="HK37" s="263"/>
      <c r="HL37" s="263"/>
      <c r="HM37" s="263"/>
      <c r="HN37" s="263"/>
      <c r="HO37" s="263"/>
      <c r="HP37" s="263"/>
      <c r="HQ37" s="263"/>
      <c r="HR37" s="263"/>
      <c r="HS37" s="263"/>
      <c r="HT37" s="263"/>
      <c r="HU37" s="263"/>
      <c r="HV37" s="263"/>
      <c r="HW37" s="263"/>
      <c r="HX37" s="263"/>
      <c r="HY37" s="263"/>
      <c r="HZ37" s="263"/>
      <c r="IA37" s="263"/>
      <c r="IB37" s="263"/>
      <c r="IC37" s="263"/>
      <c r="ID37" s="263"/>
      <c r="IE37" s="263"/>
      <c r="IF37" s="263"/>
      <c r="IG37" s="263"/>
      <c r="IH37" s="263"/>
      <c r="II37" s="263"/>
      <c r="IJ37" s="263"/>
      <c r="IK37" s="263"/>
      <c r="IL37" s="263"/>
      <c r="IM37" s="263"/>
      <c r="IN37" s="263"/>
      <c r="IO37" s="263"/>
      <c r="IP37" s="263"/>
      <c r="IQ37" s="263"/>
      <c r="IR37" s="263"/>
      <c r="IS37" s="263"/>
      <c r="IT37" s="263"/>
      <c r="IU37" s="263"/>
    </row>
    <row r="38" spans="1:255" ht="15.75">
      <c r="A38" s="263"/>
      <c r="B38" s="26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  <c r="CB38" s="263"/>
      <c r="CC38" s="263"/>
      <c r="CD38" s="263"/>
      <c r="CE38" s="263"/>
      <c r="CF38" s="263"/>
      <c r="CG38" s="263"/>
      <c r="CH38" s="263"/>
      <c r="CI38" s="263"/>
      <c r="CJ38" s="263"/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3"/>
      <c r="DC38" s="263"/>
      <c r="DD38" s="263"/>
      <c r="DE38" s="263"/>
      <c r="DF38" s="263"/>
      <c r="DG38" s="263"/>
      <c r="DH38" s="263"/>
      <c r="DI38" s="263"/>
      <c r="DJ38" s="263"/>
      <c r="DK38" s="263"/>
      <c r="DL38" s="263"/>
      <c r="DM38" s="263"/>
      <c r="DN38" s="263"/>
      <c r="DO38" s="263"/>
      <c r="DP38" s="263"/>
      <c r="DQ38" s="263"/>
      <c r="DR38" s="263"/>
      <c r="DS38" s="263"/>
      <c r="DT38" s="263"/>
      <c r="DU38" s="263"/>
      <c r="DV38" s="263"/>
      <c r="DW38" s="263"/>
      <c r="DX38" s="263"/>
      <c r="DY38" s="263"/>
      <c r="DZ38" s="263"/>
      <c r="EA38" s="263"/>
      <c r="EB38" s="263"/>
      <c r="EC38" s="263"/>
      <c r="ED38" s="263"/>
      <c r="EE38" s="263"/>
      <c r="EF38" s="263"/>
      <c r="EG38" s="263"/>
      <c r="EH38" s="263"/>
      <c r="EI38" s="263"/>
      <c r="EJ38" s="263"/>
      <c r="EK38" s="263"/>
      <c r="EL38" s="263"/>
      <c r="EM38" s="263"/>
      <c r="EN38" s="263"/>
      <c r="EO38" s="263"/>
      <c r="EP38" s="263"/>
      <c r="EQ38" s="263"/>
      <c r="ER38" s="263"/>
      <c r="ES38" s="263"/>
      <c r="ET38" s="263"/>
      <c r="EU38" s="263"/>
      <c r="EV38" s="263"/>
      <c r="EW38" s="263"/>
      <c r="EX38" s="263"/>
      <c r="EY38" s="263"/>
      <c r="EZ38" s="263"/>
      <c r="FA38" s="263"/>
      <c r="FB38" s="263"/>
      <c r="FC38" s="263"/>
      <c r="FD38" s="263"/>
      <c r="FE38" s="263"/>
      <c r="FF38" s="263"/>
      <c r="FG38" s="263"/>
      <c r="FH38" s="263"/>
      <c r="FI38" s="263"/>
      <c r="FJ38" s="263"/>
      <c r="FK38" s="263"/>
      <c r="FL38" s="263"/>
      <c r="FM38" s="263"/>
      <c r="FN38" s="263"/>
      <c r="FO38" s="263"/>
      <c r="FP38" s="263"/>
      <c r="FQ38" s="263"/>
      <c r="FR38" s="263"/>
      <c r="FS38" s="263"/>
      <c r="FT38" s="263"/>
      <c r="FU38" s="263"/>
      <c r="FV38" s="263"/>
      <c r="FW38" s="263"/>
      <c r="FX38" s="263"/>
      <c r="FY38" s="263"/>
      <c r="FZ38" s="263"/>
      <c r="GA38" s="263"/>
      <c r="GB38" s="263"/>
      <c r="GC38" s="263"/>
      <c r="GD38" s="263"/>
      <c r="GE38" s="263"/>
      <c r="GF38" s="263"/>
      <c r="GG38" s="263"/>
      <c r="GH38" s="263"/>
      <c r="GI38" s="263"/>
      <c r="GJ38" s="263"/>
      <c r="GK38" s="263"/>
      <c r="GL38" s="263"/>
      <c r="GM38" s="263"/>
      <c r="GN38" s="263"/>
      <c r="GO38" s="263"/>
      <c r="GP38" s="263"/>
      <c r="GQ38" s="263"/>
      <c r="GR38" s="263"/>
      <c r="GS38" s="263"/>
      <c r="GT38" s="263"/>
      <c r="GU38" s="263"/>
      <c r="GV38" s="263"/>
      <c r="GW38" s="263"/>
      <c r="GX38" s="263"/>
      <c r="GY38" s="263"/>
      <c r="GZ38" s="263"/>
      <c r="HA38" s="263"/>
      <c r="HB38" s="263"/>
      <c r="HC38" s="263"/>
      <c r="HD38" s="263"/>
      <c r="HE38" s="263"/>
      <c r="HF38" s="263"/>
      <c r="HG38" s="263"/>
      <c r="HH38" s="263"/>
      <c r="HI38" s="263"/>
      <c r="HJ38" s="263"/>
      <c r="HK38" s="263"/>
      <c r="HL38" s="263"/>
      <c r="HM38" s="263"/>
      <c r="HN38" s="263"/>
      <c r="HO38" s="263"/>
      <c r="HP38" s="263"/>
      <c r="HQ38" s="263"/>
      <c r="HR38" s="263"/>
      <c r="HS38" s="263"/>
      <c r="HT38" s="263"/>
      <c r="HU38" s="263"/>
      <c r="HV38" s="263"/>
      <c r="HW38" s="263"/>
      <c r="HX38" s="263"/>
      <c r="HY38" s="263"/>
      <c r="HZ38" s="263"/>
      <c r="IA38" s="263"/>
      <c r="IB38" s="263"/>
      <c r="IC38" s="263"/>
      <c r="ID38" s="263"/>
      <c r="IE38" s="263"/>
      <c r="IF38" s="263"/>
      <c r="IG38" s="263"/>
      <c r="IH38" s="263"/>
      <c r="II38" s="263"/>
      <c r="IJ38" s="263"/>
      <c r="IK38" s="263"/>
      <c r="IL38" s="263"/>
      <c r="IM38" s="263"/>
      <c r="IN38" s="263"/>
      <c r="IO38" s="263"/>
      <c r="IP38" s="263"/>
      <c r="IQ38" s="263"/>
      <c r="IR38" s="263"/>
      <c r="IS38" s="263"/>
      <c r="IT38" s="263"/>
      <c r="IU38" s="263"/>
    </row>
    <row r="39" spans="1:255" ht="15.75">
      <c r="A39" s="274" t="s">
        <v>265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3"/>
      <c r="CC39" s="263"/>
      <c r="CD39" s="263"/>
      <c r="CE39" s="263"/>
      <c r="CF39" s="263"/>
      <c r="CG39" s="263"/>
      <c r="CH39" s="263"/>
      <c r="CI39" s="263"/>
      <c r="CJ39" s="263"/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3"/>
      <c r="DC39" s="263"/>
      <c r="DD39" s="263"/>
      <c r="DE39" s="263"/>
      <c r="DF39" s="263"/>
      <c r="DG39" s="263"/>
      <c r="DH39" s="263"/>
      <c r="DI39" s="263"/>
      <c r="DJ39" s="263"/>
      <c r="DK39" s="263"/>
      <c r="DL39" s="263"/>
      <c r="DM39" s="263"/>
      <c r="DN39" s="263"/>
      <c r="DO39" s="263"/>
      <c r="DP39" s="263"/>
      <c r="DQ39" s="263"/>
      <c r="DR39" s="263"/>
      <c r="DS39" s="263"/>
      <c r="DT39" s="263"/>
      <c r="DU39" s="263"/>
      <c r="DV39" s="263"/>
      <c r="DW39" s="263"/>
      <c r="DX39" s="263"/>
      <c r="DY39" s="263"/>
      <c r="DZ39" s="263"/>
      <c r="EA39" s="263"/>
      <c r="EB39" s="263"/>
      <c r="EC39" s="263"/>
      <c r="ED39" s="263"/>
      <c r="EE39" s="263"/>
      <c r="EF39" s="263"/>
      <c r="EG39" s="263"/>
      <c r="EH39" s="263"/>
      <c r="EI39" s="263"/>
      <c r="EJ39" s="263"/>
      <c r="EK39" s="263"/>
      <c r="EL39" s="263"/>
      <c r="EM39" s="263"/>
      <c r="EN39" s="263"/>
      <c r="EO39" s="263"/>
      <c r="EP39" s="263"/>
      <c r="EQ39" s="263"/>
      <c r="ER39" s="263"/>
      <c r="ES39" s="263"/>
      <c r="ET39" s="263"/>
      <c r="EU39" s="263"/>
      <c r="EV39" s="263"/>
      <c r="EW39" s="263"/>
      <c r="EX39" s="263"/>
      <c r="EY39" s="263"/>
      <c r="EZ39" s="263"/>
      <c r="FA39" s="263"/>
      <c r="FB39" s="263"/>
      <c r="FC39" s="263"/>
      <c r="FD39" s="263"/>
      <c r="FE39" s="263"/>
      <c r="FF39" s="263"/>
      <c r="FG39" s="263"/>
      <c r="FH39" s="263"/>
      <c r="FI39" s="263"/>
      <c r="FJ39" s="263"/>
      <c r="FK39" s="263"/>
      <c r="FL39" s="263"/>
      <c r="FM39" s="263"/>
      <c r="FN39" s="263"/>
      <c r="FO39" s="263"/>
      <c r="FP39" s="263"/>
      <c r="FQ39" s="263"/>
      <c r="FR39" s="263"/>
      <c r="FS39" s="263"/>
      <c r="FT39" s="263"/>
      <c r="FU39" s="263"/>
      <c r="FV39" s="263"/>
      <c r="FW39" s="263"/>
      <c r="FX39" s="263"/>
      <c r="FY39" s="263"/>
      <c r="FZ39" s="263"/>
      <c r="GA39" s="263"/>
      <c r="GB39" s="263"/>
      <c r="GC39" s="263"/>
      <c r="GD39" s="263"/>
      <c r="GE39" s="263"/>
      <c r="GF39" s="263"/>
      <c r="GG39" s="263"/>
      <c r="GH39" s="263"/>
      <c r="GI39" s="263"/>
      <c r="GJ39" s="263"/>
      <c r="GK39" s="263"/>
      <c r="GL39" s="263"/>
      <c r="GM39" s="263"/>
      <c r="GN39" s="263"/>
      <c r="GO39" s="263"/>
      <c r="GP39" s="263"/>
      <c r="GQ39" s="263"/>
      <c r="GR39" s="263"/>
      <c r="GS39" s="263"/>
      <c r="GT39" s="263"/>
      <c r="GU39" s="263"/>
      <c r="GV39" s="263"/>
      <c r="GW39" s="263"/>
      <c r="GX39" s="263"/>
      <c r="GY39" s="263"/>
      <c r="GZ39" s="263"/>
      <c r="HA39" s="263"/>
      <c r="HB39" s="263"/>
      <c r="HC39" s="263"/>
      <c r="HD39" s="263"/>
      <c r="HE39" s="263"/>
      <c r="HF39" s="263"/>
      <c r="HG39" s="263"/>
      <c r="HH39" s="263"/>
      <c r="HI39" s="263"/>
      <c r="HJ39" s="263"/>
      <c r="HK39" s="263"/>
      <c r="HL39" s="263"/>
      <c r="HM39" s="263"/>
      <c r="HN39" s="263"/>
      <c r="HO39" s="263"/>
      <c r="HP39" s="263"/>
      <c r="HQ39" s="263"/>
      <c r="HR39" s="263"/>
      <c r="HS39" s="263"/>
      <c r="HT39" s="263"/>
      <c r="HU39" s="263"/>
      <c r="HV39" s="263"/>
      <c r="HW39" s="263"/>
      <c r="HX39" s="263"/>
      <c r="HY39" s="263"/>
      <c r="HZ39" s="263"/>
      <c r="IA39" s="263"/>
      <c r="IB39" s="263"/>
      <c r="IC39" s="263"/>
      <c r="ID39" s="263"/>
      <c r="IE39" s="263"/>
      <c r="IF39" s="263"/>
      <c r="IG39" s="263"/>
      <c r="IH39" s="263"/>
      <c r="II39" s="263"/>
      <c r="IJ39" s="263"/>
      <c r="IK39" s="263"/>
      <c r="IL39" s="263"/>
      <c r="IM39" s="263"/>
      <c r="IN39" s="263"/>
      <c r="IO39" s="263"/>
      <c r="IP39" s="263"/>
      <c r="IQ39" s="263"/>
      <c r="IR39" s="263"/>
      <c r="IS39" s="263"/>
      <c r="IT39" s="263"/>
      <c r="IU39" s="263"/>
    </row>
    <row r="40" spans="1:255" ht="15.75">
      <c r="A40" s="263" t="s">
        <v>266</v>
      </c>
      <c r="B40" s="263"/>
      <c r="C40" s="275">
        <f ca="1">C14</f>
        <v>359.45</v>
      </c>
      <c r="D40" s="275">
        <f t="shared" ref="D40:V40" ca="1" si="6">C42+D14</f>
        <v>1806.5381879999998</v>
      </c>
      <c r="E40" s="275">
        <f t="shared" ca="1" si="6"/>
        <v>3292.6977570759996</v>
      </c>
      <c r="F40" s="275">
        <f t="shared" ca="1" si="6"/>
        <v>4818.9836345170506</v>
      </c>
      <c r="G40" s="275">
        <f t="shared" ca="1" si="6"/>
        <v>6386.4792306490099</v>
      </c>
      <c r="H40" s="275">
        <f t="shared" ca="1" si="6"/>
        <v>7996.2972078765324</v>
      </c>
      <c r="I40" s="275">
        <f t="shared" ca="1" si="6"/>
        <v>9649.5802704891976</v>
      </c>
      <c r="J40" s="275">
        <f t="shared" ca="1" si="6"/>
        <v>11347.501975792404</v>
      </c>
      <c r="K40" s="275">
        <f t="shared" ca="1" si="6"/>
        <v>13091.267567138797</v>
      </c>
      <c r="L40" s="275">
        <f t="shared" ca="1" si="6"/>
        <v>14882.114829451542</v>
      </c>
      <c r="M40" s="275">
        <f t="shared" ca="1" si="6"/>
        <v>16721.314967846731</v>
      </c>
      <c r="N40" s="275">
        <f t="shared" ca="1" si="6"/>
        <v>18610.173509978591</v>
      </c>
      <c r="O40" s="275">
        <f t="shared" ca="1" si="6"/>
        <v>20550.03123274801</v>
      </c>
      <c r="P40" s="275">
        <f t="shared" ca="1" si="6"/>
        <v>1992.2338812841938</v>
      </c>
      <c r="Q40" s="275">
        <f t="shared" ca="1" si="6"/>
        <v>4038.2580773630607</v>
      </c>
      <c r="R40" s="275">
        <f t="shared" ca="1" si="6"/>
        <v>6139.5249267360568</v>
      </c>
      <c r="S40" s="275">
        <f t="shared" ca="1" si="6"/>
        <v>8297.525981042123</v>
      </c>
      <c r="T40" s="275">
        <f t="shared" ca="1" si="6"/>
        <v>10513.793063814453</v>
      </c>
      <c r="U40" s="275">
        <f t="shared" ca="1" si="6"/>
        <v>12789.899357821636</v>
      </c>
      <c r="V40" s="275">
        <f t="shared" ca="1" si="6"/>
        <v>15127.460521767012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75">
      <c r="A41" s="263" t="s">
        <v>267</v>
      </c>
      <c r="B41" s="263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>
        <f ca="1">O40</f>
        <v>20550.03123274801</v>
      </c>
      <c r="P41" s="275"/>
      <c r="Q41" s="275"/>
      <c r="R41" s="275"/>
      <c r="S41" s="275"/>
      <c r="T41" s="275"/>
      <c r="U41" s="275"/>
      <c r="V41" s="275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75">
      <c r="A42" s="263" t="s">
        <v>268</v>
      </c>
      <c r="B42" s="263"/>
      <c r="C42" s="275">
        <f t="shared" ref="C42:V42" ca="1" si="7">C40-C41</f>
        <v>359.45</v>
      </c>
      <c r="D42" s="275">
        <f t="shared" ca="1" si="7"/>
        <v>1806.5381879999998</v>
      </c>
      <c r="E42" s="275">
        <f t="shared" ca="1" si="7"/>
        <v>3292.6977570759996</v>
      </c>
      <c r="F42" s="275">
        <f t="shared" ca="1" si="7"/>
        <v>4818.9836345170506</v>
      </c>
      <c r="G42" s="275">
        <f t="shared" ca="1" si="7"/>
        <v>6386.4792306490099</v>
      </c>
      <c r="H42" s="275">
        <f t="shared" ca="1" si="7"/>
        <v>7996.2972078765324</v>
      </c>
      <c r="I42" s="275">
        <f t="shared" ca="1" si="7"/>
        <v>9649.5802704891976</v>
      </c>
      <c r="J42" s="275">
        <f t="shared" ca="1" si="7"/>
        <v>11347.501975792404</v>
      </c>
      <c r="K42" s="275">
        <f t="shared" ca="1" si="7"/>
        <v>13091.267567138797</v>
      </c>
      <c r="L42" s="275">
        <f t="shared" ca="1" si="7"/>
        <v>14882.114829451542</v>
      </c>
      <c r="M42" s="275">
        <f t="shared" ca="1" si="7"/>
        <v>16721.314967846731</v>
      </c>
      <c r="N42" s="275">
        <f t="shared" ca="1" si="7"/>
        <v>18610.173509978591</v>
      </c>
      <c r="O42" s="275">
        <f t="shared" ca="1" si="7"/>
        <v>0</v>
      </c>
      <c r="P42" s="275">
        <f t="shared" ca="1" si="7"/>
        <v>1992.2338812841938</v>
      </c>
      <c r="Q42" s="275">
        <f t="shared" ca="1" si="7"/>
        <v>4038.2580773630607</v>
      </c>
      <c r="R42" s="275">
        <f t="shared" ca="1" si="7"/>
        <v>6139.5249267360568</v>
      </c>
      <c r="S42" s="275">
        <f t="shared" ca="1" si="7"/>
        <v>8297.525981042123</v>
      </c>
      <c r="T42" s="275">
        <f t="shared" ca="1" si="7"/>
        <v>10513.793063814453</v>
      </c>
      <c r="U42" s="275">
        <f t="shared" ca="1" si="7"/>
        <v>12789.899357821636</v>
      </c>
      <c r="V42" s="275">
        <f t="shared" ca="1" si="7"/>
        <v>15127.460521767012</v>
      </c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75">
      <c r="A43" s="263" t="s">
        <v>269</v>
      </c>
      <c r="B43" s="263"/>
      <c r="C43" s="275">
        <f ca="1">C42*'ASSUM 1'!$S$43</f>
        <v>17.9725</v>
      </c>
      <c r="D43" s="275">
        <f ca="1">D42*'ASSUM 1'!$S$43</f>
        <v>90.326909399999991</v>
      </c>
      <c r="E43" s="275">
        <f ca="1">E42*'ASSUM 1'!$S$43</f>
        <v>164.6348878538</v>
      </c>
      <c r="F43" s="275">
        <f ca="1">F42*'ASSUM 1'!$S$43</f>
        <v>240.94918172585255</v>
      </c>
      <c r="G43" s="275">
        <f ca="1">G42*'ASSUM 1'!$S$43</f>
        <v>319.32396153245054</v>
      </c>
      <c r="H43" s="275">
        <f ca="1">H42*'ASSUM 1'!$S$43</f>
        <v>399.81486039382662</v>
      </c>
      <c r="I43" s="275">
        <f ca="1">I42*'ASSUM 1'!$S$43</f>
        <v>482.4790135244599</v>
      </c>
      <c r="J43" s="275">
        <f ca="1">J42*'ASSUM 1'!$S$43</f>
        <v>567.37509878962021</v>
      </c>
      <c r="K43" s="275">
        <f ca="1">K42*'ASSUM 1'!$S$43</f>
        <v>654.56337835693989</v>
      </c>
      <c r="L43" s="275">
        <f ca="1">L42*'ASSUM 1'!$S$43</f>
        <v>744.10574147257717</v>
      </c>
      <c r="M43" s="275">
        <f ca="1">M42*'ASSUM 1'!$S$43</f>
        <v>836.06574839233656</v>
      </c>
      <c r="N43" s="275">
        <f ca="1">N42*'ASSUM 1'!$S$43</f>
        <v>930.50867549892962</v>
      </c>
      <c r="O43" s="275">
        <f ca="1">O42*'ASSUM 1'!$S$43</f>
        <v>0</v>
      </c>
      <c r="P43" s="275">
        <f ca="1">P42*'ASSUM 1'!$S$43</f>
        <v>99.611694064209701</v>
      </c>
      <c r="Q43" s="275">
        <f ca="1">Q42*'ASSUM 1'!$S$43</f>
        <v>201.91290386815305</v>
      </c>
      <c r="R43" s="275">
        <f ca="1">R42*'ASSUM 1'!$S$43</f>
        <v>306.97624633680289</v>
      </c>
      <c r="S43" s="275">
        <f ca="1">S42*'ASSUM 1'!$S$43</f>
        <v>414.87629905210616</v>
      </c>
      <c r="T43" s="275">
        <f ca="1">T42*'ASSUM 1'!$S$43</f>
        <v>525.68965319072265</v>
      </c>
      <c r="U43" s="275">
        <f ca="1">U42*'ASSUM 1'!$S$43</f>
        <v>639.49496789108184</v>
      </c>
      <c r="V43" s="275">
        <f ca="1">V42*'ASSUM 1'!$S$43</f>
        <v>756.37302608835068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75">
      <c r="A44" s="263"/>
      <c r="B44" s="263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75">
      <c r="A45" s="263" t="s">
        <v>270</v>
      </c>
      <c r="B45" s="263"/>
      <c r="C45" s="275">
        <f ca="1">SUM($C$16:C16)</f>
        <v>325.62555295992695</v>
      </c>
      <c r="D45" s="275">
        <f ca="1">SUM($C$16:D16)</f>
        <v>883.84078660551597</v>
      </c>
      <c r="E45" s="275">
        <f ca="1">SUM($C$16:E16)</f>
        <v>1442.0560202511051</v>
      </c>
      <c r="F45" s="275">
        <f ca="1">SUM($C$16:F16)</f>
        <v>2000.2712538966941</v>
      </c>
      <c r="G45" s="275">
        <f ca="1">SUM($C$16:G16)</f>
        <v>2558.4864875422832</v>
      </c>
      <c r="H45" s="275">
        <f ca="1">SUM($C$16:H16)</f>
        <v>3116.701721187872</v>
      </c>
      <c r="I45" s="275">
        <f ca="1">SUM($C$16:I16)</f>
        <v>3674.9169548334612</v>
      </c>
      <c r="J45" s="275">
        <f ca="1">SUM($C$16:J16)</f>
        <v>4233.1321884790505</v>
      </c>
      <c r="K45" s="275">
        <f ca="1">SUM($C$16:K16)</f>
        <v>4791.3474221246397</v>
      </c>
      <c r="L45" s="275">
        <f ca="1">SUM($C$16:L16)</f>
        <v>5349.562655770229</v>
      </c>
      <c r="M45" s="275">
        <f ca="1">SUM($C$16:M16)</f>
        <v>5907.7778894158182</v>
      </c>
      <c r="N45" s="275">
        <f ca="1">SUM($C$16:N16)</f>
        <v>6465.9931230614075</v>
      </c>
      <c r="O45" s="275">
        <f ca="1">SUM($C$16:O16)</f>
        <v>7024.2083567069967</v>
      </c>
      <c r="P45" s="275">
        <f ca="1">SUM($C$16:P16)</f>
        <v>7582.423590352586</v>
      </c>
      <c r="Q45" s="275">
        <f ca="1">SUM($C$16:Q16)</f>
        <v>8140.6388239981752</v>
      </c>
      <c r="R45" s="275">
        <f ca="1">SUM($C$16:R16)</f>
        <v>8698.8540576437645</v>
      </c>
      <c r="S45" s="275">
        <f ca="1">SUM($C$16:S16)</f>
        <v>9257.0692912893537</v>
      </c>
      <c r="T45" s="275">
        <f ca="1">SUM($C$16:T16)</f>
        <v>9815.284524934943</v>
      </c>
      <c r="U45" s="275">
        <f ca="1">SUM($C$16:U16)</f>
        <v>10373.499758580532</v>
      </c>
      <c r="V45" s="275">
        <f ca="1">SUM($C$16:V16)</f>
        <v>10931.714992226121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75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75">
      <c r="A47" s="274" t="s">
        <v>271</v>
      </c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75">
      <c r="A48" s="263" t="s">
        <v>272</v>
      </c>
      <c r="B48" s="263"/>
      <c r="C48" s="275">
        <f ca="1">IF(C6=1,0,+'BKDEPR 144A'!C15*1000)</f>
        <v>0</v>
      </c>
      <c r="D48" s="275">
        <f ca="1">IF(D6=1,0,+'BKDEPR 144A'!C15*1000)</f>
        <v>124665.655348</v>
      </c>
      <c r="E48" s="275">
        <f ca="1">IF(E6=1,0,+'BKDEPR 144A'!C15*1000)</f>
        <v>124665.655348</v>
      </c>
      <c r="F48" s="275">
        <f ca="1">IF(F6=1,0,+'BKDEPR 144A'!C15*1000)</f>
        <v>124665.655348</v>
      </c>
      <c r="G48" s="275">
        <f ca="1">IF(G6=1,0,+'BKDEPR 144A'!C15*1000)</f>
        <v>124665.655348</v>
      </c>
      <c r="H48" s="275">
        <f ca="1">IF(H6=1,0,+'BKDEPR 144A'!C15*1000)</f>
        <v>124665.655348</v>
      </c>
      <c r="I48" s="275">
        <f ca="1">IF(I6=1,0,+'BKDEPR 144A'!C15*1000)</f>
        <v>124665.655348</v>
      </c>
      <c r="J48" s="275">
        <f ca="1">IF(J6=1,0,+'BKDEPR 144A'!C15*1000)</f>
        <v>124665.655348</v>
      </c>
      <c r="K48" s="275">
        <f ca="1">IF(K6=1,0,+'BKDEPR 144A'!C15*1000)</f>
        <v>124665.655348</v>
      </c>
      <c r="L48" s="275">
        <f ca="1">IF(L6=1,0,+'BKDEPR 144A'!C15*1000)</f>
        <v>124665.655348</v>
      </c>
      <c r="M48" s="275">
        <f ca="1">IF(M6=1,0,+'BKDEPR 144A'!C15*1000)</f>
        <v>124665.655348</v>
      </c>
      <c r="N48" s="275">
        <f ca="1">IF(N6=1,0,+'BKDEPR 144A'!C15*1000)</f>
        <v>124665.655348</v>
      </c>
      <c r="O48" s="275">
        <f ca="1">IF(O6=1,0,+'BKDEPR 144A'!C15*1000)</f>
        <v>124665.655348</v>
      </c>
      <c r="P48" s="275">
        <f ca="1">IF(P6=1,0,+'BKDEPR 144A'!C15*1000)</f>
        <v>124665.655348</v>
      </c>
      <c r="Q48" s="275">
        <f ca="1">IF(Q6=1,0,+'BKDEPR 144A'!C15*1000)</f>
        <v>124665.655348</v>
      </c>
      <c r="R48" s="275">
        <f ca="1">IF(R6=1,0,+'BKDEPR 144A'!C15*1000)</f>
        <v>124665.655348</v>
      </c>
      <c r="S48" s="275">
        <f ca="1">IF(S6=1,0,+'BKDEPR 144A'!C15*1000)</f>
        <v>124665.655348</v>
      </c>
      <c r="T48" s="275">
        <f ca="1">IF(T6=1,0,+'BKDEPR 144A'!C15*1000)</f>
        <v>124665.655348</v>
      </c>
      <c r="U48" s="275">
        <f ca="1">IF(U6=1,0,+'BKDEPR 144A'!C15*1000)</f>
        <v>124665.655348</v>
      </c>
      <c r="V48" s="275">
        <f ca="1">IF(V6=1,0,+'BKDEPR 144A'!C15*1000)</f>
        <v>124665.655348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75">
      <c r="A49" s="263" t="s">
        <v>273</v>
      </c>
      <c r="B49" s="263"/>
      <c r="C49" s="276">
        <f ca="1">IF(C6&lt;='ASSUM 1'!M42,'ASSUM 1'!N42/100,IF(C6&lt;='ASSUM 1'!M43,'ASSUM 1'!N43/100,'ASSUM 1'!N44/100))</f>
        <v>8.1000000000000013E-3</v>
      </c>
      <c r="D49" s="276">
        <f ca="1">IF(D6&lt;='ASSUM 1'!M42,'ASSUM 1'!#REF!/100,IF(D6&lt;='ASSUM 1'!M43,'ASSUM 1'!N43/100,'ASSUM 1'!N44/100))</f>
        <v>4.8999999999999998E-3</v>
      </c>
      <c r="E49" s="276">
        <f ca="1">IF(E6&lt;='ASSUM 1'!M42,#REF!/100,IF(E6&lt;='ASSUM 1'!M43,'ASSUM 1'!N43/100,'ASSUM 1'!N44/100))</f>
        <v>4.8999999999999998E-3</v>
      </c>
      <c r="F49" s="276">
        <f ca="1">IF(F6&lt;='ASSUM 1'!M42,#REF!/100,IF(F6&lt;='ASSUM 1'!M43,'ASSUM 1'!N43/100,'ASSUM 1'!N44/100))</f>
        <v>2.9160000000000002E-3</v>
      </c>
      <c r="G49" s="276">
        <f ca="1">IF(G6&lt;='ASSUM 1'!M42,#REF!/100,IF(G6&lt;='ASSUM 1'!M43,'ASSUM 1'!N43/100,'ASSUM 1'!N44/100))</f>
        <v>2.9160000000000002E-3</v>
      </c>
      <c r="H49" s="276">
        <f ca="1">IF(H6&lt;='ASSUM 1'!M42,#REF!/100,IF(H6&lt;='ASSUM 1'!M43,'ASSUM 1'!N43/100,'ASSUM 1'!N44/100))</f>
        <v>2.9160000000000002E-3</v>
      </c>
      <c r="I49" s="276">
        <f ca="1">IF(I6&lt;='ASSUM 1'!M42,#REF!/100,IF(I6&lt;='ASSUM 1'!M43,'ASSUM 1'!N43/100,'ASSUM 1'!N44/100))</f>
        <v>2.9160000000000002E-3</v>
      </c>
      <c r="J49" s="276">
        <f ca="1">IF(J6&lt;='ASSUM 1'!M42,'ASSUM 1'!O58/100,IF(J6&lt;='ASSUM 1'!M43,'ASSUM 1'!N43/100,'ASSUM 1'!N44/100))</f>
        <v>2.9160000000000002E-3</v>
      </c>
      <c r="K49" s="276">
        <f ca="1">IF(K6&lt;='ASSUM 1'!M42,'ASSUM 1'!P58/100,IF(K6&lt;='ASSUM 1'!M43,'ASSUM 1'!N43/100,'ASSUM 1'!N44/100))</f>
        <v>2.9160000000000002E-3</v>
      </c>
      <c r="L49" s="276">
        <f ca="1">IF(L6&lt;='ASSUM 1'!M42,#REF!/100,IF(L6&lt;='ASSUM 1'!M43,'ASSUM 1'!N43/100,'ASSUM 1'!N44/100))</f>
        <v>2.9160000000000002E-3</v>
      </c>
      <c r="M49" s="276">
        <f ca="1">IF(M6&lt;='ASSUM 1'!M42,'ASSUM 1'!Q58/100,IF(M6&lt;='ASSUM 1'!M43,'ASSUM 1'!N43/100,'ASSUM 1'!N44/100))</f>
        <v>2.9160000000000002E-3</v>
      </c>
      <c r="N49" s="276">
        <f ca="1">IF(N6&lt;='ASSUM 1'!M42,'ASSUM 1'!R58/100,IF(N6&lt;='ASSUM 1'!M43,'ASSUM 1'!N43/100,'ASSUM 1'!N44/100))</f>
        <v>2.9160000000000002E-3</v>
      </c>
      <c r="O49" s="276">
        <f ca="1">IF(O6&lt;='ASSUM 1'!M42,'ASSUM 1'!S58/100,IF(O6&lt;='ASSUM 1'!M43,'ASSUM 1'!N43/100,'ASSUM 1'!N44/100))</f>
        <v>2.9160000000000002E-3</v>
      </c>
      <c r="P49" s="276">
        <f ca="1">IF(P6&lt;='ASSUM 1'!M42,#REF!/100,IF(P6&lt;='ASSUM 1'!M43,'ASSUM 1'!N43/100,'ASSUM 1'!N44/100))</f>
        <v>2.9160000000000002E-3</v>
      </c>
      <c r="Q49" s="276">
        <f ca="1">IF(Q6&lt;='ASSUM 1'!M42,#REF!/100,IF(Q6&lt;='ASSUM 1'!M43,'ASSUM 1'!N43/100,'ASSUM 1'!N44/100))</f>
        <v>2.9160000000000002E-3</v>
      </c>
      <c r="R49" s="276">
        <f ca="1">IF(R6&lt;='ASSUM 1'!M42,'ASSUM 1'!T58/100,IF(R6&lt;='ASSUM 1'!M43,'ASSUM 1'!N43/100,'ASSUM 1'!N44/100))</f>
        <v>2.9160000000000002E-3</v>
      </c>
      <c r="S49" s="276">
        <f ca="1">IF(S6&lt;='ASSUM 1'!M42,'ASSUM 1'!#REF!/100,IF(S6&lt;='ASSUM 1'!M43,'ASSUM 1'!N43/100,'ASSUM 1'!N44/100))</f>
        <v>2.9160000000000002E-3</v>
      </c>
      <c r="T49" s="276">
        <f ca="1">IF(T6&lt;='ASSUM 1'!M42,'ASSUM 1'!#REF!/100,IF(T6&lt;='ASSUM 1'!M43,'ASSUM 1'!N43/100,'ASSUM 1'!N44/100))</f>
        <v>2.9160000000000002E-3</v>
      </c>
      <c r="U49" s="276">
        <f ca="1">IF(U6&lt;='ASSUM 1'!M42,'ASSUM 1'!#REF!/100,IF(U6&lt;='ASSUM 1'!M43,'ASSUM 1'!N43/100,'ASSUM 1'!N44/100))</f>
        <v>2.9160000000000002E-3</v>
      </c>
      <c r="V49" s="276">
        <f ca="1">IF(V6&lt;='ASSUM 1'!M42,'ASSUM 1'!#REF!/100,IF(V6&lt;='ASSUM 1'!M43,'ASSUM 1'!N43/100,'ASSUM 1'!N44/100))</f>
        <v>2.9160000000000002E-3</v>
      </c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75">
      <c r="A50" s="263" t="s">
        <v>274</v>
      </c>
      <c r="B50" s="263"/>
      <c r="C50" s="275">
        <f t="shared" ref="C50:V50" ca="1" si="8">C48*C49</f>
        <v>0</v>
      </c>
      <c r="D50" s="275">
        <f t="shared" ca="1" si="8"/>
        <v>610.86171120519998</v>
      </c>
      <c r="E50" s="275">
        <f t="shared" ca="1" si="8"/>
        <v>610.86171120519998</v>
      </c>
      <c r="F50" s="275">
        <f t="shared" ca="1" si="8"/>
        <v>363.52505099476804</v>
      </c>
      <c r="G50" s="275">
        <f t="shared" ca="1" si="8"/>
        <v>363.52505099476804</v>
      </c>
      <c r="H50" s="275">
        <f t="shared" ca="1" si="8"/>
        <v>363.52505099476804</v>
      </c>
      <c r="I50" s="275">
        <f t="shared" ca="1" si="8"/>
        <v>363.52505099476804</v>
      </c>
      <c r="J50" s="275">
        <f t="shared" ca="1" si="8"/>
        <v>363.52505099476804</v>
      </c>
      <c r="K50" s="275">
        <f t="shared" ca="1" si="8"/>
        <v>363.52505099476804</v>
      </c>
      <c r="L50" s="275">
        <f t="shared" ca="1" si="8"/>
        <v>363.52505099476804</v>
      </c>
      <c r="M50" s="275">
        <f t="shared" ca="1" si="8"/>
        <v>363.52505099476804</v>
      </c>
      <c r="N50" s="275">
        <f t="shared" ca="1" si="8"/>
        <v>363.52505099476804</v>
      </c>
      <c r="O50" s="275">
        <f t="shared" ca="1" si="8"/>
        <v>363.52505099476804</v>
      </c>
      <c r="P50" s="275">
        <f t="shared" ca="1" si="8"/>
        <v>363.52505099476804</v>
      </c>
      <c r="Q50" s="275">
        <f t="shared" ca="1" si="8"/>
        <v>363.52505099476804</v>
      </c>
      <c r="R50" s="275">
        <f t="shared" ca="1" si="8"/>
        <v>363.52505099476804</v>
      </c>
      <c r="S50" s="275">
        <f t="shared" ca="1" si="8"/>
        <v>363.52505099476804</v>
      </c>
      <c r="T50" s="275">
        <f t="shared" ca="1" si="8"/>
        <v>363.52505099476804</v>
      </c>
      <c r="U50" s="275">
        <f t="shared" ca="1" si="8"/>
        <v>363.52505099476804</v>
      </c>
      <c r="V50" s="275">
        <f t="shared" ca="1" si="8"/>
        <v>363.52505099476804</v>
      </c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75">
      <c r="A51" s="263"/>
      <c r="B51" s="263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75">
      <c r="A52" s="263" t="s">
        <v>275</v>
      </c>
      <c r="B52" s="263"/>
      <c r="C52" s="275">
        <f>'ASSUM 2'!$E$26*10^3</f>
        <v>250</v>
      </c>
      <c r="D52" s="275">
        <f>'ASSUM 2'!$E$26*10^3</f>
        <v>250</v>
      </c>
      <c r="E52" s="275">
        <f>'ASSUM 2'!$E$26*10^3</f>
        <v>250</v>
      </c>
      <c r="F52" s="275">
        <f>'ASSUM 2'!$E$26*10^3</f>
        <v>250</v>
      </c>
      <c r="G52" s="275">
        <f>'ASSUM 2'!$E$26*10^3</f>
        <v>250</v>
      </c>
      <c r="H52" s="275">
        <f>'ASSUM 2'!$E$26*10^3</f>
        <v>250</v>
      </c>
      <c r="I52" s="275">
        <f>'ASSUM 2'!$E$26*10^3</f>
        <v>250</v>
      </c>
      <c r="J52" s="275">
        <f>'ASSUM 2'!$E$26*10^3</f>
        <v>250</v>
      </c>
      <c r="K52" s="275">
        <f>'ASSUM 2'!$E$26*10^3</f>
        <v>250</v>
      </c>
      <c r="L52" s="275">
        <f>'ASSUM 2'!$E$26*10^3</f>
        <v>250</v>
      </c>
      <c r="M52" s="275">
        <f>'ASSUM 2'!$E$26*10^3</f>
        <v>250</v>
      </c>
      <c r="N52" s="275">
        <f>'ASSUM 2'!$E$26*10^3</f>
        <v>250</v>
      </c>
      <c r="O52" s="275">
        <f>'ASSUM 2'!$E$26*10^3</f>
        <v>250</v>
      </c>
      <c r="P52" s="275">
        <f>'ASSUM 2'!$E$26*10^3</f>
        <v>250</v>
      </c>
      <c r="Q52" s="275">
        <f>'ASSUM 2'!$E$26*10^3</f>
        <v>250</v>
      </c>
      <c r="R52" s="275">
        <f>'ASSUM 2'!$E$26*10^3</f>
        <v>250</v>
      </c>
      <c r="S52" s="275">
        <f>'ASSUM 2'!$E$26*10^3</f>
        <v>250</v>
      </c>
      <c r="T52" s="275">
        <f>'ASSUM 2'!$E$26*10^3</f>
        <v>250</v>
      </c>
      <c r="U52" s="275">
        <f>'ASSUM 2'!$E$26*10^3</f>
        <v>250</v>
      </c>
      <c r="V52" s="275">
        <f>'ASSUM 2'!$E$26*10^3</f>
        <v>250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75">
      <c r="A53" s="263" t="s">
        <v>276</v>
      </c>
      <c r="B53" s="263"/>
      <c r="C53" s="277">
        <f>[0]!_XX1/100</f>
        <v>7.4999999999999997E-3</v>
      </c>
      <c r="D53" s="277">
        <f>[0]!_XX1/100</f>
        <v>7.4999999999999997E-3</v>
      </c>
      <c r="E53" s="277">
        <f>[0]!_XX1/100</f>
        <v>7.4999999999999997E-3</v>
      </c>
      <c r="F53" s="277">
        <f>[0]!_XX1/100</f>
        <v>7.4999999999999997E-3</v>
      </c>
      <c r="G53" s="277">
        <f>[0]!_XX1/100</f>
        <v>7.4999999999999997E-3</v>
      </c>
      <c r="H53" s="277">
        <f>[0]!_XX1/100</f>
        <v>7.4999999999999997E-3</v>
      </c>
      <c r="I53" s="277">
        <f>[0]!_XX1/100</f>
        <v>7.4999999999999997E-3</v>
      </c>
      <c r="J53" s="277">
        <f>[0]!_XX1/100</f>
        <v>7.4999999999999997E-3</v>
      </c>
      <c r="K53" s="277">
        <f>[0]!_XX1/100</f>
        <v>7.4999999999999997E-3</v>
      </c>
      <c r="L53" s="277">
        <f>[0]!_XX1/100</f>
        <v>7.4999999999999997E-3</v>
      </c>
      <c r="M53" s="277">
        <f>[0]!_XX1/100</f>
        <v>7.4999999999999997E-3</v>
      </c>
      <c r="N53" s="277">
        <f>[0]!_XX1/100</f>
        <v>7.4999999999999997E-3</v>
      </c>
      <c r="O53" s="277">
        <f>[0]!_XX1/100</f>
        <v>7.4999999999999997E-3</v>
      </c>
      <c r="P53" s="277">
        <f>[0]!_XX1/100</f>
        <v>7.4999999999999997E-3</v>
      </c>
      <c r="Q53" s="277">
        <f>[0]!_XX1/100</f>
        <v>7.4999999999999997E-3</v>
      </c>
      <c r="R53" s="277">
        <f>[0]!_XX1/100</f>
        <v>7.4999999999999997E-3</v>
      </c>
      <c r="S53" s="277">
        <f>[0]!_XX1/100</f>
        <v>7.4999999999999997E-3</v>
      </c>
      <c r="T53" s="277">
        <f>[0]!_XX1/100</f>
        <v>7.4999999999999997E-3</v>
      </c>
      <c r="U53" s="277">
        <f>[0]!_XX1/100</f>
        <v>7.4999999999999997E-3</v>
      </c>
      <c r="V53" s="277">
        <f>[0]!_XX1/100</f>
        <v>7.4999999999999997E-3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75">
      <c r="A54" s="263" t="s">
        <v>271</v>
      </c>
      <c r="B54" s="263"/>
      <c r="C54" s="275">
        <f t="shared" ref="C54:V54" si="9">C52*C53</f>
        <v>1.875</v>
      </c>
      <c r="D54" s="275">
        <f t="shared" si="9"/>
        <v>1.875</v>
      </c>
      <c r="E54" s="275">
        <f t="shared" si="9"/>
        <v>1.875</v>
      </c>
      <c r="F54" s="275">
        <f t="shared" si="9"/>
        <v>1.875</v>
      </c>
      <c r="G54" s="275">
        <f t="shared" si="9"/>
        <v>1.875</v>
      </c>
      <c r="H54" s="275">
        <f t="shared" si="9"/>
        <v>1.875</v>
      </c>
      <c r="I54" s="275">
        <f t="shared" si="9"/>
        <v>1.875</v>
      </c>
      <c r="J54" s="275">
        <f t="shared" si="9"/>
        <v>1.875</v>
      </c>
      <c r="K54" s="275">
        <f t="shared" si="9"/>
        <v>1.875</v>
      </c>
      <c r="L54" s="275">
        <f t="shared" si="9"/>
        <v>1.875</v>
      </c>
      <c r="M54" s="275">
        <f t="shared" si="9"/>
        <v>1.875</v>
      </c>
      <c r="N54" s="275">
        <f t="shared" si="9"/>
        <v>1.875</v>
      </c>
      <c r="O54" s="275">
        <f t="shared" si="9"/>
        <v>1.875</v>
      </c>
      <c r="P54" s="275">
        <f t="shared" si="9"/>
        <v>1.875</v>
      </c>
      <c r="Q54" s="275">
        <f t="shared" si="9"/>
        <v>1.875</v>
      </c>
      <c r="R54" s="275">
        <f t="shared" si="9"/>
        <v>1.875</v>
      </c>
      <c r="S54" s="275">
        <f t="shared" si="9"/>
        <v>1.875</v>
      </c>
      <c r="T54" s="275">
        <f t="shared" si="9"/>
        <v>1.875</v>
      </c>
      <c r="U54" s="275">
        <f t="shared" si="9"/>
        <v>1.875</v>
      </c>
      <c r="V54" s="275">
        <f t="shared" si="9"/>
        <v>1.875</v>
      </c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75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75">
      <c r="A56" s="274" t="s">
        <v>277</v>
      </c>
      <c r="B56" s="263"/>
      <c r="C56" s="275">
        <f t="shared" ref="C56:V56" ca="1" si="10">C54+C50</f>
        <v>1.875</v>
      </c>
      <c r="D56" s="275">
        <f t="shared" ca="1" si="10"/>
        <v>612.73671120519998</v>
      </c>
      <c r="E56" s="275">
        <f t="shared" ca="1" si="10"/>
        <v>612.73671120519998</v>
      </c>
      <c r="F56" s="275">
        <f t="shared" ca="1" si="10"/>
        <v>365.40005099476804</v>
      </c>
      <c r="G56" s="275">
        <f t="shared" ca="1" si="10"/>
        <v>365.40005099476804</v>
      </c>
      <c r="H56" s="275">
        <f t="shared" ca="1" si="10"/>
        <v>365.40005099476804</v>
      </c>
      <c r="I56" s="275">
        <f t="shared" ca="1" si="10"/>
        <v>365.40005099476804</v>
      </c>
      <c r="J56" s="275">
        <f t="shared" ca="1" si="10"/>
        <v>365.40005099476804</v>
      </c>
      <c r="K56" s="275">
        <f t="shared" ca="1" si="10"/>
        <v>365.40005099476804</v>
      </c>
      <c r="L56" s="275">
        <f t="shared" ca="1" si="10"/>
        <v>365.40005099476804</v>
      </c>
      <c r="M56" s="275">
        <f t="shared" ca="1" si="10"/>
        <v>365.40005099476804</v>
      </c>
      <c r="N56" s="275">
        <f t="shared" ca="1" si="10"/>
        <v>365.40005099476804</v>
      </c>
      <c r="O56" s="275">
        <f t="shared" ca="1" si="10"/>
        <v>365.40005099476804</v>
      </c>
      <c r="P56" s="275">
        <f t="shared" ca="1" si="10"/>
        <v>365.40005099476804</v>
      </c>
      <c r="Q56" s="275">
        <f t="shared" ca="1" si="10"/>
        <v>365.40005099476804</v>
      </c>
      <c r="R56" s="275">
        <f t="shared" ca="1" si="10"/>
        <v>365.40005099476804</v>
      </c>
      <c r="S56" s="275">
        <f t="shared" ca="1" si="10"/>
        <v>365.40005099476804</v>
      </c>
      <c r="T56" s="275">
        <f t="shared" ca="1" si="10"/>
        <v>365.40005099476804</v>
      </c>
      <c r="U56" s="275">
        <f t="shared" ca="1" si="10"/>
        <v>365.40005099476804</v>
      </c>
      <c r="V56" s="275">
        <f t="shared" ca="1" si="10"/>
        <v>365.40005099476804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75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75">
      <c r="A58" s="274" t="s">
        <v>278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75">
      <c r="A59" s="263" t="s">
        <v>177</v>
      </c>
      <c r="B59" s="263">
        <f>'ASSUM 1'!M30</f>
        <v>45</v>
      </c>
      <c r="C59" s="275">
        <f ca="1">FUEL!C88/365.25*$B$59</f>
        <v>298.46448466012345</v>
      </c>
      <c r="D59" s="275">
        <f ca="1">FUEL!D88/365.25*$B$59</f>
        <v>921.50063852174071</v>
      </c>
      <c r="E59" s="275">
        <f ca="1">FUEL!E88/365.25*$B$59</f>
        <v>1030.3864408514121</v>
      </c>
      <c r="F59" s="275">
        <f ca="1">FUEL!F88/365.25*$B$59</f>
        <v>1091.3543891500274</v>
      </c>
      <c r="G59" s="275">
        <f ca="1">FUEL!G88/365.25*$B$59</f>
        <v>1065.6103175663491</v>
      </c>
      <c r="H59" s="275">
        <f ca="1">FUEL!H88/365.25*$B$59</f>
        <v>1039.6724474411835</v>
      </c>
      <c r="I59" s="275">
        <f ca="1">FUEL!I88/365.25*$B$59</f>
        <v>1101.4076411303554</v>
      </c>
      <c r="J59" s="275">
        <f ca="1">FUEL!J88/365.25*$B$59</f>
        <v>1160.0723993993763</v>
      </c>
      <c r="K59" s="275">
        <f ca="1">FUEL!K88/365.25*$B$59</f>
        <v>1182.4001146328392</v>
      </c>
      <c r="L59" s="275">
        <f ca="1">FUEL!L88/365.25*$B$59</f>
        <v>1194.5407928046918</v>
      </c>
      <c r="M59" s="275">
        <f ca="1">FUEL!M88/365.25*$B$59</f>
        <v>1217.0038561148881</v>
      </c>
      <c r="N59" s="275">
        <f ca="1">FUEL!N88/365.25*$B$59</f>
        <v>1232.1158297833026</v>
      </c>
      <c r="O59" s="275">
        <f ca="1">FUEL!O88/365.25*$B$59</f>
        <v>1301.661614760709</v>
      </c>
      <c r="P59" s="275">
        <f ca="1">FUEL!P88/365.25*$B$59</f>
        <v>1313.183905454066</v>
      </c>
      <c r="Q59" s="275">
        <f ca="1">FUEL!Q88/365.25*$B$59</f>
        <v>1365.0803187839247</v>
      </c>
      <c r="R59" s="275">
        <f ca="1">FUEL!R88/365.25*$B$59</f>
        <v>1398.8734090548785</v>
      </c>
      <c r="S59" s="275">
        <f ca="1">FUEL!S88/365.25*$B$59</f>
        <v>1449.9416827774983</v>
      </c>
      <c r="T59" s="275">
        <f ca="1">FUEL!T88/365.25*$B$59</f>
        <v>1480.0606883921093</v>
      </c>
      <c r="U59" s="275">
        <f ca="1">FUEL!U88/365.25*$B$59</f>
        <v>1523.1026804781914</v>
      </c>
      <c r="V59" s="275">
        <f ca="1">FUEL!V88/365.25*$B$59</f>
        <v>1512.293644481503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75">
      <c r="A60" s="263" t="s">
        <v>178</v>
      </c>
      <c r="B60" s="263">
        <f>'ASSUM 1'!M29</f>
        <v>30</v>
      </c>
      <c r="C60" s="278">
        <f t="shared" ref="C60:V60" ca="1" si="11">C34/365.25*$B$60</f>
        <v>184.11637651254745</v>
      </c>
      <c r="D60" s="278">
        <f t="shared" ca="1" si="11"/>
        <v>492.74618966407439</v>
      </c>
      <c r="E60" s="278">
        <f t="shared" ca="1" si="11"/>
        <v>505.80874735226564</v>
      </c>
      <c r="F60" s="278">
        <f t="shared" ca="1" si="11"/>
        <v>498.00310806928144</v>
      </c>
      <c r="G60" s="278">
        <f t="shared" ca="1" si="11"/>
        <v>506.97494811887316</v>
      </c>
      <c r="H60" s="278">
        <f t="shared" ca="1" si="11"/>
        <v>511.77924006191529</v>
      </c>
      <c r="I60" s="278">
        <f t="shared" ca="1" si="11"/>
        <v>528.06387573631207</v>
      </c>
      <c r="J60" s="278">
        <f t="shared" ca="1" si="11"/>
        <v>544.90503656163173</v>
      </c>
      <c r="K60" s="278">
        <f t="shared" ca="1" si="11"/>
        <v>556.92612796920287</v>
      </c>
      <c r="L60" s="278">
        <f t="shared" ca="1" si="11"/>
        <v>567.52255073213644</v>
      </c>
      <c r="M60" s="278">
        <f t="shared" ca="1" si="11"/>
        <v>580.24994655684134</v>
      </c>
      <c r="N60" s="278">
        <f t="shared" ca="1" si="11"/>
        <v>591.76314284539671</v>
      </c>
      <c r="O60" s="278">
        <f t="shared" ca="1" si="11"/>
        <v>606.64570759597939</v>
      </c>
      <c r="P60" s="278">
        <f t="shared" ca="1" si="11"/>
        <v>617.99763151069021</v>
      </c>
      <c r="Q60" s="278">
        <f t="shared" ca="1" si="11"/>
        <v>635.56016009122334</v>
      </c>
      <c r="R60" s="278">
        <f t="shared" ca="1" si="11"/>
        <v>651.50430051647299</v>
      </c>
      <c r="S60" s="278">
        <f t="shared" ca="1" si="11"/>
        <v>669.75311926525114</v>
      </c>
      <c r="T60" s="278">
        <f t="shared" ca="1" si="11"/>
        <v>685.06990328533527</v>
      </c>
      <c r="U60" s="278">
        <f t="shared" ca="1" si="11"/>
        <v>701.98108327251055</v>
      </c>
      <c r="V60" s="278">
        <f t="shared" ca="1" si="11"/>
        <v>712.06411406387724</v>
      </c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75">
      <c r="A61" s="263"/>
      <c r="B61" s="263"/>
      <c r="C61" s="275">
        <f t="shared" ref="C61:V61" ca="1" si="12">C60+C59</f>
        <v>482.58086117267089</v>
      </c>
      <c r="D61" s="275">
        <f t="shared" ca="1" si="12"/>
        <v>1414.246828185815</v>
      </c>
      <c r="E61" s="275">
        <f t="shared" ca="1" si="12"/>
        <v>1536.1951882036778</v>
      </c>
      <c r="F61" s="275">
        <f t="shared" ca="1" si="12"/>
        <v>1589.3574972193087</v>
      </c>
      <c r="G61" s="275">
        <f t="shared" ca="1" si="12"/>
        <v>1572.5852656852221</v>
      </c>
      <c r="H61" s="275">
        <f t="shared" ca="1" si="12"/>
        <v>1551.4516875030988</v>
      </c>
      <c r="I61" s="275">
        <f t="shared" ca="1" si="12"/>
        <v>1629.4715168666676</v>
      </c>
      <c r="J61" s="275">
        <f t="shared" ca="1" si="12"/>
        <v>1704.977435961008</v>
      </c>
      <c r="K61" s="275">
        <f t="shared" ca="1" si="12"/>
        <v>1739.3262426020419</v>
      </c>
      <c r="L61" s="275">
        <f t="shared" ca="1" si="12"/>
        <v>1762.0633435368281</v>
      </c>
      <c r="M61" s="275">
        <f t="shared" ca="1" si="12"/>
        <v>1797.2538026717293</v>
      </c>
      <c r="N61" s="275">
        <f t="shared" ca="1" si="12"/>
        <v>1823.8789726286993</v>
      </c>
      <c r="O61" s="275">
        <f t="shared" ca="1" si="12"/>
        <v>1908.3073223566885</v>
      </c>
      <c r="P61" s="275">
        <f t="shared" ca="1" si="12"/>
        <v>1931.1815369647561</v>
      </c>
      <c r="Q61" s="275">
        <f t="shared" ca="1" si="12"/>
        <v>2000.6404788751479</v>
      </c>
      <c r="R61" s="275">
        <f t="shared" ca="1" si="12"/>
        <v>2050.3777095713513</v>
      </c>
      <c r="S61" s="275">
        <f t="shared" ca="1" si="12"/>
        <v>2119.6948020427494</v>
      </c>
      <c r="T61" s="275">
        <f t="shared" ca="1" si="12"/>
        <v>2165.1305916774445</v>
      </c>
      <c r="U61" s="275">
        <f t="shared" ca="1" si="12"/>
        <v>2225.083763750702</v>
      </c>
      <c r="V61" s="275">
        <f t="shared" ca="1" si="12"/>
        <v>2224.3577585453804</v>
      </c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75">
      <c r="A62" s="263" t="s">
        <v>279</v>
      </c>
      <c r="B62" s="263"/>
      <c r="C62" s="279"/>
      <c r="D62" s="275">
        <f ca="1">IF(D6&lt;3,+D61-'ASSUM 1'!N31,D61-C61)-IF(D6='ASSUM 1'!D36,D61,0)</f>
        <v>0</v>
      </c>
      <c r="E62" s="275">
        <f ca="1">IF(E6&lt;3,+E61-'ASSUM 1'!N31,E61-D61)-IF(E6='ASSUM 1'!D36,E61,0)</f>
        <v>121.9483600178628</v>
      </c>
      <c r="F62" s="275">
        <f ca="1">IF(F6&lt;3,+F61-'ASSUM 1'!N31,F61-E61)-IF(F6='ASSUM 1'!D36,F61,0)</f>
        <v>53.162309015630854</v>
      </c>
      <c r="G62" s="275">
        <f ca="1">IF(G6&lt;3,+G61-'ASSUM 1'!N31,G61-F61)-IF(G6='ASSUM 1'!D36,G61,0)</f>
        <v>-16.772231534086586</v>
      </c>
      <c r="H62" s="275">
        <f ca="1">IF(H6&lt;3,+H61-'ASSUM 1'!N31,H61-G61)-IF(H6='ASSUM 1'!D36,H61,0)</f>
        <v>-21.133578182123301</v>
      </c>
      <c r="I62" s="275">
        <f ca="1">IF(I6&lt;3,+I61-'ASSUM 1'!N31,I61-H61)-IF(I6='ASSUM 1'!D36,I61,0)</f>
        <v>78.019829363568761</v>
      </c>
      <c r="J62" s="275">
        <f ca="1">IF(J6&lt;3,+J61-'ASSUM 1'!N31,J61-I61)-IF(J6='ASSUM 1'!D36,J61,0)</f>
        <v>75.50591909434047</v>
      </c>
      <c r="K62" s="275">
        <f ca="1">IF(K6&lt;3,+K61-'ASSUM 1'!N31,K61-J61)-IF(K6='ASSUM 1'!D36,K61,0)</f>
        <v>34.348806641033889</v>
      </c>
      <c r="L62" s="275">
        <f ca="1">IF(L6&lt;3,+L61-'ASSUM 1'!N31,L61-K61)-IF(L6='ASSUM 1'!D36,L61,0)</f>
        <v>22.737100934786213</v>
      </c>
      <c r="M62" s="275">
        <f ca="1">IF(M6&lt;3,+M61-'ASSUM 1'!N31,M61-L61)-IF(M6='ASSUM 1'!D36,M61,0)</f>
        <v>35.190459134901175</v>
      </c>
      <c r="N62" s="275">
        <f ca="1">IF(N6&lt;3,+N61-'ASSUM 1'!N31,N61-M61)-IF(N6='ASSUM 1'!D36,N61,0)</f>
        <v>26.625169956970012</v>
      </c>
      <c r="O62" s="275">
        <f ca="1">IF(O6&lt;3,+O61-'ASSUM 1'!N31,O61-N61)-IF(O6='ASSUM 1'!D36,O61,0)</f>
        <v>84.428349727989144</v>
      </c>
      <c r="P62" s="275">
        <f ca="1">IF(P6&lt;3,+P61-'ASSUM 1'!N31,P61-O61)-IF(P6='ASSUM 1'!D36,P61,0)</f>
        <v>22.874214608067632</v>
      </c>
      <c r="Q62" s="275">
        <f ca="1">IF(Q6&lt;3,+Q61-'ASSUM 1'!N31,Q61-P61)-IF(Q6='ASSUM 1'!D36,Q61,0)</f>
        <v>69.458941910391786</v>
      </c>
      <c r="R62" s="275">
        <f ca="1">IF(R6&lt;3,+R61-'ASSUM 1'!N31,R61-Q61)-IF(R6='ASSUM 1'!D36,R61,0)</f>
        <v>49.737230696203369</v>
      </c>
      <c r="S62" s="275">
        <f ca="1">IF(S6&lt;3,+S61-'ASSUM 1'!N31,S61-R61)-IF(S6='ASSUM 1'!D36,S61,0)</f>
        <v>69.317092471398155</v>
      </c>
      <c r="T62" s="275">
        <f ca="1">IF(T6&lt;3,+T61-'ASSUM 1'!N31,T61-S61)-IF(T6='ASSUM 1'!D36,T61,0)</f>
        <v>45.435789634695084</v>
      </c>
      <c r="U62" s="275">
        <f ca="1">IF(U6&lt;3,+U61-'ASSUM 1'!N31,U61-T61)-IF(U6='ASSUM 1'!D36,U61,0)</f>
        <v>59.95317207325752</v>
      </c>
      <c r="V62" s="275">
        <f ca="1">IF(V6&lt;3,+V61-'ASSUM 1'!N31,V61-U61)-IF(V6='ASSUM 1'!D36,V61,0)</f>
        <v>-2225.083763750702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75">
      <c r="A63" s="263"/>
      <c r="B63" s="280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75">
      <c r="B64" s="281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75"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75"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75"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75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75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75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75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7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7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7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7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7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7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7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7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7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7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7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7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7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75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75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75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75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75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75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75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75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75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75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75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75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75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75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75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75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75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75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75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75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75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75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75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75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75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75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75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75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75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75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75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75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75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75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75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75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75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75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7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7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7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7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7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7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7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7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7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7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75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75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75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75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75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75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75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75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75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75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75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75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75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75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75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75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75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7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75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75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75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75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75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75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75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75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75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75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75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75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75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75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75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75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75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75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75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75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75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75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75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75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75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75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sqref="A1:IV65536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'144A DEBT'!C34</f>
        <v>0</v>
      </c>
      <c r="D24" s="736">
        <f ca="1">'144A DEBT'!D34</f>
        <v>9369.68</v>
      </c>
      <c r="E24" s="736">
        <f ca="1">'144A DEBT'!E34</f>
        <v>9055.4599999999991</v>
      </c>
      <c r="F24" s="736">
        <f ca="1">'144A DEBT'!F34</f>
        <v>8740.07</v>
      </c>
      <c r="G24" s="736">
        <f ca="1">'144A DEBT'!G34</f>
        <v>8341.75</v>
      </c>
      <c r="H24" s="736">
        <f ca="1">'144A DEBT'!H34</f>
        <v>7986.67</v>
      </c>
      <c r="I24" s="736">
        <f ca="1">'144A DEBT'!I34</f>
        <v>7817.75</v>
      </c>
      <c r="J24" s="736">
        <f ca="1">'144A DEBT'!J34</f>
        <v>7293.27</v>
      </c>
      <c r="K24" s="736">
        <f ca="1">'144A DEBT'!K34</f>
        <v>6428.6</v>
      </c>
      <c r="L24" s="736">
        <f ca="1">'144A DEBT'!L34</f>
        <v>5491.87</v>
      </c>
      <c r="M24" s="736">
        <f ca="1">'144A DEBT'!M34</f>
        <v>4594.12</v>
      </c>
      <c r="N24" s="736">
        <f ca="1">'144A DEBT'!N34</f>
        <v>3708.18</v>
      </c>
      <c r="O24" s="736">
        <f ca="1">'144A DEBT'!O34</f>
        <v>2857.68</v>
      </c>
      <c r="P24" s="736">
        <f ca="1">'144A DEBT'!P34</f>
        <v>2018.99</v>
      </c>
      <c r="Q24" s="736">
        <f ca="1">'144A DEBT'!Q34</f>
        <v>1227.56</v>
      </c>
      <c r="R24" s="736">
        <f ca="1">'144A DEBT'!R34</f>
        <v>495.42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'144A DEBT'!C44</f>
        <v>92.860208</v>
      </c>
      <c r="D25" s="736">
        <f ca="1">'144A DEBT'!D44</f>
        <v>91.889119999999991</v>
      </c>
      <c r="E25" s="736">
        <f ca="1">'144A DEBT'!E44</f>
        <v>97.349615999999997</v>
      </c>
      <c r="F25" s="736">
        <f ca="1">'144A DEBT'!F44</f>
        <v>102.29126400000001</v>
      </c>
      <c r="G25" s="736">
        <f ca="1">'144A DEBT'!G44</f>
        <v>104.62905600000003</v>
      </c>
      <c r="H25" s="736">
        <f ca="1">'144A DEBT'!H44</f>
        <v>111.58497599999998</v>
      </c>
      <c r="I25" s="736">
        <f ca="1">'144A DEBT'!I44</f>
        <v>111.56166400000004</v>
      </c>
      <c r="J25" s="736">
        <f ca="1">'144A DEBT'!J44</f>
        <v>104.68072000000002</v>
      </c>
      <c r="K25" s="736">
        <f ca="1">'144A DEBT'!K44</f>
        <v>95.393343999999999</v>
      </c>
      <c r="L25" s="736">
        <f ca="1">'144A DEBT'!L44</f>
        <v>86.410448000000002</v>
      </c>
      <c r="M25" s="736">
        <f ca="1">'144A DEBT'!M44</f>
        <v>76.238128000000032</v>
      </c>
      <c r="N25" s="736">
        <f ca="1">'144A DEBT'!N44</f>
        <v>57.34504000000004</v>
      </c>
      <c r="O25" s="736">
        <f ca="1">'144A DEBT'!O44</f>
        <v>49.765940000000043</v>
      </c>
      <c r="P25" s="736">
        <f ca="1">'144A DEBT'!P44</f>
        <v>40.570613333333377</v>
      </c>
      <c r="Q25" s="736">
        <f ca="1">'144A DEBT'!Q44</f>
        <v>27.145680000000066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74.887708000000003</v>
      </c>
      <c r="D27" s="736">
        <f t="shared" ca="1" si="3"/>
        <v>9371.2422105999995</v>
      </c>
      <c r="E27" s="736">
        <f t="shared" ca="1" si="3"/>
        <v>8988.1747281461994</v>
      </c>
      <c r="F27" s="736">
        <f t="shared" ca="1" si="3"/>
        <v>8601.4120822741461</v>
      </c>
      <c r="G27" s="736">
        <f t="shared" ca="1" si="3"/>
        <v>8127.0550944675488</v>
      </c>
      <c r="H27" s="736">
        <f t="shared" ca="1" si="3"/>
        <v>7698.440115606174</v>
      </c>
      <c r="I27" s="736">
        <f t="shared" ca="1" si="3"/>
        <v>7446.8326504755396</v>
      </c>
      <c r="J27" s="736">
        <f t="shared" ca="1" si="3"/>
        <v>6830.5756212103806</v>
      </c>
      <c r="K27" s="736">
        <f t="shared" ca="1" si="3"/>
        <v>5869.4299656430603</v>
      </c>
      <c r="L27" s="736">
        <f t="shared" ca="1" si="3"/>
        <v>4834.1747065274221</v>
      </c>
      <c r="M27" s="736">
        <f t="shared" ca="1" si="3"/>
        <v>3834.2923796076634</v>
      </c>
      <c r="N27" s="736">
        <f t="shared" ca="1" si="3"/>
        <v>2835.0163645010703</v>
      </c>
      <c r="O27" s="736">
        <f t="shared" ca="1" si="3"/>
        <v>2907.4459400000001</v>
      </c>
      <c r="P27" s="736">
        <f t="shared" ca="1" si="3"/>
        <v>1959.948919269124</v>
      </c>
      <c r="Q27" s="736">
        <f t="shared" ca="1" si="3"/>
        <v>1052.7927761318469</v>
      </c>
      <c r="R27" s="736">
        <f t="shared" ca="1" si="3"/>
        <v>188.44375366319713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10057.014703789115</v>
      </c>
      <c r="D29" s="736">
        <f t="shared" ca="1" si="4"/>
        <v>18567.285051159459</v>
      </c>
      <c r="E29" s="736">
        <f t="shared" ca="1" si="4"/>
        <v>17733.502630230549</v>
      </c>
      <c r="F29" s="736">
        <f t="shared" ca="1" si="4"/>
        <v>19298.973277227669</v>
      </c>
      <c r="G29" s="736">
        <f t="shared" ca="1" si="4"/>
        <v>20179.644378017292</v>
      </c>
      <c r="H29" s="736">
        <f t="shared" ca="1" si="4"/>
        <v>12108.097777022513</v>
      </c>
      <c r="I29" s="736">
        <f t="shared" ca="1" si="4"/>
        <v>19244.327504077737</v>
      </c>
      <c r="J29" s="736">
        <f t="shared" ca="1" si="4"/>
        <v>27562.272475005368</v>
      </c>
      <c r="K29" s="736">
        <f t="shared" ca="1" si="4"/>
        <v>28936.847921956825</v>
      </c>
      <c r="L29" s="736">
        <f t="shared" ca="1" si="4"/>
        <v>27736.399774589183</v>
      </c>
      <c r="M29" s="736">
        <f t="shared" ca="1" si="4"/>
        <v>29337.279318615649</v>
      </c>
      <c r="N29" s="736">
        <f t="shared" ca="1" si="4"/>
        <v>28465.263415846286</v>
      </c>
      <c r="O29" s="736">
        <f t="shared" ca="1" si="4"/>
        <v>28180.541784893576</v>
      </c>
      <c r="P29" s="736">
        <f t="shared" ca="1" si="4"/>
        <v>25940.847978114194</v>
      </c>
      <c r="Q29" s="736">
        <f t="shared" ca="1" si="4"/>
        <v>32176.844564357274</v>
      </c>
      <c r="R29" s="736">
        <f t="shared" ca="1" si="4"/>
        <v>38583.302251351874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3333.0035026674209</v>
      </c>
      <c r="D31" s="752">
        <f ca="1">'BKDEPR 144A'!G67</f>
        <v>5713.7202902870058</v>
      </c>
      <c r="E31" s="752">
        <f ca="1">'BKDEPR 144A'!H67</f>
        <v>5713.7202902870058</v>
      </c>
      <c r="F31" s="752">
        <f ca="1">'BKDEPR 144A'!I67</f>
        <v>5713.7202902870058</v>
      </c>
      <c r="G31" s="752">
        <f ca="1">'BKDEPR 144A'!J67</f>
        <v>5713.7202902870058</v>
      </c>
      <c r="H31" s="752">
        <f ca="1">'BKDEPR 144A'!K67</f>
        <v>5713.7202902870058</v>
      </c>
      <c r="I31" s="752">
        <f ca="1">'BKDEPR 144A'!L67</f>
        <v>5713.7202902870058</v>
      </c>
      <c r="J31" s="752">
        <f ca="1">'BKDEPR 144A'!M67</f>
        <v>5713.7202902870058</v>
      </c>
      <c r="K31" s="752">
        <f ca="1">'BKDEPR 144A'!N67</f>
        <v>5713.7202902870058</v>
      </c>
      <c r="L31" s="752">
        <f ca="1">'BKDEPR 144A'!O67</f>
        <v>5713.7202902870058</v>
      </c>
      <c r="M31" s="752">
        <f ca="1">'BKDEPR 144A'!P67</f>
        <v>5713.7202902870058</v>
      </c>
      <c r="N31" s="752">
        <f ca="1">'BKDEPR 144A'!Q67</f>
        <v>5713.7202902870058</v>
      </c>
      <c r="O31" s="752">
        <f ca="1">'BKDEPR 144A'!R67</f>
        <v>5713.7202902870058</v>
      </c>
      <c r="P31" s="752">
        <f ca="1">'BKDEPR 144A'!S67</f>
        <v>5713.7202902870058</v>
      </c>
      <c r="Q31" s="752">
        <f ca="1">'BKDEPR 144A'!T67</f>
        <v>5713.7202902870058</v>
      </c>
      <c r="R31" s="752">
        <f ca="1">'BKDEPR 144A'!U67</f>
        <v>5713.7202902870058</v>
      </c>
      <c r="S31" s="752">
        <f ca="1">'BKDEPR 144A'!V67</f>
        <v>5713.7202902870058</v>
      </c>
      <c r="T31" s="752">
        <f ca="1">'BKDEPR 144A'!W67</f>
        <v>5713.7202902870058</v>
      </c>
      <c r="U31" s="752">
        <f ca="1">'BKDEPR 144A'!X67</f>
        <v>5713.7202902870058</v>
      </c>
      <c r="V31" s="753">
        <f ca="1">'BKDEPR 144A'!Y67</f>
        <v>5713.7202902870058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6724.0112011216934</v>
      </c>
      <c r="D33" s="742">
        <f t="shared" ca="1" si="5"/>
        <v>12853.564760872454</v>
      </c>
      <c r="E33" s="742">
        <f t="shared" ca="1" si="5"/>
        <v>12019.782339943544</v>
      </c>
      <c r="F33" s="742">
        <f t="shared" ca="1" si="5"/>
        <v>13585.252986940664</v>
      </c>
      <c r="G33" s="742">
        <f t="shared" ca="1" si="5"/>
        <v>14465.924087730287</v>
      </c>
      <c r="H33" s="742">
        <f t="shared" ca="1" si="5"/>
        <v>6394.3774867355069</v>
      </c>
      <c r="I33" s="742">
        <f t="shared" ca="1" si="5"/>
        <v>13530.607213790732</v>
      </c>
      <c r="J33" s="742">
        <f t="shared" ca="1" si="5"/>
        <v>21848.552184718363</v>
      </c>
      <c r="K33" s="742">
        <f t="shared" ca="1" si="5"/>
        <v>23223.12763166982</v>
      </c>
      <c r="L33" s="742">
        <f t="shared" ca="1" si="5"/>
        <v>22022.679484302178</v>
      </c>
      <c r="M33" s="742">
        <f t="shared" ca="1" si="5"/>
        <v>23623.559028328644</v>
      </c>
      <c r="N33" s="742">
        <f t="shared" ca="1" si="5"/>
        <v>22751.543125559281</v>
      </c>
      <c r="O33" s="742">
        <f t="shared" ca="1" si="5"/>
        <v>22466.821494606571</v>
      </c>
      <c r="P33" s="742">
        <f t="shared" ca="1" si="5"/>
        <v>20227.127687827189</v>
      </c>
      <c r="Q33" s="742">
        <f t="shared" ca="1" si="5"/>
        <v>26463.124274070269</v>
      </c>
      <c r="R33" s="742">
        <f t="shared" ca="1" si="5"/>
        <v>32869.581961064869</v>
      </c>
      <c r="S33" s="742">
        <f t="shared" ca="1" si="5"/>
        <v>38922.620664407819</v>
      </c>
      <c r="T33" s="742">
        <f t="shared" ca="1" si="5"/>
        <v>39523.476514890353</v>
      </c>
      <c r="U33" s="742">
        <f t="shared" ca="1" si="5"/>
        <v>41549.998853835896</v>
      </c>
      <c r="V33" s="744">
        <f t="shared" ca="1" si="5"/>
        <v>33377.49305841553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TAXES!C14</f>
        <v>325.51323265238909</v>
      </c>
      <c r="D35" s="736">
        <f ca="1">TAXES!D14</f>
        <v>115.02259716896427</v>
      </c>
      <c r="E35" s="736">
        <f ca="1">TAXES!E14</f>
        <v>151.40745588548441</v>
      </c>
      <c r="F35" s="736">
        <f ca="1">TAXES!F14</f>
        <v>322.65151931206606</v>
      </c>
      <c r="G35" s="736">
        <f ca="1">TAXES!G14</f>
        <v>445.53082647379733</v>
      </c>
      <c r="H35" s="736">
        <f ca="1">TAXES!H14</f>
        <v>159.80635215066877</v>
      </c>
      <c r="I35" s="736">
        <f ca="1">TAXES!I14</f>
        <v>617.99686768013419</v>
      </c>
      <c r="J35" s="736">
        <f ca="1">TAXES!J14</f>
        <v>1117.073565935792</v>
      </c>
      <c r="K35" s="736">
        <f ca="1">TAXES!K14</f>
        <v>1198.6384948163295</v>
      </c>
      <c r="L35" s="736">
        <f ca="1">TAXES!L14</f>
        <v>1127.521203910821</v>
      </c>
      <c r="M35" s="736">
        <f ca="1">TAXES!M14</f>
        <v>1222.6643786158588</v>
      </c>
      <c r="N35" s="736">
        <f ca="1">TAXES!N14</f>
        <v>1171.253022386247</v>
      </c>
      <c r="O35" s="736">
        <f ca="1">TAXES!O14</f>
        <v>1153.2601265925346</v>
      </c>
      <c r="P35" s="736">
        <f ca="1">TAXES!P14</f>
        <v>1019.7880961223216</v>
      </c>
      <c r="Q35" s="736">
        <f ca="1">TAXES!Q14</f>
        <v>1393.0382933603564</v>
      </c>
      <c r="R35" s="736">
        <f ca="1">TAXES!R14</f>
        <v>2046.6667437988472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(+C33-C35)*TAXES!C26</f>
        <v>2239.4742889642562</v>
      </c>
      <c r="D36" s="752">
        <f ca="1">(+D33-D35)*TAXES!C26</f>
        <v>4458.4897572962209</v>
      </c>
      <c r="E36" s="752">
        <f ca="1">(+E33-E35)*TAXES!C26</f>
        <v>4153.9312094203206</v>
      </c>
      <c r="F36" s="752">
        <f ca="1">(+F33-F35)*TAXES!C26</f>
        <v>4641.9105136700091</v>
      </c>
      <c r="G36" s="752">
        <f ca="1">(+G33-G35)*TAXES!C26</f>
        <v>4907.137641439771</v>
      </c>
      <c r="H36" s="752">
        <f ca="1">(+H33-H35)*TAXES!C26</f>
        <v>2182.0998971046929</v>
      </c>
      <c r="I36" s="752">
        <f ca="1">(+I33-I35)*TAXES!C26</f>
        <v>4519.4136211387085</v>
      </c>
      <c r="J36" s="752">
        <f ca="1">(+J33-J35)*TAXES!C26</f>
        <v>7256.0175165738992</v>
      </c>
      <c r="K36" s="752">
        <f ca="1">(+K33-K35)*TAXES!C26</f>
        <v>7708.5711978987219</v>
      </c>
      <c r="L36" s="752">
        <f ca="1">(+L33-L35)*TAXES!C26</f>
        <v>7313.305398136974</v>
      </c>
      <c r="M36" s="752">
        <f ca="1">(+M33-M35)*TAXES!C26</f>
        <v>7840.3131273994741</v>
      </c>
      <c r="N36" s="752">
        <f ca="1">(+N33-N35)*TAXES!C26</f>
        <v>7553.101536110561</v>
      </c>
      <c r="O36" s="752">
        <f ca="1">(+O33-O35)*TAXES!C26</f>
        <v>7459.7464788049128</v>
      </c>
      <c r="P36" s="752">
        <f ca="1">(+P33-P35)*TAXES!C26</f>
        <v>6722.5688570967041</v>
      </c>
      <c r="Q36" s="752">
        <f ca="1">(+Q33-Q35)*TAXES!C26</f>
        <v>8774.5300932484679</v>
      </c>
      <c r="R36" s="752">
        <f ca="1">(+R33-R35)*TAXES!C26</f>
        <v>10788.020326043106</v>
      </c>
      <c r="S36" s="752">
        <f ca="1">(+S33-S35)*TAXES!C26</f>
        <v>12685.554072494144</v>
      </c>
      <c r="T36" s="752">
        <f ca="1">(+T33-T35)*TAXES!C26</f>
        <v>12883.235647302898</v>
      </c>
      <c r="U36" s="752">
        <f ca="1">(+U33-U35)*TAXES!C26</f>
        <v>13549.961496815982</v>
      </c>
      <c r="V36" s="754">
        <f ca="1">(+V33-V35)*TAXES!C26</f>
        <v>10861.207090122682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2564.9875216166452</v>
      </c>
      <c r="D37" s="736">
        <f t="shared" ca="1" si="6"/>
        <v>4573.5123544651851</v>
      </c>
      <c r="E37" s="736">
        <f t="shared" ca="1" si="6"/>
        <v>4305.3386653058051</v>
      </c>
      <c r="F37" s="736">
        <f t="shared" ca="1" si="6"/>
        <v>4964.5620329820749</v>
      </c>
      <c r="G37" s="736">
        <f t="shared" ca="1" si="6"/>
        <v>5352.6684679135687</v>
      </c>
      <c r="H37" s="736">
        <f t="shared" ca="1" si="6"/>
        <v>2341.9062492553617</v>
      </c>
      <c r="I37" s="736">
        <f t="shared" ca="1" si="6"/>
        <v>5137.4104888188431</v>
      </c>
      <c r="J37" s="736">
        <f t="shared" ca="1" si="6"/>
        <v>8373.0910825096908</v>
      </c>
      <c r="K37" s="736">
        <f t="shared" ca="1" si="6"/>
        <v>8907.2096927150524</v>
      </c>
      <c r="L37" s="736">
        <f t="shared" ca="1" si="6"/>
        <v>8440.8266020477949</v>
      </c>
      <c r="M37" s="736">
        <f t="shared" ca="1" si="6"/>
        <v>9062.9775060153333</v>
      </c>
      <c r="N37" s="736">
        <f t="shared" ca="1" si="6"/>
        <v>8724.3545584968087</v>
      </c>
      <c r="O37" s="736">
        <f t="shared" ca="1" si="6"/>
        <v>8613.0066053974479</v>
      </c>
      <c r="P37" s="736">
        <f t="shared" ca="1" si="6"/>
        <v>7742.3569532190259</v>
      </c>
      <c r="Q37" s="736">
        <f t="shared" ca="1" si="6"/>
        <v>10167.568386608824</v>
      </c>
      <c r="R37" s="736">
        <f t="shared" ca="1" si="6"/>
        <v>12834.687069841953</v>
      </c>
      <c r="S37" s="736">
        <f t="shared" ca="1" si="6"/>
        <v>15363.734529775833</v>
      </c>
      <c r="T37" s="736">
        <f t="shared" ca="1" si="6"/>
        <v>15597.46745561354</v>
      </c>
      <c r="U37" s="736">
        <f t="shared" ca="1" si="6"/>
        <v>16385.784645463355</v>
      </c>
      <c r="V37" s="737">
        <f t="shared" ca="1" si="6"/>
        <v>13206.679891044834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4159.0236795050478</v>
      </c>
      <c r="D39" s="756">
        <f t="shared" ca="1" si="7"/>
        <v>8280.0524064072688</v>
      </c>
      <c r="E39" s="756">
        <f t="shared" ca="1" si="7"/>
        <v>7714.4436746377387</v>
      </c>
      <c r="F39" s="756">
        <f t="shared" ca="1" si="7"/>
        <v>8620.6909539585904</v>
      </c>
      <c r="G39" s="756">
        <f t="shared" ca="1" si="7"/>
        <v>9113.2556198167185</v>
      </c>
      <c r="H39" s="756">
        <f t="shared" ca="1" si="7"/>
        <v>4052.4712374801452</v>
      </c>
      <c r="I39" s="756">
        <f t="shared" ca="1" si="7"/>
        <v>8393.1967249718891</v>
      </c>
      <c r="J39" s="756">
        <f t="shared" ca="1" si="7"/>
        <v>13475.461102208672</v>
      </c>
      <c r="K39" s="756">
        <f t="shared" ca="1" si="7"/>
        <v>14315.917938954768</v>
      </c>
      <c r="L39" s="756">
        <f t="shared" ca="1" si="7"/>
        <v>13581.852882254383</v>
      </c>
      <c r="M39" s="756">
        <f t="shared" ca="1" si="7"/>
        <v>14560.58152231331</v>
      </c>
      <c r="N39" s="756">
        <f t="shared" ca="1" si="7"/>
        <v>14027.188567062472</v>
      </c>
      <c r="O39" s="756">
        <f t="shared" ca="1" si="7"/>
        <v>13853.814889209123</v>
      </c>
      <c r="P39" s="756">
        <f t="shared" ca="1" si="7"/>
        <v>12484.770734608162</v>
      </c>
      <c r="Q39" s="756">
        <f t="shared" ca="1" si="7"/>
        <v>16295.555887461445</v>
      </c>
      <c r="R39" s="756">
        <f t="shared" ca="1" si="7"/>
        <v>20034.894891222917</v>
      </c>
      <c r="S39" s="756">
        <f t="shared" ca="1" si="7"/>
        <v>23558.886134631986</v>
      </c>
      <c r="T39" s="756">
        <f t="shared" ca="1" si="7"/>
        <v>23926.009059276814</v>
      </c>
      <c r="U39" s="756">
        <f t="shared" ca="1" si="7"/>
        <v>25164.214208372541</v>
      </c>
      <c r="V39" s="757">
        <f t="shared" ca="1" si="7"/>
        <v>20170.813167370696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view="pageBreakPreview" zoomScale="60" zoomScaleNormal="100" workbookViewId="0">
      <selection activeCell="T4" sqref="T4"/>
    </sheetView>
  </sheetViews>
  <sheetFormatPr defaultRowHeight="15.75"/>
  <cols>
    <col min="2" max="2" width="9.33203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</f>
        <v>-8630.5196917428566</v>
      </c>
      <c r="I3" s="774">
        <f ca="1">-'144A IDC'!I69</f>
        <v>43759.75201300453</v>
      </c>
      <c r="J3" s="774">
        <f ca="1">-'144A IDC'!J69</f>
        <v>39.871751741034011</v>
      </c>
      <c r="K3" s="774">
        <f ca="1">-'144A IDC'!K69</f>
        <v>16.202219813359019</v>
      </c>
      <c r="L3" s="774">
        <f ca="1">-'144A IDC'!L69</f>
        <v>-2644.0699886268544</v>
      </c>
      <c r="M3" s="774">
        <f ca="1">-'144A IDC'!M69</f>
        <v>-6532.6000142779967</v>
      </c>
      <c r="N3" s="774">
        <f ca="1">-'144A IDC'!N69</f>
        <v>-9684.6757574118237</v>
      </c>
      <c r="O3" s="774">
        <f ca="1">-'144A IDC'!O69</f>
        <v>-14409.675757411824</v>
      </c>
      <c r="P3" s="774">
        <f ca="1">-'144A IDC'!P69</f>
        <v>-17088.157296795249</v>
      </c>
      <c r="Q3" s="774">
        <f ca="1">-'144A IDC'!Q69</f>
        <v>-11408.741543400958</v>
      </c>
      <c r="R3" s="774">
        <f ca="1">-'144A IDC'!R69</f>
        <v>-11408.741543400958</v>
      </c>
      <c r="S3" s="774">
        <f ca="1">-'144A IDC'!S69</f>
        <v>-13104.80619379478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9848.3227211367266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14982.106765259125</v>
      </c>
      <c r="U4" s="776">
        <f ca="1">CSHFLO!E36+0.5*OandM!E11*(1-TAXES!E26-'ASSUM 1'!$N$40)</f>
        <v>14031.656847446129</v>
      </c>
      <c r="V4" s="776">
        <f ca="1">CSHFLO!F36+0.5*OandM!F11*(1-TAXES!F26-'ASSUM 1'!$N$40)</f>
        <v>13705.857845634535</v>
      </c>
      <c r="W4" s="776">
        <f ca="1">CSHFLO!G36+0.5*OandM!G11*(1-TAXES!G26-'ASSUM 1'!$N$40)</f>
        <v>13271.112393021302</v>
      </c>
      <c r="X4" s="776">
        <f ca="1">CSHFLO!H36+0.5*OandM!H11*(1-TAXES!H26-'ASSUM 1'!$N$40)</f>
        <v>10490.834104530766</v>
      </c>
      <c r="Y4" s="776">
        <f ca="1">CSHFLO!I36+0.5*OandM!I11*(1-TAXES!I26-'ASSUM 1'!$N$40)</f>
        <v>11367.915957866711</v>
      </c>
      <c r="Z4" s="776">
        <f ca="1">CSHFLO!J36+0.5*OandM!J11*(1-TAXES!J26-'ASSUM 1'!$N$40)</f>
        <v>12498.453020705248</v>
      </c>
      <c r="AA4" s="776">
        <f ca="1">CSHFLO!K36+0.5*OandM!K11*(1-TAXES!K26-'ASSUM 1'!$N$40)</f>
        <v>12311.287220134365</v>
      </c>
      <c r="AB4" s="776">
        <f ca="1">CSHFLO!L36+0.5*OandM!L11*(1-TAXES!L26-'ASSUM 1'!$N$40)</f>
        <v>12084.601828524712</v>
      </c>
      <c r="AC4" s="776">
        <f ca="1">CSHFLO!M36+0.5*OandM!M11*(1-TAXES!M26-'ASSUM 1'!$N$40)</f>
        <v>13062.42104227283</v>
      </c>
      <c r="AD4" s="776">
        <f ca="1">CSHFLO!N36+0.5*OandM!N11*(1-TAXES!N26-'ASSUM 1'!$N$40)</f>
        <v>12988.693756648805</v>
      </c>
      <c r="AE4" s="776">
        <f ca="1">CSHFLO!O36+0.5*OandM!O11*(1-TAXES!O26-'ASSUM 1'!$N$40)</f>
        <v>12769.402227346864</v>
      </c>
      <c r="AF4" s="776">
        <f ca="1">CSHFLO!P36+0.5*OandM!P11*(1-TAXES!P26-'ASSUM 1'!$N$40)</f>
        <v>11913.363202451535</v>
      </c>
      <c r="AG4" s="776">
        <f ca="1">CSHFLO!Q36+0.5*OandM!Q11*(1-TAXES!Q26-'ASSUM 1'!$N$40)</f>
        <v>16139.809037043437</v>
      </c>
      <c r="AH4" s="776">
        <f ca="1">CSHFLO!R36+0.5*OandM!R11*(1-TAXES!R26-'ASSUM 1'!$N$40)</f>
        <v>19244.424100356162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43759.75201300453</v>
      </c>
      <c r="J5" s="774">
        <f t="shared" ca="1" si="0"/>
        <v>39.871751741034011</v>
      </c>
      <c r="K5" s="774">
        <f t="shared" ca="1" si="0"/>
        <v>16.202219813359019</v>
      </c>
      <c r="L5" s="774">
        <f t="shared" ca="1" si="0"/>
        <v>-2644.0699886268544</v>
      </c>
      <c r="M5" s="774">
        <f t="shared" ca="1" si="0"/>
        <v>-6532.6000142779967</v>
      </c>
      <c r="N5" s="774">
        <f t="shared" ca="1" si="0"/>
        <v>-9684.6757574118237</v>
      </c>
      <c r="O5" s="774">
        <f t="shared" ca="1" si="0"/>
        <v>-4561.3530362750971</v>
      </c>
      <c r="P5" s="774">
        <f t="shared" ca="1" si="0"/>
        <v>-17088.157296795249</v>
      </c>
      <c r="Q5" s="774">
        <f t="shared" ca="1" si="0"/>
        <v>-11408.741543400958</v>
      </c>
      <c r="R5" s="774">
        <f t="shared" ca="1" si="0"/>
        <v>-11408.741543400958</v>
      </c>
      <c r="S5" s="774">
        <f t="shared" ca="1" si="0"/>
        <v>-13104.80619379478</v>
      </c>
      <c r="T5" s="774">
        <f t="shared" ca="1" si="0"/>
        <v>14982.106765259125</v>
      </c>
      <c r="U5" s="774">
        <f t="shared" ca="1" si="0"/>
        <v>14031.656847446129</v>
      </c>
      <c r="V5" s="774">
        <f t="shared" ca="1" si="0"/>
        <v>13705.857845634535</v>
      </c>
      <c r="W5" s="774">
        <f t="shared" ca="1" si="0"/>
        <v>13271.112393021302</v>
      </c>
      <c r="X5" s="774">
        <f t="shared" ca="1" si="0"/>
        <v>10490.834104530766</v>
      </c>
      <c r="Y5" s="774">
        <f t="shared" ca="1" si="0"/>
        <v>11367.915957866711</v>
      </c>
      <c r="Z5" s="774">
        <f t="shared" ca="1" si="0"/>
        <v>12498.453020705248</v>
      </c>
      <c r="AA5" s="774">
        <f t="shared" ca="1" si="0"/>
        <v>12311.287220134365</v>
      </c>
      <c r="AB5" s="774">
        <f t="shared" ca="1" si="0"/>
        <v>12084.601828524712</v>
      </c>
      <c r="AC5" s="774">
        <f t="shared" ca="1" si="0"/>
        <v>13062.42104227283</v>
      </c>
      <c r="AD5" s="774">
        <f t="shared" ca="1" si="0"/>
        <v>12988.693756648805</v>
      </c>
      <c r="AE5" s="774">
        <f t="shared" ca="1" si="0"/>
        <v>12769.402227346864</v>
      </c>
      <c r="AF5" s="774">
        <f t="shared" ca="1" si="0"/>
        <v>11913.363202451535</v>
      </c>
      <c r="AG5" s="774">
        <f t="shared" ca="1" si="0"/>
        <v>16139.809037043437</v>
      </c>
      <c r="AH5" s="774">
        <f t="shared" ca="1" si="0"/>
        <v>19244.424100356162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30405.249915035252</v>
      </c>
    </row>
    <row r="8" spans="1:39">
      <c r="A8" t="s">
        <v>419</v>
      </c>
      <c r="B8" s="119">
        <f ca="1">XIRR(D$5:AL$5,D$1:AL$1)</f>
        <v>0.18138399720191958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69</vt:i4>
      </vt:variant>
    </vt:vector>
  </HeadingPairs>
  <TitlesOfParts>
    <vt:vector size="95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144A FCF</vt:lpstr>
      <vt:lpstr>CSHFLO</vt:lpstr>
      <vt:lpstr>ENA-144A Comparison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Jan Havlíček</cp:lastModifiedBy>
  <cp:lastPrinted>2000-02-01T20:37:24Z</cp:lastPrinted>
  <dcterms:created xsi:type="dcterms:W3CDTF">1999-12-08T16:02:11Z</dcterms:created>
  <dcterms:modified xsi:type="dcterms:W3CDTF">2023-09-13T22:12:56Z</dcterms:modified>
</cp:coreProperties>
</file>