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4FD7DF-D5D5-47C1-A195-E7A96C36DF4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G6" i="1"/>
  <c r="I6" i="1"/>
  <c r="J6" i="1"/>
  <c r="N6" i="1"/>
  <c r="O6" i="1"/>
  <c r="P6" i="1"/>
  <c r="Q6" i="1"/>
  <c r="B7" i="1"/>
  <c r="F7" i="1"/>
  <c r="G7" i="1"/>
  <c r="I7" i="1"/>
  <c r="J7" i="1"/>
  <c r="N7" i="1"/>
  <c r="O7" i="1"/>
  <c r="P7" i="1"/>
  <c r="Q7" i="1"/>
  <c r="B8" i="1"/>
  <c r="F8" i="1"/>
  <c r="G8" i="1"/>
  <c r="I8" i="1"/>
  <c r="J8" i="1"/>
  <c r="N8" i="1"/>
  <c r="O8" i="1"/>
  <c r="P8" i="1"/>
  <c r="Q8" i="1"/>
  <c r="B9" i="1"/>
  <c r="F9" i="1"/>
  <c r="G9" i="1"/>
  <c r="I9" i="1"/>
  <c r="J9" i="1"/>
  <c r="N9" i="1"/>
  <c r="O9" i="1"/>
  <c r="P9" i="1"/>
  <c r="Q9" i="1"/>
  <c r="B10" i="1"/>
  <c r="F10" i="1"/>
  <c r="G10" i="1"/>
  <c r="I10" i="1"/>
  <c r="J10" i="1"/>
  <c r="N10" i="1"/>
  <c r="O10" i="1"/>
  <c r="P10" i="1"/>
  <c r="Q10" i="1"/>
  <c r="F11" i="1"/>
  <c r="G11" i="1"/>
  <c r="I11" i="1"/>
  <c r="J11" i="1"/>
  <c r="N11" i="1"/>
  <c r="O11" i="1"/>
  <c r="P11" i="1"/>
  <c r="Q11" i="1"/>
  <c r="F12" i="1"/>
  <c r="G12" i="1"/>
  <c r="I12" i="1"/>
  <c r="J12" i="1"/>
  <c r="N12" i="1"/>
  <c r="O12" i="1"/>
  <c r="P12" i="1"/>
  <c r="Q12" i="1"/>
  <c r="F13" i="1"/>
  <c r="G13" i="1"/>
  <c r="I13" i="1"/>
  <c r="J13" i="1"/>
  <c r="N13" i="1"/>
  <c r="O13" i="1"/>
  <c r="P13" i="1"/>
  <c r="Q13" i="1"/>
  <c r="G15" i="1"/>
  <c r="J15" i="1"/>
  <c r="P15" i="1"/>
  <c r="Q15" i="1"/>
  <c r="G17" i="1"/>
  <c r="J17" i="1"/>
  <c r="P17" i="1"/>
  <c r="Q17" i="1"/>
  <c r="G21" i="1"/>
  <c r="G22" i="1"/>
  <c r="G23" i="1"/>
  <c r="G24" i="1"/>
  <c r="G25" i="1"/>
  <c r="G26" i="1"/>
  <c r="G27" i="1"/>
  <c r="G28" i="1"/>
  <c r="G30" i="1"/>
  <c r="G32" i="1"/>
</calcChain>
</file>

<file path=xl/sharedStrings.xml><?xml version="1.0" encoding="utf-8"?>
<sst xmlns="http://schemas.openxmlformats.org/spreadsheetml/2006/main" count="43" uniqueCount="28">
  <si>
    <t>Year</t>
  </si>
  <si>
    <t>OPPD</t>
  </si>
  <si>
    <t>Value</t>
  </si>
  <si>
    <t>LM6000</t>
  </si>
  <si>
    <t>Total</t>
  </si>
  <si>
    <t>Intrinsic</t>
  </si>
  <si>
    <t>Extrinsic</t>
  </si>
  <si>
    <t>Annualized</t>
  </si>
  <si>
    <t>Nomial Total</t>
  </si>
  <si>
    <t>Discount</t>
  </si>
  <si>
    <t>Capacity</t>
  </si>
  <si>
    <t>Turbine</t>
  </si>
  <si>
    <t>OPPD Value after Hedge</t>
  </si>
  <si>
    <t>Value Captured</t>
  </si>
  <si>
    <t>Additional Revenue</t>
  </si>
  <si>
    <t>NPV Total</t>
  </si>
  <si>
    <t>LM Assumptions</t>
  </si>
  <si>
    <t>Southern MAPP</t>
  </si>
  <si>
    <t>NNG/TOK</t>
  </si>
  <si>
    <t>LES Contract</t>
  </si>
  <si>
    <t>OPPD Contract</t>
  </si>
  <si>
    <t>LES</t>
  </si>
  <si>
    <t xml:space="preserve">HR </t>
  </si>
  <si>
    <t xml:space="preserve">VO&amp;M </t>
  </si>
  <si>
    <t xml:space="preserve">Basis </t>
  </si>
  <si>
    <t xml:space="preserve">Gas </t>
  </si>
  <si>
    <t>Transport</t>
  </si>
  <si>
    <t xml:space="preserve">Hedge of Lincoln and OPPD Contracts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</si>
</sst>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0" xfId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44" fontId="4" fillId="0" borderId="6" xfId="1" applyFont="1" applyBorder="1" applyAlignment="1">
      <alignment horizontal="center"/>
    </xf>
    <xf numFmtId="44" fontId="4" fillId="0" borderId="7" xfId="0" applyNumberFormat="1" applyFont="1" applyBorder="1" applyAlignment="1">
      <alignment horizontal="center"/>
    </xf>
    <xf numFmtId="165" fontId="4" fillId="0" borderId="8" xfId="1" applyNumberFormat="1" applyFont="1" applyBorder="1" applyAlignment="1">
      <alignment horizontal="center"/>
    </xf>
    <xf numFmtId="165" fontId="6" fillId="0" borderId="0" xfId="0" applyNumberFormat="1" applyFont="1"/>
    <xf numFmtId="10" fontId="2" fillId="0" borderId="0" xfId="2" applyNumberFormat="1" applyFont="1"/>
    <xf numFmtId="165" fontId="6" fillId="0" borderId="0" xfId="1" applyNumberFormat="1" applyFont="1"/>
    <xf numFmtId="0" fontId="3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/>
    <xf numFmtId="165" fontId="6" fillId="0" borderId="0" xfId="0" applyNumberFormat="1" applyFont="1" applyFill="1"/>
    <xf numFmtId="165" fontId="2" fillId="0" borderId="0" xfId="0" applyNumberFormat="1" applyFont="1" applyFill="1"/>
    <xf numFmtId="10" fontId="2" fillId="0" borderId="0" xfId="2" applyNumberFormat="1" applyFont="1" applyFill="1"/>
    <xf numFmtId="44" fontId="6" fillId="0" borderId="0" xfId="1" applyFont="1" applyFill="1"/>
    <xf numFmtId="44" fontId="2" fillId="0" borderId="0" xfId="1" applyFont="1" applyFill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2" borderId="5" xfId="0" applyNumberFormat="1" applyFill="1" applyBorder="1"/>
    <xf numFmtId="0" fontId="0" fillId="2" borderId="11" xfId="0" applyFill="1" applyBorder="1" applyAlignment="1">
      <alignment horizontal="center"/>
    </xf>
    <xf numFmtId="165" fontId="0" fillId="2" borderId="8" xfId="0" applyNumberFormat="1" applyFill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7" xfId="1" applyFont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0" xfId="0" applyFill="1" applyBorder="1"/>
    <xf numFmtId="0" fontId="0" fillId="2" borderId="11" xfId="0" applyFill="1" applyBorder="1"/>
    <xf numFmtId="44" fontId="0" fillId="2" borderId="10" xfId="1" applyFont="1" applyFill="1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workbookViewId="0">
      <selection activeCell="A11" sqref="A11"/>
    </sheetView>
  </sheetViews>
  <sheetFormatPr defaultRowHeight="12.75" x14ac:dyDescent="0.2"/>
  <cols>
    <col min="1" max="1" width="14.28515625" customWidth="1"/>
    <col min="2" max="2" width="10.140625" customWidth="1"/>
    <col min="3" max="3" width="13.5703125" customWidth="1"/>
    <col min="4" max="4" width="12.140625" bestFit="1" customWidth="1"/>
    <col min="5" max="5" width="11.28515625" customWidth="1"/>
    <col min="6" max="6" width="13.42578125" customWidth="1"/>
    <col min="7" max="7" width="16.42578125" customWidth="1"/>
    <col min="9" max="9" width="10.7109375" customWidth="1"/>
    <col min="10" max="10" width="12.28515625" bestFit="1" customWidth="1"/>
    <col min="11" max="11" width="11" customWidth="1"/>
    <col min="12" max="12" width="12.28515625" bestFit="1" customWidth="1"/>
    <col min="13" max="13" width="10.5703125" customWidth="1"/>
    <col min="14" max="14" width="15.5703125" customWidth="1"/>
    <col min="15" max="15" width="12.5703125" bestFit="1" customWidth="1"/>
    <col min="16" max="16" width="21.5703125" bestFit="1" customWidth="1"/>
    <col min="17" max="17" width="13.85546875" bestFit="1" customWidth="1"/>
  </cols>
  <sheetData>
    <row r="1" spans="1:17" ht="23.25" x14ac:dyDescent="0.35">
      <c r="A1" s="60" t="s">
        <v>27</v>
      </c>
    </row>
    <row r="3" spans="1:17" ht="13.5" thickBot="1" x14ac:dyDescent="0.25"/>
    <row r="4" spans="1:17" x14ac:dyDescent="0.2">
      <c r="A4" s="5"/>
      <c r="B4" s="61" t="s">
        <v>10</v>
      </c>
      <c r="C4" s="62"/>
      <c r="D4" s="63"/>
      <c r="E4" s="5"/>
      <c r="F4" s="6"/>
      <c r="G4" s="7"/>
      <c r="H4" s="6"/>
      <c r="I4" s="6"/>
      <c r="J4" s="7"/>
      <c r="K4" s="61" t="s">
        <v>3</v>
      </c>
      <c r="L4" s="62"/>
      <c r="M4" s="63"/>
      <c r="N4" s="6"/>
      <c r="O4" s="6"/>
      <c r="P4" s="34"/>
      <c r="Q4" s="30"/>
    </row>
    <row r="5" spans="1:17" ht="13.5" thickBot="1" x14ac:dyDescent="0.25">
      <c r="A5" s="12" t="s">
        <v>0</v>
      </c>
      <c r="B5" s="12" t="s">
        <v>11</v>
      </c>
      <c r="C5" s="13" t="s">
        <v>20</v>
      </c>
      <c r="D5" s="16" t="s">
        <v>19</v>
      </c>
      <c r="E5" s="12" t="s">
        <v>21</v>
      </c>
      <c r="F5" s="13" t="s">
        <v>7</v>
      </c>
      <c r="G5" s="16" t="s">
        <v>2</v>
      </c>
      <c r="H5" s="13" t="s">
        <v>1</v>
      </c>
      <c r="I5" s="13" t="s">
        <v>7</v>
      </c>
      <c r="J5" s="16" t="s">
        <v>2</v>
      </c>
      <c r="K5" s="12" t="s">
        <v>4</v>
      </c>
      <c r="L5" s="13" t="s">
        <v>5</v>
      </c>
      <c r="M5" s="16" t="s">
        <v>6</v>
      </c>
      <c r="N5" s="13" t="s">
        <v>7</v>
      </c>
      <c r="O5" s="13" t="s">
        <v>2</v>
      </c>
      <c r="P5" s="35" t="s">
        <v>12</v>
      </c>
      <c r="Q5" s="31" t="s">
        <v>13</v>
      </c>
    </row>
    <row r="6" spans="1:17" x14ac:dyDescent="0.2">
      <c r="A6" s="8">
        <v>2001</v>
      </c>
      <c r="B6" s="8">
        <v>0</v>
      </c>
      <c r="C6" s="51">
        <v>130</v>
      </c>
      <c r="D6" s="9">
        <v>15</v>
      </c>
      <c r="E6" s="21">
        <v>2.4500000000000002</v>
      </c>
      <c r="F6" s="22">
        <f>(E6*6)/12</f>
        <v>1.2250000000000001</v>
      </c>
      <c r="G6" s="23">
        <f>+F6*1000*D6*12</f>
        <v>220500</v>
      </c>
      <c r="H6" s="52">
        <v>3.45</v>
      </c>
      <c r="I6" s="22">
        <f>(H6*6)/12</f>
        <v>1.7250000000000003</v>
      </c>
      <c r="J6" s="23">
        <f t="shared" ref="J6:J13" si="0">+I6*1000*C6*12</f>
        <v>2691000.0000000005</v>
      </c>
      <c r="K6" s="17">
        <v>5.03</v>
      </c>
      <c r="L6" s="10">
        <v>4.0199999999999996</v>
      </c>
      <c r="M6" s="19">
        <v>1</v>
      </c>
      <c r="N6" s="10">
        <f>+(K6*8)/12</f>
        <v>3.3533333333333335</v>
      </c>
      <c r="O6" s="11">
        <f t="shared" ref="O6:O13" si="1">+N6*B6*1000*12</f>
        <v>0</v>
      </c>
      <c r="P6" s="54">
        <f>IF((J6+G6)&gt;O6,(J6+G6)-O6,0)</f>
        <v>2911500.0000000005</v>
      </c>
      <c r="Q6" s="55">
        <f>(J6+G6)-P6</f>
        <v>0</v>
      </c>
    </row>
    <row r="7" spans="1:17" x14ac:dyDescent="0.2">
      <c r="A7" s="8">
        <v>2002</v>
      </c>
      <c r="B7" s="8">
        <f>+B21*4</f>
        <v>194</v>
      </c>
      <c r="C7" s="51">
        <v>140</v>
      </c>
      <c r="D7" s="9">
        <v>30</v>
      </c>
      <c r="E7" s="21">
        <v>2.4300000000000002</v>
      </c>
      <c r="F7" s="22">
        <f t="shared" ref="F7:F13" si="2">(E7*6)/12</f>
        <v>1.2150000000000001</v>
      </c>
      <c r="G7" s="23">
        <f t="shared" ref="G7:G13" si="3">+F7*1000*D7*12</f>
        <v>437400</v>
      </c>
      <c r="H7" s="52">
        <v>3.43</v>
      </c>
      <c r="I7" s="22">
        <f t="shared" ref="I7:I13" si="4">(H7*6)/12</f>
        <v>1.7150000000000001</v>
      </c>
      <c r="J7" s="23">
        <f t="shared" si="0"/>
        <v>2881200</v>
      </c>
      <c r="K7" s="17">
        <v>3.92</v>
      </c>
      <c r="L7" s="10">
        <v>2.82</v>
      </c>
      <c r="M7" s="19">
        <v>1.1000000000000001</v>
      </c>
      <c r="N7" s="10">
        <f t="shared" ref="N7:N13" si="5">+(K7*8)/12</f>
        <v>2.6133333333333333</v>
      </c>
      <c r="O7" s="11">
        <f t="shared" si="1"/>
        <v>6083840</v>
      </c>
      <c r="P7" s="36">
        <f t="shared" ref="P7:P13" si="6">IF((J7+G7)&gt;O7,(J7+G7)-O7,0)</f>
        <v>0</v>
      </c>
      <c r="Q7" s="32">
        <f t="shared" ref="Q7:Q13" si="7">(J7+G7)-P7</f>
        <v>3318600</v>
      </c>
    </row>
    <row r="8" spans="1:17" x14ac:dyDescent="0.2">
      <c r="A8" s="8">
        <v>2003</v>
      </c>
      <c r="B8" s="8">
        <f>+B21*4</f>
        <v>194</v>
      </c>
      <c r="C8" s="51">
        <v>140</v>
      </c>
      <c r="D8" s="9">
        <v>30</v>
      </c>
      <c r="E8" s="21">
        <v>2.38</v>
      </c>
      <c r="F8" s="22">
        <f t="shared" si="2"/>
        <v>1.19</v>
      </c>
      <c r="G8" s="23">
        <f t="shared" si="3"/>
        <v>428400</v>
      </c>
      <c r="H8" s="52">
        <v>3.38</v>
      </c>
      <c r="I8" s="22">
        <f t="shared" si="4"/>
        <v>1.6900000000000002</v>
      </c>
      <c r="J8" s="23">
        <f t="shared" si="0"/>
        <v>2839200.0000000005</v>
      </c>
      <c r="K8" s="17">
        <v>3.95</v>
      </c>
      <c r="L8" s="10">
        <v>2.81</v>
      </c>
      <c r="M8" s="19">
        <v>1.1399999999999999</v>
      </c>
      <c r="N8" s="10">
        <f t="shared" si="5"/>
        <v>2.6333333333333333</v>
      </c>
      <c r="O8" s="11">
        <f t="shared" si="1"/>
        <v>6130400</v>
      </c>
      <c r="P8" s="36">
        <f t="shared" si="6"/>
        <v>0</v>
      </c>
      <c r="Q8" s="32">
        <f t="shared" si="7"/>
        <v>3267600.0000000005</v>
      </c>
    </row>
    <row r="9" spans="1:17" x14ac:dyDescent="0.2">
      <c r="A9" s="8">
        <v>2004</v>
      </c>
      <c r="B9" s="8">
        <f>+B21*2</f>
        <v>97</v>
      </c>
      <c r="C9" s="51">
        <v>160</v>
      </c>
      <c r="D9" s="9">
        <v>0</v>
      </c>
      <c r="E9" s="21">
        <v>0</v>
      </c>
      <c r="F9" s="22">
        <f t="shared" si="2"/>
        <v>0</v>
      </c>
      <c r="G9" s="23">
        <f t="shared" si="3"/>
        <v>0</v>
      </c>
      <c r="H9" s="52">
        <v>3.39</v>
      </c>
      <c r="I9" s="22">
        <f t="shared" si="4"/>
        <v>1.6950000000000001</v>
      </c>
      <c r="J9" s="23">
        <f t="shared" si="0"/>
        <v>3254400</v>
      </c>
      <c r="K9" s="17">
        <v>3.94</v>
      </c>
      <c r="L9" s="10">
        <v>2.77</v>
      </c>
      <c r="M9" s="19">
        <v>1.17</v>
      </c>
      <c r="N9" s="10">
        <f t="shared" si="5"/>
        <v>2.6266666666666665</v>
      </c>
      <c r="O9" s="11">
        <f t="shared" si="1"/>
        <v>3057440</v>
      </c>
      <c r="P9" s="36">
        <f t="shared" si="6"/>
        <v>196960</v>
      </c>
      <c r="Q9" s="32">
        <f t="shared" si="7"/>
        <v>3057440</v>
      </c>
    </row>
    <row r="10" spans="1:17" x14ac:dyDescent="0.2">
      <c r="A10" s="8">
        <v>2005</v>
      </c>
      <c r="B10" s="8">
        <f>+B21</f>
        <v>48.5</v>
      </c>
      <c r="C10" s="51">
        <v>185</v>
      </c>
      <c r="D10" s="9">
        <v>0</v>
      </c>
      <c r="E10" s="21">
        <v>0</v>
      </c>
      <c r="F10" s="22">
        <f t="shared" si="2"/>
        <v>0</v>
      </c>
      <c r="G10" s="23">
        <f t="shared" si="3"/>
        <v>0</v>
      </c>
      <c r="H10" s="52">
        <v>3.31</v>
      </c>
      <c r="I10" s="22">
        <f t="shared" si="4"/>
        <v>1.655</v>
      </c>
      <c r="J10" s="23">
        <f t="shared" si="0"/>
        <v>3674100</v>
      </c>
      <c r="K10" s="17">
        <v>3.83</v>
      </c>
      <c r="L10" s="10">
        <v>2.69</v>
      </c>
      <c r="M10" s="19">
        <v>1.1299999999999999</v>
      </c>
      <c r="N10" s="10">
        <f t="shared" si="5"/>
        <v>2.5533333333333332</v>
      </c>
      <c r="O10" s="11">
        <f t="shared" si="1"/>
        <v>1486040</v>
      </c>
      <c r="P10" s="36">
        <f t="shared" si="6"/>
        <v>2188060</v>
      </c>
      <c r="Q10" s="32">
        <f t="shared" si="7"/>
        <v>1486040</v>
      </c>
    </row>
    <row r="11" spans="1:17" x14ac:dyDescent="0.2">
      <c r="A11" s="8">
        <v>2006</v>
      </c>
      <c r="B11" s="8">
        <v>0</v>
      </c>
      <c r="C11" s="51">
        <v>200</v>
      </c>
      <c r="D11" s="9">
        <v>0</v>
      </c>
      <c r="E11" s="21">
        <v>0</v>
      </c>
      <c r="F11" s="22">
        <f t="shared" si="2"/>
        <v>0</v>
      </c>
      <c r="G11" s="23">
        <f t="shared" si="3"/>
        <v>0</v>
      </c>
      <c r="H11" s="52">
        <v>3.28</v>
      </c>
      <c r="I11" s="22">
        <f t="shared" si="4"/>
        <v>1.64</v>
      </c>
      <c r="J11" s="23">
        <f t="shared" si="0"/>
        <v>3936000</v>
      </c>
      <c r="K11" s="17">
        <v>3.88</v>
      </c>
      <c r="L11" s="10">
        <v>2.74</v>
      </c>
      <c r="M11" s="19">
        <v>1.1499999999999999</v>
      </c>
      <c r="N11" s="10">
        <f t="shared" si="5"/>
        <v>2.5866666666666664</v>
      </c>
      <c r="O11" s="11">
        <f t="shared" si="1"/>
        <v>0</v>
      </c>
      <c r="P11" s="36">
        <f t="shared" si="6"/>
        <v>3936000</v>
      </c>
      <c r="Q11" s="32">
        <f t="shared" si="7"/>
        <v>0</v>
      </c>
    </row>
    <row r="12" spans="1:17" x14ac:dyDescent="0.2">
      <c r="A12" s="8">
        <v>2007</v>
      </c>
      <c r="B12" s="8">
        <v>0</v>
      </c>
      <c r="C12" s="51">
        <v>200</v>
      </c>
      <c r="D12" s="9">
        <v>0</v>
      </c>
      <c r="E12" s="21">
        <v>0</v>
      </c>
      <c r="F12" s="22">
        <f t="shared" si="2"/>
        <v>0</v>
      </c>
      <c r="G12" s="23">
        <f t="shared" si="3"/>
        <v>0</v>
      </c>
      <c r="H12" s="52">
        <v>3.37</v>
      </c>
      <c r="I12" s="22">
        <f t="shared" si="4"/>
        <v>1.6849999999999998</v>
      </c>
      <c r="J12" s="23">
        <f t="shared" si="0"/>
        <v>4043999.9999999991</v>
      </c>
      <c r="K12" s="17">
        <v>3.96</v>
      </c>
      <c r="L12" s="10">
        <v>2.79</v>
      </c>
      <c r="M12" s="19">
        <v>1.17</v>
      </c>
      <c r="N12" s="10">
        <f t="shared" si="5"/>
        <v>2.64</v>
      </c>
      <c r="O12" s="11">
        <f t="shared" si="1"/>
        <v>0</v>
      </c>
      <c r="P12" s="36">
        <f t="shared" si="6"/>
        <v>4043999.9999999991</v>
      </c>
      <c r="Q12" s="32">
        <f t="shared" si="7"/>
        <v>0</v>
      </c>
    </row>
    <row r="13" spans="1:17" ht="13.5" thickBot="1" x14ac:dyDescent="0.25">
      <c r="A13" s="12">
        <v>2008</v>
      </c>
      <c r="B13" s="12">
        <v>0</v>
      </c>
      <c r="C13" s="13">
        <v>200</v>
      </c>
      <c r="D13" s="16">
        <v>0</v>
      </c>
      <c r="E13" s="24">
        <v>0</v>
      </c>
      <c r="F13" s="25">
        <f t="shared" si="2"/>
        <v>0</v>
      </c>
      <c r="G13" s="26">
        <f t="shared" si="3"/>
        <v>0</v>
      </c>
      <c r="H13" s="53">
        <v>3.29</v>
      </c>
      <c r="I13" s="25">
        <f t="shared" si="4"/>
        <v>1.6450000000000002</v>
      </c>
      <c r="J13" s="26">
        <f t="shared" si="0"/>
        <v>3948000.0000000009</v>
      </c>
      <c r="K13" s="18">
        <v>3.9</v>
      </c>
      <c r="L13" s="14">
        <v>2.8</v>
      </c>
      <c r="M13" s="20">
        <v>1.1100000000000001</v>
      </c>
      <c r="N13" s="14">
        <f t="shared" si="5"/>
        <v>2.6</v>
      </c>
      <c r="O13" s="15">
        <f t="shared" si="1"/>
        <v>0</v>
      </c>
      <c r="P13" s="37">
        <f t="shared" si="6"/>
        <v>3948000.0000000009</v>
      </c>
      <c r="Q13" s="33">
        <f t="shared" si="7"/>
        <v>0</v>
      </c>
    </row>
    <row r="14" spans="1:17" x14ac:dyDescent="0.2">
      <c r="P14" s="38"/>
      <c r="Q14" s="39"/>
    </row>
    <row r="15" spans="1:17" x14ac:dyDescent="0.2">
      <c r="F15" s="4" t="s">
        <v>8</v>
      </c>
      <c r="G15" s="27">
        <f>SUM(G6:G13)</f>
        <v>1086300</v>
      </c>
      <c r="I15" s="4" t="s">
        <v>8</v>
      </c>
      <c r="J15" s="27">
        <f>SUM(J6:J13)</f>
        <v>27267900</v>
      </c>
      <c r="O15" s="4" t="s">
        <v>8</v>
      </c>
      <c r="P15" s="40">
        <f>SUM(P6:P13)</f>
        <v>17224520</v>
      </c>
      <c r="Q15" s="41">
        <f>SUM(Q6:Q13)</f>
        <v>11129680</v>
      </c>
    </row>
    <row r="16" spans="1:17" x14ac:dyDescent="0.2">
      <c r="F16" s="4" t="s">
        <v>9</v>
      </c>
      <c r="G16" s="28">
        <v>9.4393589894156374E-2</v>
      </c>
      <c r="H16" s="2"/>
      <c r="I16" s="4" t="s">
        <v>9</v>
      </c>
      <c r="J16" s="28">
        <v>9.4393589894156374E-2</v>
      </c>
      <c r="O16" s="4" t="s">
        <v>9</v>
      </c>
      <c r="P16" s="42">
        <v>9.4393589894156374E-2</v>
      </c>
      <c r="Q16" s="42">
        <v>9.4393589894156374E-2</v>
      </c>
    </row>
    <row r="17" spans="1:17" x14ac:dyDescent="0.2">
      <c r="F17" s="4" t="s">
        <v>15</v>
      </c>
      <c r="G17" s="29">
        <f>NPV(G16,G6:G13)</f>
        <v>893517.43661552621</v>
      </c>
      <c r="I17" s="4" t="s">
        <v>15</v>
      </c>
      <c r="J17" s="29">
        <f>NPV(J16,J6:J13)</f>
        <v>18000000.000002064</v>
      </c>
      <c r="O17" s="4" t="s">
        <v>15</v>
      </c>
      <c r="P17" s="43">
        <f>NPV(P16,P6:P13)</f>
        <v>10551794.844276119</v>
      </c>
      <c r="Q17" s="44">
        <f>NPV(Q16,Q6:Q13)</f>
        <v>8341722.5923414733</v>
      </c>
    </row>
    <row r="19" spans="1:17" ht="13.5" thickBot="1" x14ac:dyDescent="0.25"/>
    <row r="20" spans="1:17" ht="13.5" thickBot="1" x14ac:dyDescent="0.25">
      <c r="A20" s="64" t="s">
        <v>16</v>
      </c>
      <c r="B20" s="65"/>
      <c r="F20" s="45" t="s">
        <v>0</v>
      </c>
      <c r="G20" s="50" t="s">
        <v>14</v>
      </c>
      <c r="L20" s="3"/>
    </row>
    <row r="21" spans="1:17" x14ac:dyDescent="0.2">
      <c r="A21" s="56" t="s">
        <v>10</v>
      </c>
      <c r="B21" s="56">
        <v>48.5</v>
      </c>
      <c r="F21" s="46">
        <v>2001</v>
      </c>
      <c r="G21" s="47">
        <f t="shared" ref="G21:G28" si="8">O6-Q6</f>
        <v>0</v>
      </c>
    </row>
    <row r="22" spans="1:17" x14ac:dyDescent="0.2">
      <c r="A22" s="57" t="s">
        <v>22</v>
      </c>
      <c r="B22" s="57">
        <v>9500</v>
      </c>
      <c r="F22" s="46">
        <v>2002</v>
      </c>
      <c r="G22" s="47">
        <f t="shared" si="8"/>
        <v>2765240</v>
      </c>
      <c r="K22" s="4"/>
    </row>
    <row r="23" spans="1:17" x14ac:dyDescent="0.2">
      <c r="A23" s="57" t="s">
        <v>23</v>
      </c>
      <c r="B23" s="59">
        <v>2</v>
      </c>
      <c r="F23" s="46">
        <v>2003</v>
      </c>
      <c r="G23" s="47">
        <f t="shared" si="8"/>
        <v>2862799.9999999995</v>
      </c>
    </row>
    <row r="24" spans="1:17" x14ac:dyDescent="0.2">
      <c r="A24" s="57" t="s">
        <v>24</v>
      </c>
      <c r="B24" s="59">
        <v>-0.22</v>
      </c>
      <c r="F24" s="46">
        <v>2004</v>
      </c>
      <c r="G24" s="47">
        <f t="shared" si="8"/>
        <v>0</v>
      </c>
      <c r="L24" s="1"/>
    </row>
    <row r="25" spans="1:17" x14ac:dyDescent="0.2">
      <c r="A25" s="57" t="s">
        <v>25</v>
      </c>
      <c r="B25" s="57" t="s">
        <v>18</v>
      </c>
      <c r="F25" s="46">
        <v>2005</v>
      </c>
      <c r="G25" s="47">
        <f t="shared" si="8"/>
        <v>0</v>
      </c>
      <c r="L25" s="1"/>
    </row>
    <row r="26" spans="1:17" x14ac:dyDescent="0.2">
      <c r="A26" s="57" t="s">
        <v>26</v>
      </c>
      <c r="B26" s="59">
        <v>0.1</v>
      </c>
      <c r="F26" s="46">
        <v>2006</v>
      </c>
      <c r="G26" s="47">
        <f t="shared" si="8"/>
        <v>0</v>
      </c>
    </row>
    <row r="27" spans="1:17" ht="13.5" thickBot="1" x14ac:dyDescent="0.25">
      <c r="A27" s="58" t="s">
        <v>17</v>
      </c>
      <c r="B27" s="58"/>
      <c r="F27" s="46">
        <v>2007</v>
      </c>
      <c r="G27" s="47">
        <f t="shared" si="8"/>
        <v>0</v>
      </c>
      <c r="L27" s="1"/>
    </row>
    <row r="28" spans="1:17" ht="13.5" thickBot="1" x14ac:dyDescent="0.25">
      <c r="F28" s="48">
        <v>2008</v>
      </c>
      <c r="G28" s="49">
        <f t="shared" si="8"/>
        <v>0</v>
      </c>
    </row>
    <row r="30" spans="1:17" x14ac:dyDescent="0.2">
      <c r="F30" s="4" t="s">
        <v>8</v>
      </c>
      <c r="G30" s="41">
        <f>SUM(G21:G28)</f>
        <v>5628040</v>
      </c>
    </row>
    <row r="31" spans="1:17" x14ac:dyDescent="0.2">
      <c r="F31" s="4" t="s">
        <v>9</v>
      </c>
      <c r="G31" s="42">
        <v>9.4393589894156374E-2</v>
      </c>
    </row>
    <row r="32" spans="1:17" x14ac:dyDescent="0.2">
      <c r="F32" s="4" t="s">
        <v>15</v>
      </c>
      <c r="G32" s="44">
        <f>NPV(G31,G21:G28)</f>
        <v>4492886.2758482797</v>
      </c>
    </row>
  </sheetData>
  <mergeCells count="3">
    <mergeCell ref="K4:M4"/>
    <mergeCell ref="B4:D4"/>
    <mergeCell ref="A20:B20"/>
  </mergeCells>
  <pageMargins left="0.75" right="0.75" top="1" bottom="1" header="0.5" footer="0.5"/>
  <pageSetup scale="5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Porter</dc:creator>
  <cp:lastModifiedBy>Jan Havlíček</cp:lastModifiedBy>
  <cp:lastPrinted>2000-01-27T21:57:02Z</cp:lastPrinted>
  <dcterms:created xsi:type="dcterms:W3CDTF">2000-01-26T16:01:46Z</dcterms:created>
  <dcterms:modified xsi:type="dcterms:W3CDTF">2023-09-13T22:13:36Z</dcterms:modified>
</cp:coreProperties>
</file>