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readOnlyRecommended="1" userName="Jan Havlíček" reservationPassword="C7D8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07FC455-B91C-4D45-9BCB-492C322B6786}" xr6:coauthVersionLast="47" xr6:coauthVersionMax="47" xr10:uidLastSave="{00000000-0000-0000-0000-000000000000}"/>
  <bookViews>
    <workbookView xWindow="-120" yWindow="-120" windowWidth="38640" windowHeight="15720" tabRatio="910" firstSheet="1" activeTab="2"/>
  </bookViews>
  <sheets>
    <sheet name="Preset Scenarios" sheetId="1" state="hidden" r:id="rId1"/>
    <sheet name="Tracking Sheet" sheetId="16" r:id="rId2"/>
    <sheet name="Assumptions" sheetId="2" r:id="rId3"/>
    <sheet name="Power Price Assumption" sheetId="3" r:id="rId4"/>
    <sheet name="IS" sheetId="4" r:id="rId5"/>
    <sheet name="CF" sheetId="5" r:id="rId6"/>
    <sheet name="Return Analysis" sheetId="21" r:id="rId7"/>
    <sheet name="BS" sheetId="19" r:id="rId8"/>
    <sheet name="Debt" sheetId="6" r:id="rId9"/>
    <sheet name="IDC" sheetId="20" r:id="rId10"/>
    <sheet name="Depreciation" sheetId="7" r:id="rId11"/>
    <sheet name="Taxes" sheetId="8" r:id="rId12"/>
    <sheet name="Hedges" sheetId="22" r:id="rId13"/>
    <sheet name="Reference Sheet" sheetId="18" r:id="rId14"/>
  </sheets>
  <externalReferences>
    <externalReference r:id="rId15"/>
    <externalReference r:id="rId16"/>
    <externalReference r:id="rId17"/>
    <externalReference r:id="rId18"/>
    <externalReference r:id="rId19"/>
  </externalReferences>
  <definedNames>
    <definedName name="AnnualHours">Assumptions!$G$15</definedName>
    <definedName name="Begin_Op">[5]Sum!$N$7</definedName>
    <definedName name="Deg_Rate">Assumptions!$F$12</definedName>
    <definedName name="idc">IDC!$A$1:$I$57</definedName>
    <definedName name="ISO_MW">Assumptions!$I$10</definedName>
    <definedName name="Main_Table">'[2]Maintenance Reserves'!$D$22:$I$45</definedName>
    <definedName name="Maint_Accrual" localSheetId="9">[3]Assumptions!#REF!</definedName>
    <definedName name="Maint_Accrual" localSheetId="6">[3]Assumptions!#REF!</definedName>
    <definedName name="Maint_Accrual">Assumptions!#REF!</definedName>
    <definedName name="NetMW">Assumptions!$I$11</definedName>
    <definedName name="PERIOD1">'[4]Project Assumptions'!#REF!</definedName>
    <definedName name="PERIOD2">'[4]Project Assumptions'!#REF!</definedName>
    <definedName name="principal">'[4]Debt Amortization'!#REF!</definedName>
    <definedName name="_xlnm.Print_Area" localSheetId="2">Assumptions!$A$3:$P$69</definedName>
    <definedName name="_xlnm.Print_Area" localSheetId="7">BS!$A$2:$AG$9</definedName>
    <definedName name="_xlnm.Print_Area" localSheetId="5">CF!$A$2:$AG$49</definedName>
    <definedName name="_xlnm.Print_Area" localSheetId="8">Debt!$A$14:$AF$93</definedName>
    <definedName name="_xlnm.Print_Area" localSheetId="10">Depreciation!$A$2:$AH$46</definedName>
    <definedName name="_xlnm.Print_Area" localSheetId="4">IS!$A$2:$AG$56</definedName>
    <definedName name="_xlnm.Print_Area" localSheetId="0">'Preset Scenarios'!$A$2:$M$30</definedName>
    <definedName name="_xlnm.Print_Area" localSheetId="13">'Reference Sheet'!$A$2:$F$35</definedName>
    <definedName name="_xlnm.Print_Area" localSheetId="6">'Return Analysis'!$A$1:$AB$45</definedName>
    <definedName name="_xlnm.Print_Area" localSheetId="11">Taxes!$A$2:$AF$46</definedName>
    <definedName name="_xlnm.Print_Titles" localSheetId="7">BS!$A:$A</definedName>
    <definedName name="_xlnm.Print_Titles" localSheetId="5">CF!$A:$A</definedName>
    <definedName name="_xlnm.Print_Titles" localSheetId="8">Debt!$A:$A</definedName>
    <definedName name="_xlnm.Print_Titles" localSheetId="10">Depreciation!$A:$A</definedName>
    <definedName name="_xlnm.Print_Titles" localSheetId="4">IS!$A:$A</definedName>
    <definedName name="_xlnm.Print_Titles" localSheetId="3">'Power Price Assumption'!$B:$B</definedName>
    <definedName name="_xlnm.Print_Titles" localSheetId="11">Taxes!$A:$A</definedName>
    <definedName name="StartMWh">'[4]Project Assumptions'!#REF!</definedName>
    <definedName name="Variable" localSheetId="9">[3]Assumptions!#REF!</definedName>
    <definedName name="Variable" localSheetId="6">[3]Assumptions!#REF!</definedName>
    <definedName name="Variable">Assumptions!#REF!</definedName>
    <definedName name="WaterTreatmentVar" localSheetId="9">[3]Assumptions!#REF!</definedName>
    <definedName name="WaterTreatmentVar" localSheetId="6">[3]Assumptions!#REF!</definedName>
    <definedName name="WaterTreatmentVar">Assumptions!#REF!</definedName>
    <definedName name="wrn.test1." localSheetId="6" hidden="1">{"Income Statement",#N/A,FALSE,"CFMODEL";"Balance Sheet",#N/A,FALSE,"CFMODEL"}</definedName>
    <definedName name="wrn.test1." hidden="1">{"Income Statement",#N/A,FALSE,"CFMODEL";"Balance Sheet",#N/A,FALSE,"CFMODEL"}</definedName>
    <definedName name="wrn.test2." localSheetId="6" hidden="1">{"SourcesUses",#N/A,TRUE,"CFMODEL";"TransOverview",#N/A,TRUE,"CFMODEL"}</definedName>
    <definedName name="wrn.test2." hidden="1">{"SourcesUses",#N/A,TRUE,"CFMODEL";"TransOverview",#N/A,TRUE,"CFMODEL"}</definedName>
    <definedName name="wrn.test3." localSheetId="6" hidden="1">{"SourcesUses",#N/A,TRUE,#N/A;"TransOverview",#N/A,TRUE,"CFMODEL"}</definedName>
    <definedName name="wrn.test3." hidden="1">{"SourcesUses",#N/A,TRUE,#N/A;"TransOverview",#N/A,TRUE,"CFMODEL"}</definedName>
    <definedName name="wrn.test4." localSheetId="6" hidden="1">{"SourcesUses",#N/A,TRUE,"FundsFlow";"TransOverview",#N/A,TRUE,"FundsFlow"}</definedName>
    <definedName name="wrn.test4." hidden="1">{"SourcesUses",#N/A,TRUE,"FundsFlow";"TransOverview",#N/A,TRUE,"FundsFlow"}</definedName>
    <definedName name="Z_87D5054C_0AAC_11D2_824B_00A0D1027254_.wvu.PrintArea" localSheetId="9" hidden="1">IDC!$A$2:$G$63</definedName>
  </definedNames>
  <calcPr calcId="0" fullCalcOnLoad="1"/>
</workbook>
</file>

<file path=xl/calcChain.xml><?xml version="1.0" encoding="utf-8"?>
<calcChain xmlns="http://schemas.openxmlformats.org/spreadsheetml/2006/main">
  <c r="O10" i="2" l="1"/>
  <c r="B11" i="2"/>
  <c r="D11" i="2"/>
  <c r="B12" i="2"/>
  <c r="C12" i="2"/>
  <c r="D12" i="2"/>
  <c r="O12" i="2"/>
  <c r="O13" i="2"/>
  <c r="B14" i="2"/>
  <c r="C14" i="2"/>
  <c r="D14" i="2"/>
  <c r="I16" i="2"/>
  <c r="B20" i="2"/>
  <c r="D20" i="2"/>
  <c r="B21" i="2"/>
  <c r="D21" i="2"/>
  <c r="I21" i="2"/>
  <c r="B22" i="2"/>
  <c r="D22" i="2"/>
  <c r="B23" i="2"/>
  <c r="D23" i="2"/>
  <c r="B24" i="2"/>
  <c r="D24" i="2"/>
  <c r="B25" i="2"/>
  <c r="D25" i="2"/>
  <c r="P25" i="2"/>
  <c r="B26" i="2"/>
  <c r="D26" i="2"/>
  <c r="P26" i="2"/>
  <c r="B27" i="2"/>
  <c r="D27" i="2"/>
  <c r="P27" i="2"/>
  <c r="B28" i="2"/>
  <c r="D28" i="2"/>
  <c r="I28" i="2"/>
  <c r="J28" i="2"/>
  <c r="P28" i="2"/>
  <c r="B29" i="2"/>
  <c r="D29" i="2"/>
  <c r="P29" i="2"/>
  <c r="B30" i="2"/>
  <c r="D30" i="2"/>
  <c r="P30" i="2"/>
  <c r="B31" i="2"/>
  <c r="C31" i="2"/>
  <c r="D31" i="2"/>
  <c r="I31" i="2"/>
  <c r="P31" i="2"/>
  <c r="I32" i="2"/>
  <c r="P32" i="2"/>
  <c r="I33" i="2"/>
  <c r="P33" i="2"/>
  <c r="B34" i="2"/>
  <c r="D34" i="2"/>
  <c r="I34" i="2"/>
  <c r="P34" i="2"/>
  <c r="B35" i="2"/>
  <c r="D35" i="2"/>
  <c r="P35" i="2"/>
  <c r="B36" i="2"/>
  <c r="D36" i="2"/>
  <c r="B37" i="2"/>
  <c r="C37" i="2"/>
  <c r="D37" i="2"/>
  <c r="I37" i="2"/>
  <c r="I38" i="2"/>
  <c r="P38" i="2"/>
  <c r="B39" i="2"/>
  <c r="C39" i="2"/>
  <c r="D39" i="2"/>
  <c r="P39" i="2"/>
  <c r="B40" i="2"/>
  <c r="D40" i="2"/>
  <c r="H40" i="2"/>
  <c r="I40" i="2"/>
  <c r="J40" i="2"/>
  <c r="K40" i="2"/>
  <c r="P40" i="2"/>
  <c r="B41" i="2"/>
  <c r="D41" i="2"/>
  <c r="H41" i="2"/>
  <c r="I41" i="2"/>
  <c r="J41" i="2"/>
  <c r="K41" i="2"/>
  <c r="B42" i="2"/>
  <c r="D42" i="2"/>
  <c r="H42" i="2"/>
  <c r="I42" i="2"/>
  <c r="J42" i="2"/>
  <c r="K42" i="2"/>
  <c r="H43" i="2"/>
  <c r="I43" i="2"/>
  <c r="J43" i="2"/>
  <c r="K43" i="2"/>
  <c r="B44" i="2"/>
  <c r="C44" i="2"/>
  <c r="D44" i="2"/>
  <c r="H44" i="2"/>
  <c r="I44" i="2"/>
  <c r="J44" i="2"/>
  <c r="K44" i="2"/>
  <c r="B52" i="2"/>
  <c r="E52" i="2"/>
  <c r="E53" i="2"/>
  <c r="E54" i="2"/>
  <c r="B55" i="2"/>
  <c r="C55" i="2"/>
  <c r="D55" i="2"/>
  <c r="I57" i="2"/>
  <c r="E58" i="2"/>
  <c r="I58" i="2"/>
  <c r="E59" i="2"/>
  <c r="B60" i="2"/>
  <c r="C60" i="2"/>
  <c r="D60" i="2"/>
  <c r="E60" i="2"/>
  <c r="I61" i="2"/>
  <c r="B62" i="2"/>
  <c r="I62" i="2"/>
  <c r="I65" i="2"/>
  <c r="I66" i="2"/>
  <c r="C68" i="2"/>
  <c r="B69" i="2"/>
  <c r="C69" i="2"/>
  <c r="A2" i="19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AC6" i="19"/>
  <c r="AD6" i="19"/>
  <c r="AE6" i="19"/>
  <c r="AF6" i="19"/>
  <c r="AG6" i="19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AB7" i="19"/>
  <c r="AC7" i="19"/>
  <c r="AD7" i="19"/>
  <c r="AE7" i="19"/>
  <c r="AF7" i="19"/>
  <c r="AG7" i="19"/>
  <c r="C8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Z8" i="19"/>
  <c r="AA8" i="19"/>
  <c r="AB8" i="19"/>
  <c r="AC8" i="19"/>
  <c r="AD8" i="19"/>
  <c r="AE8" i="19"/>
  <c r="AF8" i="19"/>
  <c r="AG8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Z19" i="19"/>
  <c r="AA19" i="19"/>
  <c r="AB19" i="19"/>
  <c r="AC19" i="19"/>
  <c r="AD19" i="19"/>
  <c r="AE19" i="19"/>
  <c r="AF19" i="19"/>
  <c r="AG19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X20" i="19"/>
  <c r="Y20" i="19"/>
  <c r="Z20" i="19"/>
  <c r="AA20" i="19"/>
  <c r="AB20" i="19"/>
  <c r="AC20" i="19"/>
  <c r="AD20" i="19"/>
  <c r="AE20" i="19"/>
  <c r="AF20" i="19"/>
  <c r="AG20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V21" i="19"/>
  <c r="W21" i="19"/>
  <c r="X21" i="19"/>
  <c r="Y21" i="19"/>
  <c r="Z21" i="19"/>
  <c r="AA21" i="19"/>
  <c r="AB21" i="19"/>
  <c r="AC21" i="19"/>
  <c r="AD21" i="19"/>
  <c r="AE21" i="19"/>
  <c r="AF21" i="19"/>
  <c r="AG21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Z25" i="19"/>
  <c r="AA25" i="19"/>
  <c r="AB25" i="19"/>
  <c r="AC25" i="19"/>
  <c r="AD25" i="19"/>
  <c r="AE25" i="19"/>
  <c r="AF25" i="19"/>
  <c r="AG25" i="19"/>
  <c r="A2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B38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B43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B49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B64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B71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B78" i="5"/>
  <c r="F5" i="6"/>
  <c r="L5" i="6"/>
  <c r="R5" i="6"/>
  <c r="F6" i="6"/>
  <c r="L6" i="6"/>
  <c r="R6" i="6"/>
  <c r="F7" i="6"/>
  <c r="L7" i="6"/>
  <c r="R7" i="6"/>
  <c r="F8" i="6"/>
  <c r="L8" i="6"/>
  <c r="R8" i="6"/>
  <c r="F9" i="6"/>
  <c r="L9" i="6"/>
  <c r="R9" i="6"/>
  <c r="F10" i="6"/>
  <c r="L10" i="6"/>
  <c r="R10" i="6"/>
  <c r="A14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27" i="6"/>
  <c r="A29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45" i="6"/>
  <c r="A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61" i="6"/>
  <c r="A62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AC64" i="6"/>
  <c r="AD64" i="6"/>
  <c r="AE64" i="6"/>
  <c r="AF64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AC65" i="6"/>
  <c r="AD65" i="6"/>
  <c r="AE65" i="6"/>
  <c r="AF65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AD66" i="6"/>
  <c r="AE66" i="6"/>
  <c r="AF66" i="6"/>
  <c r="A67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AD68" i="6"/>
  <c r="AE68" i="6"/>
  <c r="AF68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AF69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AE70" i="6"/>
  <c r="AF70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AB71" i="6"/>
  <c r="AC71" i="6"/>
  <c r="AD71" i="6"/>
  <c r="AE71" i="6"/>
  <c r="AF71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AA80" i="6"/>
  <c r="AB80" i="6"/>
  <c r="AC80" i="6"/>
  <c r="AD80" i="6"/>
  <c r="AE80" i="6"/>
  <c r="AF80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AD81" i="6"/>
  <c r="AE81" i="6"/>
  <c r="AF81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B86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AE86" i="6"/>
  <c r="AF86" i="6"/>
  <c r="B87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AB89" i="6"/>
  <c r="AC89" i="6"/>
  <c r="AD89" i="6"/>
  <c r="AE89" i="6"/>
  <c r="AF89" i="6"/>
  <c r="B92" i="6"/>
  <c r="B93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Z100" i="6"/>
  <c r="AA100" i="6"/>
  <c r="AB100" i="6"/>
  <c r="AC100" i="6"/>
  <c r="AD100" i="6"/>
  <c r="AE100" i="6"/>
  <c r="AF100" i="6"/>
  <c r="B102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Y102" i="6"/>
  <c r="Z102" i="6"/>
  <c r="AA102" i="6"/>
  <c r="AB102" i="6"/>
  <c r="AC102" i="6"/>
  <c r="AD102" i="6"/>
  <c r="AE102" i="6"/>
  <c r="AF102" i="6"/>
  <c r="B105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AC105" i="6"/>
  <c r="AD105" i="6"/>
  <c r="AE105" i="6"/>
  <c r="AF105" i="6"/>
  <c r="B107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Z107" i="6"/>
  <c r="AA107" i="6"/>
  <c r="AB107" i="6"/>
  <c r="AC107" i="6"/>
  <c r="AD107" i="6"/>
  <c r="AE107" i="6"/>
  <c r="AF107" i="6"/>
  <c r="B110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X110" i="6"/>
  <c r="Y110" i="6"/>
  <c r="Z110" i="6"/>
  <c r="AA110" i="6"/>
  <c r="AB110" i="6"/>
  <c r="AC110" i="6"/>
  <c r="AD110" i="6"/>
  <c r="AE110" i="6"/>
  <c r="AF110" i="6"/>
  <c r="B112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X112" i="6"/>
  <c r="Y112" i="6"/>
  <c r="Z112" i="6"/>
  <c r="AA112" i="6"/>
  <c r="AB112" i="6"/>
  <c r="AC112" i="6"/>
  <c r="AD112" i="6"/>
  <c r="AE112" i="6"/>
  <c r="AF112" i="6"/>
  <c r="B119" i="6"/>
  <c r="B120" i="6"/>
  <c r="B121" i="6"/>
  <c r="A2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D9" i="7"/>
  <c r="B14" i="7"/>
  <c r="B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B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B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B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B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B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B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B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B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B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B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B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B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B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B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B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F6" i="22"/>
  <c r="G6" i="22"/>
  <c r="I6" i="22"/>
  <c r="J6" i="22"/>
  <c r="N6" i="22"/>
  <c r="O6" i="22"/>
  <c r="P6" i="22"/>
  <c r="Q6" i="22"/>
  <c r="B7" i="22"/>
  <c r="F7" i="22"/>
  <c r="G7" i="22"/>
  <c r="I7" i="22"/>
  <c r="J7" i="22"/>
  <c r="N7" i="22"/>
  <c r="O7" i="22"/>
  <c r="P7" i="22"/>
  <c r="Q7" i="22"/>
  <c r="B8" i="22"/>
  <c r="F8" i="22"/>
  <c r="G8" i="22"/>
  <c r="I8" i="22"/>
  <c r="J8" i="22"/>
  <c r="N8" i="22"/>
  <c r="O8" i="22"/>
  <c r="P8" i="22"/>
  <c r="Q8" i="22"/>
  <c r="B9" i="22"/>
  <c r="F9" i="22"/>
  <c r="G9" i="22"/>
  <c r="I9" i="22"/>
  <c r="J9" i="22"/>
  <c r="N9" i="22"/>
  <c r="O9" i="22"/>
  <c r="P9" i="22"/>
  <c r="Q9" i="22"/>
  <c r="B10" i="22"/>
  <c r="F10" i="22"/>
  <c r="G10" i="22"/>
  <c r="I10" i="22"/>
  <c r="J10" i="22"/>
  <c r="N10" i="22"/>
  <c r="O10" i="22"/>
  <c r="P10" i="22"/>
  <c r="Q10" i="22"/>
  <c r="F11" i="22"/>
  <c r="G11" i="22"/>
  <c r="I11" i="22"/>
  <c r="J11" i="22"/>
  <c r="N11" i="22"/>
  <c r="O11" i="22"/>
  <c r="P11" i="22"/>
  <c r="Q11" i="22"/>
  <c r="F12" i="22"/>
  <c r="G12" i="22"/>
  <c r="I12" i="22"/>
  <c r="J12" i="22"/>
  <c r="N12" i="22"/>
  <c r="O12" i="22"/>
  <c r="P12" i="22"/>
  <c r="Q12" i="22"/>
  <c r="F13" i="22"/>
  <c r="G13" i="22"/>
  <c r="I13" i="22"/>
  <c r="J13" i="22"/>
  <c r="N13" i="22"/>
  <c r="O13" i="22"/>
  <c r="P13" i="22"/>
  <c r="Q13" i="22"/>
  <c r="G15" i="22"/>
  <c r="J15" i="22"/>
  <c r="P15" i="22"/>
  <c r="Q15" i="22"/>
  <c r="J16" i="22"/>
  <c r="P16" i="22"/>
  <c r="Q16" i="22"/>
  <c r="G17" i="22"/>
  <c r="J17" i="22"/>
  <c r="P17" i="22"/>
  <c r="Q17" i="22"/>
  <c r="Q20" i="22"/>
  <c r="G21" i="22"/>
  <c r="G22" i="22"/>
  <c r="G23" i="22"/>
  <c r="G24" i="22"/>
  <c r="Q24" i="22"/>
  <c r="G25" i="22"/>
  <c r="G26" i="22"/>
  <c r="G27" i="22"/>
  <c r="G28" i="22"/>
  <c r="G30" i="22"/>
  <c r="G32" i="22"/>
  <c r="D8" i="20"/>
  <c r="D10" i="20"/>
  <c r="D16" i="20"/>
  <c r="G17" i="20"/>
  <c r="C18" i="20"/>
  <c r="E18" i="20"/>
  <c r="B23" i="20"/>
  <c r="C23" i="20"/>
  <c r="E23" i="20"/>
  <c r="F23" i="20"/>
  <c r="G23" i="20"/>
  <c r="H23" i="20"/>
  <c r="I23" i="20"/>
  <c r="A24" i="20"/>
  <c r="C24" i="20"/>
  <c r="E24" i="20"/>
  <c r="F24" i="20"/>
  <c r="G24" i="20"/>
  <c r="H24" i="20"/>
  <c r="I24" i="20"/>
  <c r="A25" i="20"/>
  <c r="C25" i="20"/>
  <c r="E25" i="20"/>
  <c r="F25" i="20"/>
  <c r="G25" i="20"/>
  <c r="H25" i="20"/>
  <c r="I25" i="20"/>
  <c r="A26" i="20"/>
  <c r="C26" i="20"/>
  <c r="E26" i="20"/>
  <c r="F26" i="20"/>
  <c r="G26" i="20"/>
  <c r="H26" i="20"/>
  <c r="I26" i="20"/>
  <c r="A27" i="20"/>
  <c r="C27" i="20"/>
  <c r="E27" i="20"/>
  <c r="F27" i="20"/>
  <c r="G27" i="20"/>
  <c r="H27" i="20"/>
  <c r="I27" i="20"/>
  <c r="A28" i="20"/>
  <c r="C28" i="20"/>
  <c r="D28" i="20"/>
  <c r="E28" i="20"/>
  <c r="F28" i="20"/>
  <c r="G28" i="20"/>
  <c r="H28" i="20"/>
  <c r="I28" i="20"/>
  <c r="A29" i="20"/>
  <c r="C29" i="20"/>
  <c r="D29" i="20"/>
  <c r="F29" i="20"/>
  <c r="G29" i="20"/>
  <c r="H29" i="20"/>
  <c r="I29" i="20"/>
  <c r="A30" i="20"/>
  <c r="C30" i="20"/>
  <c r="F30" i="20"/>
  <c r="G30" i="20"/>
  <c r="H30" i="20"/>
  <c r="I30" i="20"/>
  <c r="A31" i="20"/>
  <c r="C31" i="20"/>
  <c r="F31" i="20"/>
  <c r="G31" i="20"/>
  <c r="H31" i="20"/>
  <c r="I31" i="20"/>
  <c r="A32" i="20"/>
  <c r="C32" i="20"/>
  <c r="F32" i="20"/>
  <c r="G32" i="20"/>
  <c r="H32" i="20"/>
  <c r="I32" i="20"/>
  <c r="A33" i="20"/>
  <c r="C33" i="20"/>
  <c r="F33" i="20"/>
  <c r="G33" i="20"/>
  <c r="H33" i="20"/>
  <c r="I33" i="20"/>
  <c r="A34" i="20"/>
  <c r="C34" i="20"/>
  <c r="F34" i="20"/>
  <c r="G34" i="20"/>
  <c r="H34" i="20"/>
  <c r="I34" i="20"/>
  <c r="A35" i="20"/>
  <c r="C35" i="20"/>
  <c r="F35" i="20"/>
  <c r="G35" i="20"/>
  <c r="H35" i="20"/>
  <c r="I35" i="20"/>
  <c r="A36" i="20"/>
  <c r="C36" i="20"/>
  <c r="F36" i="20"/>
  <c r="G36" i="20"/>
  <c r="H36" i="20"/>
  <c r="I36" i="20"/>
  <c r="A37" i="20"/>
  <c r="C37" i="20"/>
  <c r="F37" i="20"/>
  <c r="G37" i="20"/>
  <c r="H37" i="20"/>
  <c r="I37" i="20"/>
  <c r="A38" i="20"/>
  <c r="C38" i="20"/>
  <c r="F38" i="20"/>
  <c r="G38" i="20"/>
  <c r="H38" i="20"/>
  <c r="I38" i="20"/>
  <c r="A39" i="20"/>
  <c r="C39" i="20"/>
  <c r="F39" i="20"/>
  <c r="G39" i="20"/>
  <c r="H39" i="20"/>
  <c r="I39" i="20"/>
  <c r="A40" i="20"/>
  <c r="C40" i="20"/>
  <c r="F40" i="20"/>
  <c r="G40" i="20"/>
  <c r="H40" i="20"/>
  <c r="I40" i="20"/>
  <c r="A41" i="20"/>
  <c r="C41" i="20"/>
  <c r="F41" i="20"/>
  <c r="G41" i="20"/>
  <c r="H41" i="20"/>
  <c r="I41" i="20"/>
  <c r="A42" i="20"/>
  <c r="C42" i="20"/>
  <c r="F42" i="20"/>
  <c r="G42" i="20"/>
  <c r="H42" i="20"/>
  <c r="I42" i="20"/>
  <c r="B43" i="20"/>
  <c r="D43" i="20"/>
  <c r="E43" i="20"/>
  <c r="F43" i="20"/>
  <c r="E44" i="20"/>
  <c r="F48" i="20"/>
  <c r="E50" i="20"/>
  <c r="F50" i="20"/>
  <c r="C58" i="20"/>
  <c r="E58" i="20"/>
  <c r="F58" i="20"/>
  <c r="C59" i="20"/>
  <c r="E59" i="20"/>
  <c r="F59" i="20"/>
  <c r="C60" i="20"/>
  <c r="E60" i="20"/>
  <c r="F60" i="20"/>
  <c r="C61" i="20"/>
  <c r="E61" i="20"/>
  <c r="F61" i="20"/>
  <c r="C62" i="20"/>
  <c r="E62" i="20"/>
  <c r="F62" i="20"/>
  <c r="C63" i="20"/>
  <c r="E63" i="20"/>
  <c r="F63" i="20"/>
  <c r="C64" i="20"/>
  <c r="E64" i="20"/>
  <c r="F64" i="20"/>
  <c r="C65" i="20"/>
  <c r="E65" i="20"/>
  <c r="F65" i="20"/>
  <c r="C66" i="20"/>
  <c r="E66" i="20"/>
  <c r="F66" i="20"/>
  <c r="C67" i="20"/>
  <c r="E67" i="20"/>
  <c r="F67" i="20"/>
  <c r="C68" i="20"/>
  <c r="E68" i="20"/>
  <c r="F68" i="20"/>
  <c r="C69" i="20"/>
  <c r="E69" i="20"/>
  <c r="F69" i="20"/>
  <c r="A2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B2" i="3"/>
  <c r="B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B23" i="1"/>
  <c r="C23" i="1"/>
  <c r="D23" i="1"/>
  <c r="E23" i="1"/>
  <c r="C28" i="1"/>
  <c r="D28" i="1"/>
  <c r="E28" i="1"/>
  <c r="A2" i="18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Z5" i="21"/>
  <c r="AA5" i="21"/>
  <c r="AB5" i="21"/>
  <c r="AC5" i="21"/>
  <c r="AD5" i="21"/>
  <c r="AE5" i="21"/>
  <c r="AF5" i="21"/>
  <c r="AG5" i="21"/>
  <c r="AH5" i="21"/>
  <c r="AI5" i="21"/>
  <c r="AJ5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Z6" i="21"/>
  <c r="AA6" i="21"/>
  <c r="AB6" i="21"/>
  <c r="AC6" i="21"/>
  <c r="AD6" i="21"/>
  <c r="AE6" i="21"/>
  <c r="AF6" i="21"/>
  <c r="AG6" i="21"/>
  <c r="AH6" i="21"/>
  <c r="AI6" i="21"/>
  <c r="AJ6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Z7" i="21"/>
  <c r="AA7" i="21"/>
  <c r="AB7" i="21"/>
  <c r="AC7" i="21"/>
  <c r="AD7" i="21"/>
  <c r="AE7" i="21"/>
  <c r="AF7" i="21"/>
  <c r="AG7" i="21"/>
  <c r="AH7" i="21"/>
  <c r="AI7" i="21"/>
  <c r="AJ7" i="21"/>
  <c r="F9" i="21"/>
  <c r="G9" i="21"/>
  <c r="H9" i="21"/>
  <c r="I9" i="21"/>
  <c r="J9" i="21"/>
  <c r="K9" i="21"/>
  <c r="L9" i="21"/>
  <c r="M9" i="21"/>
  <c r="N9" i="21"/>
  <c r="O9" i="21"/>
  <c r="P9" i="21"/>
  <c r="Q9" i="21"/>
  <c r="R9" i="21"/>
  <c r="S9" i="21"/>
  <c r="T9" i="21"/>
  <c r="U9" i="21"/>
  <c r="V9" i="21"/>
  <c r="W9" i="21"/>
  <c r="X9" i="21"/>
  <c r="Y9" i="21"/>
  <c r="Z9" i="21"/>
  <c r="AA9" i="21"/>
  <c r="AB9" i="21"/>
  <c r="AC9" i="21"/>
  <c r="AD9" i="21"/>
  <c r="AE9" i="21"/>
  <c r="AF9" i="21"/>
  <c r="AG9" i="21"/>
  <c r="AH9" i="21"/>
  <c r="AI9" i="21"/>
  <c r="AJ9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Z10" i="21"/>
  <c r="AA10" i="21"/>
  <c r="AB10" i="21"/>
  <c r="AC10" i="21"/>
  <c r="AD10" i="21"/>
  <c r="AE10" i="21"/>
  <c r="AF10" i="21"/>
  <c r="AG10" i="21"/>
  <c r="AH10" i="21"/>
  <c r="AI10" i="21"/>
  <c r="AJ10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Z11" i="21"/>
  <c r="AA11" i="21"/>
  <c r="AB11" i="21"/>
  <c r="AC11" i="21"/>
  <c r="AD11" i="21"/>
  <c r="AE11" i="21"/>
  <c r="AF11" i="21"/>
  <c r="AG11" i="21"/>
  <c r="AH11" i="21"/>
  <c r="AI11" i="21"/>
  <c r="AJ11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Z12" i="21"/>
  <c r="AA12" i="21"/>
  <c r="AB12" i="21"/>
  <c r="AC12" i="21"/>
  <c r="AD12" i="21"/>
  <c r="AE12" i="21"/>
  <c r="AF12" i="21"/>
  <c r="AG12" i="21"/>
  <c r="AH12" i="21"/>
  <c r="AI12" i="21"/>
  <c r="AJ12" i="21"/>
  <c r="F15" i="21"/>
  <c r="G15" i="21"/>
  <c r="H15" i="21"/>
  <c r="I15" i="21"/>
  <c r="J15" i="21"/>
  <c r="K15" i="21"/>
  <c r="L15" i="21"/>
  <c r="M15" i="21"/>
  <c r="N15" i="21"/>
  <c r="O15" i="21"/>
  <c r="P15" i="21"/>
  <c r="Q15" i="21"/>
  <c r="R15" i="21"/>
  <c r="S15" i="21"/>
  <c r="T15" i="21"/>
  <c r="U15" i="21"/>
  <c r="V15" i="21"/>
  <c r="W15" i="21"/>
  <c r="AA17" i="21"/>
  <c r="E18" i="21"/>
  <c r="F18" i="21"/>
  <c r="G18" i="21"/>
  <c r="H18" i="21"/>
  <c r="I18" i="21"/>
  <c r="J18" i="21"/>
  <c r="K18" i="21"/>
  <c r="L18" i="21"/>
  <c r="M18" i="21"/>
  <c r="N18" i="21"/>
  <c r="O18" i="21"/>
  <c r="P18" i="21"/>
  <c r="Q18" i="21"/>
  <c r="R18" i="21"/>
  <c r="S18" i="21"/>
  <c r="T18" i="21"/>
  <c r="U18" i="21"/>
  <c r="V18" i="21"/>
  <c r="W18" i="21"/>
  <c r="AA18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AA19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AA21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E26" i="21"/>
  <c r="F27" i="21"/>
  <c r="G27" i="21"/>
  <c r="H27" i="21"/>
  <c r="I27" i="21"/>
  <c r="J27" i="21"/>
  <c r="K27" i="21"/>
  <c r="L27" i="21"/>
  <c r="M27" i="21"/>
  <c r="N27" i="21"/>
  <c r="O27" i="21"/>
  <c r="P27" i="21"/>
  <c r="Q27" i="21"/>
  <c r="R27" i="21"/>
  <c r="S27" i="21"/>
  <c r="T27" i="21"/>
  <c r="U27" i="21"/>
  <c r="V27" i="21"/>
  <c r="W27" i="21"/>
  <c r="E28" i="21"/>
  <c r="F28" i="21"/>
  <c r="G28" i="21"/>
  <c r="H28" i="21"/>
  <c r="I28" i="21"/>
  <c r="J28" i="21"/>
  <c r="K28" i="21"/>
  <c r="L28" i="21"/>
  <c r="M28" i="21"/>
  <c r="N28" i="21"/>
  <c r="O28" i="21"/>
  <c r="P28" i="21"/>
  <c r="Q28" i="21"/>
  <c r="R28" i="21"/>
  <c r="S28" i="21"/>
  <c r="T28" i="21"/>
  <c r="U28" i="21"/>
  <c r="V28" i="21"/>
  <c r="W28" i="21"/>
  <c r="X28" i="21"/>
  <c r="E30" i="21"/>
  <c r="E32" i="21"/>
  <c r="F33" i="21"/>
  <c r="G33" i="21"/>
  <c r="H33" i="21"/>
  <c r="I33" i="21"/>
  <c r="J33" i="21"/>
  <c r="K33" i="21"/>
  <c r="L33" i="21"/>
  <c r="M33" i="21"/>
  <c r="N33" i="21"/>
  <c r="O33" i="21"/>
  <c r="P33" i="21"/>
  <c r="Q33" i="21"/>
  <c r="R33" i="21"/>
  <c r="S33" i="21"/>
  <c r="T33" i="21"/>
  <c r="U33" i="21"/>
  <c r="V33" i="21"/>
  <c r="W33" i="21"/>
  <c r="E34" i="21"/>
  <c r="F34" i="21"/>
  <c r="G34" i="21"/>
  <c r="H34" i="21"/>
  <c r="I34" i="21"/>
  <c r="J34" i="21"/>
  <c r="K34" i="21"/>
  <c r="L34" i="21"/>
  <c r="M34" i="21"/>
  <c r="N34" i="21"/>
  <c r="O34" i="21"/>
  <c r="P34" i="21"/>
  <c r="Q34" i="21"/>
  <c r="R34" i="21"/>
  <c r="S34" i="21"/>
  <c r="T34" i="21"/>
  <c r="U34" i="21"/>
  <c r="V34" i="21"/>
  <c r="W34" i="21"/>
  <c r="X34" i="21"/>
  <c r="E36" i="21"/>
  <c r="E38" i="21"/>
  <c r="F39" i="21"/>
  <c r="G39" i="21"/>
  <c r="H39" i="21"/>
  <c r="I39" i="21"/>
  <c r="J39" i="21"/>
  <c r="K39" i="21"/>
  <c r="L39" i="21"/>
  <c r="M39" i="21"/>
  <c r="N39" i="21"/>
  <c r="O39" i="21"/>
  <c r="P39" i="21"/>
  <c r="Q39" i="21"/>
  <c r="R39" i="21"/>
  <c r="S39" i="21"/>
  <c r="T39" i="21"/>
  <c r="U39" i="21"/>
  <c r="V39" i="21"/>
  <c r="W39" i="21"/>
  <c r="E40" i="21"/>
  <c r="F40" i="21"/>
  <c r="G40" i="21"/>
  <c r="H40" i="21"/>
  <c r="I40" i="21"/>
  <c r="J40" i="21"/>
  <c r="K40" i="21"/>
  <c r="L40" i="21"/>
  <c r="M40" i="21"/>
  <c r="N40" i="21"/>
  <c r="O40" i="21"/>
  <c r="P40" i="21"/>
  <c r="Q40" i="21"/>
  <c r="R40" i="21"/>
  <c r="S40" i="21"/>
  <c r="T40" i="21"/>
  <c r="U40" i="21"/>
  <c r="V40" i="21"/>
  <c r="W40" i="21"/>
  <c r="E42" i="21"/>
  <c r="A2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U22" i="8"/>
  <c r="V22" i="8"/>
  <c r="W22" i="8"/>
  <c r="X22" i="8"/>
  <c r="Y22" i="8"/>
  <c r="Z22" i="8"/>
  <c r="AA22" i="8"/>
  <c r="AB22" i="8"/>
  <c r="AC22" i="8"/>
  <c r="AD22" i="8"/>
  <c r="AE22" i="8"/>
  <c r="AF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V24" i="8"/>
  <c r="W24" i="8"/>
  <c r="X24" i="8"/>
  <c r="Y24" i="8"/>
  <c r="Z24" i="8"/>
  <c r="AA24" i="8"/>
  <c r="AB24" i="8"/>
  <c r="AC24" i="8"/>
  <c r="AD24" i="8"/>
  <c r="AE24" i="8"/>
  <c r="AF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AD44" i="8"/>
  <c r="AE44" i="8"/>
  <c r="AF44" i="8"/>
  <c r="B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2" i="16"/>
  <c r="B10" i="16"/>
  <c r="C10" i="16"/>
</calcChain>
</file>

<file path=xl/comments1.xml><?xml version="1.0" encoding="utf-8"?>
<comments xmlns="http://schemas.openxmlformats.org/spreadsheetml/2006/main">
  <authors>
    <author>Elizabeth McCarthy</author>
  </authors>
  <commentList>
    <comment ref="A7" authorId="0" shapeId="0">
      <text>
        <r>
          <rPr>
            <sz val="8"/>
            <color indexed="81"/>
            <rFont val="Tahoma"/>
            <family val="2"/>
          </rPr>
          <t>This cannot be linked to the assumptions page, it makes the model circular.  Must be INPUT HERE.</t>
        </r>
      </text>
    </comment>
  </commentList>
</comments>
</file>

<file path=xl/sharedStrings.xml><?xml version="1.0" encoding="utf-8"?>
<sst xmlns="http://schemas.openxmlformats.org/spreadsheetml/2006/main" count="608" uniqueCount="440">
  <si>
    <t>PRESET SCENARIOS</t>
  </si>
  <si>
    <t xml:space="preserve">Annual Escalator </t>
  </si>
  <si>
    <t>(include costs, revenues, and capacity prices)</t>
  </si>
  <si>
    <t>Operating Expenses</t>
  </si>
  <si>
    <t>Dispatch</t>
  </si>
  <si>
    <t>Kaiser Capacity Price Estimates</t>
  </si>
  <si>
    <t>DSCR</t>
  </si>
  <si>
    <t>IRR</t>
  </si>
  <si>
    <t>MIN</t>
  </si>
  <si>
    <t>AVG</t>
  </si>
  <si>
    <t>Sensitivity Selections:</t>
  </si>
  <si>
    <t>Choices</t>
  </si>
  <si>
    <t>Annual Escalator (%)</t>
  </si>
  <si>
    <t>Kaiser Price Options</t>
  </si>
  <si>
    <t>Base</t>
  </si>
  <si>
    <t>Low</t>
  </si>
  <si>
    <t>Customize</t>
  </si>
  <si>
    <t>Chosen</t>
  </si>
  <si>
    <t>ASSUMPTIONS &amp; SUMMARY OUTPUT</t>
  </si>
  <si>
    <t>SOURCES &amp; USES:</t>
  </si>
  <si>
    <t>TECHNICAL ASSUMPTIONS:</t>
  </si>
  <si>
    <t>Sources of Funds</t>
  </si>
  <si>
    <t>%</t>
  </si>
  <si>
    <t>000 $</t>
  </si>
  <si>
    <t xml:space="preserve">Total Equity </t>
  </si>
  <si>
    <t>Total Sources</t>
  </si>
  <si>
    <t>Number of Turbines</t>
  </si>
  <si>
    <t>Equity Partner's Share</t>
  </si>
  <si>
    <t>Enron's Share</t>
  </si>
  <si>
    <t>Annual Operating Hours</t>
  </si>
  <si>
    <t>Initial Spare Parts (000$)</t>
  </si>
  <si>
    <t>Tranche 1</t>
  </si>
  <si>
    <t>Tranche 2</t>
  </si>
  <si>
    <t>Tranche 3</t>
  </si>
  <si>
    <t>Total</t>
  </si>
  <si>
    <t>Number of Starts per year</t>
  </si>
  <si>
    <t>Summary</t>
  </si>
  <si>
    <t>Amount ('000 $)</t>
  </si>
  <si>
    <t>Term (yrs)</t>
  </si>
  <si>
    <t>Final Maturity</t>
  </si>
  <si>
    <t>Average Life (yrs)</t>
  </si>
  <si>
    <t>Energy Charge ($/MWh)</t>
  </si>
  <si>
    <t>Treasury Rate (%)</t>
  </si>
  <si>
    <t>Block Charge ($/start/turbine)</t>
  </si>
  <si>
    <t>Spread (%)</t>
  </si>
  <si>
    <t>All In Coupon Rate (%)</t>
  </si>
  <si>
    <t>Debt Service Reserve LOC Fee</t>
  </si>
  <si>
    <t>Interest Income Rate</t>
  </si>
  <si>
    <t>DEPRECIATION ASSUMPTIONS:</t>
  </si>
  <si>
    <t>Market Period Energy Margin ($/MWh)</t>
  </si>
  <si>
    <t>Year</t>
  </si>
  <si>
    <t>Method</t>
  </si>
  <si>
    <t>Residual (%)</t>
  </si>
  <si>
    <t>Federal &amp; State Tax Depreciation</t>
  </si>
  <si>
    <t xml:space="preserve">EPC Costs </t>
  </si>
  <si>
    <t>MACRS</t>
  </si>
  <si>
    <t xml:space="preserve">Transaction Costs </t>
  </si>
  <si>
    <t>SL</t>
  </si>
  <si>
    <t>TAX ASSUMPTIONS:</t>
  </si>
  <si>
    <t>Book Depreciation</t>
  </si>
  <si>
    <t>SUMMARY OUTPUT:</t>
  </si>
  <si>
    <t>OPERATING COSTS ASSUMPTIONS:</t>
  </si>
  <si>
    <t>Min</t>
  </si>
  <si>
    <t>Avg.</t>
  </si>
  <si>
    <t>Fixed O&amp;M</t>
  </si>
  <si>
    <t>Variable O&amp;M</t>
  </si>
  <si>
    <t>Major Maintenance &amp; Ongoing Capex</t>
  </si>
  <si>
    <t>Insurance</t>
  </si>
  <si>
    <t xml:space="preserve">SG&amp;A </t>
  </si>
  <si>
    <t>Utilities, Start Power</t>
  </si>
  <si>
    <t>Admin Fees</t>
  </si>
  <si>
    <t>O&amp;M Fees</t>
  </si>
  <si>
    <t>Custom</t>
  </si>
  <si>
    <t>('000 $)</t>
  </si>
  <si>
    <t>Revenue</t>
  </si>
  <si>
    <t>Energy Margin</t>
  </si>
  <si>
    <t>Total Revenue</t>
  </si>
  <si>
    <t>Expense</t>
  </si>
  <si>
    <t xml:space="preserve">Fuel </t>
  </si>
  <si>
    <t xml:space="preserve">Variable O&amp;M </t>
  </si>
  <si>
    <t>Utility Start Power</t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</si>
  <si>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</si>
  <si>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</si>
  <si>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</si>
  <si>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</si>
  <si>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</si>
  <si>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</si>
  <si>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</si>
  <si>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EBT</t>
  </si>
  <si>
    <t>Book State Tax Benefit / (Expense)</t>
  </si>
  <si>
    <t>Shareholder Fed. Tax Benefit / (Expense)</t>
  </si>
  <si>
    <t>Net Income</t>
  </si>
  <si>
    <t>Pre Tax Cash Flow</t>
  </si>
  <si>
    <t>After Tax Cash Flow</t>
  </si>
  <si>
    <t>EQUITY PARTNER'S CASHFLOW</t>
  </si>
  <si>
    <t xml:space="preserve"> Equity Partner's State Taxes Benefit (Expense)</t>
  </si>
  <si>
    <t xml:space="preserve"> Equity Partner's Federal Taxes Benefit (Expense)</t>
  </si>
  <si>
    <t>Equity Contributions from Equity Partner</t>
  </si>
  <si>
    <t>Net CF</t>
  </si>
  <si>
    <t>Equity Partner's After-Tax IRR w/ 5x EBITDA Residual (20 yr.)</t>
  </si>
  <si>
    <t>Spread</t>
  </si>
  <si>
    <t xml:space="preserve">Spread </t>
  </si>
  <si>
    <t>All In Coupon Rate</t>
  </si>
  <si>
    <t>Total amount ($ '000)</t>
  </si>
  <si>
    <t>Annual Amortization Tranche 1</t>
  </si>
  <si>
    <t>Annual Amortization Tranche 2</t>
  </si>
  <si>
    <t>Annual Amortization Tranche 3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</si>
  <si>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</si>
  <si>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</si>
  <si>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</si>
  <si>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</si>
  <si>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</si>
  <si>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DSCR Fixed Price PPA Period</t>
  </si>
  <si>
    <t>US FEDERAL TAX DEPRECIATION &amp; AMORTIZATION</t>
  </si>
  <si>
    <t>Years</t>
  </si>
  <si>
    <t>Total Hard Costs, Capitalized Interests, and Contingency- MACRS</t>
  </si>
  <si>
    <t>Transaction Costs</t>
  </si>
  <si>
    <t>Total Hard Costs and Capitalized Interests (Land not included)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</si>
  <si>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</si>
  <si>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</si>
  <si>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</si>
  <si>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</si>
  <si>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</si>
  <si>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Total Hard Costs, Capitalized Interests, and Contingency- SL</t>
  </si>
  <si>
    <t>Ending Book Value of Assets</t>
  </si>
  <si>
    <t>STATE TAXES</t>
  </si>
  <si>
    <t>State Income Taxes</t>
  </si>
  <si>
    <t xml:space="preserve">   Pretax Book Income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</si>
  <si>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</si>
  <si>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</si>
  <si>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</si>
  <si>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Current State Income Tax Expense (Benefit)</t>
  </si>
  <si>
    <t xml:space="preserve">   Beginning NOL's</t>
  </si>
  <si>
    <t xml:space="preserve">   New NOL's</t>
  </si>
  <si>
    <t xml:space="preserve">   Expired NOL's</t>
  </si>
  <si>
    <t xml:space="preserve">   NOL Utilization</t>
  </si>
  <si>
    <t xml:space="preserve">   Ending NOL's</t>
  </si>
  <si>
    <t>TOTAL STATE TAXES</t>
  </si>
  <si>
    <t xml:space="preserve">        Total State Taxes Utilizing NOLs</t>
  </si>
  <si>
    <t>FEDERAL TAXES</t>
  </si>
  <si>
    <t xml:space="preserve">   Less: Federal Tax Depreciation</t>
  </si>
  <si>
    <t xml:space="preserve">   Less: State Taxes</t>
  </si>
  <si>
    <t xml:space="preserve">   Taxable Income</t>
  </si>
  <si>
    <t xml:space="preserve">   Federal Tax Rate</t>
  </si>
  <si>
    <t xml:space="preserve">   Federal Tax Expense/ (Benefit)</t>
  </si>
  <si>
    <t xml:space="preserve">   NOL Carryforward</t>
  </si>
  <si>
    <t xml:space="preserve">   Total Federal Cash Taxes Payable/(Benefit)</t>
  </si>
  <si>
    <t>Less Interest Payments</t>
  </si>
  <si>
    <t>Less Principal Payments</t>
  </si>
  <si>
    <t>Average Life</t>
  </si>
  <si>
    <t>Cash Principal Payments</t>
  </si>
  <si>
    <t>Plus Capitalized Interest</t>
  </si>
  <si>
    <t>Current (Annual)</t>
  </si>
  <si>
    <t>Unhide Sub Debt, 1999 Columns</t>
  </si>
  <si>
    <t xml:space="preserve">Debt Issued </t>
  </si>
  <si>
    <t xml:space="preserve">     Less Capitalized Interest</t>
  </si>
  <si>
    <t>ANNUAL CASH FLOW AND IRR</t>
  </si>
  <si>
    <t>Equity Closed</t>
  </si>
  <si>
    <t>Debt Issuance</t>
  </si>
  <si>
    <t>Increase in Op Exp (%)</t>
  </si>
  <si>
    <t>EQUITY PARTNER'S</t>
  </si>
  <si>
    <t>CHANGES</t>
  </si>
  <si>
    <t>DATE</t>
  </si>
  <si>
    <t>Equity Returns</t>
  </si>
  <si>
    <t>Key Stats</t>
  </si>
  <si>
    <t xml:space="preserve">Average DSCR </t>
  </si>
  <si>
    <t>Minimum DSCR</t>
  </si>
  <si>
    <t>Escalated Costs:</t>
  </si>
  <si>
    <t>Non-Escalated Costs:</t>
  </si>
  <si>
    <t xml:space="preserve">Property Taxes &amp; Other </t>
  </si>
  <si>
    <t>Evaporative Cooler (MW)</t>
  </si>
  <si>
    <t>Consultant Capacity Price Escalator</t>
  </si>
  <si>
    <t>Consultant Real $</t>
  </si>
  <si>
    <t>Consultant Nominal $</t>
  </si>
  <si>
    <t>Base ($/kw-year )</t>
  </si>
  <si>
    <t>Low ($/kw-year)</t>
  </si>
  <si>
    <t>Base ($/kw-year)</t>
  </si>
  <si>
    <t>Base ($/kW-month)</t>
  </si>
  <si>
    <t>Low ($/kW-month)</t>
  </si>
  <si>
    <t>PLEASE TRACK</t>
  </si>
  <si>
    <t>Power Desk</t>
  </si>
  <si>
    <t>(Months)</t>
  </si>
  <si>
    <t>PROJECT DESCRIPTION:</t>
  </si>
  <si>
    <t>Turbine Rating</t>
  </si>
  <si>
    <t>Heat Rate (HHV)</t>
  </si>
  <si>
    <t>Percentage of Peak Run Time</t>
  </si>
  <si>
    <t>Assessd Value Multiplier</t>
  </si>
  <si>
    <t>Demand Charge ($/kW-mo)</t>
  </si>
  <si>
    <t>PPA ASSUMPTIONS:</t>
  </si>
  <si>
    <t>PPA Start Date</t>
  </si>
  <si>
    <t>PPA Temination</t>
  </si>
  <si>
    <t>CAPACITY PRICE ASSUMPTIONS</t>
  </si>
  <si>
    <t>INCOME STATEMENT</t>
  </si>
  <si>
    <t>DEBT ISSUANCE</t>
  </si>
  <si>
    <t>DEPRECIATION SCHEDULE</t>
  </si>
  <si>
    <t>TAXES</t>
  </si>
  <si>
    <t>Principal Repayments</t>
  </si>
  <si>
    <t>Amortization Option</t>
  </si>
  <si>
    <t>Time Factor</t>
  </si>
  <si>
    <t xml:space="preserve">   State Income Tax Rate</t>
  </si>
  <si>
    <t>Plus: Supplemental Tax</t>
  </si>
  <si>
    <t>PROJECT CASH FLOW</t>
  </si>
  <si>
    <t>Equity Partner's Cashflow with No Residual</t>
  </si>
  <si>
    <t>20 Yrs After-Tax Cashflow &amp; w/o Residual Value</t>
  </si>
  <si>
    <t>EBITDA (000 $)</t>
  </si>
  <si>
    <t>Net Income (000 $)</t>
  </si>
  <si>
    <t>Pre-Tax Cashflow (000 $)</t>
  </si>
  <si>
    <t>After-Tax Cashflow (000 $)</t>
  </si>
  <si>
    <t>Financing Costs:</t>
  </si>
  <si>
    <t xml:space="preserve">  Financing Fee</t>
  </si>
  <si>
    <t xml:space="preserve">  Debt Reserves</t>
  </si>
  <si>
    <t xml:space="preserve">  Contingency</t>
  </si>
  <si>
    <t>Total Uses</t>
  </si>
  <si>
    <t>Uses of Funds</t>
  </si>
  <si>
    <t xml:space="preserve">  Legal Fees</t>
  </si>
  <si>
    <t xml:space="preserve">  Capitalized Interests</t>
  </si>
  <si>
    <t>Type of Turbine</t>
  </si>
  <si>
    <t>Project Life (Years)</t>
  </si>
  <si>
    <t>Start of Commercial Operation</t>
  </si>
  <si>
    <t>End of Commercial Operation</t>
  </si>
  <si>
    <t xml:space="preserve">  Land</t>
  </si>
  <si>
    <t>Sub Total</t>
  </si>
  <si>
    <t xml:space="preserve">  Turbine</t>
  </si>
  <si>
    <t xml:space="preserve">  BOP</t>
  </si>
  <si>
    <t xml:space="preserve">  Pipeline</t>
  </si>
  <si>
    <t xml:space="preserve">  Power Interconnection</t>
  </si>
  <si>
    <t xml:space="preserve">  SCR</t>
  </si>
  <si>
    <t xml:space="preserve">  Dual Fuel </t>
  </si>
  <si>
    <t xml:space="preserve">  Black Start</t>
  </si>
  <si>
    <t xml:space="preserve">  Gas Compression to 700 PSI</t>
  </si>
  <si>
    <t xml:space="preserve">  Demineralized Water Facility</t>
  </si>
  <si>
    <t xml:space="preserve">  Chillers</t>
  </si>
  <si>
    <t xml:space="preserve">  Spare Parts</t>
  </si>
  <si>
    <t>DEBT</t>
  </si>
  <si>
    <t>EQUITY</t>
  </si>
  <si>
    <t>20 Yrs After-Tax Cashflow &amp; w Residual Value</t>
  </si>
  <si>
    <t>FINANCING ASSUMPTIONS:</t>
  </si>
  <si>
    <t>No. of Years</t>
  </si>
  <si>
    <t>Market Price Period</t>
  </si>
  <si>
    <t xml:space="preserve">  Fixed Price Period</t>
  </si>
  <si>
    <t xml:space="preserve">  Market Price Period</t>
  </si>
  <si>
    <t>LM6000</t>
  </si>
  <si>
    <t>Block Payment</t>
  </si>
  <si>
    <t>Market Period:</t>
  </si>
  <si>
    <t>Fixed Price Period:</t>
  </si>
  <si>
    <t>Capacity Revenue</t>
  </si>
  <si>
    <t>Energy Revenue</t>
  </si>
  <si>
    <t>Variable Energy Revenue</t>
  </si>
  <si>
    <t>Ancillary Services</t>
  </si>
  <si>
    <t>Fees</t>
  </si>
  <si>
    <t>Market Price Scenario</t>
  </si>
  <si>
    <t>Capacity Factor (%)</t>
  </si>
  <si>
    <t>Degradation Factor (%)</t>
  </si>
  <si>
    <t>Net Generation (MW)</t>
  </si>
  <si>
    <t>FIXED PRICE PERIOD</t>
  </si>
  <si>
    <t>AVGE</t>
  </si>
  <si>
    <t xml:space="preserve">Current </t>
  </si>
  <si>
    <t>TRACKING SHEET</t>
  </si>
  <si>
    <t>Changes</t>
  </si>
  <si>
    <t>Degraded Capacity (MW)</t>
  </si>
  <si>
    <t>000 $/kW</t>
  </si>
  <si>
    <t>$/MW</t>
  </si>
  <si>
    <t>Fuel</t>
  </si>
  <si>
    <t>Debt Service Reserve Fee</t>
  </si>
  <si>
    <t>EPC</t>
  </si>
  <si>
    <t>Soft Cost &amp; Other Misc Project Cost</t>
  </si>
  <si>
    <t>Cost Summary</t>
  </si>
  <si>
    <t>000$/ MW</t>
  </si>
  <si>
    <t>Residual Value</t>
  </si>
  <si>
    <t>Equity Partner's Cashflow with Residual Value</t>
  </si>
  <si>
    <t>IRR WITH NO</t>
  </si>
  <si>
    <t>RESIDUAL VALUE</t>
  </si>
  <si>
    <t xml:space="preserve">IRR WITH </t>
  </si>
  <si>
    <t>PROJECT NAME: LINCOLN</t>
  </si>
  <si>
    <t>Treasury Rate as of:</t>
  </si>
  <si>
    <t>EBITDA Exit Multiple</t>
  </si>
  <si>
    <t>Maximum DSR Amount (000 $)</t>
  </si>
  <si>
    <t>(months/year)</t>
  </si>
  <si>
    <t>Site Condition (MW)</t>
  </si>
  <si>
    <t>Net Output before Degradation (MW)</t>
  </si>
  <si>
    <t>Cost per Start (000$)</t>
  </si>
  <si>
    <t>000$</t>
  </si>
  <si>
    <t>CPI Escalator (%)</t>
  </si>
  <si>
    <t>Federal Income Tax Rate (%)</t>
  </si>
  <si>
    <t>State Income Tax Rate (%)</t>
  </si>
  <si>
    <t>Franchise Tax Rate (%)</t>
  </si>
  <si>
    <t>Gross Receipt Tax Rate (%)</t>
  </si>
  <si>
    <t>Annual Property Tax Rate (%)</t>
  </si>
  <si>
    <t>Milage Rate for School Tax (%)</t>
  </si>
  <si>
    <t>Assessd Value Based on SL Depreciation (yrs)</t>
  </si>
  <si>
    <t>Years of School Tax Abatement (yrs)</t>
  </si>
  <si>
    <t>Years of County Tax Abatement (yrs)</t>
  </si>
  <si>
    <t>Years of City Tax Abatement (yrs)</t>
  </si>
  <si>
    <t>Milage Rate for City Tax (%)</t>
  </si>
  <si>
    <t>Milage Rate for County Tax (%)</t>
  </si>
  <si>
    <t>(To be linked to Dispatch Model)</t>
  </si>
  <si>
    <t>Financial Close</t>
  </si>
  <si>
    <t>REFERENCE SHEET</t>
  </si>
  <si>
    <t xml:space="preserve">Information </t>
  </si>
  <si>
    <t>Source</t>
  </si>
  <si>
    <t>Date</t>
  </si>
  <si>
    <t>No.</t>
  </si>
  <si>
    <t>Start of Construction</t>
  </si>
  <si>
    <t>No. of Months in the 1st Operating year</t>
  </si>
  <si>
    <t>ENRON'S EQUITY CASHFLOW</t>
  </si>
  <si>
    <t xml:space="preserve"> Enron's State Taxes Benefit (Expense)</t>
  </si>
  <si>
    <t xml:space="preserve"> Enron's Federal Taxes Benefit (Expense)</t>
  </si>
  <si>
    <t>Equity Contributions from Enron</t>
  </si>
  <si>
    <t>Enron's Cashflow with No Residual</t>
  </si>
  <si>
    <t>Equity CF</t>
  </si>
  <si>
    <t>Other CF</t>
  </si>
  <si>
    <t>Total CF</t>
  </si>
  <si>
    <t xml:space="preserve">  State Tax Benefit / (Expense)</t>
  </si>
  <si>
    <t xml:space="preserve">  Federal Tax Benefit / (Expense)</t>
  </si>
  <si>
    <t>Other Cashflow</t>
  </si>
  <si>
    <t>Custom 1</t>
  </si>
  <si>
    <t xml:space="preserve">Term </t>
  </si>
  <si>
    <t xml:space="preserve">Average Life </t>
  </si>
  <si>
    <t>Treasury</t>
  </si>
  <si>
    <t>Period 1</t>
  </si>
  <si>
    <t>Period 2</t>
  </si>
  <si>
    <t>Interest Expense</t>
  </si>
  <si>
    <t>Principal Payments</t>
  </si>
  <si>
    <t>Tranche 1 Debt Service</t>
  </si>
  <si>
    <t>Tranche 2  Debt Service</t>
  </si>
  <si>
    <t>Tranche 3 Debt Service</t>
  </si>
  <si>
    <t>Total Interest Expense</t>
  </si>
  <si>
    <r>
      <t xml:space="preserve">EPC </t>
    </r>
    <r>
      <rPr>
        <sz val="12"/>
        <color indexed="10"/>
        <rFont val="Times New Roman"/>
        <family val="1"/>
      </rPr>
      <t>(From Cost Configuration Model)</t>
    </r>
    <r>
      <rPr>
        <sz val="12"/>
        <rFont val="Times New Roman"/>
        <family val="1"/>
      </rPr>
      <t>:</t>
    </r>
  </si>
  <si>
    <t>Salvage Value</t>
  </si>
  <si>
    <t>BALANCE SHEET</t>
  </si>
  <si>
    <t>Assets</t>
  </si>
  <si>
    <t>Cash</t>
  </si>
  <si>
    <t>Accounts Receivable</t>
  </si>
  <si>
    <t>Inventories</t>
  </si>
  <si>
    <t>Other Current Assets</t>
  </si>
  <si>
    <t>Debt Service Reserve</t>
  </si>
  <si>
    <t>Maintenance Reserve</t>
  </si>
  <si>
    <t>Total Current Assets</t>
  </si>
  <si>
    <t>Gross PP&amp;E</t>
  </si>
  <si>
    <t>Accumulated Depreciation</t>
  </si>
  <si>
    <t>Net PP&amp;E</t>
  </si>
  <si>
    <t>Land</t>
  </si>
  <si>
    <t>Other Assets</t>
  </si>
  <si>
    <t>Total Assets</t>
  </si>
  <si>
    <t>Liabilities</t>
  </si>
  <si>
    <t>Accounts Payable</t>
  </si>
  <si>
    <t>Accrued Expenses</t>
  </si>
  <si>
    <t>Deferred Tax Liability</t>
  </si>
  <si>
    <t>Working Capital Revolver</t>
  </si>
  <si>
    <t>Long Term Debt</t>
  </si>
  <si>
    <t>Other Non-Current Liabilities</t>
  </si>
  <si>
    <t>Total Long-term Liabilities</t>
  </si>
  <si>
    <t>Stockholders' Equity</t>
  </si>
  <si>
    <t>Paid-In-Capital</t>
  </si>
  <si>
    <t>Retained earnings</t>
  </si>
  <si>
    <t>Total stockholders' equity</t>
  </si>
  <si>
    <t>Total Liabilities &amp; Equity</t>
  </si>
  <si>
    <t>Proof</t>
  </si>
  <si>
    <t>Property, Other Tax</t>
  </si>
  <si>
    <t xml:space="preserve">   Mobilization Ezpenses</t>
  </si>
  <si>
    <t>Interest During Construction Calculations</t>
  </si>
  <si>
    <t>CARRYING COST OF TURBINES, TRANSFORMERS AND CIRCUIT BREAKERS</t>
  </si>
  <si>
    <t>Base Rate</t>
  </si>
  <si>
    <t>Term (Months)</t>
  </si>
  <si>
    <t>Monthly Rate</t>
  </si>
  <si>
    <t>Calculated IDC</t>
  </si>
  <si>
    <t>Construction Start Date</t>
  </si>
  <si>
    <t>Month</t>
  </si>
  <si>
    <t>Percentage Drawn</t>
  </si>
  <si>
    <t>Turbine Cost</t>
  </si>
  <si>
    <t>Other Cost of Construction</t>
  </si>
  <si>
    <t>Principal</t>
  </si>
  <si>
    <t>Outstanding Balance</t>
  </si>
  <si>
    <t>Monthly Interest</t>
  </si>
  <si>
    <t>Cumulative Interest</t>
  </si>
  <si>
    <t>Turbine Cost of Carry</t>
  </si>
  <si>
    <t>Cost of 1 Turbine</t>
  </si>
  <si>
    <t>Cost of Capital for WLB</t>
  </si>
  <si>
    <t>='LIBOR+5/8</t>
  </si>
  <si>
    <t>Annual</t>
  </si>
  <si>
    <t>Daily</t>
  </si>
  <si>
    <t>Turbines to be delivered</t>
  </si>
  <si>
    <t>$ per turbine</t>
  </si>
  <si>
    <t>PV At Delivery</t>
  </si>
  <si>
    <t>FUEL PRICE ASSUMPTIONS</t>
  </si>
  <si>
    <t>Gas Price MMBtu</t>
  </si>
  <si>
    <t>Base ($/MMBtu)</t>
  </si>
  <si>
    <t>Low ($/MMBtu)</t>
  </si>
  <si>
    <t>Basis Adj.</t>
  </si>
  <si>
    <t>Project Name: Lincoln</t>
  </si>
  <si>
    <t>Fuel Expense Pass Through Plug</t>
  </si>
  <si>
    <t>Lincoln Fixed Price Period</t>
  </si>
  <si>
    <t>Cash Taxes</t>
  </si>
  <si>
    <t>Capital Expenditures</t>
  </si>
  <si>
    <t>Cash Flow to Equity</t>
  </si>
  <si>
    <t>END OF PPA ANALYSIS ($000)</t>
  </si>
  <si>
    <t>Equity RROR</t>
  </si>
  <si>
    <t>Beginning Plant Value</t>
  </si>
  <si>
    <t>Beginning Equity Investment</t>
  </si>
  <si>
    <t>Target Coupon</t>
  </si>
  <si>
    <t>Remaining Equity Exposure</t>
  </si>
  <si>
    <t>Actual Cash Flow</t>
  </si>
  <si>
    <t>Remaining Equity Exposure as</t>
  </si>
  <si>
    <t>Paydown</t>
  </si>
  <si>
    <t>a percent of Original Cost</t>
  </si>
  <si>
    <t>20% of Original Cost</t>
  </si>
  <si>
    <t>Equity Return</t>
  </si>
  <si>
    <t>Total Cash Flow</t>
  </si>
  <si>
    <t>EBITDA Multiple</t>
  </si>
  <si>
    <t>Zero Residual Value</t>
  </si>
  <si>
    <t>Project Lincoln</t>
  </si>
  <si>
    <t xml:space="preserve">Hedge of Lincoln and OPPD Contracts </t>
  </si>
  <si>
    <t>Capacity</t>
  </si>
  <si>
    <t>Turbine</t>
  </si>
  <si>
    <t>OPPD Contract</t>
  </si>
  <si>
    <t>LES Contract</t>
  </si>
  <si>
    <t>LES</t>
  </si>
  <si>
    <t>Annualized</t>
  </si>
  <si>
    <t>Value</t>
  </si>
  <si>
    <t>OPPD</t>
  </si>
  <si>
    <t>Intrinsic</t>
  </si>
  <si>
    <t>Extrinsic</t>
  </si>
  <si>
    <t>OPPD Value after Hedge</t>
  </si>
  <si>
    <t>Value Captured</t>
  </si>
  <si>
    <t>Nomial Total</t>
  </si>
  <si>
    <t>Discount</t>
  </si>
  <si>
    <t>NPV Total</t>
  </si>
  <si>
    <t>LM Assumptions</t>
  </si>
  <si>
    <t>Additional Revenue</t>
  </si>
  <si>
    <t xml:space="preserve">HR </t>
  </si>
  <si>
    <t xml:space="preserve">Basis </t>
  </si>
  <si>
    <t xml:space="preserve">Gas </t>
  </si>
  <si>
    <t>NNG/TOK</t>
  </si>
  <si>
    <t>Transport</t>
  </si>
  <si>
    <t>Southern MAPP</t>
  </si>
  <si>
    <t>Nominal Total</t>
  </si>
  <si>
    <t xml:space="preserve">VOM </t>
  </si>
  <si>
    <t>Delta from Plants</t>
  </si>
  <si>
    <t xml:space="preserve"> Net Value Saved</t>
  </si>
  <si>
    <t>Value from NNG Contract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</si>
</sst>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0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90" formatCode="0.000"/>
    <numFmt numFmtId="194" formatCode="_(* #,##0.0000_);_(* \(#,##0.0000\);_(* &quot;-&quot;??_);_(@_)"/>
    <numFmt numFmtId="201" formatCode="_(&quot;$&quot;* #,##0.000_);_(&quot;$&quot;* \(#,##0.000\);_(&quot;$&quot;* &quot;-&quot;??_);_(@_)"/>
    <numFmt numFmtId="204" formatCode="#,##0.0_);[Red]\(#,##0.0\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51" formatCode="_(* #,##0.00000_);_(* \(#,##0.00000\);_(* &quot;-&quot;??_);_(@_)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21" formatCode="mm/dd/yy"/>
    <numFmt numFmtId="322" formatCode="m/d/yy"/>
    <numFmt numFmtId="333" formatCode="#,##0.0000000_);[Red]\(#,##0.0000000\)"/>
    <numFmt numFmtId="334" formatCode="#,##0.00000000_);[Red]\(#,##0.00000000\)"/>
    <numFmt numFmtId="335" formatCode="General_)"/>
    <numFmt numFmtId="336" formatCode="dd\-mmm_)"/>
    <numFmt numFmtId="337" formatCode="mmm\-dd"/>
    <numFmt numFmtId="338" formatCode="#,##0;\(#,##0\)"/>
    <numFmt numFmtId="339" formatCode="&quot;$&quot;#,##0;\(&quot;$&quot;#,##0\)"/>
    <numFmt numFmtId="340" formatCode="##0.000\ \¢"/>
    <numFmt numFmtId="341" formatCode="0.000E+00_)"/>
    <numFmt numFmtId="342" formatCode="&quot;$&quot;#,##0.0000000_);\(&quot;$&quot;#,##0.0000000\)"/>
    <numFmt numFmtId="343" formatCode="0.000000000"/>
    <numFmt numFmtId="344" formatCode="0.0000000000"/>
    <numFmt numFmtId="347" formatCode="&quot;$&quot;#,##0.000000000_);\(&quot;$&quot;#,##0.000000000\)"/>
    <numFmt numFmtId="348" formatCode="&quot;$&quot;#,##0.0000000000_);\(&quot;$&quot;#,##0.0000000000\)"/>
    <numFmt numFmtId="349" formatCode="&quot;$&quot;#,##0.000000_);[Red]\(&quot;$&quot;#,##0.000000\)"/>
    <numFmt numFmtId="350" formatCode="&quot;$&quot;#,##0.0000000_);[Red]\(&quot;$&quot;#,##0.0000000\)"/>
    <numFmt numFmtId="352" formatCode="0.0000000_)"/>
    <numFmt numFmtId="354" formatCode="0.000000000_)"/>
    <numFmt numFmtId="355" formatCode="#,##0.0000000000_);[Red]\(#,##0.0000000000\)"/>
    <numFmt numFmtId="356" formatCode="0.0E+00"/>
    <numFmt numFmtId="357" formatCode="0E+00"/>
  </numFmts>
  <fonts count="124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b/>
      <sz val="10"/>
      <name val="Arial"/>
      <family val="2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b/>
      <i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sz val="10"/>
      <color indexed="12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sz val="16"/>
      <name val="Times New Roman"/>
      <family val="1"/>
    </font>
    <font>
      <b/>
      <u/>
      <sz val="12"/>
      <name val="Times New Roman"/>
      <family val="1"/>
    </font>
    <font>
      <b/>
      <u/>
      <sz val="12"/>
      <color indexed="8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b/>
      <sz val="12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i/>
      <sz val="10"/>
      <color indexed="10"/>
      <name val="Times New Roman"/>
      <family val="1"/>
    </font>
    <font>
      <i/>
      <u/>
      <sz val="10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0"/>
      <color indexed="9"/>
      <name val="Times New Roman"/>
      <family val="1"/>
    </font>
    <font>
      <b/>
      <i/>
      <sz val="12"/>
      <name val="Times New Roman"/>
      <family val="1"/>
    </font>
    <font>
      <b/>
      <sz val="20"/>
      <name val="Times New Roman"/>
      <family val="1"/>
    </font>
    <font>
      <u/>
      <sz val="12"/>
      <name val="Times New Roman"/>
      <family val="1"/>
    </font>
    <font>
      <sz val="12"/>
      <color indexed="10"/>
      <name val="Times New Roman"/>
      <family val="1"/>
    </font>
    <font>
      <b/>
      <sz val="12"/>
      <color indexed="12"/>
      <name val="Times New Roman"/>
      <family val="1"/>
    </font>
    <font>
      <sz val="12"/>
      <color indexed="8"/>
      <name val="Times New Roman"/>
      <family val="1"/>
    </font>
    <font>
      <b/>
      <u/>
      <sz val="14"/>
      <name val="Times New Roman"/>
      <family val="1"/>
    </font>
    <font>
      <i/>
      <u/>
      <sz val="12"/>
      <name val="Times New Roman"/>
      <family val="1"/>
    </font>
    <font>
      <b/>
      <sz val="10"/>
      <color indexed="20"/>
      <name val="Arial"/>
      <family val="2"/>
    </font>
    <font>
      <sz val="12"/>
      <name val="Times New Roman"/>
    </font>
    <font>
      <b/>
      <sz val="12"/>
      <color indexed="8"/>
      <name val="Times New Roman"/>
      <family val="1"/>
    </font>
    <font>
      <b/>
      <sz val="18"/>
      <color indexed="10"/>
      <name val="Times New Roman"/>
      <family val="1"/>
    </font>
    <font>
      <b/>
      <u/>
      <sz val="12"/>
      <color indexed="12"/>
      <name val="Times New Roman"/>
      <family val="1"/>
    </font>
    <font>
      <b/>
      <sz val="10"/>
      <color indexed="12"/>
      <name val="Times New Roman"/>
      <family val="1"/>
    </font>
    <font>
      <i/>
      <sz val="12"/>
      <name val="Times New Roman"/>
      <family val="1"/>
    </font>
    <font>
      <i/>
      <sz val="10"/>
      <name val="Arial"/>
      <family val="2"/>
    </font>
    <font>
      <b/>
      <sz val="14"/>
      <color indexed="10"/>
      <name val="Times New Roman"/>
      <family val="1"/>
    </font>
    <font>
      <b/>
      <sz val="12"/>
      <color indexed="10"/>
      <name val="Times New Roman"/>
      <family val="1"/>
    </font>
    <font>
      <u/>
      <sz val="10"/>
      <name val="Arial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i/>
      <sz val="8"/>
      <color indexed="8"/>
      <name val="Times New Roman"/>
      <family val="1"/>
    </font>
    <font>
      <sz val="8"/>
      <color indexed="8"/>
      <name val="Times New Roman"/>
      <family val="1"/>
    </font>
    <font>
      <sz val="8"/>
      <color indexed="8"/>
      <name val="P-TIMES"/>
    </font>
    <font>
      <sz val="8"/>
      <color indexed="8"/>
      <name val="Arial MT"/>
    </font>
    <font>
      <b/>
      <sz val="8"/>
      <color indexed="8"/>
      <name val="Times New Roman"/>
      <family val="1"/>
    </font>
    <font>
      <b/>
      <sz val="8"/>
      <color indexed="12"/>
      <name val="Times New Roman"/>
      <family val="1"/>
    </font>
    <font>
      <b/>
      <sz val="8"/>
      <color indexed="10"/>
      <name val="Times New Roman"/>
      <family val="1"/>
    </font>
    <font>
      <sz val="8"/>
      <color indexed="12"/>
      <name val="Times New Roman"/>
      <family val="1"/>
    </font>
    <font>
      <sz val="8"/>
      <color indexed="12"/>
      <name val="P-TIMES"/>
    </font>
    <font>
      <sz val="8"/>
      <color indexed="81"/>
      <name val="Tahoma"/>
      <family val="2"/>
    </font>
    <font>
      <u/>
      <sz val="10"/>
      <name val="Arial"/>
      <family val="2"/>
    </font>
    <font>
      <b/>
      <sz val="10"/>
      <color indexed="12"/>
      <name val="Arial"/>
      <family val="2"/>
    </font>
    <font>
      <i/>
      <sz val="10"/>
      <color indexed="12"/>
      <name val="Times New Roman"/>
      <family val="1"/>
    </font>
    <font>
      <b/>
      <sz val="1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4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2">
    <xf numFmtId="0" fontId="0" fillId="0" borderId="0"/>
    <xf numFmtId="0" fontId="57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60" fillId="0" borderId="0">
      <protection locked="0"/>
    </xf>
    <xf numFmtId="342" fontId="1" fillId="0" borderId="0" applyFont="0" applyFill="0" applyBorder="0" applyAlignment="0" applyProtection="0"/>
    <xf numFmtId="344" fontId="1" fillId="0" borderId="0" applyFont="0" applyFill="0" applyBorder="0" applyAlignment="0" applyProtection="0"/>
    <xf numFmtId="313" fontId="1" fillId="0" borderId="0">
      <protection locked="0"/>
    </xf>
    <xf numFmtId="38" fontId="67" fillId="4" borderId="0" applyNumberFormat="0" applyBorder="0" applyAlignment="0" applyProtection="0"/>
    <xf numFmtId="0" fontId="68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69" fillId="0" borderId="2" applyNumberFormat="0" applyFill="0" applyAlignment="0" applyProtection="0"/>
    <xf numFmtId="10" fontId="67" fillId="5" borderId="3" applyNumberFormat="0" applyBorder="0" applyAlignment="0" applyProtection="0"/>
    <xf numFmtId="37" fontId="71" fillId="0" borderId="0"/>
    <xf numFmtId="170" fontId="72" fillId="0" borderId="0"/>
    <xf numFmtId="0" fontId="1" fillId="0" borderId="0"/>
    <xf numFmtId="37" fontId="7" fillId="0" borderId="0" applyBorder="0" applyAlignment="0" applyProtection="0">
      <alignment horizontal="center"/>
    </xf>
    <xf numFmtId="0" fontId="35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3" fontId="1" fillId="0" borderId="0"/>
    <xf numFmtId="38" fontId="67" fillId="8" borderId="0" applyNumberFormat="0" applyBorder="0" applyAlignment="0" applyProtection="0"/>
    <xf numFmtId="37" fontId="67" fillId="8" borderId="0" applyNumberFormat="0" applyBorder="0" applyAlignment="0" applyProtection="0"/>
    <xf numFmtId="37" fontId="7" fillId="0" borderId="0"/>
    <xf numFmtId="37" fontId="7" fillId="4" borderId="0" applyNumberFormat="0" applyBorder="0" applyAlignment="0" applyProtection="0"/>
    <xf numFmtId="3" fontId="107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685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43" fontId="2" fillId="0" borderId="0" xfId="3" applyFont="1" applyFill="1" applyAlignment="1">
      <alignment horizontal="left"/>
    </xf>
    <xf numFmtId="43" fontId="3" fillId="0" borderId="0" xfId="3" applyFont="1" applyFill="1" applyAlignment="1">
      <alignment horizontal="left"/>
    </xf>
    <xf numFmtId="0" fontId="1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1" fillId="0" borderId="0" xfId="18" applyFont="1" applyAlignment="1"/>
    <xf numFmtId="14" fontId="12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4" applyNumberFormat="1" applyFont="1" applyProtection="1"/>
    <xf numFmtId="166" fontId="3" fillId="0" borderId="0" xfId="3" applyNumberFormat="1" applyFont="1"/>
    <xf numFmtId="166" fontId="3" fillId="0" borderId="0" xfId="3" applyNumberFormat="1" applyFont="1" applyBorder="1" applyProtection="1"/>
    <xf numFmtId="166" fontId="11" fillId="0" borderId="0" xfId="3" applyNumberFormat="1" applyFont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0" fontId="13" fillId="0" borderId="0" xfId="0" applyFont="1" applyBorder="1" applyAlignment="1" applyProtection="1">
      <alignment horizontal="left"/>
    </xf>
    <xf numFmtId="166" fontId="3" fillId="0" borderId="0" xfId="3" applyNumberFormat="1" applyFont="1" applyBorder="1"/>
    <xf numFmtId="0" fontId="18" fillId="0" borderId="0" xfId="0" applyFont="1"/>
    <xf numFmtId="0" fontId="20" fillId="0" borderId="0" xfId="0" applyFont="1"/>
    <xf numFmtId="37" fontId="20" fillId="0" borderId="0" xfId="18" applyFont="1" applyAlignment="1"/>
    <xf numFmtId="0" fontId="10" fillId="0" borderId="0" xfId="0" applyFont="1"/>
    <xf numFmtId="0" fontId="2" fillId="0" borderId="0" xfId="0" applyFont="1" applyAlignment="1" applyProtection="1">
      <alignment horizontal="left"/>
      <protection locked="0"/>
    </xf>
    <xf numFmtId="169" fontId="21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8" fillId="0" borderId="0" xfId="0" applyNumberFormat="1" applyFont="1" applyProtection="1"/>
    <xf numFmtId="10" fontId="3" fillId="0" borderId="0" xfId="20" applyNumberFormat="1" applyFont="1" applyProtection="1"/>
    <xf numFmtId="171" fontId="3" fillId="0" borderId="0" xfId="0" applyNumberFormat="1" applyFont="1" applyProtection="1"/>
    <xf numFmtId="165" fontId="18" fillId="0" borderId="0" xfId="4" applyNumberFormat="1" applyFont="1" applyProtection="1"/>
    <xf numFmtId="165" fontId="3" fillId="0" borderId="0" xfId="0" applyNumberFormat="1" applyFont="1"/>
    <xf numFmtId="10" fontId="3" fillId="0" borderId="0" xfId="0" applyNumberFormat="1" applyFont="1"/>
    <xf numFmtId="0" fontId="18" fillId="0" borderId="0" xfId="0" applyFont="1" applyAlignment="1">
      <alignment horizontal="center"/>
    </xf>
    <xf numFmtId="9" fontId="18" fillId="8" borderId="0" xfId="20" applyFont="1" applyFill="1" applyProtection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1" fontId="3" fillId="0" borderId="0" xfId="0" applyNumberFormat="1" applyFont="1"/>
    <xf numFmtId="0" fontId="3" fillId="0" borderId="6" xfId="0" applyFont="1" applyBorder="1"/>
    <xf numFmtId="0" fontId="2" fillId="0" borderId="0" xfId="0" applyFont="1" applyBorder="1"/>
    <xf numFmtId="166" fontId="2" fillId="0" borderId="0" xfId="3" applyNumberFormat="1" applyFont="1" applyBorder="1" applyProtection="1"/>
    <xf numFmtId="0" fontId="3" fillId="0" borderId="0" xfId="0" applyFont="1" applyAlignment="1">
      <alignment horizontal="left"/>
    </xf>
    <xf numFmtId="0" fontId="28" fillId="0" borderId="0" xfId="0" applyFont="1"/>
    <xf numFmtId="0" fontId="29" fillId="0" borderId="0" xfId="0" applyFont="1" applyBorder="1"/>
    <xf numFmtId="0" fontId="30" fillId="0" borderId="0" xfId="0" applyFont="1"/>
    <xf numFmtId="0" fontId="3" fillId="0" borderId="0" xfId="0" applyFont="1" applyFill="1" applyAlignment="1">
      <alignment horizontal="center"/>
    </xf>
    <xf numFmtId="10" fontId="31" fillId="0" borderId="0" xfId="0" applyNumberFormat="1" applyFont="1"/>
    <xf numFmtId="10" fontId="12" fillId="0" borderId="0" xfId="0" applyNumberFormat="1" applyFont="1" applyAlignment="1">
      <alignment horizontal="center"/>
    </xf>
    <xf numFmtId="3" fontId="18" fillId="0" borderId="0" xfId="0" applyNumberFormat="1" applyFont="1"/>
    <xf numFmtId="0" fontId="12" fillId="0" borderId="0" xfId="0" applyFont="1"/>
    <xf numFmtId="3" fontId="3" fillId="0" borderId="0" xfId="0" applyNumberFormat="1" applyFont="1"/>
    <xf numFmtId="3" fontId="30" fillId="0" borderId="0" xfId="0" applyNumberFormat="1" applyFont="1"/>
    <xf numFmtId="3" fontId="2" fillId="0" borderId="0" xfId="0" applyNumberFormat="1" applyFont="1"/>
    <xf numFmtId="0" fontId="19" fillId="0" borderId="0" xfId="0" applyFont="1"/>
    <xf numFmtId="0" fontId="19" fillId="0" borderId="0" xfId="0" applyFont="1" applyBorder="1"/>
    <xf numFmtId="179" fontId="19" fillId="0" borderId="0" xfId="0" applyNumberFormat="1" applyFont="1" applyBorder="1" applyAlignment="1">
      <alignment horizontal="center"/>
    </xf>
    <xf numFmtId="0" fontId="19" fillId="0" borderId="11" xfId="0" applyFont="1" applyBorder="1"/>
    <xf numFmtId="179" fontId="19" fillId="0" borderId="12" xfId="0" applyNumberFormat="1" applyFont="1" applyBorder="1"/>
    <xf numFmtId="6" fontId="19" fillId="0" borderId="0" xfId="0" applyNumberFormat="1" applyFont="1"/>
    <xf numFmtId="0" fontId="15" fillId="0" borderId="0" xfId="0" applyFont="1"/>
    <xf numFmtId="2" fontId="19" fillId="0" borderId="12" xfId="0" applyNumberFormat="1" applyFont="1" applyBorder="1" applyAlignment="1">
      <alignment horizontal="center"/>
    </xf>
    <xf numFmtId="0" fontId="28" fillId="0" borderId="13" xfId="0" applyFont="1" applyBorder="1"/>
    <xf numFmtId="0" fontId="19" fillId="0" borderId="14" xfId="0" applyFont="1" applyBorder="1"/>
    <xf numFmtId="4" fontId="2" fillId="0" borderId="15" xfId="0" applyNumberFormat="1" applyFont="1" applyBorder="1" applyAlignment="1">
      <alignment horizontal="center"/>
    </xf>
    <xf numFmtId="0" fontId="28" fillId="0" borderId="4" xfId="0" applyFont="1" applyBorder="1"/>
    <xf numFmtId="0" fontId="2" fillId="0" borderId="0" xfId="0" applyFont="1" applyFill="1" applyAlignment="1"/>
    <xf numFmtId="37" fontId="2" fillId="0" borderId="0" xfId="0" applyNumberFormat="1" applyFont="1" applyFill="1"/>
    <xf numFmtId="0" fontId="10" fillId="0" borderId="0" xfId="0" applyFont="1" applyFill="1"/>
    <xf numFmtId="0" fontId="33" fillId="0" borderId="0" xfId="0" applyFont="1"/>
    <xf numFmtId="0" fontId="10" fillId="0" borderId="11" xfId="0" applyFont="1" applyBorder="1" applyAlignment="1">
      <alignment horizontal="centerContinuous"/>
    </xf>
    <xf numFmtId="0" fontId="10" fillId="0" borderId="13" xfId="0" applyFont="1" applyBorder="1" applyAlignment="1">
      <alignment horizontal="centerContinuous"/>
    </xf>
    <xf numFmtId="0" fontId="10" fillId="0" borderId="12" xfId="0" applyFont="1" applyBorder="1" applyAlignment="1">
      <alignment horizontal="centerContinuous"/>
    </xf>
    <xf numFmtId="0" fontId="3" fillId="0" borderId="16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173" fontId="2" fillId="0" borderId="15" xfId="0" applyNumberFormat="1" applyFont="1" applyBorder="1" applyAlignment="1">
      <alignment horizontal="center"/>
    </xf>
    <xf numFmtId="0" fontId="3" fillId="0" borderId="13" xfId="0" applyFont="1" applyBorder="1"/>
    <xf numFmtId="0" fontId="2" fillId="0" borderId="13" xfId="0" applyFont="1" applyFill="1" applyBorder="1"/>
    <xf numFmtId="0" fontId="3" fillId="0" borderId="4" xfId="0" applyFont="1" applyBorder="1"/>
    <xf numFmtId="179" fontId="19" fillId="0" borderId="15" xfId="0" applyNumberFormat="1" applyFont="1" applyBorder="1"/>
    <xf numFmtId="38" fontId="3" fillId="0" borderId="0" xfId="3" applyNumberFormat="1" applyFont="1"/>
    <xf numFmtId="0" fontId="8" fillId="4" borderId="0" xfId="0" applyFont="1" applyFill="1"/>
    <xf numFmtId="0" fontId="9" fillId="4" borderId="0" xfId="17" applyFont="1" applyFill="1" applyBorder="1"/>
    <xf numFmtId="0" fontId="2" fillId="0" borderId="17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8" fillId="0" borderId="0" xfId="0" applyFont="1" applyFill="1"/>
    <xf numFmtId="0" fontId="2" fillId="0" borderId="0" xfId="0" applyFont="1" applyFill="1" applyBorder="1"/>
    <xf numFmtId="166" fontId="3" fillId="0" borderId="0" xfId="3" applyNumberFormat="1" applyFont="1" applyFill="1" applyBorder="1"/>
    <xf numFmtId="10" fontId="15" fillId="10" borderId="0" xfId="20" applyNumberFormat="1" applyFont="1" applyFill="1" applyAlignment="1">
      <alignment horizontal="center"/>
    </xf>
    <xf numFmtId="168" fontId="3" fillId="0" borderId="0" xfId="3" applyNumberFormat="1" applyFont="1" applyFill="1"/>
    <xf numFmtId="38" fontId="3" fillId="0" borderId="0" xfId="0" applyNumberFormat="1" applyFont="1"/>
    <xf numFmtId="166" fontId="3" fillId="0" borderId="0" xfId="0" applyNumberFormat="1" applyFont="1"/>
    <xf numFmtId="0" fontId="28" fillId="0" borderId="0" xfId="0" applyFont="1" applyFill="1"/>
    <xf numFmtId="171" fontId="3" fillId="0" borderId="0" xfId="0" applyNumberFormat="1" applyFont="1" applyFill="1" applyProtection="1"/>
    <xf numFmtId="10" fontId="18" fillId="0" borderId="0" xfId="0" applyNumberFormat="1" applyFont="1" applyFill="1" applyProtection="1"/>
    <xf numFmtId="0" fontId="11" fillId="0" borderId="0" xfId="0" applyFont="1" applyFill="1"/>
    <xf numFmtId="38" fontId="0" fillId="0" borderId="0" xfId="0" applyNumberFormat="1"/>
    <xf numFmtId="38" fontId="26" fillId="0" borderId="0" xfId="0" applyNumberFormat="1" applyFont="1"/>
    <xf numFmtId="38" fontId="6" fillId="0" borderId="0" xfId="0" applyNumberFormat="1" applyFont="1"/>
    <xf numFmtId="38" fontId="27" fillId="0" borderId="0" xfId="0" applyNumberFormat="1" applyFont="1"/>
    <xf numFmtId="38" fontId="3" fillId="0" borderId="0" xfId="4" applyNumberFormat="1" applyFont="1" applyFill="1"/>
    <xf numFmtId="38" fontId="18" fillId="0" borderId="0" xfId="4" applyNumberFormat="1" applyFont="1" applyProtection="1"/>
    <xf numFmtId="38" fontId="3" fillId="0" borderId="0" xfId="4" applyNumberFormat="1" applyFont="1"/>
    <xf numFmtId="38" fontId="14" fillId="0" borderId="0" xfId="4" applyNumberFormat="1" applyFont="1" applyFill="1" applyProtection="1"/>
    <xf numFmtId="38" fontId="14" fillId="0" borderId="0" xfId="4" applyNumberFormat="1" applyFont="1" applyProtection="1"/>
    <xf numFmtId="38" fontId="3" fillId="0" borderId="0" xfId="0" applyNumberFormat="1" applyFont="1" applyFill="1"/>
    <xf numFmtId="38" fontId="3" fillId="0" borderId="4" xfId="3" applyNumberFormat="1" applyFont="1" applyFill="1" applyBorder="1"/>
    <xf numFmtId="37" fontId="11" fillId="0" borderId="0" xfId="18" applyFont="1" applyAlignment="1">
      <alignment horizontal="right"/>
    </xf>
    <xf numFmtId="166" fontId="11" fillId="0" borderId="0" xfId="3" applyNumberFormat="1" applyFont="1" applyProtection="1"/>
    <xf numFmtId="0" fontId="11" fillId="0" borderId="0" xfId="0" applyFont="1" applyFill="1" applyBorder="1"/>
    <xf numFmtId="37" fontId="11" fillId="0" borderId="0" xfId="18" applyFont="1" applyFill="1" applyBorder="1" applyAlignment="1"/>
    <xf numFmtId="166" fontId="3" fillId="0" borderId="9" xfId="3" applyNumberFormat="1" applyFont="1" applyFill="1" applyBorder="1"/>
    <xf numFmtId="0" fontId="38" fillId="0" borderId="0" xfId="0" applyFont="1"/>
    <xf numFmtId="0" fontId="3" fillId="0" borderId="19" xfId="0" applyFont="1" applyBorder="1"/>
    <xf numFmtId="10" fontId="3" fillId="0" borderId="0" xfId="20" applyNumberFormat="1" applyFont="1"/>
    <xf numFmtId="0" fontId="30" fillId="0" borderId="0" xfId="0" applyFont="1" applyFill="1" applyBorder="1"/>
    <xf numFmtId="38" fontId="3" fillId="0" borderId="0" xfId="0" applyNumberFormat="1" applyFont="1" applyBorder="1"/>
    <xf numFmtId="38" fontId="3" fillId="0" borderId="4" xfId="0" applyNumberFormat="1" applyFont="1" applyBorder="1"/>
    <xf numFmtId="43" fontId="3" fillId="0" borderId="0" xfId="3" applyFont="1" applyBorder="1"/>
    <xf numFmtId="0" fontId="2" fillId="0" borderId="7" xfId="0" applyFont="1" applyBorder="1"/>
    <xf numFmtId="40" fontId="3" fillId="0" borderId="0" xfId="0" applyNumberFormat="1" applyFont="1" applyBorder="1"/>
    <xf numFmtId="43" fontId="3" fillId="0" borderId="0" xfId="3" applyFont="1"/>
    <xf numFmtId="0" fontId="8" fillId="0" borderId="0" xfId="0" applyFont="1"/>
    <xf numFmtId="38" fontId="0" fillId="0" borderId="0" xfId="0" applyNumberFormat="1" applyFill="1"/>
    <xf numFmtId="0" fontId="0" fillId="0" borderId="0" xfId="0" applyFill="1" applyBorder="1"/>
    <xf numFmtId="38" fontId="0" fillId="0" borderId="0" xfId="0" applyNumberFormat="1" applyFill="1" applyBorder="1"/>
    <xf numFmtId="3" fontId="3" fillId="0" borderId="0" xfId="0" applyNumberFormat="1" applyFont="1" applyFill="1" applyBorder="1"/>
    <xf numFmtId="3" fontId="2" fillId="0" borderId="0" xfId="0" applyNumberFormat="1" applyFont="1" applyFill="1" applyBorder="1"/>
    <xf numFmtId="37" fontId="11" fillId="0" borderId="0" xfId="18" applyFont="1" applyFill="1" applyAlignment="1"/>
    <xf numFmtId="166" fontId="11" fillId="0" borderId="0" xfId="3" applyNumberFormat="1" applyFont="1" applyFill="1" applyBorder="1" applyProtection="1"/>
    <xf numFmtId="166" fontId="25" fillId="0" borderId="0" xfId="3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23" fillId="0" borderId="20" xfId="0" applyFont="1" applyFill="1" applyBorder="1"/>
    <xf numFmtId="0" fontId="23" fillId="0" borderId="20" xfId="0" applyFont="1" applyFill="1" applyBorder="1" applyAlignment="1" applyProtection="1">
      <alignment horizontal="left"/>
    </xf>
    <xf numFmtId="0" fontId="24" fillId="0" borderId="20" xfId="0" applyFont="1" applyFill="1" applyBorder="1" applyAlignment="1" applyProtection="1">
      <alignment horizontal="left"/>
    </xf>
    <xf numFmtId="0" fontId="5" fillId="0" borderId="7" xfId="0" applyFont="1" applyFill="1" applyBorder="1"/>
    <xf numFmtId="4" fontId="0" fillId="0" borderId="0" xfId="0" applyNumberFormat="1" applyFill="1" applyBorder="1"/>
    <xf numFmtId="0" fontId="39" fillId="0" borderId="10" xfId="0" applyFont="1" applyBorder="1" applyAlignment="1" applyProtection="1">
      <alignment horizontal="left"/>
    </xf>
    <xf numFmtId="0" fontId="39" fillId="0" borderId="0" xfId="0" applyFont="1" applyBorder="1" applyAlignment="1">
      <alignment horizontal="center"/>
    </xf>
    <xf numFmtId="0" fontId="28" fillId="0" borderId="0" xfId="0" applyFont="1" applyBorder="1"/>
    <xf numFmtId="0" fontId="28" fillId="0" borderId="10" xfId="0" applyFont="1" applyBorder="1" applyAlignment="1" applyProtection="1">
      <alignment horizontal="left"/>
    </xf>
    <xf numFmtId="10" fontId="40" fillId="0" borderId="0" xfId="0" applyNumberFormat="1" applyFont="1" applyBorder="1" applyAlignment="1" applyProtection="1">
      <alignment horizontal="center"/>
    </xf>
    <xf numFmtId="10" fontId="28" fillId="0" borderId="10" xfId="0" applyNumberFormat="1" applyFont="1" applyBorder="1" applyAlignment="1">
      <alignment horizontal="left"/>
    </xf>
    <xf numFmtId="0" fontId="23" fillId="0" borderId="10" xfId="0" applyFont="1" applyBorder="1" applyAlignment="1">
      <alignment horizontal="left"/>
    </xf>
    <xf numFmtId="0" fontId="28" fillId="0" borderId="10" xfId="0" applyFont="1" applyBorder="1"/>
    <xf numFmtId="0" fontId="28" fillId="0" borderId="9" xfId="0" applyFont="1" applyBorder="1"/>
    <xf numFmtId="0" fontId="28" fillId="0" borderId="21" xfId="0" applyFont="1" applyBorder="1"/>
    <xf numFmtId="0" fontId="28" fillId="0" borderId="6" xfId="0" applyFont="1" applyBorder="1"/>
    <xf numFmtId="0" fontId="39" fillId="0" borderId="10" xfId="0" applyFont="1" applyBorder="1"/>
    <xf numFmtId="0" fontId="28" fillId="0" borderId="10" xfId="0" applyFont="1" applyBorder="1" applyAlignment="1">
      <alignment horizontal="left"/>
    </xf>
    <xf numFmtId="37" fontId="28" fillId="0" borderId="0" xfId="0" applyNumberFormat="1" applyFont="1" applyFill="1" applyBorder="1" applyAlignment="1">
      <alignment horizontal="center"/>
    </xf>
    <xf numFmtId="0" fontId="42" fillId="0" borderId="10" xfId="0" applyFont="1" applyBorder="1"/>
    <xf numFmtId="173" fontId="28" fillId="0" borderId="0" xfId="0" applyNumberFormat="1" applyFont="1" applyBorder="1" applyAlignment="1">
      <alignment horizontal="center"/>
    </xf>
    <xf numFmtId="0" fontId="39" fillId="0" borderId="0" xfId="0" applyFont="1" applyBorder="1"/>
    <xf numFmtId="212" fontId="28" fillId="0" borderId="0" xfId="3" applyNumberFormat="1" applyFont="1" applyBorder="1" applyAlignment="1">
      <alignment horizontal="center"/>
    </xf>
    <xf numFmtId="38" fontId="28" fillId="0" borderId="0" xfId="0" applyNumberFormat="1" applyFont="1" applyBorder="1"/>
    <xf numFmtId="38" fontId="28" fillId="0" borderId="0" xfId="0" applyNumberFormat="1" applyFont="1" applyBorder="1" applyAlignment="1">
      <alignment horizontal="center"/>
    </xf>
    <xf numFmtId="38" fontId="28" fillId="0" borderId="6" xfId="0" applyNumberFormat="1" applyFont="1" applyBorder="1" applyAlignment="1">
      <alignment horizontal="center"/>
    </xf>
    <xf numFmtId="0" fontId="28" fillId="0" borderId="7" xfId="0" applyFont="1" applyFill="1" applyBorder="1"/>
    <xf numFmtId="0" fontId="23" fillId="0" borderId="7" xfId="0" applyFont="1" applyFill="1" applyBorder="1" applyAlignment="1">
      <alignment horizontal="centerContinuous"/>
    </xf>
    <xf numFmtId="0" fontId="39" fillId="0" borderId="10" xfId="0" applyFont="1" applyFill="1" applyBorder="1"/>
    <xf numFmtId="10" fontId="41" fillId="0" borderId="0" xfId="0" applyNumberFormat="1" applyFont="1" applyFill="1" applyBorder="1"/>
    <xf numFmtId="0" fontId="28" fillId="0" borderId="10" xfId="0" applyFont="1" applyFill="1" applyBorder="1"/>
    <xf numFmtId="10" fontId="10" fillId="0" borderId="0" xfId="20" applyNumberFormat="1" applyFont="1" applyFill="1" applyBorder="1" applyAlignment="1">
      <alignment horizontal="center"/>
    </xf>
    <xf numFmtId="10" fontId="41" fillId="0" borderId="0" xfId="20" applyNumberFormat="1" applyFont="1" applyFill="1" applyBorder="1" applyAlignment="1">
      <alignment horizontal="center"/>
    </xf>
    <xf numFmtId="0" fontId="28" fillId="0" borderId="21" xfId="0" applyFont="1" applyFill="1" applyBorder="1"/>
    <xf numFmtId="0" fontId="10" fillId="0" borderId="10" xfId="0" applyFont="1" applyBorder="1"/>
    <xf numFmtId="0" fontId="28" fillId="0" borderId="7" xfId="0" applyFont="1" applyBorder="1"/>
    <xf numFmtId="0" fontId="28" fillId="0" borderId="8" xfId="0" applyFont="1" applyBorder="1"/>
    <xf numFmtId="0" fontId="37" fillId="4" borderId="0" xfId="0" applyFont="1" applyFill="1" applyBorder="1" applyAlignment="1">
      <alignment horizontal="center"/>
    </xf>
    <xf numFmtId="0" fontId="28" fillId="0" borderId="22" xfId="0" applyFont="1" applyBorder="1" applyAlignment="1">
      <alignment horizontal="centerContinuous"/>
    </xf>
    <xf numFmtId="0" fontId="28" fillId="0" borderId="23" xfId="0" applyFont="1" applyBorder="1" applyAlignment="1">
      <alignment horizontal="centerContinuous"/>
    </xf>
    <xf numFmtId="4" fontId="28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9" fontId="41" fillId="8" borderId="0" xfId="0" applyNumberFormat="1" applyFont="1" applyFill="1" applyBorder="1" applyAlignment="1">
      <alignment horizontal="center"/>
    </xf>
    <xf numFmtId="38" fontId="2" fillId="0" borderId="0" xfId="0" applyNumberFormat="1" applyFont="1"/>
    <xf numFmtId="38" fontId="3" fillId="0" borderId="4" xfId="3" applyNumberFormat="1" applyFont="1" applyBorder="1"/>
    <xf numFmtId="0" fontId="43" fillId="0" borderId="0" xfId="0" applyFont="1"/>
    <xf numFmtId="10" fontId="41" fillId="8" borderId="0" xfId="0" applyNumberFormat="1" applyFont="1" applyFill="1" applyBorder="1" applyAlignment="1">
      <alignment horizontal="center"/>
    </xf>
    <xf numFmtId="7" fontId="28" fillId="0" borderId="0" xfId="3" applyNumberFormat="1" applyFont="1" applyBorder="1"/>
    <xf numFmtId="44" fontId="28" fillId="0" borderId="0" xfId="4" applyFont="1" applyFill="1" applyBorder="1"/>
    <xf numFmtId="2" fontId="28" fillId="0" borderId="0" xfId="0" applyNumberFormat="1" applyFont="1" applyBorder="1"/>
    <xf numFmtId="43" fontId="28" fillId="0" borderId="0" xfId="0" applyNumberFormat="1" applyFont="1" applyBorder="1"/>
    <xf numFmtId="0" fontId="23" fillId="0" borderId="0" xfId="3" applyNumberFormat="1" applyFont="1" applyBorder="1" applyAlignment="1">
      <alignment horizontal="right"/>
    </xf>
    <xf numFmtId="2" fontId="41" fillId="0" borderId="0" xfId="3" applyNumberFormat="1" applyFont="1" applyFill="1" applyBorder="1" applyAlignment="1">
      <alignment horizontal="right"/>
    </xf>
    <xf numFmtId="43" fontId="28" fillId="0" borderId="0" xfId="3" applyNumberFormat="1" applyFont="1" applyBorder="1" applyAlignment="1">
      <alignment horizontal="right"/>
    </xf>
    <xf numFmtId="44" fontId="28" fillId="0" borderId="0" xfId="4" applyFont="1" applyBorder="1" applyAlignment="1">
      <alignment horizontal="right"/>
    </xf>
    <xf numFmtId="9" fontId="41" fillId="0" borderId="0" xfId="0" applyNumberFormat="1" applyFont="1" applyBorder="1"/>
    <xf numFmtId="40" fontId="28" fillId="0" borderId="0" xfId="3" applyNumberFormat="1" applyFont="1" applyFill="1" applyBorder="1" applyAlignment="1">
      <alignment horizontal="right"/>
    </xf>
    <xf numFmtId="0" fontId="10" fillId="0" borderId="0" xfId="0" applyFont="1" applyBorder="1"/>
    <xf numFmtId="1" fontId="41" fillId="0" borderId="0" xfId="3" applyNumberFormat="1" applyFont="1" applyFill="1" applyBorder="1" applyAlignment="1">
      <alignment horizontal="right"/>
    </xf>
    <xf numFmtId="43" fontId="39" fillId="0" borderId="0" xfId="3" applyNumberFormat="1" applyFont="1" applyBorder="1" applyAlignment="1">
      <alignment horizontal="right"/>
    </xf>
    <xf numFmtId="7" fontId="28" fillId="0" borderId="0" xfId="3" applyNumberFormat="1" applyFont="1" applyBorder="1" applyAlignment="1">
      <alignment horizontal="right"/>
    </xf>
    <xf numFmtId="7" fontId="39" fillId="0" borderId="0" xfId="4" applyNumberFormat="1" applyFont="1" applyBorder="1"/>
    <xf numFmtId="0" fontId="28" fillId="0" borderId="10" xfId="0" applyFont="1" applyBorder="1" applyAlignment="1">
      <alignment horizontal="center"/>
    </xf>
    <xf numFmtId="0" fontId="2" fillId="0" borderId="0" xfId="0" applyNumberFormat="1" applyFont="1" applyFill="1" applyBorder="1" applyAlignment="1">
      <alignment horizontal="left"/>
    </xf>
    <xf numFmtId="9" fontId="41" fillId="0" borderId="0" xfId="20" applyFont="1" applyFill="1" applyBorder="1" applyAlignment="1">
      <alignment horizontal="right"/>
    </xf>
    <xf numFmtId="0" fontId="12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6" fontId="14" fillId="0" borderId="0" xfId="3" applyNumberFormat="1" applyFont="1" applyBorder="1"/>
    <xf numFmtId="10" fontId="17" fillId="0" borderId="0" xfId="3" applyNumberFormat="1" applyFont="1" applyBorder="1"/>
    <xf numFmtId="166" fontId="16" fillId="0" borderId="0" xfId="3" applyNumberFormat="1" applyFont="1" applyBorder="1" applyProtection="1"/>
    <xf numFmtId="166" fontId="17" fillId="0" borderId="0" xfId="3" applyNumberFormat="1" applyFont="1" applyBorder="1" applyProtection="1"/>
    <xf numFmtId="166" fontId="2" fillId="0" borderId="0" xfId="3" applyNumberFormat="1" applyFont="1" applyBorder="1"/>
    <xf numFmtId="166" fontId="14" fillId="0" borderId="0" xfId="3" applyNumberFormat="1" applyFont="1" applyBorder="1" applyProtection="1"/>
    <xf numFmtId="9" fontId="3" fillId="0" borderId="0" xfId="3" applyNumberFormat="1" applyFont="1" applyBorder="1"/>
    <xf numFmtId="166" fontId="2" fillId="0" borderId="0" xfId="3" quotePrefix="1" applyNumberFormat="1" applyFont="1" applyBorder="1" applyProtection="1"/>
    <xf numFmtId="0" fontId="23" fillId="0" borderId="0" xfId="0" applyFont="1" applyBorder="1"/>
    <xf numFmtId="0" fontId="23" fillId="0" borderId="0" xfId="0" applyFont="1" applyBorder="1" applyAlignment="1" applyProtection="1">
      <alignment horizontal="left"/>
    </xf>
    <xf numFmtId="0" fontId="44" fillId="0" borderId="0" xfId="0" applyFont="1" applyBorder="1"/>
    <xf numFmtId="1" fontId="41" fillId="8" borderId="3" xfId="3" applyNumberFormat="1" applyFont="1" applyFill="1" applyBorder="1" applyAlignment="1">
      <alignment horizontal="right"/>
    </xf>
    <xf numFmtId="0" fontId="17" fillId="0" borderId="0" xfId="0" applyFont="1"/>
    <xf numFmtId="38" fontId="45" fillId="0" borderId="0" xfId="0" applyNumberFormat="1" applyFont="1"/>
    <xf numFmtId="166" fontId="3" fillId="0" borderId="0" xfId="3" applyNumberFormat="1" applyFont="1" applyFill="1" applyBorder="1" applyProtection="1"/>
    <xf numFmtId="166" fontId="2" fillId="0" borderId="17" xfId="3" applyNumberFormat="1" applyFont="1" applyBorder="1"/>
    <xf numFmtId="166" fontId="2" fillId="0" borderId="18" xfId="3" applyNumberFormat="1" applyFont="1" applyBorder="1"/>
    <xf numFmtId="166" fontId="2" fillId="0" borderId="24" xfId="3" applyNumberFormat="1" applyFont="1" applyBorder="1"/>
    <xf numFmtId="166" fontId="3" fillId="0" borderId="18" xfId="3" applyNumberFormat="1" applyFont="1" applyBorder="1" applyProtection="1"/>
    <xf numFmtId="166" fontId="3" fillId="0" borderId="24" xfId="3" applyNumberFormat="1" applyFont="1" applyBorder="1" applyProtection="1"/>
    <xf numFmtId="166" fontId="3" fillId="0" borderId="17" xfId="3" applyNumberFormat="1" applyFont="1" applyBorder="1" applyProtection="1"/>
    <xf numFmtId="0" fontId="15" fillId="0" borderId="0" xfId="0" applyFont="1" applyBorder="1"/>
    <xf numFmtId="0" fontId="30" fillId="0" borderId="0" xfId="0" applyFont="1" applyBorder="1"/>
    <xf numFmtId="0" fontId="2" fillId="0" borderId="0" xfId="0" applyFont="1" applyBorder="1" applyAlignment="1">
      <alignment horizontal="center"/>
    </xf>
    <xf numFmtId="0" fontId="20" fillId="0" borderId="6" xfId="0" applyFont="1" applyBorder="1"/>
    <xf numFmtId="0" fontId="20" fillId="0" borderId="0" xfId="0" applyFont="1" applyBorder="1"/>
    <xf numFmtId="38" fontId="28" fillId="0" borderId="0" xfId="3" applyNumberFormat="1" applyFont="1" applyFill="1" applyBorder="1" applyAlignment="1" applyProtection="1">
      <alignment horizontal="center"/>
    </xf>
    <xf numFmtId="38" fontId="28" fillId="0" borderId="6" xfId="3" applyNumberFormat="1" applyFont="1" applyFill="1" applyBorder="1" applyAlignment="1" applyProtection="1">
      <alignment horizontal="center"/>
    </xf>
    <xf numFmtId="38" fontId="41" fillId="8" borderId="0" xfId="0" applyNumberFormat="1" applyFont="1" applyFill="1" applyBorder="1" applyAlignment="1">
      <alignment horizontal="center"/>
    </xf>
    <xf numFmtId="10" fontId="28" fillId="0" borderId="0" xfId="0" applyNumberFormat="1" applyFont="1" applyBorder="1" applyAlignment="1">
      <alignment horizontal="center"/>
    </xf>
    <xf numFmtId="0" fontId="42" fillId="0" borderId="10" xfId="0" applyFont="1" applyFill="1" applyBorder="1" applyAlignment="1" applyProtection="1">
      <alignment horizontal="left"/>
    </xf>
    <xf numFmtId="0" fontId="3" fillId="0" borderId="0" xfId="0" applyFont="1" applyAlignment="1">
      <alignment horizontal="right"/>
    </xf>
    <xf numFmtId="0" fontId="39" fillId="0" borderId="0" xfId="0" applyFont="1" applyFill="1" applyBorder="1" applyAlignment="1">
      <alignment horizontal="center"/>
    </xf>
    <xf numFmtId="9" fontId="23" fillId="0" borderId="0" xfId="0" applyNumberFormat="1" applyFont="1" applyBorder="1" applyAlignment="1" applyProtection="1">
      <alignment horizontal="center"/>
    </xf>
    <xf numFmtId="38" fontId="41" fillId="8" borderId="6" xfId="0" applyNumberFormat="1" applyFont="1" applyFill="1" applyBorder="1" applyAlignment="1">
      <alignment horizontal="center"/>
    </xf>
    <xf numFmtId="14" fontId="30" fillId="0" borderId="0" xfId="0" applyNumberFormat="1" applyFont="1" applyAlignment="1">
      <alignment horizontal="center"/>
    </xf>
    <xf numFmtId="251" fontId="18" fillId="0" borderId="0" xfId="3" applyNumberFormat="1" applyFont="1" applyProtection="1"/>
    <xf numFmtId="166" fontId="0" fillId="0" borderId="0" xfId="3" applyNumberFormat="1" applyFont="1" applyFill="1" applyBorder="1"/>
    <xf numFmtId="9" fontId="28" fillId="0" borderId="0" xfId="0" applyNumberFormat="1" applyFont="1" applyBorder="1" applyAlignment="1" applyProtection="1">
      <alignment horizontal="center"/>
    </xf>
    <xf numFmtId="9" fontId="28" fillId="0" borderId="0" xfId="0" applyNumberFormat="1" applyFont="1" applyBorder="1" applyAlignment="1">
      <alignment horizontal="center"/>
    </xf>
    <xf numFmtId="0" fontId="22" fillId="0" borderId="0" xfId="17" applyFont="1" applyFill="1" applyBorder="1"/>
    <xf numFmtId="0" fontId="23" fillId="0" borderId="0" xfId="0" applyFont="1" applyBorder="1" applyAlignment="1">
      <alignment horizontal="centerContinuous"/>
    </xf>
    <xf numFmtId="10" fontId="28" fillId="0" borderId="0" xfId="20" applyNumberFormat="1" applyFont="1" applyFill="1" applyBorder="1"/>
    <xf numFmtId="40" fontId="28" fillId="0" borderId="0" xfId="0" applyNumberFormat="1" applyFont="1" applyFill="1" applyBorder="1"/>
    <xf numFmtId="1" fontId="28" fillId="0" borderId="0" xfId="0" applyNumberFormat="1" applyFont="1" applyFill="1" applyBorder="1"/>
    <xf numFmtId="43" fontId="28" fillId="0" borderId="0" xfId="3" applyFont="1" applyFill="1" applyBorder="1"/>
    <xf numFmtId="38" fontId="28" fillId="0" borderId="0" xfId="0" applyNumberFormat="1" applyFont="1" applyFill="1" applyBorder="1"/>
    <xf numFmtId="43" fontId="28" fillId="0" borderId="0" xfId="0" applyNumberFormat="1" applyFont="1" applyFill="1" applyBorder="1"/>
    <xf numFmtId="43" fontId="0" fillId="0" borderId="0" xfId="0" applyNumberFormat="1"/>
    <xf numFmtId="38" fontId="28" fillId="0" borderId="0" xfId="0" applyNumberFormat="1" applyFont="1"/>
    <xf numFmtId="0" fontId="23" fillId="0" borderId="0" xfId="0" applyFont="1" applyBorder="1" applyAlignment="1">
      <alignment horizontal="center"/>
    </xf>
    <xf numFmtId="0" fontId="10" fillId="0" borderId="0" xfId="0" quotePrefix="1" applyFont="1" applyBorder="1"/>
    <xf numFmtId="0" fontId="3" fillId="11" borderId="0" xfId="0" applyFont="1" applyFill="1"/>
    <xf numFmtId="0" fontId="10" fillId="11" borderId="0" xfId="0" applyFont="1" applyFill="1"/>
    <xf numFmtId="0" fontId="28" fillId="0" borderId="0" xfId="0" applyFont="1" applyBorder="1" applyAlignment="1">
      <alignment horizontal="center"/>
    </xf>
    <xf numFmtId="0" fontId="28" fillId="0" borderId="0" xfId="0" applyFont="1" applyBorder="1" applyAlignment="1">
      <alignment horizontal="centerContinuous"/>
    </xf>
    <xf numFmtId="0" fontId="10" fillId="0" borderId="20" xfId="0" applyFont="1" applyBorder="1"/>
    <xf numFmtId="0" fontId="39" fillId="0" borderId="10" xfId="0" applyFont="1" applyBorder="1" applyAlignment="1">
      <alignment horizontal="center"/>
    </xf>
    <xf numFmtId="166" fontId="28" fillId="0" borderId="0" xfId="3" applyNumberFormat="1" applyFont="1" applyBorder="1"/>
    <xf numFmtId="164" fontId="28" fillId="0" borderId="0" xfId="0" applyNumberFormat="1" applyFont="1" applyBorder="1"/>
    <xf numFmtId="9" fontId="28" fillId="0" borderId="0" xfId="0" applyNumberFormat="1" applyFont="1" applyBorder="1"/>
    <xf numFmtId="0" fontId="28" fillId="0" borderId="9" xfId="0" applyFont="1" applyBorder="1" applyAlignment="1">
      <alignment horizontal="right"/>
    </xf>
    <xf numFmtId="0" fontId="28" fillId="0" borderId="21" xfId="0" applyFont="1" applyBorder="1" applyAlignment="1">
      <alignment horizontal="center"/>
    </xf>
    <xf numFmtId="9" fontId="28" fillId="0" borderId="6" xfId="20" applyFont="1" applyBorder="1"/>
    <xf numFmtId="164" fontId="28" fillId="0" borderId="6" xfId="20" applyNumberFormat="1" applyFont="1" applyBorder="1"/>
    <xf numFmtId="166" fontId="28" fillId="0" borderId="6" xfId="3" applyNumberFormat="1" applyFont="1" applyBorder="1"/>
    <xf numFmtId="166" fontId="28" fillId="0" borderId="19" xfId="3" applyNumberFormat="1" applyFont="1" applyBorder="1" applyAlignment="1">
      <alignment horizontal="right"/>
    </xf>
    <xf numFmtId="3" fontId="2" fillId="0" borderId="0" xfId="0" applyNumberFormat="1" applyFont="1" applyFill="1"/>
    <xf numFmtId="3" fontId="3" fillId="0" borderId="0" xfId="0" applyNumberFormat="1" applyFont="1" applyFill="1"/>
    <xf numFmtId="14" fontId="3" fillId="0" borderId="0" xfId="0" applyNumberFormat="1" applyFont="1"/>
    <xf numFmtId="3" fontId="3" fillId="0" borderId="0" xfId="0" applyNumberFormat="1" applyFont="1" applyBorder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36" fillId="0" borderId="0" xfId="0" applyFont="1"/>
    <xf numFmtId="0" fontId="48" fillId="0" borderId="0" xfId="0" applyFont="1"/>
    <xf numFmtId="38" fontId="28" fillId="0" borderId="9" xfId="0" applyNumberFormat="1" applyFont="1" applyBorder="1" applyAlignment="1">
      <alignment horizontal="center"/>
    </xf>
    <xf numFmtId="164" fontId="28" fillId="0" borderId="0" xfId="0" applyNumberFormat="1" applyFont="1" applyBorder="1" applyAlignment="1">
      <alignment horizontal="center"/>
    </xf>
    <xf numFmtId="164" fontId="28" fillId="0" borderId="0" xfId="20" applyNumberFormat="1" applyFont="1" applyBorder="1" applyAlignment="1">
      <alignment horizontal="center"/>
    </xf>
    <xf numFmtId="38" fontId="3" fillId="0" borderId="0" xfId="3" applyNumberFormat="1" applyFont="1" applyBorder="1"/>
    <xf numFmtId="313" fontId="41" fillId="8" borderId="0" xfId="0" applyNumberFormat="1" applyFont="1" applyFill="1" applyBorder="1" applyAlignment="1" applyProtection="1">
      <alignment horizontal="right"/>
    </xf>
    <xf numFmtId="0" fontId="39" fillId="0" borderId="0" xfId="0" applyFont="1" applyFill="1" applyBorder="1" applyAlignment="1">
      <alignment horizontal="centerContinuous"/>
    </xf>
    <xf numFmtId="0" fontId="8" fillId="4" borderId="0" xfId="17" applyFont="1" applyFill="1" applyBorder="1"/>
    <xf numFmtId="0" fontId="39" fillId="0" borderId="9" xfId="0" applyFont="1" applyBorder="1" applyAlignment="1">
      <alignment horizontal="center"/>
    </xf>
    <xf numFmtId="0" fontId="28" fillId="0" borderId="25" xfId="0" applyFont="1" applyFill="1" applyBorder="1" applyAlignment="1">
      <alignment horizontal="center"/>
    </xf>
    <xf numFmtId="0" fontId="28" fillId="0" borderId="26" xfId="0" applyFont="1" applyFill="1" applyBorder="1" applyAlignment="1">
      <alignment horizontal="center"/>
    </xf>
    <xf numFmtId="0" fontId="28" fillId="0" borderId="6" xfId="0" applyFont="1" applyBorder="1" applyAlignment="1">
      <alignment horizontal="center"/>
    </xf>
    <xf numFmtId="0" fontId="28" fillId="0" borderId="19" xfId="0" applyFont="1" applyBorder="1" applyAlignment="1">
      <alignment horizontal="center"/>
    </xf>
    <xf numFmtId="0" fontId="28" fillId="0" borderId="9" xfId="0" applyFont="1" applyBorder="1" applyAlignment="1">
      <alignment horizontal="center"/>
    </xf>
    <xf numFmtId="0" fontId="22" fillId="0" borderId="20" xfId="0" applyFont="1" applyFill="1" applyBorder="1" applyAlignment="1">
      <alignment horizontal="left"/>
    </xf>
    <xf numFmtId="0" fontId="28" fillId="0" borderId="7" xfId="0" applyFont="1" applyBorder="1" applyAlignment="1">
      <alignment horizontal="center"/>
    </xf>
    <xf numFmtId="0" fontId="10" fillId="0" borderId="27" xfId="0" applyFont="1" applyFill="1" applyBorder="1"/>
    <xf numFmtId="0" fontId="3" fillId="0" borderId="22" xfId="0" applyFont="1" applyBorder="1"/>
    <xf numFmtId="10" fontId="10" fillId="0" borderId="22" xfId="0" applyNumberFormat="1" applyFont="1" applyFill="1" applyBorder="1"/>
    <xf numFmtId="179" fontId="10" fillId="0" borderId="22" xfId="3" applyNumberFormat="1" applyFont="1" applyFill="1" applyBorder="1"/>
    <xf numFmtId="179" fontId="10" fillId="0" borderId="23" xfId="3" applyNumberFormat="1" applyFont="1" applyFill="1" applyBorder="1"/>
    <xf numFmtId="0" fontId="10" fillId="0" borderId="20" xfId="0" applyFont="1" applyFill="1" applyBorder="1"/>
    <xf numFmtId="10" fontId="10" fillId="0" borderId="7" xfId="0" applyNumberFormat="1" applyFont="1" applyFill="1" applyBorder="1"/>
    <xf numFmtId="179" fontId="10" fillId="0" borderId="7" xfId="3" applyNumberFormat="1" applyFont="1" applyFill="1" applyBorder="1"/>
    <xf numFmtId="179" fontId="10" fillId="0" borderId="8" xfId="3" applyNumberFormat="1" applyFont="1" applyFill="1" applyBorder="1"/>
    <xf numFmtId="0" fontId="3" fillId="0" borderId="21" xfId="0" applyFont="1" applyBorder="1"/>
    <xf numFmtId="37" fontId="41" fillId="8" borderId="0" xfId="0" applyNumberFormat="1" applyFont="1" applyFill="1" applyBorder="1" applyAlignment="1">
      <alignment horizontal="center"/>
    </xf>
    <xf numFmtId="37" fontId="2" fillId="0" borderId="24" xfId="0" applyNumberFormat="1" applyFont="1" applyFill="1" applyBorder="1" applyAlignment="1">
      <alignment horizontal="center"/>
    </xf>
    <xf numFmtId="0" fontId="2" fillId="0" borderId="17" xfId="0" applyFont="1" applyFill="1" applyBorder="1" applyAlignment="1">
      <alignment horizontal="left"/>
    </xf>
    <xf numFmtId="0" fontId="2" fillId="0" borderId="18" xfId="0" applyFont="1" applyFill="1" applyBorder="1" applyAlignment="1">
      <alignment horizontal="left"/>
    </xf>
    <xf numFmtId="173" fontId="41" fillId="8" borderId="0" xfId="0" applyNumberFormat="1" applyFont="1" applyFill="1" applyBorder="1" applyAlignment="1">
      <alignment horizontal="center"/>
    </xf>
    <xf numFmtId="173" fontId="49" fillId="8" borderId="0" xfId="0" applyNumberFormat="1" applyFont="1" applyFill="1" applyBorder="1" applyAlignment="1">
      <alignment horizontal="center"/>
    </xf>
    <xf numFmtId="173" fontId="3" fillId="0" borderId="28" xfId="0" applyNumberFormat="1" applyFont="1" applyFill="1" applyBorder="1" applyAlignment="1">
      <alignment horizontal="center"/>
    </xf>
    <xf numFmtId="173" fontId="3" fillId="0" borderId="0" xfId="0" applyNumberFormat="1" applyFont="1" applyFill="1"/>
    <xf numFmtId="0" fontId="3" fillId="0" borderId="16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9" fontId="10" fillId="0" borderId="6" xfId="0" applyNumberFormat="1" applyFont="1" applyFill="1" applyBorder="1" applyAlignment="1">
      <alignment horizontal="center"/>
    </xf>
    <xf numFmtId="43" fontId="10" fillId="0" borderId="0" xfId="3" applyFont="1" applyFill="1" applyBorder="1" applyAlignment="1">
      <alignment horizontal="center"/>
    </xf>
    <xf numFmtId="43" fontId="10" fillId="0" borderId="6" xfId="3" applyFont="1" applyFill="1" applyBorder="1" applyAlignment="1">
      <alignment horizontal="center"/>
    </xf>
    <xf numFmtId="179" fontId="19" fillId="0" borderId="0" xfId="0" applyNumberFormat="1" applyFont="1" applyBorder="1" applyAlignment="1">
      <alignment horizontal="right"/>
    </xf>
    <xf numFmtId="0" fontId="19" fillId="0" borderId="17" xfId="0" applyFont="1" applyBorder="1"/>
    <xf numFmtId="179" fontId="19" fillId="0" borderId="18" xfId="0" applyNumberFormat="1" applyFont="1" applyBorder="1" applyAlignment="1">
      <alignment horizontal="right"/>
    </xf>
    <xf numFmtId="0" fontId="28" fillId="0" borderId="20" xfId="0" applyFont="1" applyFill="1" applyBorder="1" applyAlignment="1">
      <alignment horizontal="center"/>
    </xf>
    <xf numFmtId="0" fontId="28" fillId="0" borderId="0" xfId="0" applyFont="1" applyFill="1" applyBorder="1"/>
    <xf numFmtId="9" fontId="28" fillId="0" borderId="10" xfId="20" applyFont="1" applyBorder="1"/>
    <xf numFmtId="9" fontId="28" fillId="0" borderId="21" xfId="20" applyFont="1" applyBorder="1"/>
    <xf numFmtId="0" fontId="48" fillId="0" borderId="0" xfId="0" applyFont="1" applyFill="1"/>
    <xf numFmtId="0" fontId="38" fillId="0" borderId="0" xfId="0" applyFont="1" applyFill="1"/>
    <xf numFmtId="0" fontId="8" fillId="0" borderId="0" xfId="0" applyFont="1" applyAlignment="1">
      <alignment horizontal="left"/>
    </xf>
    <xf numFmtId="0" fontId="8" fillId="8" borderId="0" xfId="0" applyFont="1" applyFill="1"/>
    <xf numFmtId="43" fontId="41" fillId="8" borderId="0" xfId="3" applyNumberFormat="1" applyFont="1" applyFill="1" applyBorder="1" applyAlignment="1">
      <alignment horizontal="right"/>
    </xf>
    <xf numFmtId="16" fontId="12" fillId="0" borderId="0" xfId="0" applyNumberFormat="1" applyFont="1" applyAlignment="1">
      <alignment horizontal="left"/>
    </xf>
    <xf numFmtId="16" fontId="12" fillId="8" borderId="0" xfId="0" applyNumberFormat="1" applyFont="1" applyFill="1" applyAlignment="1">
      <alignment horizontal="left"/>
    </xf>
    <xf numFmtId="10" fontId="3" fillId="8" borderId="0" xfId="0" applyNumberFormat="1" applyFont="1" applyFill="1" applyAlignment="1">
      <alignment horizontal="right"/>
    </xf>
    <xf numFmtId="10" fontId="3" fillId="8" borderId="0" xfId="20" applyNumberFormat="1" applyFont="1" applyFill="1" applyAlignment="1">
      <alignment horizontal="right"/>
    </xf>
    <xf numFmtId="0" fontId="0" fillId="0" borderId="0" xfId="0" applyBorder="1"/>
    <xf numFmtId="10" fontId="1" fillId="0" borderId="0" xfId="20" applyNumberFormat="1" applyBorder="1"/>
    <xf numFmtId="10" fontId="0" fillId="0" borderId="0" xfId="0" applyNumberFormat="1" applyBorder="1"/>
    <xf numFmtId="10" fontId="1" fillId="8" borderId="0" xfId="20" applyNumberFormat="1" applyFill="1" applyBorder="1"/>
    <xf numFmtId="10" fontId="0" fillId="8" borderId="0" xfId="0" applyNumberFormat="1" applyFill="1" applyBorder="1"/>
    <xf numFmtId="0" fontId="0" fillId="0" borderId="0" xfId="0" applyBorder="1" applyAlignment="1">
      <alignment horizontal="right"/>
    </xf>
    <xf numFmtId="168" fontId="17" fillId="0" borderId="0" xfId="3" applyNumberFormat="1" applyFont="1"/>
    <xf numFmtId="43" fontId="0" fillId="0" borderId="0" xfId="3" applyNumberFormat="1" applyFont="1"/>
    <xf numFmtId="0" fontId="50" fillId="8" borderId="3" xfId="0" applyFont="1" applyFill="1" applyBorder="1" applyAlignment="1">
      <alignment horizontal="center"/>
    </xf>
    <xf numFmtId="194" fontId="0" fillId="0" borderId="0" xfId="3" applyNumberFormat="1" applyFont="1"/>
    <xf numFmtId="10" fontId="3" fillId="8" borderId="0" xfId="20" applyNumberFormat="1" applyFont="1" applyFill="1" applyProtection="1"/>
    <xf numFmtId="166" fontId="3" fillId="8" borderId="0" xfId="3" applyNumberFormat="1" applyFont="1" applyFill="1" applyBorder="1"/>
    <xf numFmtId="38" fontId="32" fillId="8" borderId="0" xfId="0" applyNumberFormat="1" applyFont="1" applyFill="1" applyBorder="1"/>
    <xf numFmtId="3" fontId="32" fillId="8" borderId="0" xfId="0" applyNumberFormat="1" applyFont="1" applyFill="1"/>
    <xf numFmtId="10" fontId="2" fillId="0" borderId="3" xfId="20" applyNumberFormat="1" applyFont="1" applyBorder="1"/>
    <xf numFmtId="0" fontId="23" fillId="0" borderId="10" xfId="0" applyFont="1" applyFill="1" applyBorder="1"/>
    <xf numFmtId="164" fontId="23" fillId="0" borderId="6" xfId="20" applyNumberFormat="1" applyFont="1" applyBorder="1" applyAlignment="1">
      <alignment horizontal="center"/>
    </xf>
    <xf numFmtId="164" fontId="39" fillId="0" borderId="0" xfId="20" applyNumberFormat="1" applyFont="1" applyBorder="1" applyAlignment="1">
      <alignment horizontal="center"/>
    </xf>
    <xf numFmtId="0" fontId="5" fillId="0" borderId="8" xfId="0" applyFont="1" applyFill="1" applyBorder="1"/>
    <xf numFmtId="0" fontId="51" fillId="0" borderId="10" xfId="0" applyFont="1" applyBorder="1" applyAlignment="1" applyProtection="1">
      <alignment horizontal="left"/>
    </xf>
    <xf numFmtId="0" fontId="23" fillId="0" borderId="21" xfId="0" applyFont="1" applyBorder="1" applyAlignment="1" applyProtection="1">
      <alignment horizontal="left"/>
    </xf>
    <xf numFmtId="0" fontId="47" fillId="0" borderId="10" xfId="0" applyFont="1" applyFill="1" applyBorder="1" applyAlignment="1" applyProtection="1">
      <alignment horizontal="left"/>
    </xf>
    <xf numFmtId="0" fontId="23" fillId="4" borderId="10" xfId="0" applyFont="1" applyFill="1" applyBorder="1" applyAlignment="1">
      <alignment horizontal="left"/>
    </xf>
    <xf numFmtId="0" fontId="37" fillId="4" borderId="9" xfId="0" applyFont="1" applyFill="1" applyBorder="1" applyAlignment="1">
      <alignment horizontal="center"/>
    </xf>
    <xf numFmtId="37" fontId="28" fillId="0" borderId="9" xfId="0" applyNumberFormat="1" applyFont="1" applyFill="1" applyBorder="1" applyAlignment="1">
      <alignment horizontal="center"/>
    </xf>
    <xf numFmtId="2" fontId="42" fillId="0" borderId="9" xfId="0" applyNumberFormat="1" applyFont="1" applyBorder="1" applyAlignment="1">
      <alignment horizontal="center"/>
    </xf>
    <xf numFmtId="39" fontId="28" fillId="0" borderId="9" xfId="0" applyNumberFormat="1" applyFont="1" applyFill="1" applyBorder="1" applyAlignment="1">
      <alignment horizontal="center"/>
    </xf>
    <xf numFmtId="173" fontId="28" fillId="0" borderId="9" xfId="20" applyNumberFormat="1" applyFont="1" applyFill="1" applyBorder="1" applyAlignment="1">
      <alignment horizontal="center"/>
    </xf>
    <xf numFmtId="173" fontId="39" fillId="0" borderId="9" xfId="20" applyNumberFormat="1" applyFont="1" applyFill="1" applyBorder="1" applyAlignment="1">
      <alignment horizontal="center"/>
    </xf>
    <xf numFmtId="173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9" fontId="28" fillId="0" borderId="9" xfId="20" applyFont="1" applyBorder="1" applyAlignment="1">
      <alignment horizontal="center"/>
    </xf>
    <xf numFmtId="9" fontId="23" fillId="0" borderId="9" xfId="20" applyFont="1" applyFill="1" applyBorder="1" applyAlignment="1">
      <alignment horizontal="center"/>
    </xf>
    <xf numFmtId="9" fontId="28" fillId="0" borderId="9" xfId="20" applyFont="1" applyFill="1" applyBorder="1" applyAlignment="1">
      <alignment horizontal="center"/>
    </xf>
    <xf numFmtId="9" fontId="41" fillId="8" borderId="9" xfId="20" applyFont="1" applyFill="1" applyBorder="1" applyAlignment="1">
      <alignment horizontal="center"/>
    </xf>
    <xf numFmtId="9" fontId="28" fillId="0" borderId="19" xfId="20" applyFont="1" applyBorder="1" applyAlignment="1">
      <alignment horizontal="center"/>
    </xf>
    <xf numFmtId="38" fontId="28" fillId="0" borderId="19" xfId="0" applyNumberFormat="1" applyFont="1" applyBorder="1" applyAlignment="1">
      <alignment horizontal="center"/>
    </xf>
    <xf numFmtId="0" fontId="17" fillId="0" borderId="0" xfId="0" applyFont="1" applyFill="1"/>
    <xf numFmtId="164" fontId="47" fillId="0" borderId="3" xfId="20" applyNumberFormat="1" applyFont="1" applyFill="1" applyBorder="1" applyAlignment="1">
      <alignment horizontal="right"/>
    </xf>
    <xf numFmtId="2" fontId="28" fillId="12" borderId="0" xfId="0" applyNumberFormat="1" applyFont="1" applyFill="1"/>
    <xf numFmtId="0" fontId="28" fillId="0" borderId="29" xfId="0" applyFont="1" applyBorder="1"/>
    <xf numFmtId="0" fontId="28" fillId="0" borderId="4" xfId="0" applyFont="1" applyBorder="1" applyAlignment="1">
      <alignment horizontal="center"/>
    </xf>
    <xf numFmtId="0" fontId="28" fillId="0" borderId="30" xfId="0" applyFont="1" applyBorder="1" applyAlignment="1">
      <alignment horizontal="center"/>
    </xf>
    <xf numFmtId="10" fontId="10" fillId="0" borderId="0" xfId="0" applyNumberFormat="1" applyFont="1" applyFill="1" applyBorder="1"/>
    <xf numFmtId="179" fontId="10" fillId="0" borderId="0" xfId="3" applyNumberFormat="1" applyFont="1" applyFill="1" applyBorder="1"/>
    <xf numFmtId="0" fontId="10" fillId="0" borderId="21" xfId="0" applyFont="1" applyFill="1" applyBorder="1"/>
    <xf numFmtId="10" fontId="10" fillId="0" borderId="6" xfId="0" applyNumberFormat="1" applyFont="1" applyFill="1" applyBorder="1"/>
    <xf numFmtId="179" fontId="10" fillId="0" borderId="6" xfId="3" applyNumberFormat="1" applyFont="1" applyFill="1" applyBorder="1"/>
    <xf numFmtId="179" fontId="10" fillId="0" borderId="19" xfId="3" applyNumberFormat="1" applyFont="1" applyFill="1" applyBorder="1"/>
    <xf numFmtId="179" fontId="28" fillId="0" borderId="7" xfId="3" applyNumberFormat="1" applyFont="1" applyFill="1" applyBorder="1"/>
    <xf numFmtId="179" fontId="28" fillId="0" borderId="8" xfId="3" applyNumberFormat="1" applyFont="1" applyFill="1" applyBorder="1"/>
    <xf numFmtId="0" fontId="53" fillId="4" borderId="0" xfId="17" applyFont="1" applyFill="1" applyBorder="1"/>
    <xf numFmtId="0" fontId="0" fillId="0" borderId="9" xfId="0" applyBorder="1"/>
    <xf numFmtId="0" fontId="0" fillId="0" borderId="19" xfId="0" applyBorder="1"/>
    <xf numFmtId="0" fontId="10" fillId="0" borderId="0" xfId="0" applyFont="1" applyFill="1" applyBorder="1"/>
    <xf numFmtId="0" fontId="54" fillId="0" borderId="20" xfId="0" applyFont="1" applyBorder="1"/>
    <xf numFmtId="10" fontId="28" fillId="0" borderId="7" xfId="20" applyNumberFormat="1" applyFont="1" applyBorder="1"/>
    <xf numFmtId="10" fontId="28" fillId="0" borderId="0" xfId="20" applyNumberFormat="1" applyFont="1" applyBorder="1"/>
    <xf numFmtId="10" fontId="28" fillId="0" borderId="6" xfId="20" applyNumberFormat="1" applyFont="1" applyBorder="1"/>
    <xf numFmtId="0" fontId="28" fillId="0" borderId="19" xfId="0" applyFont="1" applyBorder="1"/>
    <xf numFmtId="166" fontId="0" fillId="0" borderId="0" xfId="3" applyNumberFormat="1" applyFont="1"/>
    <xf numFmtId="38" fontId="0" fillId="8" borderId="0" xfId="0" applyNumberFormat="1" applyFill="1"/>
    <xf numFmtId="38" fontId="0" fillId="8" borderId="4" xfId="0" applyNumberFormat="1" applyFill="1" applyBorder="1"/>
    <xf numFmtId="38" fontId="3" fillId="8" borderId="0" xfId="0" applyNumberFormat="1" applyFont="1" applyFill="1"/>
    <xf numFmtId="6" fontId="39" fillId="0" borderId="0" xfId="0" quotePrefix="1" applyNumberFormat="1" applyFont="1" applyBorder="1" applyAlignment="1">
      <alignment horizontal="center"/>
    </xf>
    <xf numFmtId="38" fontId="41" fillId="8" borderId="0" xfId="3" applyNumberFormat="1" applyFont="1" applyFill="1" applyBorder="1" applyAlignment="1">
      <alignment horizontal="center"/>
    </xf>
    <xf numFmtId="38" fontId="28" fillId="0" borderId="0" xfId="3" applyNumberFormat="1" applyFont="1" applyBorder="1" applyAlignment="1">
      <alignment horizontal="center"/>
    </xf>
    <xf numFmtId="38" fontId="23" fillId="0" borderId="0" xfId="3" applyNumberFormat="1" applyFont="1" applyBorder="1" applyAlignment="1" applyProtection="1">
      <alignment horizontal="center"/>
    </xf>
    <xf numFmtId="0" fontId="39" fillId="0" borderId="0" xfId="0" quotePrefix="1" applyFont="1" applyBorder="1" applyAlignment="1">
      <alignment horizontal="center"/>
    </xf>
    <xf numFmtId="38" fontId="49" fillId="8" borderId="0" xfId="3" applyNumberFormat="1" applyFont="1" applyFill="1" applyBorder="1" applyAlignment="1">
      <alignment horizontal="center"/>
    </xf>
    <xf numFmtId="38" fontId="28" fillId="0" borderId="0" xfId="3" applyNumberFormat="1" applyFont="1" applyFill="1" applyBorder="1" applyAlignment="1">
      <alignment horizontal="center"/>
    </xf>
    <xf numFmtId="38" fontId="23" fillId="0" borderId="6" xfId="3" applyNumberFormat="1" applyFont="1" applyFill="1" applyBorder="1" applyAlignment="1">
      <alignment horizontal="center"/>
    </xf>
    <xf numFmtId="38" fontId="51" fillId="0" borderId="0" xfId="0" applyNumberFormat="1" applyFont="1"/>
    <xf numFmtId="38" fontId="41" fillId="8" borderId="0" xfId="0" applyNumberFormat="1" applyFont="1" applyFill="1" applyBorder="1" applyAlignment="1">
      <alignment horizontal="right"/>
    </xf>
    <xf numFmtId="38" fontId="41" fillId="8" borderId="0" xfId="0" applyNumberFormat="1" applyFont="1" applyFill="1" applyBorder="1"/>
    <xf numFmtId="40" fontId="41" fillId="8" borderId="0" xfId="0" applyNumberFormat="1" applyFont="1" applyFill="1" applyBorder="1"/>
    <xf numFmtId="9" fontId="41" fillId="8" borderId="0" xfId="20" applyFont="1" applyFill="1" applyBorder="1"/>
    <xf numFmtId="15" fontId="41" fillId="8" borderId="0" xfId="0" applyNumberFormat="1" applyFont="1" applyFill="1" applyBorder="1"/>
    <xf numFmtId="166" fontId="41" fillId="8" borderId="0" xfId="3" applyNumberFormat="1" applyFont="1" applyFill="1" applyBorder="1"/>
    <xf numFmtId="40" fontId="46" fillId="0" borderId="0" xfId="0" applyNumberFormat="1" applyFont="1" applyFill="1" applyBorder="1"/>
    <xf numFmtId="10" fontId="41" fillId="8" borderId="0" xfId="0" applyNumberFormat="1" applyFont="1" applyFill="1" applyBorder="1"/>
    <xf numFmtId="204" fontId="46" fillId="0" borderId="0" xfId="0" applyNumberFormat="1" applyFont="1" applyBorder="1"/>
    <xf numFmtId="10" fontId="41" fillId="8" borderId="0" xfId="20" applyNumberFormat="1" applyFont="1" applyFill="1" applyBorder="1"/>
    <xf numFmtId="0" fontId="23" fillId="0" borderId="7" xfId="0" applyFont="1" applyBorder="1" applyAlignment="1">
      <alignment horizontal="centerContinuous"/>
    </xf>
    <xf numFmtId="10" fontId="41" fillId="8" borderId="6" xfId="0" applyNumberFormat="1" applyFont="1" applyFill="1" applyBorder="1"/>
    <xf numFmtId="38" fontId="51" fillId="0" borderId="9" xfId="0" applyNumberFormat="1" applyFont="1" applyBorder="1"/>
    <xf numFmtId="38" fontId="44" fillId="0" borderId="9" xfId="0" applyNumberFormat="1" applyFont="1" applyBorder="1" applyAlignment="1">
      <alignment horizontal="center"/>
    </xf>
    <xf numFmtId="166" fontId="3" fillId="8" borderId="0" xfId="0" applyNumberFormat="1" applyFont="1" applyFill="1"/>
    <xf numFmtId="166" fontId="17" fillId="8" borderId="0" xfId="3" applyNumberFormat="1" applyFont="1" applyFill="1"/>
    <xf numFmtId="38" fontId="28" fillId="0" borderId="7" xfId="0" applyNumberFormat="1" applyFont="1" applyBorder="1"/>
    <xf numFmtId="38" fontId="28" fillId="0" borderId="6" xfId="0" applyNumberFormat="1" applyFont="1" applyBorder="1"/>
    <xf numFmtId="179" fontId="19" fillId="0" borderId="24" xfId="0" applyNumberFormat="1" applyFont="1" applyBorder="1" applyAlignment="1">
      <alignment horizontal="right"/>
    </xf>
    <xf numFmtId="0" fontId="42" fillId="0" borderId="21" xfId="0" applyFont="1" applyFill="1" applyBorder="1" applyAlignment="1" applyProtection="1">
      <alignment horizontal="left"/>
    </xf>
    <xf numFmtId="0" fontId="28" fillId="0" borderId="6" xfId="0" applyFont="1" applyFill="1" applyBorder="1"/>
    <xf numFmtId="38" fontId="41" fillId="8" borderId="6" xfId="0" applyNumberFormat="1" applyFont="1" applyFill="1" applyBorder="1"/>
    <xf numFmtId="38" fontId="44" fillId="0" borderId="0" xfId="0" applyNumberFormat="1" applyFont="1" applyBorder="1" applyAlignment="1">
      <alignment horizontal="center"/>
    </xf>
    <xf numFmtId="14" fontId="30" fillId="0" borderId="0" xfId="0" applyNumberFormat="1" applyFont="1" applyFill="1" applyAlignment="1">
      <alignment horizontal="center"/>
    </xf>
    <xf numFmtId="6" fontId="44" fillId="0" borderId="0" xfId="0" quotePrefix="1" applyNumberFormat="1" applyFont="1" applyBorder="1" applyAlignment="1">
      <alignment horizontal="center"/>
    </xf>
    <xf numFmtId="38" fontId="51" fillId="0" borderId="0" xfId="3" applyNumberFormat="1" applyFont="1" applyFill="1" applyBorder="1" applyAlignment="1">
      <alignment horizontal="center"/>
    </xf>
    <xf numFmtId="38" fontId="44" fillId="0" borderId="0" xfId="3" applyNumberFormat="1" applyFont="1" applyFill="1" applyBorder="1" applyAlignment="1">
      <alignment horizontal="center"/>
    </xf>
    <xf numFmtId="38" fontId="44" fillId="0" borderId="6" xfId="3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322" fontId="30" fillId="0" borderId="0" xfId="0" applyNumberFormat="1" applyFont="1" applyBorder="1" applyAlignment="1">
      <alignment horizontal="center"/>
    </xf>
    <xf numFmtId="43" fontId="41" fillId="8" borderId="0" xfId="3" applyFont="1" applyFill="1" applyBorder="1"/>
    <xf numFmtId="0" fontId="53" fillId="0" borderId="0" xfId="0" applyFont="1"/>
    <xf numFmtId="0" fontId="23" fillId="3" borderId="10" xfId="0" applyFont="1" applyFill="1" applyBorder="1"/>
    <xf numFmtId="0" fontId="10" fillId="3" borderId="0" xfId="0" applyFont="1" applyFill="1" applyBorder="1"/>
    <xf numFmtId="38" fontId="23" fillId="3" borderId="0" xfId="0" applyNumberFormat="1" applyFont="1" applyFill="1" applyBorder="1" applyAlignment="1">
      <alignment horizontal="center"/>
    </xf>
    <xf numFmtId="0" fontId="2" fillId="3" borderId="9" xfId="0" applyFont="1" applyFill="1" applyBorder="1"/>
    <xf numFmtId="0" fontId="10" fillId="3" borderId="10" xfId="0" applyFont="1" applyFill="1" applyBorder="1"/>
    <xf numFmtId="38" fontId="10" fillId="3" borderId="0" xfId="0" applyNumberFormat="1" applyFont="1" applyFill="1" applyBorder="1" applyAlignment="1">
      <alignment horizontal="center"/>
    </xf>
    <xf numFmtId="0" fontId="2" fillId="3" borderId="0" xfId="0" applyFont="1" applyFill="1" applyBorder="1"/>
    <xf numFmtId="38" fontId="10" fillId="3" borderId="31" xfId="0" applyNumberFormat="1" applyFont="1" applyFill="1" applyBorder="1" applyAlignment="1">
      <alignment horizontal="center"/>
    </xf>
    <xf numFmtId="37" fontId="3" fillId="0" borderId="0" xfId="18" applyFont="1" applyBorder="1" applyAlignment="1">
      <alignment horizontal="left"/>
    </xf>
    <xf numFmtId="204" fontId="10" fillId="0" borderId="0" xfId="0" applyNumberFormat="1" applyFont="1" applyBorder="1"/>
    <xf numFmtId="166" fontId="41" fillId="8" borderId="6" xfId="3" applyNumberFormat="1" applyFont="1" applyFill="1" applyBorder="1"/>
    <xf numFmtId="38" fontId="51" fillId="0" borderId="9" xfId="0" applyNumberFormat="1" applyFont="1" applyFill="1" applyBorder="1"/>
    <xf numFmtId="38" fontId="51" fillId="0" borderId="19" xfId="0" applyNumberFormat="1" applyFont="1" applyFill="1" applyBorder="1"/>
    <xf numFmtId="43" fontId="41" fillId="8" borderId="6" xfId="3" applyFont="1" applyFill="1" applyBorder="1"/>
    <xf numFmtId="15" fontId="28" fillId="0" borderId="0" xfId="0" applyNumberFormat="1" applyFont="1" applyFill="1" applyBorder="1"/>
    <xf numFmtId="0" fontId="39" fillId="0" borderId="6" xfId="0" applyFont="1" applyBorder="1"/>
    <xf numFmtId="187" fontId="52" fillId="0" borderId="0" xfId="0" applyNumberFormat="1" applyFont="1" applyAlignment="1">
      <alignment horizontal="center"/>
    </xf>
    <xf numFmtId="0" fontId="23" fillId="0" borderId="6" xfId="3" applyNumberFormat="1" applyFont="1" applyBorder="1" applyAlignment="1">
      <alignment horizontal="center"/>
    </xf>
    <xf numFmtId="322" fontId="52" fillId="0" borderId="0" xfId="0" applyNumberFormat="1" applyFont="1" applyAlignment="1">
      <alignment horizontal="center"/>
    </xf>
    <xf numFmtId="187" fontId="30" fillId="0" borderId="0" xfId="0" applyNumberFormat="1" applyFont="1" applyAlignment="1">
      <alignment horizontal="center"/>
    </xf>
    <xf numFmtId="187" fontId="30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69" fontId="20" fillId="0" borderId="0" xfId="0" applyNumberFormat="1" applyFont="1" applyAlignment="1" applyProtection="1">
      <alignment horizontal="center"/>
    </xf>
    <xf numFmtId="171" fontId="30" fillId="0" borderId="0" xfId="18" applyNumberFormat="1" applyFont="1" applyBorder="1" applyAlignment="1">
      <alignment horizontal="center"/>
    </xf>
    <xf numFmtId="15" fontId="28" fillId="0" borderId="9" xfId="0" applyNumberFormat="1" applyFont="1" applyFill="1" applyBorder="1" applyAlignment="1">
      <alignment horizontal="center"/>
    </xf>
    <xf numFmtId="0" fontId="11" fillId="4" borderId="0" xfId="0" applyFont="1" applyFill="1" applyBorder="1"/>
    <xf numFmtId="38" fontId="3" fillId="0" borderId="0" xfId="3" applyNumberFormat="1" applyFont="1" applyFill="1"/>
    <xf numFmtId="38" fontId="2" fillId="0" borderId="0" xfId="3" applyNumberFormat="1" applyFont="1"/>
    <xf numFmtId="38" fontId="2" fillId="0" borderId="4" xfId="3" applyNumberFormat="1" applyFont="1" applyBorder="1"/>
    <xf numFmtId="38" fontId="17" fillId="0" borderId="0" xfId="3" applyNumberFormat="1" applyFont="1"/>
    <xf numFmtId="38" fontId="30" fillId="0" borderId="0" xfId="20" applyNumberFormat="1" applyFont="1"/>
    <xf numFmtId="38" fontId="17" fillId="8" borderId="0" xfId="3" applyNumberFormat="1" applyFont="1" applyFill="1"/>
    <xf numFmtId="14" fontId="30" fillId="8" borderId="0" xfId="0" applyNumberFormat="1" applyFont="1" applyFill="1" applyAlignment="1">
      <alignment horizontal="center"/>
    </xf>
    <xf numFmtId="2" fontId="0" fillId="0" borderId="0" xfId="0" applyNumberFormat="1" applyBorder="1"/>
    <xf numFmtId="38" fontId="3" fillId="0" borderId="0" xfId="0" applyNumberFormat="1" applyFont="1" applyFill="1" applyBorder="1"/>
    <xf numFmtId="0" fontId="0" fillId="0" borderId="4" xfId="0" applyBorder="1"/>
    <xf numFmtId="0" fontId="0" fillId="0" borderId="4" xfId="0" applyFill="1" applyBorder="1"/>
    <xf numFmtId="38" fontId="17" fillId="0" borderId="0" xfId="0" applyNumberFormat="1" applyFont="1" applyBorder="1"/>
    <xf numFmtId="0" fontId="17" fillId="0" borderId="0" xfId="0" applyFont="1" applyBorder="1"/>
    <xf numFmtId="0" fontId="55" fillId="0" borderId="0" xfId="0" applyFont="1" applyBorder="1"/>
    <xf numFmtId="0" fontId="55" fillId="0" borderId="0" xfId="0" applyFont="1"/>
    <xf numFmtId="0" fontId="55" fillId="0" borderId="0" xfId="0" applyFont="1" applyFill="1" applyBorder="1"/>
    <xf numFmtId="43" fontId="41" fillId="8" borderId="0" xfId="3" applyNumberFormat="1" applyFont="1" applyFill="1" applyBorder="1"/>
    <xf numFmtId="204" fontId="10" fillId="8" borderId="0" xfId="0" applyNumberFormat="1" applyFont="1" applyFill="1" applyBorder="1"/>
    <xf numFmtId="38" fontId="10" fillId="8" borderId="0" xfId="0" applyNumberFormat="1" applyFont="1" applyFill="1" applyBorder="1"/>
    <xf numFmtId="0" fontId="23" fillId="0" borderId="19" xfId="0" applyFont="1" applyBorder="1" applyAlignment="1" applyProtection="1">
      <alignment horizontal="left"/>
    </xf>
    <xf numFmtId="166" fontId="0" fillId="0" borderId="0" xfId="0" applyNumberFormat="1"/>
    <xf numFmtId="9" fontId="22" fillId="0" borderId="11" xfId="20" applyFont="1" applyFill="1" applyBorder="1" applyAlignment="1">
      <alignment horizontal="left"/>
    </xf>
    <xf numFmtId="9" fontId="22" fillId="0" borderId="13" xfId="20" applyFont="1" applyFill="1" applyBorder="1" applyAlignment="1">
      <alignment horizontal="left"/>
    </xf>
    <xf numFmtId="0" fontId="3" fillId="0" borderId="13" xfId="0" applyFont="1" applyFill="1" applyBorder="1"/>
    <xf numFmtId="0" fontId="108" fillId="0" borderId="12" xfId="19" applyFont="1" applyFill="1" applyBorder="1"/>
    <xf numFmtId="0" fontId="108" fillId="0" borderId="0" xfId="19" applyFont="1" applyFill="1"/>
    <xf numFmtId="0" fontId="108" fillId="0" borderId="0" xfId="19" applyFont="1"/>
    <xf numFmtId="0" fontId="108" fillId="0" borderId="0" xfId="19" applyFont="1" applyAlignment="1">
      <alignment horizontal="center"/>
    </xf>
    <xf numFmtId="0" fontId="109" fillId="0" borderId="0" xfId="19" applyFont="1"/>
    <xf numFmtId="0" fontId="110" fillId="0" borderId="0" xfId="19" applyFont="1"/>
    <xf numFmtId="0" fontId="111" fillId="0" borderId="0" xfId="19" applyFont="1"/>
    <xf numFmtId="0" fontId="2" fillId="0" borderId="14" xfId="0" applyFont="1" applyFill="1" applyBorder="1"/>
    <xf numFmtId="0" fontId="2" fillId="0" borderId="4" xfId="0" applyFont="1" applyFill="1" applyBorder="1"/>
    <xf numFmtId="0" fontId="108" fillId="0" borderId="4" xfId="19" applyFont="1" applyFill="1" applyBorder="1"/>
    <xf numFmtId="0" fontId="108" fillId="0" borderId="15" xfId="19" applyFont="1" applyFill="1" applyBorder="1"/>
    <xf numFmtId="0" fontId="112" fillId="0" borderId="0" xfId="19" applyFont="1" applyBorder="1"/>
    <xf numFmtId="0" fontId="108" fillId="0" borderId="0" xfId="19" applyFont="1" applyBorder="1"/>
    <xf numFmtId="0" fontId="112" fillId="0" borderId="11" xfId="19" applyFont="1" applyBorder="1"/>
    <xf numFmtId="0" fontId="112" fillId="0" borderId="13" xfId="19" applyFont="1" applyBorder="1"/>
    <xf numFmtId="0" fontId="109" fillId="0" borderId="13" xfId="19" applyFont="1" applyBorder="1"/>
    <xf numFmtId="5" fontId="113" fillId="0" borderId="12" xfId="19" applyNumberFormat="1" applyFont="1" applyBorder="1"/>
    <xf numFmtId="5" fontId="114" fillId="0" borderId="0" xfId="19" applyNumberFormat="1" applyFont="1" applyBorder="1"/>
    <xf numFmtId="0" fontId="112" fillId="0" borderId="16" xfId="19" applyFont="1" applyBorder="1"/>
    <xf numFmtId="0" fontId="109" fillId="0" borderId="0" xfId="19" applyFont="1" applyBorder="1"/>
    <xf numFmtId="5" fontId="113" fillId="0" borderId="28" xfId="19" applyNumberFormat="1" applyFont="1" applyBorder="1"/>
    <xf numFmtId="165" fontId="112" fillId="0" borderId="0" xfId="4" applyNumberFormat="1" applyFont="1" applyBorder="1"/>
    <xf numFmtId="10" fontId="112" fillId="0" borderId="28" xfId="19" applyNumberFormat="1" applyFont="1" applyBorder="1"/>
    <xf numFmtId="37" fontId="112" fillId="0" borderId="0" xfId="19" applyNumberFormat="1" applyFont="1" applyBorder="1"/>
    <xf numFmtId="10" fontId="112" fillId="0" borderId="0" xfId="19" applyNumberFormat="1" applyFont="1" applyBorder="1"/>
    <xf numFmtId="0" fontId="109" fillId="0" borderId="16" xfId="19" applyFont="1" applyBorder="1"/>
    <xf numFmtId="0" fontId="109" fillId="0" borderId="28" xfId="19" applyFont="1" applyBorder="1"/>
    <xf numFmtId="0" fontId="112" fillId="0" borderId="16" xfId="19" applyFont="1" applyFill="1" applyBorder="1"/>
    <xf numFmtId="0" fontId="112" fillId="0" borderId="0" xfId="19" applyFont="1" applyFill="1" applyBorder="1"/>
    <xf numFmtId="0" fontId="109" fillId="0" borderId="0" xfId="19" applyFont="1" applyFill="1" applyBorder="1"/>
    <xf numFmtId="10" fontId="113" fillId="0" borderId="28" xfId="19" applyNumberFormat="1" applyFont="1" applyFill="1" applyBorder="1"/>
    <xf numFmtId="37" fontId="112" fillId="0" borderId="0" xfId="19" applyNumberFormat="1" applyFont="1" applyFill="1" applyBorder="1"/>
    <xf numFmtId="10" fontId="109" fillId="0" borderId="0" xfId="19" applyNumberFormat="1" applyFont="1"/>
    <xf numFmtId="37" fontId="113" fillId="0" borderId="28" xfId="19" applyNumberFormat="1" applyFont="1" applyFill="1" applyBorder="1"/>
    <xf numFmtId="0" fontId="109" fillId="0" borderId="14" xfId="19" applyFont="1" applyBorder="1"/>
    <xf numFmtId="0" fontId="109" fillId="0" borderId="4" xfId="19" applyFont="1" applyBorder="1"/>
    <xf numFmtId="0" fontId="112" fillId="0" borderId="15" xfId="19" applyFont="1" applyBorder="1"/>
    <xf numFmtId="5" fontId="112" fillId="0" borderId="0" xfId="19" applyNumberFormat="1" applyFont="1" applyBorder="1"/>
    <xf numFmtId="0" fontId="112" fillId="0" borderId="32" xfId="19" applyFont="1" applyBorder="1"/>
    <xf numFmtId="0" fontId="112" fillId="0" borderId="33" xfId="19" applyFont="1" applyBorder="1"/>
    <xf numFmtId="0" fontId="109" fillId="0" borderId="33" xfId="19" applyFont="1" applyBorder="1"/>
    <xf numFmtId="5" fontId="112" fillId="0" borderId="34" xfId="19" applyNumberFormat="1" applyFont="1" applyBorder="1"/>
    <xf numFmtId="302" fontId="109" fillId="0" borderId="0" xfId="19" applyNumberFormat="1" applyFont="1"/>
    <xf numFmtId="302" fontId="111" fillId="0" borderId="0" xfId="19" applyNumberFormat="1" applyFont="1"/>
    <xf numFmtId="302" fontId="11" fillId="0" borderId="0" xfId="19" applyNumberFormat="1" applyFont="1"/>
    <xf numFmtId="322" fontId="112" fillId="0" borderId="0" xfId="19" applyNumberFormat="1" applyFont="1" applyBorder="1"/>
    <xf numFmtId="0" fontId="112" fillId="0" borderId="0" xfId="19" applyFont="1"/>
    <xf numFmtId="322" fontId="112" fillId="0" borderId="0" xfId="19" applyNumberFormat="1" applyFont="1"/>
    <xf numFmtId="14" fontId="109" fillId="0" borderId="0" xfId="19" applyNumberFormat="1" applyFont="1"/>
    <xf numFmtId="0" fontId="112" fillId="0" borderId="3" xfId="19" applyFont="1" applyBorder="1" applyAlignment="1">
      <alignment horizontal="center"/>
    </xf>
    <xf numFmtId="0" fontId="112" fillId="0" borderId="3" xfId="19" applyFont="1" applyBorder="1" applyAlignment="1">
      <alignment horizontal="center" wrapText="1"/>
    </xf>
    <xf numFmtId="2" fontId="112" fillId="0" borderId="3" xfId="19" applyNumberFormat="1" applyFont="1" applyBorder="1" applyAlignment="1">
      <alignment horizontal="center" wrapText="1"/>
    </xf>
    <xf numFmtId="0" fontId="112" fillId="0" borderId="24" xfId="19" applyFont="1" applyBorder="1" applyAlignment="1">
      <alignment horizontal="center"/>
    </xf>
    <xf numFmtId="0" fontId="109" fillId="0" borderId="35" xfId="19" applyFont="1" applyBorder="1"/>
    <xf numFmtId="0" fontId="112" fillId="0" borderId="35" xfId="19" applyFont="1" applyBorder="1"/>
    <xf numFmtId="0" fontId="112" fillId="0" borderId="28" xfId="19" applyFont="1" applyBorder="1"/>
    <xf numFmtId="0" fontId="109" fillId="0" borderId="35" xfId="19" applyFont="1" applyBorder="1" applyAlignment="1">
      <alignment horizontal="center"/>
    </xf>
    <xf numFmtId="322" fontId="109" fillId="0" borderId="0" xfId="19" applyNumberFormat="1" applyFont="1"/>
    <xf numFmtId="164" fontId="115" fillId="0" borderId="35" xfId="20" applyNumberFormat="1" applyFont="1" applyBorder="1" applyAlignment="1">
      <alignment horizontal="center"/>
    </xf>
    <xf numFmtId="1" fontId="109" fillId="0" borderId="0" xfId="19" applyNumberFormat="1" applyFont="1"/>
    <xf numFmtId="5" fontId="109" fillId="0" borderId="35" xfId="19" applyNumberFormat="1" applyFont="1" applyBorder="1"/>
    <xf numFmtId="5" fontId="109" fillId="0" borderId="28" xfId="19" applyNumberFormat="1" applyFont="1" applyBorder="1"/>
    <xf numFmtId="166" fontId="109" fillId="0" borderId="0" xfId="3" applyNumberFormat="1" applyFont="1"/>
    <xf numFmtId="0" fontId="109" fillId="0" borderId="36" xfId="19" applyFont="1" applyBorder="1" applyAlignment="1">
      <alignment horizontal="center"/>
    </xf>
    <xf numFmtId="5" fontId="109" fillId="0" borderId="36" xfId="19" applyNumberFormat="1" applyFont="1" applyBorder="1"/>
    <xf numFmtId="5" fontId="109" fillId="0" borderId="15" xfId="19" applyNumberFormat="1" applyFont="1" applyBorder="1"/>
    <xf numFmtId="164" fontId="3" fillId="0" borderId="0" xfId="0" applyNumberFormat="1" applyFont="1"/>
    <xf numFmtId="1" fontId="0" fillId="0" borderId="0" xfId="0" applyNumberFormat="1"/>
    <xf numFmtId="165" fontId="3" fillId="0" borderId="0" xfId="4" applyNumberFormat="1" applyFont="1"/>
    <xf numFmtId="0" fontId="16" fillId="8" borderId="0" xfId="0" applyFont="1" applyFill="1"/>
    <xf numFmtId="10" fontId="16" fillId="8" borderId="0" xfId="20" applyNumberFormat="1" applyFont="1" applyFill="1"/>
    <xf numFmtId="173" fontId="3" fillId="0" borderId="0" xfId="20" applyNumberFormat="1" applyFont="1"/>
    <xf numFmtId="0" fontId="3" fillId="0" borderId="0" xfId="0" quotePrefix="1" applyFont="1"/>
    <xf numFmtId="14" fontId="16" fillId="8" borderId="0" xfId="0" applyNumberFormat="1" applyFont="1" applyFill="1"/>
    <xf numFmtId="0" fontId="17" fillId="0" borderId="0" xfId="0" applyFont="1" applyAlignment="1">
      <alignment horizontal="right"/>
    </xf>
    <xf numFmtId="14" fontId="16" fillId="8" borderId="0" xfId="0" applyNumberFormat="1" applyFont="1" applyFill="1" applyAlignment="1">
      <alignment horizontal="left"/>
    </xf>
    <xf numFmtId="9" fontId="16" fillId="8" borderId="0" xfId="20" applyFont="1" applyFill="1" applyAlignment="1">
      <alignment horizontal="left"/>
    </xf>
    <xf numFmtId="166" fontId="3" fillId="0" borderId="0" xfId="3" applyNumberFormat="1" applyFont="1" applyAlignment="1">
      <alignment horizontal="left"/>
    </xf>
    <xf numFmtId="41" fontId="3" fillId="0" borderId="0" xfId="0" applyNumberFormat="1" applyFont="1" applyAlignment="1">
      <alignment horizontal="right"/>
    </xf>
    <xf numFmtId="166" fontId="3" fillId="0" borderId="0" xfId="3" applyNumberFormat="1" applyFont="1" applyAlignment="1">
      <alignment horizontal="right"/>
    </xf>
    <xf numFmtId="164" fontId="109" fillId="0" borderId="0" xfId="19" applyNumberFormat="1" applyFont="1" applyBorder="1"/>
    <xf numFmtId="164" fontId="110" fillId="0" borderId="0" xfId="19" applyNumberFormat="1" applyFont="1" applyBorder="1"/>
    <xf numFmtId="164" fontId="115" fillId="0" borderId="0" xfId="19" applyNumberFormat="1" applyFont="1" applyBorder="1"/>
    <xf numFmtId="164" fontId="116" fillId="0" borderId="0" xfId="19" applyNumberFormat="1" applyFont="1" applyBorder="1"/>
    <xf numFmtId="166" fontId="112" fillId="0" borderId="0" xfId="19" applyNumberFormat="1" applyFont="1" applyBorder="1"/>
    <xf numFmtId="0" fontId="110" fillId="0" borderId="0" xfId="19" applyFont="1" applyBorder="1"/>
    <xf numFmtId="5" fontId="109" fillId="0" borderId="0" xfId="19" applyNumberFormat="1" applyFont="1" applyBorder="1"/>
    <xf numFmtId="5" fontId="110" fillId="0" borderId="0" xfId="19" applyNumberFormat="1" applyFont="1" applyBorder="1"/>
    <xf numFmtId="5" fontId="109" fillId="0" borderId="0" xfId="19" applyNumberFormat="1" applyFont="1"/>
    <xf numFmtId="0" fontId="28" fillId="4" borderId="0" xfId="0" applyFont="1" applyFill="1" applyBorder="1"/>
    <xf numFmtId="187" fontId="52" fillId="0" borderId="0" xfId="0" applyNumberFormat="1" applyFont="1"/>
    <xf numFmtId="44" fontId="41" fillId="8" borderId="0" xfId="4" applyFont="1" applyFill="1" applyBorder="1"/>
    <xf numFmtId="37" fontId="113" fillId="0" borderId="28" xfId="19" applyNumberFormat="1" applyFont="1" applyBorder="1"/>
    <xf numFmtId="38" fontId="3" fillId="0" borderId="0" xfId="0" applyNumberFormat="1" applyFont="1" applyFill="1" applyAlignment="1">
      <alignment horizontal="right"/>
    </xf>
    <xf numFmtId="38" fontId="0" fillId="8" borderId="0" xfId="0" applyNumberFormat="1" applyFill="1" applyBorder="1"/>
    <xf numFmtId="0" fontId="6" fillId="0" borderId="0" xfId="0" applyFont="1"/>
    <xf numFmtId="14" fontId="6" fillId="0" borderId="6" xfId="0" applyNumberFormat="1" applyFont="1" applyBorder="1"/>
    <xf numFmtId="0" fontId="0" fillId="0" borderId="0" xfId="0" applyAlignment="1">
      <alignment horizontal="right"/>
    </xf>
    <xf numFmtId="38" fontId="118" fillId="0" borderId="0" xfId="0" applyNumberFormat="1" applyFont="1"/>
    <xf numFmtId="9" fontId="1" fillId="0" borderId="0" xfId="20"/>
    <xf numFmtId="166" fontId="1" fillId="0" borderId="0" xfId="3" applyNumberFormat="1"/>
    <xf numFmtId="0" fontId="69" fillId="0" borderId="4" xfId="0" applyFont="1" applyBorder="1"/>
    <xf numFmtId="0" fontId="26" fillId="0" borderId="4" xfId="0" applyFont="1" applyBorder="1"/>
    <xf numFmtId="0" fontId="6" fillId="0" borderId="0" xfId="0" applyFont="1" applyAlignment="1">
      <alignment horizontal="right"/>
    </xf>
    <xf numFmtId="14" fontId="6" fillId="0" borderId="37" xfId="0" applyNumberFormat="1" applyFont="1" applyBorder="1"/>
    <xf numFmtId="0" fontId="6" fillId="0" borderId="11" xfId="0" applyFont="1" applyBorder="1"/>
    <xf numFmtId="0" fontId="0" fillId="0" borderId="12" xfId="0" applyBorder="1"/>
    <xf numFmtId="14" fontId="0" fillId="0" borderId="0" xfId="0" applyNumberFormat="1"/>
    <xf numFmtId="0" fontId="0" fillId="0" borderId="16" xfId="0" applyBorder="1"/>
    <xf numFmtId="0" fontId="0" fillId="0" borderId="28" xfId="0" applyBorder="1"/>
    <xf numFmtId="9" fontId="69" fillId="0" borderId="3" xfId="20" applyFont="1" applyBorder="1"/>
    <xf numFmtId="38" fontId="0" fillId="0" borderId="28" xfId="0" applyNumberFormat="1" applyBorder="1"/>
    <xf numFmtId="0" fontId="0" fillId="0" borderId="14" xfId="0" applyBorder="1" applyAlignment="1">
      <alignment horizontal="left" indent="2"/>
    </xf>
    <xf numFmtId="9" fontId="1" fillId="0" borderId="15" xfId="20" applyBorder="1"/>
    <xf numFmtId="9" fontId="0" fillId="0" borderId="0" xfId="0" applyNumberFormat="1" applyBorder="1"/>
    <xf numFmtId="166" fontId="1" fillId="0" borderId="0" xfId="3" applyNumberFormat="1" applyBorder="1"/>
    <xf numFmtId="164" fontId="6" fillId="13" borderId="3" xfId="20" applyNumberFormat="1" applyFont="1" applyFill="1" applyBorder="1" applyAlignment="1">
      <alignment horizontal="center"/>
    </xf>
    <xf numFmtId="14" fontId="119" fillId="0" borderId="6" xfId="0" applyNumberFormat="1" applyFont="1" applyBorder="1"/>
    <xf numFmtId="14" fontId="120" fillId="8" borderId="0" xfId="0" applyNumberFormat="1" applyFont="1" applyFill="1" applyAlignment="1">
      <alignment horizontal="center"/>
    </xf>
    <xf numFmtId="38" fontId="10" fillId="0" borderId="0" xfId="3" applyNumberFormat="1" applyFont="1" applyFill="1" applyBorder="1" applyAlignment="1">
      <alignment horizontal="center"/>
    </xf>
    <xf numFmtId="0" fontId="121" fillId="0" borderId="0" xfId="0" applyFont="1"/>
    <xf numFmtId="0" fontId="0" fillId="0" borderId="2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69" fillId="11" borderId="20" xfId="0" applyFont="1" applyFill="1" applyBorder="1" applyAlignment="1">
      <alignment horizontal="center"/>
    </xf>
    <xf numFmtId="0" fontId="69" fillId="11" borderId="8" xfId="0" applyFon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9" xfId="0" applyBorder="1" applyAlignment="1">
      <alignment horizontal="center"/>
    </xf>
    <xf numFmtId="0" fontId="26" fillId="11" borderId="21" xfId="0" applyFont="1" applyFill="1" applyBorder="1" applyAlignment="1">
      <alignment horizontal="center"/>
    </xf>
    <xf numFmtId="0" fontId="26" fillId="11" borderId="19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44" fontId="122" fillId="0" borderId="10" xfId="4" applyFont="1" applyBorder="1" applyAlignment="1">
      <alignment horizontal="center"/>
    </xf>
    <xf numFmtId="44" fontId="122" fillId="0" borderId="0" xfId="0" applyNumberFormat="1" applyFont="1" applyBorder="1" applyAlignment="1">
      <alignment horizontal="center"/>
    </xf>
    <xf numFmtId="165" fontId="122" fillId="0" borderId="9" xfId="4" applyNumberFormat="1" applyFont="1" applyBorder="1" applyAlignment="1">
      <alignment horizontal="center"/>
    </xf>
    <xf numFmtId="44" fontId="122" fillId="0" borderId="0" xfId="4" applyFont="1" applyBorder="1" applyAlignment="1">
      <alignment horizontal="center"/>
    </xf>
    <xf numFmtId="44" fontId="1" fillId="0" borderId="10" xfId="4" applyBorder="1" applyAlignment="1">
      <alignment horizontal="center"/>
    </xf>
    <xf numFmtId="44" fontId="1" fillId="0" borderId="0" xfId="4" applyBorder="1" applyAlignment="1">
      <alignment horizontal="center"/>
    </xf>
    <xf numFmtId="44" fontId="1" fillId="0" borderId="9" xfId="4" applyBorder="1" applyAlignment="1">
      <alignment horizontal="center"/>
    </xf>
    <xf numFmtId="165" fontId="1" fillId="0" borderId="0" xfId="4" applyNumberFormat="1" applyBorder="1" applyAlignment="1">
      <alignment horizontal="center"/>
    </xf>
    <xf numFmtId="165" fontId="122" fillId="11" borderId="20" xfId="0" applyNumberFormat="1" applyFont="1" applyFill="1" applyBorder="1" applyAlignment="1">
      <alignment horizontal="center"/>
    </xf>
    <xf numFmtId="165" fontId="26" fillId="11" borderId="8" xfId="0" applyNumberFormat="1" applyFont="1" applyFill="1" applyBorder="1" applyAlignment="1">
      <alignment horizontal="center"/>
    </xf>
    <xf numFmtId="165" fontId="122" fillId="11" borderId="10" xfId="0" applyNumberFormat="1" applyFont="1" applyFill="1" applyBorder="1" applyAlignment="1">
      <alignment horizontal="center"/>
    </xf>
    <xf numFmtId="165" fontId="26" fillId="11" borderId="9" xfId="0" applyNumberFormat="1" applyFont="1" applyFill="1" applyBorder="1" applyAlignment="1">
      <alignment horizontal="center"/>
    </xf>
    <xf numFmtId="44" fontId="122" fillId="0" borderId="21" xfId="4" applyFont="1" applyBorder="1" applyAlignment="1">
      <alignment horizontal="center"/>
    </xf>
    <xf numFmtId="44" fontId="122" fillId="0" borderId="6" xfId="0" applyNumberFormat="1" applyFont="1" applyBorder="1" applyAlignment="1">
      <alignment horizontal="center"/>
    </xf>
    <xf numFmtId="165" fontId="122" fillId="0" borderId="19" xfId="4" applyNumberFormat="1" applyFont="1" applyBorder="1" applyAlignment="1">
      <alignment horizontal="center"/>
    </xf>
    <xf numFmtId="44" fontId="122" fillId="0" borderId="6" xfId="4" applyFont="1" applyBorder="1" applyAlignment="1">
      <alignment horizontal="center"/>
    </xf>
    <xf numFmtId="44" fontId="1" fillId="0" borderId="21" xfId="4" applyBorder="1" applyAlignment="1">
      <alignment horizontal="center"/>
    </xf>
    <xf numFmtId="44" fontId="1" fillId="0" borderId="6" xfId="4" applyBorder="1" applyAlignment="1">
      <alignment horizontal="center"/>
    </xf>
    <xf numFmtId="44" fontId="1" fillId="0" borderId="19" xfId="4" applyBorder="1" applyAlignment="1">
      <alignment horizontal="center"/>
    </xf>
    <xf numFmtId="165" fontId="1" fillId="0" borderId="6" xfId="4" applyNumberFormat="1" applyBorder="1" applyAlignment="1">
      <alignment horizontal="center"/>
    </xf>
    <xf numFmtId="165" fontId="122" fillId="11" borderId="21" xfId="0" applyNumberFormat="1" applyFont="1" applyFill="1" applyBorder="1" applyAlignment="1">
      <alignment horizontal="center"/>
    </xf>
    <xf numFmtId="165" fontId="26" fillId="11" borderId="19" xfId="0" applyNumberFormat="1" applyFont="1" applyFill="1" applyBorder="1" applyAlignment="1">
      <alignment horizontal="center"/>
    </xf>
    <xf numFmtId="0" fontId="26" fillId="0" borderId="0" xfId="0" applyFont="1" applyFill="1"/>
    <xf numFmtId="165" fontId="123" fillId="0" borderId="0" xfId="0" applyNumberFormat="1" applyFont="1"/>
    <xf numFmtId="165" fontId="123" fillId="0" borderId="0" xfId="0" applyNumberFormat="1" applyFont="1" applyFill="1"/>
    <xf numFmtId="165" fontId="6" fillId="0" borderId="0" xfId="0" applyNumberFormat="1" applyFont="1" applyFill="1"/>
    <xf numFmtId="10" fontId="6" fillId="0" borderId="0" xfId="20" applyNumberFormat="1" applyFont="1"/>
    <xf numFmtId="44" fontId="0" fillId="0" borderId="0" xfId="0" applyNumberFormat="1"/>
    <xf numFmtId="10" fontId="6" fillId="0" borderId="0" xfId="20" applyNumberFormat="1" applyFont="1" applyFill="1"/>
    <xf numFmtId="165" fontId="123" fillId="0" borderId="0" xfId="4" applyNumberFormat="1" applyFont="1"/>
    <xf numFmtId="44" fontId="6" fillId="0" borderId="0" xfId="4" applyFont="1" applyFill="1"/>
    <xf numFmtId="0" fontId="0" fillId="11" borderId="31" xfId="0" applyFill="1" applyBorder="1" applyAlignment="1">
      <alignment horizontal="center"/>
    </xf>
    <xf numFmtId="0" fontId="0" fillId="11" borderId="31" xfId="0" applyFill="1" applyBorder="1"/>
    <xf numFmtId="165" fontId="0" fillId="0" borderId="0" xfId="0" applyNumberFormat="1"/>
    <xf numFmtId="0" fontId="0" fillId="11" borderId="38" xfId="0" applyFill="1" applyBorder="1"/>
    <xf numFmtId="0" fontId="0" fillId="11" borderId="39" xfId="0" applyFill="1" applyBorder="1" applyAlignment="1">
      <alignment horizontal="center"/>
    </xf>
    <xf numFmtId="165" fontId="0" fillId="11" borderId="9" xfId="0" applyNumberFormat="1" applyFill="1" applyBorder="1"/>
    <xf numFmtId="0" fontId="0" fillId="11" borderId="39" xfId="0" applyFill="1" applyBorder="1"/>
    <xf numFmtId="44" fontId="1" fillId="11" borderId="39" xfId="4" applyFill="1" applyBorder="1"/>
    <xf numFmtId="44" fontId="1" fillId="0" borderId="0" xfId="4"/>
    <xf numFmtId="0" fontId="0" fillId="11" borderId="40" xfId="0" applyFill="1" applyBorder="1"/>
    <xf numFmtId="0" fontId="0" fillId="11" borderId="40" xfId="0" applyFill="1" applyBorder="1" applyAlignment="1">
      <alignment horizontal="center"/>
    </xf>
    <xf numFmtId="165" fontId="0" fillId="11" borderId="19" xfId="0" applyNumberFormat="1" applyFill="1" applyBorder="1"/>
    <xf numFmtId="165" fontId="123" fillId="0" borderId="0" xfId="4" applyNumberFormat="1" applyFont="1" applyFill="1"/>
    <xf numFmtId="165" fontId="6" fillId="0" borderId="0" xfId="4" applyNumberFormat="1" applyFont="1" applyFill="1"/>
    <xf numFmtId="165" fontId="6" fillId="0" borderId="0" xfId="4" applyNumberFormat="1" applyFont="1"/>
    <xf numFmtId="165" fontId="6" fillId="0" borderId="0" xfId="0" applyNumberFormat="1" applyFont="1"/>
    <xf numFmtId="10" fontId="119" fillId="0" borderId="0" xfId="20" applyNumberFormat="1" applyFont="1"/>
    <xf numFmtId="37" fontId="10" fillId="8" borderId="0" xfId="0" applyNumberFormat="1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11" borderId="27" xfId="0" applyFont="1" applyFill="1" applyBorder="1" applyAlignment="1">
      <alignment horizontal="center"/>
    </xf>
    <xf numFmtId="0" fontId="6" fillId="11" borderId="23" xfId="0" applyFont="1" applyFill="1" applyBorder="1" applyAlignment="1">
      <alignment horizontal="center"/>
    </xf>
  </cellXfs>
  <cellStyles count="32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Normal_H" xfId="19"/>
    <cellStyle name="Percent" xfId="20" builtinId="5"/>
    <cellStyle name="Percent [2]" xfId="21"/>
    <cellStyle name="Standard_Anpassen der Amortisation" xfId="22"/>
    <cellStyle name="Total" xfId="23" builtinId="25" customBuiltin="1"/>
    <cellStyle name="uk" xfId="24"/>
    <cellStyle name="Un" xfId="25"/>
    <cellStyle name="Unprot" xfId="26"/>
    <cellStyle name="Unprot$" xfId="27"/>
    <cellStyle name="Unprot_CurrencySKorea" xfId="28"/>
    <cellStyle name="Unprotect" xfId="29"/>
    <cellStyle name="Währung [0]_Compiling Utility Macros" xfId="30"/>
    <cellStyle name="Währung_Compiling Utility Macros" xfId="3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4" dropStyle="combo" dx="22" fmlaLink="$B$17" fmlaRange="$B$19:$B$22" noThreeD="1" sel="3" val="0"/>
</file>

<file path=xl/ctrlProps/ctrlProp2.xml><?xml version="1.0" encoding="utf-8"?>
<formControlPr xmlns="http://schemas.microsoft.com/office/spreadsheetml/2009/9/main" objectType="Drop" dropStyle="combo" dx="22" fmlaLink="$C$17" fmlaRange="$C$19:$C$20" noThreeD="1" sel="1" val="0"/>
</file>

<file path=xl/ctrlProps/ctrlProp3.xml><?xml version="1.0" encoding="utf-8"?>
<formControlPr xmlns="http://schemas.microsoft.com/office/spreadsheetml/2009/9/main" objectType="Drop" dropLines="2" dropStyle="combo" dx="22" fmlaLink="$D$17" fmlaRange="$D$19:$D$20" noThreeD="1" sel="2" val="0"/>
</file>

<file path=xl/ctrlProps/ctrlProp4.xml><?xml version="1.0" encoding="utf-8"?>
<formControlPr xmlns="http://schemas.microsoft.com/office/spreadsheetml/2009/9/main" objectType="Drop" dropLines="3" dropStyle="combo" dx="22" fmlaLink="$E$17" fmlaRange="$E$19:$E$21" noThreeD="1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47625</xdr:rowOff>
        </xdr:from>
        <xdr:to>
          <xdr:col>1</xdr:col>
          <xdr:colOff>1552575</xdr:colOff>
          <xdr:row>6</xdr:row>
          <xdr:rowOff>47625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DDA37325-D427-CFA5-3EB0-8C08921470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</xdr:row>
          <xdr:rowOff>9525</xdr:rowOff>
        </xdr:from>
        <xdr:to>
          <xdr:col>1</xdr:col>
          <xdr:colOff>1543050</xdr:colOff>
          <xdr:row>9</xdr:row>
          <xdr:rowOff>28575</xdr:rowOff>
        </xdr:to>
        <xdr:sp macro="" textlink="">
          <xdr:nvSpPr>
            <xdr:cNvPr id="1029" name="Drop Dow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214D60B8-2B03-1F77-F15D-A3CC368A02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190500</xdr:rowOff>
        </xdr:from>
        <xdr:to>
          <xdr:col>1</xdr:col>
          <xdr:colOff>1543050</xdr:colOff>
          <xdr:row>11</xdr:row>
          <xdr:rowOff>0</xdr:rowOff>
        </xdr:to>
        <xdr:sp macro="" textlink="">
          <xdr:nvSpPr>
            <xdr:cNvPr id="1030" name="Drop Dow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E5B0F8FF-8BF7-25BA-0F57-608688C946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11</xdr:row>
          <xdr:rowOff>180975</xdr:rowOff>
        </xdr:from>
        <xdr:to>
          <xdr:col>1</xdr:col>
          <xdr:colOff>1543050</xdr:colOff>
          <xdr:row>12</xdr:row>
          <xdr:rowOff>190500</xdr:rowOff>
        </xdr:to>
        <xdr:sp macro="" textlink="">
          <xdr:nvSpPr>
            <xdr:cNvPr id="1031" name="Drop Dow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319B60AF-BEC5-1F08-9E3E-A99F6CC8C0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Library" Target="ANALYSIS/ATPVBAEN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se_0124(2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rownsville_012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"/>
      <sheetName val="VBA Functions and Subs"/>
      <sheetName val="Loc Table"/>
    </sheetNames>
    <definedNames>
      <definedName name="xirr"/>
    </definedNames>
    <sheetDataSet>
      <sheetData sheetId="0"/>
      <sheetData sheetId="1" refreshError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set Scenarios"/>
      <sheetName val="Tracking Sheet"/>
      <sheetName val="Scenarios"/>
      <sheetName val="Assumptions"/>
      <sheetName val="Power Price Assumption"/>
      <sheetName val="IS"/>
      <sheetName val="Return Analysis"/>
      <sheetName val="CF"/>
      <sheetName val="Debt"/>
      <sheetName val="IDC"/>
      <sheetName val="Depreciation"/>
      <sheetName val="Tax"/>
      <sheetName val="Observations"/>
    </sheetNames>
    <sheetDataSet>
      <sheetData sheetId="0" refreshError="1"/>
      <sheetData sheetId="1" refreshError="1"/>
      <sheetData sheetId="2" refreshError="1"/>
      <sheetData sheetId="3">
        <row r="17">
          <cell r="J17">
            <v>8.0219178082191789</v>
          </cell>
        </row>
        <row r="59">
          <cell r="E59">
            <v>36739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636.66354334323137</v>
          </cell>
          <cell r="U30">
            <v>636.66354334323137</v>
          </cell>
          <cell r="V30">
            <v>639.36354334323141</v>
          </cell>
          <cell r="W30">
            <v>639.36354334323141</v>
          </cell>
          <cell r="X30">
            <v>639.36354334323141</v>
          </cell>
          <cell r="Y30">
            <v>639.36354334323141</v>
          </cell>
          <cell r="Z30">
            <v>639.36354334323141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2522.0335985547176</v>
          </cell>
          <cell r="U46">
            <v>3491.0384293320521</v>
          </cell>
          <cell r="V46">
            <v>3505.843429332052</v>
          </cell>
          <cell r="W46">
            <v>3505.843429332052</v>
          </cell>
          <cell r="X46">
            <v>3505.843429332052</v>
          </cell>
          <cell r="Y46">
            <v>3505.843429332052</v>
          </cell>
          <cell r="Z46">
            <v>3505.843429332052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</sheetData>
      <sheetData sheetId="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2:X38"/>
  <sheetViews>
    <sheetView topLeftCell="A12" zoomScale="75" workbookViewId="0">
      <selection activeCell="F30" sqref="F30"/>
    </sheetView>
  </sheetViews>
  <sheetFormatPr defaultRowHeight="12.75"/>
  <cols>
    <col min="1" max="1" width="38" style="14" customWidth="1"/>
    <col min="2" max="2" width="25" style="14" customWidth="1"/>
    <col min="3" max="6" width="25.28515625" style="14" customWidth="1"/>
    <col min="7" max="7" width="11.5703125" style="14" bestFit="1" customWidth="1"/>
    <col min="8" max="8" width="17.85546875" style="14" bestFit="1" customWidth="1"/>
    <col min="9" max="15" width="9.140625" style="14"/>
    <col min="16" max="16" width="23.140625" style="14" customWidth="1"/>
    <col min="17" max="17" width="38.5703125" style="14" customWidth="1"/>
    <col min="18" max="18" width="11.5703125" style="14" customWidth="1"/>
    <col min="19" max="19" width="22.7109375" style="14" customWidth="1"/>
    <col min="20" max="16384" width="9.140625" style="14"/>
  </cols>
  <sheetData>
    <row r="2" spans="1:24" ht="18.75">
      <c r="A2" s="293" t="s">
        <v>0</v>
      </c>
      <c r="B2" s="202"/>
      <c r="C2" s="263"/>
      <c r="D2" s="263"/>
      <c r="E2" s="202"/>
      <c r="F2" s="202"/>
      <c r="G2" s="30"/>
      <c r="H2" s="30"/>
      <c r="I2" s="30"/>
      <c r="J2" s="53"/>
      <c r="K2" s="53"/>
      <c r="L2" s="53"/>
    </row>
    <row r="3" spans="1:24" ht="18.75">
      <c r="A3" s="135"/>
      <c r="B3" s="135"/>
      <c r="C3" s="135"/>
      <c r="D3" s="135"/>
      <c r="E3" s="135"/>
      <c r="F3" s="135"/>
      <c r="G3" s="135"/>
      <c r="H3" s="135"/>
      <c r="I3" s="135"/>
    </row>
    <row r="4" spans="1:24" ht="20.25">
      <c r="B4" s="252"/>
      <c r="C4" s="252"/>
      <c r="D4" s="252"/>
      <c r="E4" s="252"/>
    </row>
    <row r="5" spans="1:24" ht="15.75">
      <c r="A5" s="264"/>
      <c r="B5" s="264"/>
      <c r="C5" s="264"/>
      <c r="D5" s="264"/>
      <c r="T5" s="53"/>
      <c r="U5" s="53"/>
    </row>
    <row r="6" spans="1:24" ht="15.75">
      <c r="A6" s="265" t="s">
        <v>1</v>
      </c>
      <c r="B6" s="265"/>
      <c r="C6" s="265"/>
      <c r="D6" s="265"/>
      <c r="E6" s="30"/>
      <c r="F6" s="53"/>
      <c r="G6" s="53"/>
      <c r="H6" s="53"/>
      <c r="I6" s="53"/>
      <c r="J6" s="53"/>
      <c r="K6" s="53"/>
      <c r="L6" s="53"/>
      <c r="M6" s="53"/>
      <c r="N6" s="53"/>
      <c r="T6" s="53"/>
      <c r="U6" s="53"/>
      <c r="V6" s="53"/>
      <c r="W6" s="53"/>
      <c r="X6" s="53"/>
    </row>
    <row r="7" spans="1:24" ht="15.75">
      <c r="A7" s="264" t="s">
        <v>2</v>
      </c>
      <c r="B7" s="265"/>
      <c r="C7" s="265"/>
      <c r="D7" s="265"/>
      <c r="E7" s="30"/>
      <c r="F7" s="53"/>
      <c r="G7" s="53"/>
      <c r="H7" s="53"/>
      <c r="I7" s="53"/>
      <c r="J7" s="53"/>
      <c r="K7" s="53"/>
      <c r="L7" s="53"/>
      <c r="M7" s="53"/>
      <c r="N7" s="53"/>
      <c r="T7" s="53"/>
      <c r="U7" s="53"/>
      <c r="V7" s="53"/>
      <c r="W7" s="53"/>
      <c r="X7" s="53"/>
    </row>
    <row r="8" spans="1:24" ht="15.75">
      <c r="A8" s="265"/>
      <c r="B8" s="265"/>
      <c r="C8" s="265"/>
      <c r="D8" s="265"/>
      <c r="E8" s="30"/>
      <c r="F8" s="53"/>
      <c r="G8" s="53"/>
      <c r="H8" s="53"/>
      <c r="I8" s="53"/>
      <c r="J8" s="53"/>
      <c r="K8" s="53"/>
      <c r="L8" s="53"/>
      <c r="M8" s="53"/>
      <c r="N8" s="53"/>
      <c r="T8" s="53"/>
      <c r="U8" s="53"/>
      <c r="V8" s="53"/>
      <c r="W8" s="53"/>
      <c r="X8" s="53"/>
    </row>
    <row r="9" spans="1:24" ht="15.75">
      <c r="A9" s="265" t="s">
        <v>3</v>
      </c>
      <c r="B9" s="265"/>
      <c r="C9" s="265"/>
      <c r="D9" s="265"/>
      <c r="E9" s="30"/>
      <c r="F9" s="53"/>
      <c r="G9" s="53"/>
      <c r="H9" s="53"/>
      <c r="I9" s="53"/>
      <c r="J9" s="53"/>
      <c r="K9" s="53"/>
      <c r="L9" s="53"/>
      <c r="M9" s="53"/>
      <c r="N9" s="53"/>
      <c r="T9" s="53"/>
      <c r="U9" s="53"/>
      <c r="V9" s="53"/>
      <c r="W9" s="53"/>
      <c r="X9" s="53"/>
    </row>
    <row r="10" spans="1:24" ht="15.75">
      <c r="A10" s="265"/>
      <c r="B10" s="265"/>
      <c r="C10" s="265"/>
      <c r="D10" s="265"/>
      <c r="E10" s="30"/>
      <c r="F10" s="53"/>
      <c r="G10" s="53"/>
      <c r="H10" s="53"/>
      <c r="I10" s="53"/>
      <c r="J10" s="53"/>
      <c r="K10" s="53"/>
      <c r="L10" s="53"/>
      <c r="M10" s="53"/>
      <c r="N10" s="53"/>
      <c r="T10" s="53"/>
      <c r="U10" s="53"/>
      <c r="V10" s="53"/>
      <c r="W10" s="53"/>
      <c r="X10" s="53"/>
    </row>
    <row r="11" spans="1:24" ht="15.75">
      <c r="A11" s="265" t="s">
        <v>4</v>
      </c>
      <c r="B11" s="265"/>
      <c r="C11" s="265"/>
      <c r="D11" s="265"/>
      <c r="E11" s="30"/>
      <c r="F11" s="53"/>
      <c r="G11" s="53"/>
      <c r="H11" s="53"/>
      <c r="I11" s="53"/>
      <c r="J11" s="53"/>
      <c r="K11" s="53"/>
      <c r="L11" s="53"/>
      <c r="M11" s="53"/>
      <c r="N11" s="53"/>
      <c r="T11" s="53"/>
      <c r="U11" s="53"/>
      <c r="V11" s="53"/>
      <c r="W11" s="53"/>
      <c r="X11" s="53"/>
    </row>
    <row r="12" spans="1:24" ht="15.75">
      <c r="A12" s="265"/>
      <c r="B12" s="265"/>
      <c r="C12" s="265"/>
      <c r="D12" s="265"/>
      <c r="E12" s="30"/>
      <c r="F12" s="53"/>
      <c r="G12" s="53"/>
      <c r="H12" s="53"/>
      <c r="I12" s="53"/>
      <c r="J12" s="53"/>
      <c r="K12" s="53"/>
      <c r="L12" s="53"/>
      <c r="M12" s="53"/>
      <c r="N12" s="53"/>
      <c r="T12" s="53"/>
      <c r="U12" s="53"/>
      <c r="V12" s="53"/>
      <c r="W12" s="53"/>
      <c r="X12" s="53"/>
    </row>
    <row r="13" spans="1:24" ht="16.5" thickBot="1">
      <c r="A13" s="265" t="s">
        <v>5</v>
      </c>
      <c r="B13" s="265"/>
      <c r="C13" s="265"/>
      <c r="D13" s="265"/>
      <c r="E13" s="30"/>
      <c r="F13" s="53"/>
      <c r="G13" s="53"/>
      <c r="H13" s="53"/>
      <c r="I13" s="53"/>
      <c r="J13" s="53"/>
      <c r="K13" s="53"/>
      <c r="L13" s="53"/>
      <c r="M13" s="53"/>
      <c r="N13" s="53"/>
      <c r="T13" s="53"/>
      <c r="U13" s="53"/>
      <c r="V13" s="53"/>
      <c r="W13" s="53"/>
      <c r="X13" s="53"/>
    </row>
    <row r="14" spans="1:24" ht="15.75">
      <c r="A14" s="268" t="s">
        <v>10</v>
      </c>
      <c r="B14" s="44"/>
      <c r="C14" s="180"/>
      <c r="D14" s="180"/>
      <c r="E14" s="181"/>
      <c r="G14" s="53"/>
      <c r="H14"/>
      <c r="I14"/>
      <c r="J14"/>
      <c r="K14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</row>
    <row r="15" spans="1:24" ht="15.75">
      <c r="A15" s="157"/>
      <c r="B15" s="152"/>
      <c r="C15" s="152"/>
      <c r="D15" s="152"/>
      <c r="E15" s="158"/>
      <c r="G15" s="53"/>
      <c r="H15"/>
      <c r="I15"/>
      <c r="J15"/>
      <c r="K15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</row>
    <row r="16" spans="1:24" ht="15.75">
      <c r="A16" s="269" t="s">
        <v>11</v>
      </c>
      <c r="B16" s="151" t="s">
        <v>12</v>
      </c>
      <c r="C16" s="151" t="s">
        <v>159</v>
      </c>
      <c r="D16" s="151" t="s">
        <v>4</v>
      </c>
      <c r="E16" s="294" t="s">
        <v>13</v>
      </c>
      <c r="G16" s="53"/>
      <c r="H16"/>
      <c r="I16"/>
      <c r="J16"/>
      <c r="K16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</row>
    <row r="17" spans="1:24" ht="15.75">
      <c r="A17" s="157"/>
      <c r="B17" s="152">
        <v>3</v>
      </c>
      <c r="C17" s="270">
        <v>1</v>
      </c>
      <c r="D17" s="152">
        <v>2</v>
      </c>
      <c r="E17" s="158">
        <v>1</v>
      </c>
      <c r="G17" s="53"/>
      <c r="H17"/>
      <c r="I17"/>
      <c r="J17"/>
      <c r="K17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</row>
    <row r="18" spans="1:24" ht="15.75">
      <c r="A18" s="157"/>
      <c r="B18" s="152"/>
      <c r="C18" s="270"/>
      <c r="D18" s="152"/>
      <c r="E18" s="158"/>
      <c r="G18" s="53"/>
      <c r="H18"/>
      <c r="I18"/>
      <c r="J18"/>
      <c r="K18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</row>
    <row r="19" spans="1:24" ht="15.75">
      <c r="A19" s="157">
        <v>1</v>
      </c>
      <c r="B19" s="271">
        <v>0</v>
      </c>
      <c r="C19" s="272">
        <v>1</v>
      </c>
      <c r="D19" s="152">
        <v>0</v>
      </c>
      <c r="E19" s="273" t="s">
        <v>14</v>
      </c>
      <c r="G19" s="53"/>
      <c r="H19"/>
      <c r="I19"/>
      <c r="J19"/>
      <c r="K19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</row>
    <row r="20" spans="1:24" ht="15.75">
      <c r="A20" s="157">
        <v>2</v>
      </c>
      <c r="B20" s="271">
        <v>1.4999999999999999E-2</v>
      </c>
      <c r="C20" s="272">
        <v>1.1000000000000001</v>
      </c>
      <c r="D20" s="152">
        <v>120</v>
      </c>
      <c r="E20" s="273" t="s">
        <v>15</v>
      </c>
      <c r="G20" s="53"/>
      <c r="H20"/>
      <c r="I20"/>
      <c r="J20"/>
      <c r="K20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</row>
    <row r="21" spans="1:24" ht="15.75">
      <c r="A21" s="157">
        <v>3</v>
      </c>
      <c r="B21" s="271">
        <v>0.03</v>
      </c>
      <c r="C21" s="152"/>
      <c r="D21" s="152"/>
      <c r="E21" s="273" t="s">
        <v>16</v>
      </c>
      <c r="G21" s="53"/>
      <c r="H21"/>
      <c r="I21"/>
      <c r="J21"/>
      <c r="K21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</row>
    <row r="22" spans="1:24" ht="15.75">
      <c r="A22" s="157">
        <v>4</v>
      </c>
      <c r="B22" s="271">
        <v>4.4999999999999998E-2</v>
      </c>
      <c r="C22" s="152"/>
      <c r="D22" s="152"/>
      <c r="E22" s="273"/>
      <c r="G22" s="53"/>
      <c r="H22"/>
      <c r="I22"/>
      <c r="J22"/>
      <c r="K22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</row>
    <row r="23" spans="1:24" ht="16.5" thickBot="1">
      <c r="A23" s="274" t="s">
        <v>17</v>
      </c>
      <c r="B23" s="275">
        <f>INDEX(B19:B22,B17)</f>
        <v>0.03</v>
      </c>
      <c r="C23" s="276">
        <f>INDEX(C19:C22,C17)</f>
        <v>1</v>
      </c>
      <c r="D23" s="277">
        <f>INDEX(D19:D22,D17)</f>
        <v>120</v>
      </c>
      <c r="E23" s="278" t="str">
        <f>INDEX(E19:E22,E17)</f>
        <v>Base</v>
      </c>
      <c r="G23" s="53"/>
      <c r="H23"/>
      <c r="I23"/>
      <c r="J23"/>
      <c r="K2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</row>
    <row r="24" spans="1:24" ht="15.75">
      <c r="A24" s="105"/>
      <c r="B24" s="105"/>
      <c r="C24" s="105"/>
      <c r="D24" s="105"/>
      <c r="E24" s="53"/>
      <c r="F24" s="53"/>
      <c r="G24" s="53"/>
      <c r="H24" s="53"/>
      <c r="I24" s="53"/>
      <c r="J24" s="53"/>
      <c r="K24" s="53"/>
      <c r="L24" s="53"/>
      <c r="M24" s="53"/>
      <c r="N24" s="53"/>
      <c r="T24" s="53"/>
      <c r="U24" s="53"/>
      <c r="V24" s="53"/>
      <c r="W24" s="53"/>
      <c r="X24" s="53"/>
    </row>
    <row r="25" spans="1:24" ht="16.5" thickBot="1">
      <c r="A25" s="105"/>
      <c r="B25" s="105"/>
      <c r="C25" s="105"/>
      <c r="D25" s="105"/>
      <c r="E25" s="53"/>
      <c r="F25" s="53"/>
      <c r="G25" s="53"/>
      <c r="H25" s="53"/>
      <c r="I25" s="53"/>
      <c r="J25" s="53"/>
      <c r="K25" s="53"/>
      <c r="L25" s="53"/>
      <c r="M25" s="53"/>
      <c r="N25" s="53"/>
      <c r="T25" s="53"/>
      <c r="U25" s="53"/>
      <c r="V25" s="53"/>
      <c r="W25" s="53"/>
      <c r="X25" s="53"/>
    </row>
    <row r="26" spans="1:24" ht="20.25">
      <c r="A26" s="300"/>
      <c r="B26" s="44"/>
      <c r="C26" s="301" t="s">
        <v>160</v>
      </c>
      <c r="D26" s="295" t="s">
        <v>6</v>
      </c>
      <c r="E26" s="296"/>
      <c r="F26" s="267"/>
      <c r="G26" s="267"/>
      <c r="H26" s="53"/>
      <c r="I26" s="53"/>
      <c r="J26" s="53"/>
      <c r="K26" s="53"/>
      <c r="L26" s="53"/>
      <c r="M26" s="53"/>
      <c r="N26" s="53"/>
      <c r="T26" s="53"/>
      <c r="U26" s="53"/>
      <c r="V26" s="53"/>
      <c r="W26" s="53"/>
      <c r="X26" s="53"/>
    </row>
    <row r="27" spans="1:24" ht="16.5" thickBot="1">
      <c r="A27" s="159"/>
      <c r="B27" s="49"/>
      <c r="C27" s="297" t="s">
        <v>7</v>
      </c>
      <c r="D27" s="297" t="s">
        <v>8</v>
      </c>
      <c r="E27" s="298" t="s">
        <v>9</v>
      </c>
      <c r="F27" s="15"/>
      <c r="G27" s="15"/>
      <c r="H27"/>
      <c r="I27"/>
      <c r="J27"/>
      <c r="K27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</row>
    <row r="28" spans="1:24" ht="16.5" thickBot="1">
      <c r="A28" s="302" t="s">
        <v>152</v>
      </c>
      <c r="B28" s="303"/>
      <c r="C28" s="304" t="e">
        <f>CF!#REF!</f>
        <v>#REF!</v>
      </c>
      <c r="D28" s="305">
        <f>Debt!J93</f>
        <v>0</v>
      </c>
      <c r="E28" s="306">
        <f>Debt!J92</f>
        <v>0</v>
      </c>
      <c r="F28" s="15"/>
      <c r="G28" s="15"/>
      <c r="H28"/>
      <c r="I28"/>
      <c r="J28"/>
      <c r="K28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</row>
    <row r="29" spans="1:24" ht="15.75">
      <c r="H29"/>
      <c r="I29"/>
      <c r="J29"/>
      <c r="K29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</row>
    <row r="30" spans="1:24" ht="15.75">
      <c r="A30"/>
      <c r="B30"/>
      <c r="C30"/>
      <c r="D30"/>
      <c r="E30"/>
      <c r="H30"/>
      <c r="I30"/>
      <c r="J30"/>
      <c r="K30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</row>
    <row r="31" spans="1:24" ht="13.5" thickBot="1">
      <c r="A31"/>
      <c r="B31"/>
      <c r="C31"/>
      <c r="D31"/>
      <c r="E31"/>
    </row>
    <row r="32" spans="1:24" ht="15.75">
      <c r="A32" s="328" t="s">
        <v>179</v>
      </c>
      <c r="B32" s="44"/>
      <c r="C32" s="301" t="s">
        <v>160</v>
      </c>
      <c r="D32" s="295" t="s">
        <v>6</v>
      </c>
      <c r="E32" s="296"/>
    </row>
    <row r="33" spans="1:5" ht="16.5" thickBot="1">
      <c r="A33" s="207" t="s">
        <v>161</v>
      </c>
      <c r="B33" s="266" t="s">
        <v>162</v>
      </c>
      <c r="C33" s="266" t="s">
        <v>7</v>
      </c>
      <c r="D33" s="266" t="s">
        <v>8</v>
      </c>
      <c r="E33" s="299" t="s">
        <v>9</v>
      </c>
    </row>
    <row r="34" spans="1:5" ht="15.75">
      <c r="A34" s="307"/>
      <c r="B34" s="44"/>
      <c r="C34" s="308"/>
      <c r="D34" s="309"/>
      <c r="E34" s="310"/>
    </row>
    <row r="35" spans="1:5">
      <c r="A35" s="47"/>
      <c r="B35" s="15"/>
      <c r="C35" s="15"/>
      <c r="D35" s="15"/>
      <c r="E35" s="46"/>
    </row>
    <row r="36" spans="1:5">
      <c r="A36" s="47"/>
      <c r="B36" s="15"/>
      <c r="C36" s="15"/>
      <c r="D36" s="15"/>
      <c r="E36" s="46"/>
    </row>
    <row r="37" spans="1:5">
      <c r="A37" s="47"/>
      <c r="B37" s="15"/>
      <c r="C37" s="15"/>
      <c r="D37" s="15"/>
      <c r="E37" s="46"/>
    </row>
    <row r="38" spans="1:5" ht="13.5" thickBot="1">
      <c r="A38" s="311"/>
      <c r="B38" s="49"/>
      <c r="C38" s="49"/>
      <c r="D38" s="49"/>
      <c r="E38" s="126"/>
    </row>
  </sheetData>
  <pageMargins left="0.75" right="0.75" top="1" bottom="1" header="0.5" footer="0.5"/>
  <pageSetup scale="51" orientation="landscape" r:id="rId1"/>
  <headerFooter alignWithMargins="0">
    <oddHeader>&amp;A</oddHeader>
    <oddFooter>&amp;L&amp;T, &amp;D&amp;C&amp;F&amp;RPage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Fill="0" autoLine="0" autoPict="0">
                <anchor moveWithCells="1">
                  <from>
                    <xdr:col>1</xdr:col>
                    <xdr:colOff>0</xdr:colOff>
                    <xdr:row>5</xdr:row>
                    <xdr:rowOff>47625</xdr:rowOff>
                  </from>
                  <to>
                    <xdr:col>1</xdr:col>
                    <xdr:colOff>1552575</xdr:colOff>
                    <xdr:row>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Drop Down 5">
              <controlPr defaultSize="0" autoFill="0" autoLine="0" autoPict="0">
                <anchor moveWithCells="1">
                  <from>
                    <xdr:col>1</xdr:col>
                    <xdr:colOff>0</xdr:colOff>
                    <xdr:row>8</xdr:row>
                    <xdr:rowOff>9525</xdr:rowOff>
                  </from>
                  <to>
                    <xdr:col>1</xdr:col>
                    <xdr:colOff>1543050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Drop Down 6">
              <controlPr defaultSize="0" autoFill="0" autoLine="0" autoPict="0">
                <anchor moveWithCells="1">
                  <from>
                    <xdr:col>1</xdr:col>
                    <xdr:colOff>0</xdr:colOff>
                    <xdr:row>9</xdr:row>
                    <xdr:rowOff>190500</xdr:rowOff>
                  </from>
                  <to>
                    <xdr:col>1</xdr:col>
                    <xdr:colOff>1543050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7" name="Drop Down 7">
              <controlPr defaultSize="0" autoFill="0" autoLine="0" autoPict="0">
                <anchor moveWithCells="1">
                  <from>
                    <xdr:col>1</xdr:col>
                    <xdr:colOff>9525</xdr:colOff>
                    <xdr:row>11</xdr:row>
                    <xdr:rowOff>180975</xdr:rowOff>
                  </from>
                  <to>
                    <xdr:col>1</xdr:col>
                    <xdr:colOff>1543050</xdr:colOff>
                    <xdr:row>12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>
    <pageSetUpPr fitToPage="1"/>
  </sheetPr>
  <dimension ref="A1:AF313"/>
  <sheetViews>
    <sheetView showGridLines="0" zoomScaleNormal="75" workbookViewId="0">
      <selection activeCell="E18" sqref="E18"/>
    </sheetView>
  </sheetViews>
  <sheetFormatPr defaultColWidth="10.5703125" defaultRowHeight="11.25"/>
  <cols>
    <col min="1" max="1" width="13.42578125" style="501" bestFit="1" customWidth="1"/>
    <col min="2" max="2" width="10.5703125" style="501"/>
    <col min="3" max="3" width="18.28515625" style="501" bestFit="1" customWidth="1"/>
    <col min="4" max="4" width="17" style="501" customWidth="1"/>
    <col min="5" max="5" width="19.140625" style="501" bestFit="1" customWidth="1"/>
    <col min="6" max="6" width="18.140625" style="501" customWidth="1"/>
    <col min="7" max="8" width="17" style="501" bestFit="1" customWidth="1"/>
    <col min="9" max="9" width="16.140625" style="501" bestFit="1" customWidth="1"/>
    <col min="10" max="16" width="10.5703125" style="501"/>
    <col min="17" max="16384" width="10.5703125" style="503"/>
  </cols>
  <sheetData>
    <row r="1" spans="1:32" ht="20.25">
      <c r="A1" s="494" t="s">
        <v>389</v>
      </c>
      <c r="B1" s="495"/>
      <c r="C1" s="496"/>
      <c r="D1" s="497"/>
      <c r="E1" s="498"/>
      <c r="F1" s="499"/>
      <c r="G1" s="500"/>
      <c r="Q1" s="502"/>
      <c r="R1" s="502"/>
    </row>
    <row r="2" spans="1:32" ht="12.75">
      <c r="A2" s="504" t="s">
        <v>360</v>
      </c>
      <c r="B2" s="505"/>
      <c r="C2" s="506"/>
      <c r="D2" s="507"/>
      <c r="E2" s="498"/>
      <c r="F2" s="499"/>
      <c r="G2" s="500"/>
      <c r="Q2" s="502"/>
      <c r="R2" s="502"/>
    </row>
    <row r="3" spans="1:32" ht="12.75">
      <c r="A3" s="13"/>
      <c r="B3" s="13"/>
      <c r="C3" s="50"/>
      <c r="D3" s="499"/>
      <c r="E3" s="499"/>
      <c r="F3" s="499"/>
      <c r="G3" s="500"/>
      <c r="Q3" s="502"/>
      <c r="R3" s="502"/>
    </row>
    <row r="4" spans="1:32" ht="11.45" customHeight="1">
      <c r="A4" s="508" t="s">
        <v>361</v>
      </c>
      <c r="B4" s="508"/>
      <c r="C4" s="499"/>
      <c r="D4" s="499"/>
      <c r="E4" s="499"/>
      <c r="F4" s="499"/>
      <c r="G4" s="500"/>
      <c r="Q4" s="502"/>
      <c r="R4" s="502"/>
    </row>
    <row r="5" spans="1:32" ht="11.45" customHeight="1">
      <c r="D5" s="509"/>
      <c r="E5" s="509"/>
      <c r="F5" s="509"/>
      <c r="G5" s="500"/>
      <c r="Q5" s="502"/>
      <c r="R5" s="502"/>
    </row>
    <row r="6" spans="1:32" ht="11.45" customHeight="1">
      <c r="A6" s="510"/>
      <c r="B6" s="511"/>
      <c r="C6" s="512"/>
      <c r="D6" s="513"/>
      <c r="E6" s="514"/>
      <c r="F6" s="499"/>
      <c r="Q6" s="502"/>
      <c r="R6" s="502"/>
    </row>
    <row r="7" spans="1:32" ht="11.45" customHeight="1">
      <c r="A7" s="515"/>
      <c r="B7" s="508"/>
      <c r="C7" s="516"/>
      <c r="D7" s="517"/>
      <c r="E7" s="518"/>
      <c r="Q7" s="502"/>
      <c r="R7" s="502"/>
    </row>
    <row r="8" spans="1:32" ht="11.45" customHeight="1">
      <c r="A8" s="515" t="s">
        <v>362</v>
      </c>
      <c r="B8" s="508"/>
      <c r="C8" s="516"/>
      <c r="D8" s="519">
        <f>Assumptions!B60</f>
        <v>7.0000000000000007E-2</v>
      </c>
      <c r="E8" s="520"/>
      <c r="Q8" s="502"/>
      <c r="R8" s="502"/>
    </row>
    <row r="9" spans="1:32">
      <c r="A9" s="515" t="s">
        <v>363</v>
      </c>
      <c r="B9" s="508"/>
      <c r="C9" s="516"/>
      <c r="D9" s="589">
        <v>6</v>
      </c>
      <c r="E9" s="521"/>
      <c r="Q9" s="502"/>
      <c r="R9" s="502"/>
    </row>
    <row r="10" spans="1:32" ht="11.45" customHeight="1">
      <c r="A10" s="515" t="s">
        <v>364</v>
      </c>
      <c r="B10" s="508"/>
      <c r="C10" s="516"/>
      <c r="D10" s="519">
        <f>D8/12</f>
        <v>5.8333333333333336E-3</v>
      </c>
      <c r="E10" s="516"/>
      <c r="Q10" s="502"/>
      <c r="R10" s="502"/>
    </row>
    <row r="11" spans="1:32" ht="11.45" customHeight="1">
      <c r="A11" s="522"/>
      <c r="B11" s="516"/>
      <c r="C11" s="516"/>
      <c r="D11" s="523"/>
      <c r="E11" s="521"/>
      <c r="Q11" s="502"/>
      <c r="R11" s="502"/>
    </row>
    <row r="12" spans="1:32" ht="11.45" customHeight="1">
      <c r="A12" s="524"/>
      <c r="B12" s="525"/>
      <c r="C12" s="526"/>
      <c r="D12" s="527"/>
      <c r="E12" s="516"/>
      <c r="Q12" s="502"/>
      <c r="R12" s="502"/>
    </row>
    <row r="13" spans="1:32" ht="11.45" customHeight="1">
      <c r="A13" s="522"/>
      <c r="B13" s="516"/>
      <c r="C13" s="516"/>
      <c r="D13" s="523"/>
      <c r="E13" s="528"/>
      <c r="G13" s="529"/>
      <c r="Q13" s="502"/>
      <c r="R13" s="502"/>
    </row>
    <row r="14" spans="1:32" ht="11.45" customHeight="1">
      <c r="A14" s="515"/>
      <c r="B14" s="508"/>
      <c r="C14" s="516"/>
      <c r="D14" s="530"/>
      <c r="E14" s="508"/>
      <c r="Q14" s="502"/>
      <c r="R14" s="502"/>
    </row>
    <row r="15" spans="1:32" ht="11.45" customHeight="1">
      <c r="A15" s="531"/>
      <c r="B15" s="532"/>
      <c r="C15" s="532"/>
      <c r="D15" s="533"/>
      <c r="E15" s="534"/>
      <c r="Q15" s="502"/>
      <c r="R15" s="502"/>
    </row>
    <row r="16" spans="1:32" ht="11.45" customHeight="1">
      <c r="A16" s="535" t="s">
        <v>365</v>
      </c>
      <c r="B16" s="536"/>
      <c r="C16" s="537"/>
      <c r="D16" s="538">
        <f>+I42</f>
        <v>817.41038246049811</v>
      </c>
      <c r="E16" s="534"/>
      <c r="H16" s="539"/>
      <c r="I16" s="539"/>
      <c r="J16" s="539"/>
      <c r="K16" s="539"/>
      <c r="L16" s="539"/>
      <c r="M16" s="539"/>
      <c r="N16" s="539"/>
      <c r="O16" s="539"/>
      <c r="P16" s="539"/>
      <c r="Q16" s="540"/>
      <c r="R16" s="540"/>
      <c r="S16" s="540"/>
      <c r="T16" s="540"/>
      <c r="U16" s="540"/>
      <c r="V16" s="540"/>
      <c r="W16" s="540"/>
      <c r="X16" s="540"/>
      <c r="Y16" s="540"/>
      <c r="Z16" s="540"/>
      <c r="AA16" s="540"/>
      <c r="AB16" s="540"/>
      <c r="AC16" s="540"/>
      <c r="AD16" s="540"/>
      <c r="AE16" s="540"/>
      <c r="AF16" s="540"/>
    </row>
    <row r="17" spans="1:26" ht="11.45" customHeight="1">
      <c r="A17" s="508"/>
      <c r="B17" s="508"/>
      <c r="C17" s="516"/>
      <c r="D17" s="534"/>
      <c r="E17" s="534"/>
      <c r="G17" s="541">
        <f>+G15*G14*225</f>
        <v>0</v>
      </c>
      <c r="Q17" s="501"/>
      <c r="R17" s="501"/>
      <c r="S17" s="501"/>
      <c r="T17" s="501"/>
      <c r="U17" s="501"/>
      <c r="V17" s="501"/>
      <c r="W17" s="501"/>
      <c r="X17" s="501"/>
      <c r="Y17" s="501"/>
      <c r="Z17" s="501"/>
    </row>
    <row r="18" spans="1:26" ht="22.5" customHeight="1">
      <c r="A18" s="508" t="s">
        <v>366</v>
      </c>
      <c r="B18" s="508"/>
      <c r="C18" s="542">
        <f>+[3]Assumptions!E59</f>
        <v>36739</v>
      </c>
      <c r="D18" s="534"/>
      <c r="E18" s="534">
        <f>SUM(Assumptions!C21:C30)</f>
        <v>41585</v>
      </c>
      <c r="G18" s="543"/>
      <c r="H18" s="544"/>
      <c r="I18" s="545"/>
      <c r="J18" s="545"/>
      <c r="K18" s="545"/>
      <c r="L18" s="545"/>
      <c r="M18" s="545"/>
      <c r="N18" s="545"/>
      <c r="O18" s="545"/>
      <c r="P18" s="545"/>
      <c r="Q18" s="545"/>
      <c r="R18" s="545"/>
      <c r="S18" s="545"/>
      <c r="T18" s="545"/>
      <c r="U18" s="545"/>
      <c r="V18" s="545"/>
      <c r="W18" s="545"/>
      <c r="X18" s="545"/>
      <c r="Y18" s="545"/>
      <c r="Z18" s="545"/>
    </row>
    <row r="19" spans="1:26" ht="11.45" customHeight="1">
      <c r="A19" s="546" t="s">
        <v>367</v>
      </c>
      <c r="C19" s="547" t="s">
        <v>368</v>
      </c>
      <c r="D19" s="501" t="s">
        <v>369</v>
      </c>
      <c r="E19" s="501" t="s">
        <v>370</v>
      </c>
      <c r="F19" s="546" t="s">
        <v>371</v>
      </c>
      <c r="G19" s="548" t="s">
        <v>372</v>
      </c>
      <c r="H19" s="546" t="s">
        <v>373</v>
      </c>
      <c r="I19" s="549" t="s">
        <v>374</v>
      </c>
      <c r="Q19" s="502"/>
    </row>
    <row r="20" spans="1:26">
      <c r="A20" s="550"/>
      <c r="C20" s="550"/>
      <c r="F20" s="550"/>
      <c r="G20" s="550"/>
      <c r="H20" s="551"/>
      <c r="I20" s="552"/>
    </row>
    <row r="21" spans="1:26" ht="11.45" customHeight="1">
      <c r="A21" s="550"/>
      <c r="C21" s="550"/>
      <c r="F21" s="550"/>
      <c r="G21" s="550"/>
      <c r="H21" s="551"/>
      <c r="I21" s="552"/>
    </row>
    <row r="22" spans="1:26" ht="11.45" customHeight="1">
      <c r="A22" s="553">
        <v>0</v>
      </c>
      <c r="C22" s="553"/>
      <c r="F22" s="550">
        <v>0</v>
      </c>
      <c r="G22" s="550"/>
      <c r="H22" s="550">
        <v>0</v>
      </c>
      <c r="I22" s="523">
        <v>0</v>
      </c>
    </row>
    <row r="23" spans="1:26" ht="11.45" customHeight="1">
      <c r="A23" s="553">
        <v>1</v>
      </c>
      <c r="B23" s="554">
        <f>+C18</f>
        <v>36739</v>
      </c>
      <c r="C23" s="555">
        <f>+E23/$E$44</f>
        <v>6.1285572539616827E-2</v>
      </c>
      <c r="E23" s="556">
        <f t="shared" ref="E23:E28" si="0">+$E$18/$D$9</f>
        <v>6930.833333333333</v>
      </c>
      <c r="F23" s="557">
        <f>+E23+D23</f>
        <v>6930.833333333333</v>
      </c>
      <c r="G23" s="557">
        <f>G22+F23+H23</f>
        <v>6951.0482638888889</v>
      </c>
      <c r="H23" s="557">
        <f>IF(A23&gt;D$9,0,(F23/2+G22)*$D$10)</f>
        <v>20.214930555555554</v>
      </c>
      <c r="I23" s="558">
        <f>H23</f>
        <v>20.214930555555554</v>
      </c>
    </row>
    <row r="24" spans="1:26" ht="11.45" customHeight="1">
      <c r="A24" s="553">
        <f t="shared" ref="A24:A42" si="1">A23+1</f>
        <v>2</v>
      </c>
      <c r="B24" s="545">
        <v>36770</v>
      </c>
      <c r="C24" s="555">
        <f t="shared" ref="C24:C42" si="2">+E24/$E$44</f>
        <v>6.1285572539616827E-2</v>
      </c>
      <c r="E24" s="556">
        <f t="shared" si="0"/>
        <v>6930.833333333333</v>
      </c>
      <c r="F24" s="557">
        <f t="shared" ref="F24:F42" si="3">+E24+D24</f>
        <v>6930.833333333333</v>
      </c>
      <c r="G24" s="557">
        <f t="shared" ref="G24:G42" si="4">G23+F24+H24</f>
        <v>13942.644309317129</v>
      </c>
      <c r="H24" s="557">
        <f t="shared" ref="H24:H42" si="5">IF(A24&gt;D$9,0,(F24/2+G23)*$D$10)</f>
        <v>60.762712094907414</v>
      </c>
      <c r="I24" s="558">
        <f t="shared" ref="I24:I42" si="6">IF(A24&lt;=$D$9,H24+I23,I23)</f>
        <v>80.977642650462968</v>
      </c>
    </row>
    <row r="25" spans="1:26" ht="11.45" customHeight="1">
      <c r="A25" s="553">
        <f t="shared" si="1"/>
        <v>3</v>
      </c>
      <c r="B25" s="545">
        <v>36800</v>
      </c>
      <c r="C25" s="555">
        <f t="shared" si="2"/>
        <v>6.1285572539616827E-2</v>
      </c>
      <c r="D25" s="556">
        <v>0</v>
      </c>
      <c r="E25" s="556">
        <f t="shared" si="0"/>
        <v>6930.833333333333</v>
      </c>
      <c r="F25" s="557">
        <f>+E25+D25</f>
        <v>6930.833333333333</v>
      </c>
      <c r="G25" s="557">
        <f t="shared" si="4"/>
        <v>20975.024665010365</v>
      </c>
      <c r="H25" s="557">
        <f t="shared" si="5"/>
        <v>101.54702235990548</v>
      </c>
      <c r="I25" s="558">
        <f t="shared" si="6"/>
        <v>182.52466501036844</v>
      </c>
    </row>
    <row r="26" spans="1:26" ht="11.45" customHeight="1">
      <c r="A26" s="553">
        <f t="shared" si="1"/>
        <v>4</v>
      </c>
      <c r="B26" s="545">
        <v>36831</v>
      </c>
      <c r="C26" s="555">
        <f t="shared" si="2"/>
        <v>6.1285572539616827E-2</v>
      </c>
      <c r="D26" s="556">
        <v>0</v>
      </c>
      <c r="E26" s="556">
        <f t="shared" si="0"/>
        <v>6930.833333333333</v>
      </c>
      <c r="F26" s="557">
        <f>+E26+D26</f>
        <v>6930.833333333333</v>
      </c>
      <c r="G26" s="557">
        <f t="shared" si="4"/>
        <v>28048.427239445147</v>
      </c>
      <c r="H26" s="557">
        <f t="shared" si="5"/>
        <v>142.56924110144936</v>
      </c>
      <c r="I26" s="558">
        <f t="shared" si="6"/>
        <v>325.09390611181777</v>
      </c>
    </row>
    <row r="27" spans="1:26" ht="11.45" customHeight="1">
      <c r="A27" s="553">
        <f t="shared" si="1"/>
        <v>5</v>
      </c>
      <c r="B27" s="545">
        <v>36861</v>
      </c>
      <c r="C27" s="555">
        <f t="shared" si="2"/>
        <v>6.1285572539616827E-2</v>
      </c>
      <c r="E27" s="556">
        <f t="shared" si="0"/>
        <v>6930.833333333333</v>
      </c>
      <c r="F27" s="557">
        <f>+E27+D27</f>
        <v>6930.833333333333</v>
      </c>
      <c r="G27" s="557">
        <f t="shared" si="4"/>
        <v>35163.09132889747</v>
      </c>
      <c r="H27" s="557">
        <f t="shared" si="5"/>
        <v>183.83075611898559</v>
      </c>
      <c r="I27" s="558">
        <f t="shared" si="6"/>
        <v>508.92466223080339</v>
      </c>
    </row>
    <row r="28" spans="1:26" ht="11.45" customHeight="1">
      <c r="A28" s="553">
        <f t="shared" si="1"/>
        <v>6</v>
      </c>
      <c r="B28" s="545">
        <v>36892</v>
      </c>
      <c r="C28" s="555">
        <f t="shared" si="2"/>
        <v>6.1285572539616827E-2</v>
      </c>
      <c r="D28" s="559">
        <f>+$E$55*$E$69</f>
        <v>28509.516659052773</v>
      </c>
      <c r="E28" s="556">
        <f t="shared" si="0"/>
        <v>6930.833333333333</v>
      </c>
      <c r="F28" s="557">
        <f>+E28+D28</f>
        <v>35440.349992386109</v>
      </c>
      <c r="G28" s="557">
        <f t="shared" si="4"/>
        <v>70911.927041513278</v>
      </c>
      <c r="H28" s="557">
        <f t="shared" si="5"/>
        <v>308.48572022969472</v>
      </c>
      <c r="I28" s="558">
        <f t="shared" si="6"/>
        <v>817.41038246049811</v>
      </c>
    </row>
    <row r="29" spans="1:26" ht="11.45" customHeight="1">
      <c r="A29" s="553">
        <f t="shared" si="1"/>
        <v>7</v>
      </c>
      <c r="B29" s="545">
        <v>36923</v>
      </c>
      <c r="C29" s="555">
        <f t="shared" si="2"/>
        <v>0</v>
      </c>
      <c r="D29" s="559">
        <f>+$F$69*$F$55</f>
        <v>42996.265496127955</v>
      </c>
      <c r="E29" s="556"/>
      <c r="F29" s="557">
        <f>+E29+D29</f>
        <v>42996.265496127955</v>
      </c>
      <c r="G29" s="557">
        <f t="shared" si="4"/>
        <v>113908.19253764124</v>
      </c>
      <c r="H29" s="557">
        <f t="shared" si="5"/>
        <v>0</v>
      </c>
      <c r="I29" s="558">
        <f t="shared" si="6"/>
        <v>817.41038246049811</v>
      </c>
    </row>
    <row r="30" spans="1:26" ht="11.45" customHeight="1">
      <c r="A30" s="553">
        <f t="shared" si="1"/>
        <v>8</v>
      </c>
      <c r="B30" s="545">
        <v>36951</v>
      </c>
      <c r="C30" s="555">
        <f t="shared" si="2"/>
        <v>0</v>
      </c>
      <c r="E30" s="556"/>
      <c r="F30" s="557">
        <f t="shared" si="3"/>
        <v>0</v>
      </c>
      <c r="G30" s="557">
        <f t="shared" si="4"/>
        <v>113908.19253764124</v>
      </c>
      <c r="H30" s="557">
        <f t="shared" si="5"/>
        <v>0</v>
      </c>
      <c r="I30" s="558">
        <f t="shared" si="6"/>
        <v>817.41038246049811</v>
      </c>
    </row>
    <row r="31" spans="1:26" ht="11.45" customHeight="1">
      <c r="A31" s="553">
        <f t="shared" si="1"/>
        <v>9</v>
      </c>
      <c r="B31" s="545">
        <v>36982</v>
      </c>
      <c r="C31" s="555">
        <f t="shared" si="2"/>
        <v>0</v>
      </c>
      <c r="E31" s="556"/>
      <c r="F31" s="557">
        <f t="shared" si="3"/>
        <v>0</v>
      </c>
      <c r="G31" s="557">
        <f t="shared" si="4"/>
        <v>113908.19253764124</v>
      </c>
      <c r="H31" s="557">
        <f t="shared" si="5"/>
        <v>0</v>
      </c>
      <c r="I31" s="558">
        <f t="shared" si="6"/>
        <v>817.41038246049811</v>
      </c>
    </row>
    <row r="32" spans="1:26" ht="11.45" customHeight="1">
      <c r="A32" s="553">
        <f t="shared" si="1"/>
        <v>10</v>
      </c>
      <c r="B32" s="545">
        <v>37012</v>
      </c>
      <c r="C32" s="555">
        <f t="shared" si="2"/>
        <v>0</v>
      </c>
      <c r="E32" s="556"/>
      <c r="F32" s="557">
        <f t="shared" si="3"/>
        <v>0</v>
      </c>
      <c r="G32" s="557">
        <f t="shared" si="4"/>
        <v>113908.19253764124</v>
      </c>
      <c r="H32" s="557">
        <f t="shared" si="5"/>
        <v>0</v>
      </c>
      <c r="I32" s="558">
        <f t="shared" si="6"/>
        <v>817.41038246049811</v>
      </c>
    </row>
    <row r="33" spans="1:17" ht="11.45" customHeight="1">
      <c r="A33" s="553">
        <f t="shared" si="1"/>
        <v>11</v>
      </c>
      <c r="B33" s="545">
        <v>37043</v>
      </c>
      <c r="C33" s="555">
        <f t="shared" si="2"/>
        <v>0</v>
      </c>
      <c r="E33" s="556"/>
      <c r="F33" s="557">
        <f t="shared" si="3"/>
        <v>0</v>
      </c>
      <c r="G33" s="557">
        <f t="shared" si="4"/>
        <v>113908.19253764124</v>
      </c>
      <c r="H33" s="557">
        <f t="shared" si="5"/>
        <v>0</v>
      </c>
      <c r="I33" s="558">
        <f t="shared" si="6"/>
        <v>817.41038246049811</v>
      </c>
    </row>
    <row r="34" spans="1:17" ht="11.45" customHeight="1">
      <c r="A34" s="553">
        <f t="shared" si="1"/>
        <v>12</v>
      </c>
      <c r="B34" s="545">
        <v>37073</v>
      </c>
      <c r="C34" s="555">
        <f t="shared" si="2"/>
        <v>0</v>
      </c>
      <c r="E34" s="556"/>
      <c r="F34" s="557">
        <f t="shared" si="3"/>
        <v>0</v>
      </c>
      <c r="G34" s="557">
        <f t="shared" si="4"/>
        <v>113908.19253764124</v>
      </c>
      <c r="H34" s="557">
        <f t="shared" si="5"/>
        <v>0</v>
      </c>
      <c r="I34" s="558">
        <f t="shared" si="6"/>
        <v>817.41038246049811</v>
      </c>
    </row>
    <row r="35" spans="1:17" ht="11.45" customHeight="1">
      <c r="A35" s="553">
        <f t="shared" si="1"/>
        <v>13</v>
      </c>
      <c r="B35" s="545">
        <v>37104</v>
      </c>
      <c r="C35" s="555">
        <f t="shared" si="2"/>
        <v>0</v>
      </c>
      <c r="F35" s="557">
        <f t="shared" si="3"/>
        <v>0</v>
      </c>
      <c r="G35" s="557">
        <f t="shared" si="4"/>
        <v>113908.19253764124</v>
      </c>
      <c r="H35" s="557">
        <f t="shared" si="5"/>
        <v>0</v>
      </c>
      <c r="I35" s="558">
        <f t="shared" si="6"/>
        <v>817.41038246049811</v>
      </c>
    </row>
    <row r="36" spans="1:17" ht="11.45" customHeight="1">
      <c r="A36" s="553">
        <f t="shared" si="1"/>
        <v>14</v>
      </c>
      <c r="B36" s="545">
        <v>37135</v>
      </c>
      <c r="C36" s="555">
        <f t="shared" si="2"/>
        <v>0</v>
      </c>
      <c r="F36" s="557">
        <f t="shared" si="3"/>
        <v>0</v>
      </c>
      <c r="G36" s="557">
        <f t="shared" si="4"/>
        <v>113908.19253764124</v>
      </c>
      <c r="H36" s="557">
        <f t="shared" si="5"/>
        <v>0</v>
      </c>
      <c r="I36" s="558">
        <f t="shared" si="6"/>
        <v>817.41038246049811</v>
      </c>
    </row>
    <row r="37" spans="1:17" ht="11.45" customHeight="1">
      <c r="A37" s="553">
        <f t="shared" si="1"/>
        <v>15</v>
      </c>
      <c r="B37" s="545">
        <v>37165</v>
      </c>
      <c r="C37" s="555">
        <f t="shared" si="2"/>
        <v>0</v>
      </c>
      <c r="F37" s="557">
        <f t="shared" si="3"/>
        <v>0</v>
      </c>
      <c r="G37" s="557">
        <f t="shared" si="4"/>
        <v>113908.19253764124</v>
      </c>
      <c r="H37" s="557">
        <f t="shared" si="5"/>
        <v>0</v>
      </c>
      <c r="I37" s="558">
        <f t="shared" si="6"/>
        <v>817.41038246049811</v>
      </c>
    </row>
    <row r="38" spans="1:17" ht="11.45" customHeight="1">
      <c r="A38" s="553">
        <f t="shared" si="1"/>
        <v>16</v>
      </c>
      <c r="B38" s="545">
        <v>37196</v>
      </c>
      <c r="C38" s="555">
        <f t="shared" si="2"/>
        <v>0</v>
      </c>
      <c r="F38" s="557">
        <f t="shared" si="3"/>
        <v>0</v>
      </c>
      <c r="G38" s="557">
        <f t="shared" si="4"/>
        <v>113908.19253764124</v>
      </c>
      <c r="H38" s="557">
        <f t="shared" si="5"/>
        <v>0</v>
      </c>
      <c r="I38" s="558">
        <f t="shared" si="6"/>
        <v>817.41038246049811</v>
      </c>
    </row>
    <row r="39" spans="1:17" ht="11.45" customHeight="1">
      <c r="A39" s="553">
        <f t="shared" si="1"/>
        <v>17</v>
      </c>
      <c r="B39" s="545">
        <v>37226</v>
      </c>
      <c r="C39" s="555">
        <f t="shared" si="2"/>
        <v>0</v>
      </c>
      <c r="F39" s="557">
        <f t="shared" si="3"/>
        <v>0</v>
      </c>
      <c r="G39" s="557">
        <f t="shared" si="4"/>
        <v>113908.19253764124</v>
      </c>
      <c r="H39" s="557">
        <f t="shared" si="5"/>
        <v>0</v>
      </c>
      <c r="I39" s="558">
        <f t="shared" si="6"/>
        <v>817.41038246049811</v>
      </c>
    </row>
    <row r="40" spans="1:17" ht="11.45" customHeight="1">
      <c r="A40" s="553">
        <f t="shared" si="1"/>
        <v>18</v>
      </c>
      <c r="B40" s="545">
        <v>37257</v>
      </c>
      <c r="C40" s="555">
        <f t="shared" si="2"/>
        <v>0</v>
      </c>
      <c r="F40" s="557">
        <f t="shared" si="3"/>
        <v>0</v>
      </c>
      <c r="G40" s="557">
        <f t="shared" si="4"/>
        <v>113908.19253764124</v>
      </c>
      <c r="H40" s="557">
        <f t="shared" si="5"/>
        <v>0</v>
      </c>
      <c r="I40" s="558">
        <f t="shared" si="6"/>
        <v>817.41038246049811</v>
      </c>
    </row>
    <row r="41" spans="1:17" ht="11.45" customHeight="1">
      <c r="A41" s="553">
        <f t="shared" si="1"/>
        <v>19</v>
      </c>
      <c r="B41" s="545">
        <v>37288</v>
      </c>
      <c r="C41" s="555">
        <f t="shared" si="2"/>
        <v>0</v>
      </c>
      <c r="D41" s="522"/>
      <c r="E41" s="516"/>
      <c r="F41" s="557">
        <f t="shared" si="3"/>
        <v>0</v>
      </c>
      <c r="G41" s="557">
        <f t="shared" si="4"/>
        <v>113908.19253764124</v>
      </c>
      <c r="H41" s="557">
        <f t="shared" si="5"/>
        <v>0</v>
      </c>
      <c r="I41" s="558">
        <f t="shared" si="6"/>
        <v>817.41038246049811</v>
      </c>
    </row>
    <row r="42" spans="1:17" ht="11.45" customHeight="1">
      <c r="A42" s="560">
        <f t="shared" si="1"/>
        <v>20</v>
      </c>
      <c r="B42" s="545">
        <v>37135</v>
      </c>
      <c r="C42" s="555">
        <f t="shared" si="2"/>
        <v>0</v>
      </c>
      <c r="D42" s="531"/>
      <c r="E42" s="532"/>
      <c r="F42" s="561">
        <f t="shared" si="3"/>
        <v>0</v>
      </c>
      <c r="G42" s="561">
        <f t="shared" si="4"/>
        <v>113908.19253764124</v>
      </c>
      <c r="H42" s="561">
        <f t="shared" si="5"/>
        <v>0</v>
      </c>
      <c r="I42" s="562">
        <f t="shared" si="6"/>
        <v>817.41038246049811</v>
      </c>
    </row>
    <row r="43" spans="1:17" ht="11.45" customHeight="1">
      <c r="A43"/>
      <c r="B43" s="563">
        <f>SUM(C23:C42)</f>
        <v>0.36771343523770095</v>
      </c>
      <c r="D43" s="556">
        <f>+SUM(D23:D42)</f>
        <v>71505.782155180728</v>
      </c>
      <c r="E43" s="61">
        <f>+SUM(E23:E42)</f>
        <v>41585</v>
      </c>
      <c r="F43" s="564">
        <f>+SUM(F22:F42)</f>
        <v>113090.78215518073</v>
      </c>
      <c r="G43"/>
      <c r="H43"/>
      <c r="Q43" s="502"/>
    </row>
    <row r="44" spans="1:17" ht="11.45" customHeight="1">
      <c r="A44"/>
      <c r="B44"/>
      <c r="C44"/>
      <c r="D44"/>
      <c r="E44" s="564">
        <f>SUM(D43:E43)</f>
        <v>113090.78215518073</v>
      </c>
      <c r="F44"/>
      <c r="G44" s="14"/>
      <c r="H44" s="14"/>
      <c r="Q44" s="502"/>
    </row>
    <row r="45" spans="1:17" ht="11.45" customHeight="1">
      <c r="A45"/>
      <c r="B45"/>
      <c r="C45"/>
      <c r="D45"/>
      <c r="E45"/>
      <c r="F45"/>
      <c r="G45" s="14"/>
      <c r="H45" s="14"/>
      <c r="Q45" s="502"/>
    </row>
    <row r="46" spans="1:17" ht="11.45" customHeight="1">
      <c r="A46"/>
      <c r="B46"/>
      <c r="C46"/>
      <c r="D46"/>
      <c r="E46"/>
      <c r="F46"/>
      <c r="G46" s="14"/>
      <c r="H46" s="14"/>
      <c r="Q46" s="502"/>
    </row>
    <row r="47" spans="1:17" ht="11.45" customHeight="1">
      <c r="A47" s="60" t="s">
        <v>375</v>
      </c>
      <c r="C47" s="14"/>
      <c r="D47" s="14"/>
      <c r="E47" s="14"/>
      <c r="F47" s="14"/>
      <c r="G47" s="14"/>
      <c r="H47" s="14"/>
      <c r="Q47" s="502"/>
    </row>
    <row r="48" spans="1:17" ht="11.45" customHeight="1">
      <c r="A48" s="14" t="s">
        <v>376</v>
      </c>
      <c r="B48" s="14"/>
      <c r="C48" s="565">
        <v>14012</v>
      </c>
      <c r="D48" s="243" t="s">
        <v>26</v>
      </c>
      <c r="E48" s="566">
        <v>5</v>
      </c>
      <c r="F48" s="565">
        <f>C48*E48</f>
        <v>70060</v>
      </c>
      <c r="G48" s="14"/>
      <c r="H48" s="14"/>
      <c r="Q48" s="502"/>
    </row>
    <row r="49" spans="1:18" ht="11.45" customHeight="1">
      <c r="D49" s="14"/>
      <c r="E49" s="14"/>
      <c r="F49" s="14"/>
      <c r="G49" s="14"/>
      <c r="H49" s="14"/>
      <c r="Q49" s="502"/>
    </row>
    <row r="50" spans="1:18" ht="11.45" customHeight="1">
      <c r="A50" s="14" t="s">
        <v>377</v>
      </c>
      <c r="B50" s="14"/>
      <c r="C50" s="567">
        <v>5.7500000000000002E-2</v>
      </c>
      <c r="D50" s="567">
        <v>6.2500000000000003E-3</v>
      </c>
      <c r="E50" s="127">
        <f>C50+D50</f>
        <v>6.3750000000000001E-2</v>
      </c>
      <c r="F50" s="568">
        <f>E50/365.25</f>
        <v>1.7453798767967147E-4</v>
      </c>
      <c r="G50" s="14"/>
      <c r="H50" s="14"/>
      <c r="Q50" s="502"/>
    </row>
    <row r="51" spans="1:18" ht="11.45" customHeight="1">
      <c r="A51" s="569" t="s">
        <v>378</v>
      </c>
      <c r="B51" s="14"/>
      <c r="C51" s="14"/>
      <c r="D51" s="14"/>
      <c r="E51" s="243" t="s">
        <v>379</v>
      </c>
      <c r="F51" s="243" t="s">
        <v>380</v>
      </c>
      <c r="G51" s="14"/>
      <c r="H51" s="14"/>
      <c r="Q51" s="502"/>
    </row>
    <row r="52" spans="1:18" ht="11.45" customHeight="1">
      <c r="A52" s="14"/>
      <c r="B52" s="14"/>
      <c r="C52" s="14"/>
      <c r="D52" s="14"/>
      <c r="E52" s="14"/>
      <c r="F52" s="14"/>
      <c r="G52" s="14"/>
      <c r="H52" s="14"/>
      <c r="Q52" s="502"/>
    </row>
    <row r="53" spans="1:18" ht="11.45" customHeight="1">
      <c r="A53" s="14"/>
      <c r="B53" s="14"/>
      <c r="C53" s="14"/>
      <c r="D53" s="14"/>
      <c r="E53" s="14"/>
      <c r="F53" s="14"/>
      <c r="G53" s="14"/>
      <c r="H53" s="14"/>
      <c r="Q53" s="502"/>
    </row>
    <row r="54" spans="1:18" ht="11.45" customHeight="1">
      <c r="D54" s="243" t="s">
        <v>381</v>
      </c>
      <c r="E54" s="570">
        <v>36890</v>
      </c>
      <c r="F54" s="570">
        <v>36921</v>
      </c>
      <c r="G54" s="14"/>
      <c r="H54" s="14"/>
      <c r="Q54" s="502"/>
    </row>
    <row r="55" spans="1:18" ht="11.45" customHeight="1">
      <c r="D55" s="243" t="s">
        <v>26</v>
      </c>
      <c r="E55" s="566">
        <v>2</v>
      </c>
      <c r="F55" s="566">
        <v>3</v>
      </c>
      <c r="G55" s="14"/>
      <c r="H55" s="14"/>
      <c r="Q55" s="502"/>
    </row>
    <row r="56" spans="1:18" ht="11.45" customHeight="1">
      <c r="A56" s="14"/>
      <c r="B56" s="14"/>
      <c r="C56" s="14"/>
      <c r="D56" s="14"/>
      <c r="E56" s="14"/>
      <c r="F56" s="14"/>
      <c r="G56" s="14"/>
      <c r="H56" s="14"/>
      <c r="Q56" s="502"/>
    </row>
    <row r="57" spans="1:18" ht="11.45" customHeight="1">
      <c r="A57" s="52" t="s">
        <v>300</v>
      </c>
      <c r="B57" s="52" t="s">
        <v>22</v>
      </c>
      <c r="C57" s="243" t="s">
        <v>382</v>
      </c>
      <c r="D57" s="14"/>
      <c r="E57" s="571" t="s">
        <v>383</v>
      </c>
      <c r="F57" s="571" t="s">
        <v>383</v>
      </c>
      <c r="G57" s="14"/>
      <c r="H57" s="14"/>
      <c r="Q57" s="502"/>
    </row>
    <row r="58" spans="1:18" ht="12.75">
      <c r="A58" s="572">
        <v>36466</v>
      </c>
      <c r="B58" s="573">
        <v>0.05</v>
      </c>
      <c r="C58" s="574">
        <f>B58*$C$48</f>
        <v>700.6</v>
      </c>
      <c r="D58" s="14"/>
      <c r="E58" s="575">
        <f>+C58*(1+$F$50)^($E$54-A58)</f>
        <v>754.40907451167766</v>
      </c>
      <c r="F58" s="576">
        <f>+C58*(1+$F$50)^($F$54-A58)</f>
        <v>758.50164346420013</v>
      </c>
      <c r="G58" s="14"/>
      <c r="Q58" s="502"/>
      <c r="R58" s="502"/>
    </row>
    <row r="59" spans="1:18" ht="12.75">
      <c r="A59" s="572">
        <v>36861</v>
      </c>
      <c r="B59" s="573">
        <v>0.1</v>
      </c>
      <c r="C59" s="574">
        <f t="shared" ref="C59:C68" si="7">B59*$C$48</f>
        <v>1401.2</v>
      </c>
      <c r="D59" s="14"/>
      <c r="E59" s="575">
        <f t="shared" ref="E59:E68" si="8">+C59*(1+$F$50)^($E$54-A59)</f>
        <v>1408.3096737762542</v>
      </c>
      <c r="F59" s="576">
        <f t="shared" ref="F59:F68" si="9">+C59*(1+$F$50)^($F$54-A59)</f>
        <v>1415.949566562756</v>
      </c>
      <c r="G59" s="14"/>
      <c r="Q59" s="502"/>
      <c r="R59" s="502"/>
    </row>
    <row r="60" spans="1:18" ht="12.75">
      <c r="A60" s="572">
        <v>36600</v>
      </c>
      <c r="B60" s="573">
        <v>0.1</v>
      </c>
      <c r="C60" s="574">
        <f t="shared" si="7"/>
        <v>1401.2</v>
      </c>
      <c r="D60" s="14"/>
      <c r="E60" s="575">
        <f t="shared" si="8"/>
        <v>1473.9422473147897</v>
      </c>
      <c r="F60" s="576">
        <f t="shared" si="9"/>
        <v>1481.9381880888002</v>
      </c>
      <c r="G60" s="14"/>
      <c r="Q60" s="502"/>
      <c r="R60" s="502"/>
    </row>
    <row r="61" spans="1:18" ht="12.75">
      <c r="A61" s="572">
        <v>36692</v>
      </c>
      <c r="B61" s="573">
        <v>0.1</v>
      </c>
      <c r="C61" s="574">
        <f t="shared" si="7"/>
        <v>1401.2</v>
      </c>
      <c r="D61" s="14"/>
      <c r="E61" s="575">
        <f t="shared" si="8"/>
        <v>1450.4654694974724</v>
      </c>
      <c r="F61" s="576">
        <f t="shared" si="9"/>
        <v>1458.3340518723771</v>
      </c>
      <c r="G61" s="14"/>
      <c r="Q61" s="502"/>
      <c r="R61" s="502"/>
    </row>
    <row r="62" spans="1:18" ht="12.75">
      <c r="A62" s="572">
        <v>36753</v>
      </c>
      <c r="B62" s="573">
        <v>0.1</v>
      </c>
      <c r="C62" s="574">
        <f t="shared" si="7"/>
        <v>1401.2</v>
      </c>
      <c r="D62" s="14"/>
      <c r="E62" s="575">
        <f t="shared" si="8"/>
        <v>1435.1058795463528</v>
      </c>
      <c r="F62" s="576">
        <f t="shared" si="9"/>
        <v>1442.8911381873829</v>
      </c>
      <c r="G62" s="14"/>
      <c r="Q62" s="502"/>
      <c r="R62" s="502"/>
    </row>
    <row r="63" spans="1:18" ht="12.75">
      <c r="A63" s="572">
        <v>36784</v>
      </c>
      <c r="B63" s="573">
        <v>0.1</v>
      </c>
      <c r="C63" s="574">
        <f t="shared" si="7"/>
        <v>1401.2</v>
      </c>
      <c r="D63" s="14"/>
      <c r="E63" s="575">
        <f t="shared" si="8"/>
        <v>1427.3626270210332</v>
      </c>
      <c r="F63" s="576">
        <f t="shared" si="9"/>
        <v>1435.1058795463528</v>
      </c>
      <c r="G63" s="14"/>
      <c r="Q63" s="502"/>
      <c r="R63" s="502"/>
    </row>
    <row r="64" spans="1:18" ht="12.75">
      <c r="A64" s="572">
        <v>36814</v>
      </c>
      <c r="B64" s="573">
        <v>0.1</v>
      </c>
      <c r="C64" s="574">
        <f t="shared" si="7"/>
        <v>1401.2</v>
      </c>
      <c r="D64" s="14"/>
      <c r="E64" s="575">
        <f t="shared" si="8"/>
        <v>1419.9089387643639</v>
      </c>
      <c r="F64" s="576">
        <f t="shared" si="9"/>
        <v>1427.6117560216426</v>
      </c>
      <c r="Q64" s="502"/>
      <c r="R64" s="502"/>
    </row>
    <row r="65" spans="1:31" ht="12.75">
      <c r="A65" s="572">
        <v>36845</v>
      </c>
      <c r="B65" s="573">
        <v>0.1</v>
      </c>
      <c r="C65" s="574">
        <f t="shared" si="7"/>
        <v>1401.2</v>
      </c>
      <c r="E65" s="575">
        <f t="shared" si="8"/>
        <v>1412.2476828023391</v>
      </c>
      <c r="F65" s="576">
        <f t="shared" si="9"/>
        <v>1419.9089387643639</v>
      </c>
      <c r="Q65" s="502"/>
      <c r="R65" s="502"/>
    </row>
    <row r="66" spans="1:31" ht="12.75">
      <c r="A66" s="572">
        <v>36906</v>
      </c>
      <c r="B66" s="573">
        <v>0.1</v>
      </c>
      <c r="C66" s="574">
        <f t="shared" si="7"/>
        <v>1401.2</v>
      </c>
      <c r="E66" s="575">
        <f t="shared" si="8"/>
        <v>1397.2927970960441</v>
      </c>
      <c r="F66" s="576">
        <f t="shared" si="9"/>
        <v>1404.8729247909289</v>
      </c>
      <c r="Q66" s="502"/>
      <c r="R66" s="502"/>
    </row>
    <row r="67" spans="1:31" ht="12.75">
      <c r="A67" s="572">
        <v>36937</v>
      </c>
      <c r="B67" s="573">
        <v>0.1</v>
      </c>
      <c r="C67" s="574">
        <f t="shared" si="7"/>
        <v>1401.2</v>
      </c>
      <c r="E67" s="575">
        <f t="shared" si="8"/>
        <v>1389.753568713016</v>
      </c>
      <c r="F67" s="576">
        <f t="shared" si="9"/>
        <v>1397.2927970960441</v>
      </c>
      <c r="G67" s="577"/>
      <c r="H67" s="577"/>
      <c r="I67" s="577"/>
      <c r="J67" s="577"/>
      <c r="K67" s="577"/>
      <c r="L67" s="577"/>
      <c r="M67" s="577"/>
      <c r="N67" s="577"/>
      <c r="O67" s="577"/>
      <c r="P67" s="577"/>
      <c r="Q67" s="578"/>
      <c r="R67" s="578"/>
      <c r="S67" s="578"/>
      <c r="T67" s="578"/>
      <c r="U67" s="578"/>
      <c r="V67" s="578"/>
      <c r="W67" s="578"/>
      <c r="X67" s="578"/>
      <c r="Y67" s="578"/>
      <c r="Z67" s="578"/>
      <c r="AA67" s="578"/>
      <c r="AB67" s="578"/>
      <c r="AC67" s="578"/>
      <c r="AD67" s="578"/>
      <c r="AE67" s="578"/>
    </row>
    <row r="68" spans="1:31" ht="12.75">
      <c r="A68" s="572">
        <v>37011</v>
      </c>
      <c r="B68" s="573">
        <v>0.05</v>
      </c>
      <c r="C68" s="574">
        <f t="shared" si="7"/>
        <v>700.6</v>
      </c>
      <c r="D68" s="577"/>
      <c r="E68" s="575">
        <f t="shared" si="8"/>
        <v>685.96037048304163</v>
      </c>
      <c r="F68" s="576">
        <f t="shared" si="9"/>
        <v>689.68161431446902</v>
      </c>
      <c r="G68" s="579"/>
      <c r="H68" s="579"/>
      <c r="I68" s="579"/>
      <c r="J68" s="579"/>
      <c r="K68" s="579"/>
      <c r="L68" s="579"/>
      <c r="M68" s="579"/>
      <c r="N68" s="579"/>
      <c r="O68" s="579"/>
      <c r="P68" s="579"/>
      <c r="Q68" s="580"/>
      <c r="R68" s="580"/>
      <c r="S68" s="580"/>
      <c r="T68" s="580"/>
      <c r="U68" s="580"/>
      <c r="V68" s="580"/>
      <c r="W68" s="580"/>
      <c r="X68" s="580"/>
      <c r="Y68" s="580"/>
      <c r="Z68" s="580"/>
      <c r="AA68" s="580"/>
      <c r="AB68" s="580"/>
      <c r="AC68" s="580"/>
      <c r="AD68" s="580"/>
      <c r="AE68" s="580"/>
    </row>
    <row r="69" spans="1:31">
      <c r="A69" s="508"/>
      <c r="B69" s="508"/>
      <c r="C69" s="581">
        <f>SUM(C58:C68)</f>
        <v>14012.000000000002</v>
      </c>
      <c r="D69" s="579"/>
      <c r="E69" s="581">
        <f>SUM(E58:E68)</f>
        <v>14254.758329526387</v>
      </c>
      <c r="F69" s="581">
        <f>SUM(F58:F68)</f>
        <v>14332.088498709318</v>
      </c>
      <c r="G69" s="581"/>
      <c r="Q69" s="502"/>
      <c r="R69" s="502"/>
    </row>
    <row r="70" spans="1:31">
      <c r="Q70" s="502"/>
      <c r="R70" s="502"/>
    </row>
    <row r="71" spans="1:31">
      <c r="Q71" s="502"/>
      <c r="R71" s="502"/>
    </row>
    <row r="72" spans="1:31">
      <c r="Q72" s="502"/>
      <c r="R72" s="502"/>
    </row>
    <row r="73" spans="1:31">
      <c r="Q73" s="502"/>
      <c r="R73" s="502"/>
    </row>
    <row r="74" spans="1:31">
      <c r="Q74" s="502"/>
      <c r="R74" s="502"/>
    </row>
    <row r="75" spans="1:31">
      <c r="Q75" s="502"/>
      <c r="R75" s="502"/>
    </row>
    <row r="76" spans="1:31">
      <c r="Q76" s="502"/>
      <c r="R76" s="502"/>
    </row>
    <row r="77" spans="1:31">
      <c r="Q77" s="502"/>
      <c r="R77" s="502"/>
    </row>
    <row r="78" spans="1:31">
      <c r="Q78" s="502"/>
      <c r="R78" s="502"/>
    </row>
    <row r="79" spans="1:31">
      <c r="Q79" s="502"/>
      <c r="R79" s="502"/>
    </row>
    <row r="80" spans="1:31">
      <c r="Q80" s="502"/>
      <c r="R80" s="502"/>
    </row>
    <row r="81" spans="1:32">
      <c r="Q81" s="502"/>
      <c r="R81" s="502"/>
    </row>
    <row r="82" spans="1:32" ht="12.75">
      <c r="A82" s="508"/>
      <c r="B82" s="508"/>
      <c r="C82" s="516"/>
      <c r="D82" s="534"/>
      <c r="E82" s="534"/>
      <c r="G82" s="14"/>
      <c r="Q82" s="502"/>
      <c r="R82" s="502"/>
    </row>
    <row r="83" spans="1:32" ht="12.75">
      <c r="A83" s="14"/>
      <c r="B83" s="14"/>
      <c r="C83" s="14"/>
      <c r="D83" s="14"/>
      <c r="E83" s="14"/>
      <c r="F83" s="14"/>
      <c r="G83" s="14"/>
      <c r="Q83" s="502"/>
      <c r="R83" s="502"/>
    </row>
    <row r="84" spans="1:32" ht="12.75">
      <c r="A84" s="14"/>
      <c r="B84" s="14"/>
      <c r="C84" s="14"/>
      <c r="D84" s="14"/>
      <c r="E84" s="14"/>
      <c r="F84" s="14"/>
      <c r="G84" s="14"/>
      <c r="Q84" s="502"/>
      <c r="R84" s="502"/>
    </row>
    <row r="85" spans="1:32" ht="12.75">
      <c r="A85" s="14"/>
      <c r="B85" s="14"/>
      <c r="C85" s="14"/>
      <c r="D85" s="14"/>
      <c r="E85" s="14"/>
      <c r="F85" s="14"/>
      <c r="G85" s="14"/>
      <c r="Q85" s="502"/>
      <c r="R85" s="502"/>
    </row>
    <row r="86" spans="1:32" ht="12.75">
      <c r="A86" s="14"/>
      <c r="B86" s="14"/>
      <c r="C86" s="14"/>
      <c r="D86" s="14"/>
      <c r="E86" s="14"/>
      <c r="F86" s="14"/>
      <c r="G86" s="14"/>
      <c r="Q86" s="502"/>
      <c r="R86" s="502"/>
    </row>
    <row r="87" spans="1:32" ht="12.75">
      <c r="A87" s="14"/>
      <c r="B87" s="14"/>
      <c r="C87" s="14"/>
      <c r="D87" s="14"/>
      <c r="E87" s="14"/>
      <c r="F87" s="14"/>
      <c r="G87" s="14"/>
      <c r="Q87" s="502"/>
      <c r="R87" s="502"/>
    </row>
    <row r="88" spans="1:32" ht="12.75">
      <c r="A88" s="14"/>
      <c r="B88" s="14"/>
      <c r="C88" s="14"/>
      <c r="D88" s="14"/>
      <c r="E88" s="14"/>
      <c r="F88" s="14"/>
      <c r="G88" s="14"/>
      <c r="Q88" s="502"/>
      <c r="R88" s="502"/>
    </row>
    <row r="89" spans="1:32" ht="11.45" customHeight="1">
      <c r="A89" s="14"/>
      <c r="B89" s="14"/>
      <c r="C89" s="14"/>
      <c r="D89" s="14"/>
      <c r="E89" s="14"/>
      <c r="F89" s="14"/>
      <c r="Q89" s="502"/>
      <c r="R89" s="502"/>
    </row>
    <row r="90" spans="1:32" ht="11.45" customHeight="1">
      <c r="A90" s="508"/>
      <c r="B90" s="508"/>
      <c r="C90" s="516"/>
      <c r="D90" s="534"/>
      <c r="E90" s="534"/>
      <c r="Q90" s="502"/>
      <c r="R90" s="502"/>
      <c r="S90" s="502"/>
    </row>
    <row r="91" spans="1:32" ht="11.45" customHeight="1">
      <c r="A91" s="508"/>
      <c r="B91" s="508"/>
      <c r="C91" s="516"/>
      <c r="D91" s="516"/>
      <c r="E91" s="516"/>
      <c r="F91" s="534"/>
      <c r="G91" s="577"/>
      <c r="H91" s="577"/>
      <c r="I91" s="577"/>
      <c r="J91" s="577"/>
      <c r="K91" s="577"/>
      <c r="L91" s="577"/>
      <c r="M91" s="577"/>
      <c r="N91" s="577"/>
      <c r="O91" s="577"/>
      <c r="P91" s="577"/>
      <c r="Q91" s="578"/>
      <c r="R91" s="578"/>
      <c r="S91" s="578"/>
      <c r="T91" s="578"/>
      <c r="U91" s="578"/>
      <c r="V91" s="578"/>
      <c r="W91" s="578"/>
      <c r="X91" s="578"/>
      <c r="Y91" s="578"/>
      <c r="Z91" s="578"/>
      <c r="AA91" s="578"/>
      <c r="AB91" s="578"/>
      <c r="AC91" s="578"/>
      <c r="AD91" s="578"/>
      <c r="AE91" s="578"/>
      <c r="AF91" s="578"/>
    </row>
    <row r="92" spans="1:32" ht="11.45" customHeight="1">
      <c r="A92" s="516"/>
      <c r="B92" s="516"/>
      <c r="C92" s="508"/>
      <c r="D92" s="508"/>
      <c r="E92" s="508"/>
      <c r="F92" s="577"/>
      <c r="G92" s="579"/>
      <c r="H92" s="579"/>
      <c r="I92" s="579"/>
      <c r="J92" s="579"/>
      <c r="K92" s="579"/>
      <c r="L92" s="579"/>
      <c r="M92" s="579"/>
      <c r="N92" s="579"/>
      <c r="O92" s="579"/>
      <c r="P92" s="579"/>
      <c r="Q92" s="580"/>
      <c r="R92" s="580"/>
      <c r="S92" s="580"/>
      <c r="T92" s="580"/>
      <c r="U92" s="580"/>
      <c r="V92" s="580"/>
      <c r="W92" s="580"/>
      <c r="X92" s="580"/>
      <c r="Y92" s="580"/>
      <c r="Z92" s="580"/>
      <c r="AA92" s="580"/>
      <c r="AB92" s="580"/>
      <c r="AC92" s="580"/>
      <c r="AD92" s="580"/>
      <c r="AE92" s="580"/>
      <c r="AF92" s="580"/>
    </row>
    <row r="93" spans="1:32" ht="11.45" customHeight="1">
      <c r="A93" s="516"/>
      <c r="B93" s="516"/>
      <c r="C93" s="508"/>
      <c r="D93" s="508"/>
      <c r="E93" s="508"/>
      <c r="F93" s="579"/>
      <c r="Q93" s="502"/>
      <c r="R93" s="502"/>
      <c r="S93" s="502"/>
    </row>
    <row r="94" spans="1:32" ht="11.45" customHeight="1">
      <c r="A94" s="508"/>
      <c r="B94" s="508"/>
      <c r="C94" s="516"/>
      <c r="D94" s="516"/>
      <c r="E94" s="516"/>
      <c r="F94" s="534"/>
      <c r="G94" s="516"/>
      <c r="H94" s="516"/>
      <c r="I94" s="516"/>
      <c r="J94" s="516"/>
      <c r="K94" s="516"/>
      <c r="L94" s="516"/>
      <c r="M94" s="516"/>
      <c r="N94" s="516"/>
      <c r="O94" s="516"/>
      <c r="P94" s="516"/>
      <c r="Q94" s="582"/>
      <c r="R94" s="582"/>
      <c r="S94" s="582"/>
      <c r="T94" s="582"/>
      <c r="U94" s="582"/>
      <c r="V94" s="582"/>
      <c r="W94" s="582"/>
      <c r="X94" s="582"/>
      <c r="Y94" s="582"/>
      <c r="Z94" s="582"/>
      <c r="AA94" s="582"/>
      <c r="AB94" s="582"/>
      <c r="AC94" s="582"/>
      <c r="AD94" s="582"/>
      <c r="AE94" s="582"/>
      <c r="AF94" s="582"/>
    </row>
    <row r="95" spans="1:32" ht="11.45" customHeight="1">
      <c r="A95" s="508"/>
      <c r="B95" s="508"/>
      <c r="C95" s="516"/>
      <c r="D95" s="516"/>
      <c r="E95" s="516"/>
      <c r="F95" s="516"/>
      <c r="G95" s="577"/>
      <c r="H95" s="577"/>
      <c r="I95" s="577"/>
      <c r="J95" s="577"/>
      <c r="K95" s="577"/>
      <c r="L95" s="577"/>
      <c r="M95" s="577"/>
      <c r="N95" s="577"/>
      <c r="O95" s="577"/>
      <c r="P95" s="577"/>
      <c r="Q95" s="578"/>
      <c r="R95" s="578"/>
      <c r="S95" s="578"/>
      <c r="T95" s="578"/>
      <c r="U95" s="578"/>
      <c r="V95" s="578"/>
      <c r="W95" s="578"/>
      <c r="X95" s="578"/>
      <c r="Y95" s="578"/>
      <c r="Z95" s="578"/>
      <c r="AA95" s="578"/>
      <c r="AB95" s="578"/>
      <c r="AC95" s="578"/>
      <c r="AD95" s="578"/>
      <c r="AE95" s="578"/>
      <c r="AF95" s="578"/>
    </row>
    <row r="96" spans="1:32" ht="11.45" customHeight="1">
      <c r="A96" s="508"/>
      <c r="B96" s="508"/>
      <c r="C96" s="508"/>
      <c r="D96" s="508"/>
      <c r="E96" s="508"/>
      <c r="F96" s="577"/>
      <c r="G96" s="583"/>
      <c r="H96" s="583"/>
      <c r="I96" s="583"/>
      <c r="J96" s="583"/>
      <c r="K96" s="583"/>
      <c r="L96" s="583"/>
      <c r="M96" s="583"/>
      <c r="N96" s="583"/>
      <c r="O96" s="583"/>
      <c r="P96" s="583"/>
      <c r="Q96" s="584"/>
      <c r="R96" s="584"/>
      <c r="S96" s="584"/>
      <c r="T96" s="584"/>
      <c r="U96" s="584"/>
      <c r="V96" s="584"/>
      <c r="W96" s="584"/>
      <c r="X96" s="584"/>
      <c r="Y96" s="584"/>
      <c r="Z96" s="584"/>
      <c r="AA96" s="584"/>
      <c r="AB96" s="584"/>
      <c r="AC96" s="584"/>
      <c r="AD96" s="584"/>
      <c r="AE96" s="584"/>
      <c r="AF96" s="584"/>
    </row>
    <row r="97" spans="1:32" ht="11.45" customHeight="1">
      <c r="A97" s="508"/>
      <c r="B97" s="508"/>
      <c r="C97" s="516"/>
      <c r="D97" s="516"/>
      <c r="E97" s="516"/>
      <c r="F97" s="516"/>
      <c r="G97" s="583"/>
      <c r="H97" s="583"/>
      <c r="I97" s="583"/>
      <c r="J97" s="583"/>
      <c r="K97" s="583"/>
      <c r="L97" s="583"/>
      <c r="M97" s="583"/>
      <c r="N97" s="583"/>
      <c r="O97" s="583"/>
      <c r="P97" s="583"/>
      <c r="Q97" s="584"/>
      <c r="R97" s="584"/>
      <c r="S97" s="584"/>
      <c r="T97" s="584"/>
      <c r="U97" s="584"/>
      <c r="V97" s="584"/>
      <c r="W97" s="584"/>
      <c r="X97" s="584"/>
      <c r="Y97" s="584"/>
      <c r="Z97" s="584"/>
      <c r="AA97" s="584"/>
      <c r="AB97" s="584"/>
      <c r="AC97" s="584"/>
      <c r="AD97" s="584"/>
      <c r="AE97" s="584"/>
      <c r="AF97" s="584"/>
    </row>
    <row r="98" spans="1:32" ht="11.45" customHeight="1">
      <c r="A98" s="508"/>
      <c r="B98" s="508"/>
      <c r="C98" s="508"/>
      <c r="D98" s="508"/>
      <c r="E98" s="508"/>
      <c r="F98" s="516"/>
      <c r="G98" s="583"/>
      <c r="H98" s="583"/>
      <c r="I98" s="583"/>
      <c r="J98" s="583"/>
      <c r="K98" s="583"/>
      <c r="L98" s="583"/>
      <c r="M98" s="583"/>
      <c r="N98" s="583"/>
      <c r="O98" s="583"/>
      <c r="P98" s="583"/>
      <c r="Q98" s="584"/>
      <c r="R98" s="584"/>
      <c r="S98" s="584"/>
      <c r="T98" s="584"/>
      <c r="U98" s="584"/>
      <c r="V98" s="584"/>
      <c r="W98" s="584"/>
      <c r="X98" s="584"/>
      <c r="Y98" s="584"/>
      <c r="Z98" s="584"/>
      <c r="AA98" s="584"/>
      <c r="AB98" s="584"/>
      <c r="AC98" s="584"/>
      <c r="AD98" s="584"/>
      <c r="AE98" s="584"/>
      <c r="AF98" s="584"/>
    </row>
    <row r="99" spans="1:32" ht="12.75">
      <c r="A99" s="508"/>
      <c r="B99" s="508"/>
      <c r="C99" s="508"/>
      <c r="D99" s="508"/>
      <c r="E99" s="508"/>
      <c r="F99" s="516"/>
      <c r="G99" s="14"/>
      <c r="Q99" s="502"/>
      <c r="R99" s="502"/>
    </row>
    <row r="100" spans="1:32" ht="12.75">
      <c r="A100" s="14"/>
      <c r="B100" s="14"/>
      <c r="C100" s="14"/>
      <c r="D100" s="14"/>
      <c r="E100" s="14"/>
      <c r="F100" s="14"/>
      <c r="G100" s="14"/>
      <c r="Q100" s="502"/>
      <c r="R100" s="502"/>
    </row>
    <row r="101" spans="1:32" ht="12.75">
      <c r="A101" s="14"/>
      <c r="B101" s="14"/>
      <c r="C101" s="14"/>
      <c r="D101" s="14"/>
      <c r="E101" s="14"/>
      <c r="F101" s="14"/>
      <c r="G101" s="14"/>
      <c r="Q101" s="502"/>
      <c r="R101" s="502"/>
    </row>
    <row r="102" spans="1:32" ht="12.75">
      <c r="A102" s="14"/>
      <c r="B102" s="14"/>
      <c r="C102" s="14"/>
      <c r="D102" s="14"/>
      <c r="E102" s="14"/>
      <c r="F102" s="14"/>
      <c r="G102" s="14"/>
      <c r="Q102" s="502"/>
      <c r="R102" s="502"/>
    </row>
    <row r="103" spans="1:32" ht="12.75">
      <c r="A103" s="14"/>
      <c r="B103" s="14"/>
      <c r="C103" s="14"/>
      <c r="D103" s="14"/>
      <c r="E103" s="14"/>
      <c r="F103" s="14"/>
      <c r="G103" s="14"/>
      <c r="Q103" s="502"/>
      <c r="R103" s="502"/>
    </row>
    <row r="104" spans="1:32" ht="12.75">
      <c r="A104" s="14"/>
      <c r="B104" s="14"/>
      <c r="C104" s="14"/>
      <c r="D104" s="14"/>
      <c r="E104" s="14"/>
      <c r="F104" s="14"/>
      <c r="G104" s="14"/>
      <c r="Q104" s="502"/>
      <c r="R104" s="502"/>
    </row>
    <row r="105" spans="1:32" ht="12.75">
      <c r="A105" s="14"/>
      <c r="B105" s="14"/>
      <c r="C105" s="14"/>
      <c r="D105" s="14"/>
      <c r="E105" s="14"/>
      <c r="F105" s="14"/>
      <c r="G105" s="14"/>
      <c r="Q105" s="502"/>
      <c r="R105" s="502"/>
    </row>
    <row r="106" spans="1:32" ht="12.75">
      <c r="A106" s="14"/>
      <c r="B106" s="14"/>
      <c r="C106" s="14"/>
      <c r="D106" s="14"/>
      <c r="E106" s="14"/>
      <c r="F106" s="14"/>
      <c r="G106" s="14"/>
      <c r="Q106" s="502"/>
      <c r="R106" s="502"/>
    </row>
    <row r="107" spans="1:32" ht="12.75">
      <c r="A107" s="14"/>
      <c r="B107" s="14"/>
      <c r="C107" s="14"/>
      <c r="D107" s="14"/>
      <c r="E107" s="14"/>
      <c r="F107" s="14"/>
      <c r="G107" s="14"/>
      <c r="Q107" s="502"/>
      <c r="R107" s="502"/>
    </row>
    <row r="108" spans="1:32" ht="12.75">
      <c r="A108" s="14"/>
      <c r="B108" s="14"/>
      <c r="C108" s="14"/>
      <c r="D108" s="14"/>
      <c r="E108" s="14"/>
      <c r="F108" s="14"/>
      <c r="G108" s="14"/>
      <c r="Q108" s="502"/>
      <c r="R108" s="502"/>
    </row>
    <row r="109" spans="1:32" ht="12.75">
      <c r="A109" s="14"/>
      <c r="B109" s="14"/>
      <c r="C109" s="14"/>
      <c r="D109" s="14"/>
      <c r="E109" s="14"/>
      <c r="F109" s="14"/>
      <c r="G109" s="14"/>
      <c r="Q109" s="502"/>
      <c r="R109" s="502"/>
    </row>
    <row r="110" spans="1:32" ht="12.75">
      <c r="A110" s="14"/>
      <c r="B110" s="14"/>
      <c r="C110" s="14"/>
      <c r="D110" s="14"/>
      <c r="E110" s="14"/>
      <c r="F110" s="14"/>
      <c r="G110" s="14"/>
      <c r="Q110" s="502"/>
      <c r="R110" s="502"/>
    </row>
    <row r="111" spans="1:32" ht="12.75">
      <c r="A111" s="14"/>
      <c r="B111" s="14"/>
      <c r="C111" s="14"/>
      <c r="D111" s="14"/>
      <c r="E111" s="14"/>
      <c r="F111" s="14"/>
      <c r="G111" s="14"/>
      <c r="Q111" s="502"/>
      <c r="R111" s="502"/>
    </row>
    <row r="112" spans="1:32" ht="12.75">
      <c r="A112" s="14"/>
      <c r="B112" s="14"/>
      <c r="C112" s="14"/>
      <c r="D112" s="14"/>
      <c r="E112" s="14"/>
      <c r="F112" s="14"/>
      <c r="G112" s="14"/>
      <c r="Q112" s="502"/>
      <c r="R112" s="502"/>
    </row>
    <row r="113" spans="1:18" ht="12.75">
      <c r="A113" s="14"/>
      <c r="B113" s="14"/>
      <c r="C113" s="14"/>
      <c r="D113" s="14"/>
      <c r="E113" s="14"/>
      <c r="F113" s="14"/>
      <c r="G113" s="14"/>
      <c r="Q113" s="502"/>
      <c r="R113" s="502"/>
    </row>
    <row r="114" spans="1:18" ht="12.75">
      <c r="A114" s="14"/>
      <c r="B114" s="14"/>
      <c r="C114" s="14"/>
      <c r="D114" s="14"/>
      <c r="E114" s="14"/>
      <c r="F114" s="14"/>
      <c r="G114" s="14"/>
      <c r="Q114" s="502"/>
      <c r="R114" s="502"/>
    </row>
    <row r="115" spans="1:18" ht="12.75">
      <c r="A115" s="14"/>
      <c r="B115" s="14"/>
      <c r="C115" s="14"/>
      <c r="D115" s="14"/>
      <c r="E115" s="14"/>
      <c r="F115" s="14"/>
      <c r="G115" s="14"/>
      <c r="Q115" s="502"/>
      <c r="R115" s="502"/>
    </row>
    <row r="116" spans="1:18" ht="12.75">
      <c r="A116" s="14"/>
      <c r="B116" s="14"/>
      <c r="C116" s="14"/>
      <c r="D116" s="14"/>
      <c r="E116" s="14"/>
      <c r="F116" s="14"/>
      <c r="G116" s="14"/>
      <c r="Q116" s="502"/>
      <c r="R116" s="502"/>
    </row>
    <row r="117" spans="1:18" ht="12.75">
      <c r="A117" s="14"/>
      <c r="B117" s="14"/>
      <c r="C117" s="14"/>
      <c r="D117" s="14"/>
      <c r="E117" s="14"/>
      <c r="F117" s="14"/>
      <c r="G117" s="14"/>
      <c r="Q117" s="502"/>
      <c r="R117" s="502"/>
    </row>
    <row r="118" spans="1:18" ht="12.75">
      <c r="A118" s="14"/>
      <c r="B118" s="14"/>
      <c r="C118" s="14"/>
      <c r="D118" s="14"/>
      <c r="E118" s="14"/>
      <c r="F118" s="14"/>
      <c r="G118" s="14"/>
      <c r="Q118" s="502"/>
      <c r="R118" s="502"/>
    </row>
    <row r="119" spans="1:18" ht="12.75">
      <c r="A119" s="14"/>
      <c r="B119" s="14"/>
      <c r="C119" s="14"/>
      <c r="D119" s="14"/>
      <c r="E119" s="14"/>
      <c r="F119" s="14"/>
      <c r="G119" s="14"/>
      <c r="Q119" s="502"/>
      <c r="R119" s="502"/>
    </row>
    <row r="120" spans="1:18" ht="12.75">
      <c r="A120" s="14"/>
      <c r="B120" s="14"/>
      <c r="C120" s="14"/>
      <c r="D120" s="14"/>
      <c r="E120" s="14"/>
      <c r="F120" s="14"/>
      <c r="G120" s="14"/>
      <c r="Q120" s="502"/>
      <c r="R120" s="502"/>
    </row>
    <row r="121" spans="1:18" ht="12.75">
      <c r="A121" s="14"/>
      <c r="B121" s="14"/>
      <c r="C121" s="14"/>
      <c r="D121" s="14"/>
      <c r="E121" s="14"/>
      <c r="F121" s="14"/>
      <c r="G121" s="14"/>
      <c r="Q121" s="502"/>
      <c r="R121" s="502"/>
    </row>
    <row r="122" spans="1:18" ht="12.75">
      <c r="A122" s="14"/>
      <c r="B122" s="14"/>
      <c r="C122" s="14"/>
      <c r="D122" s="14"/>
      <c r="E122" s="14"/>
      <c r="F122" s="14"/>
      <c r="G122" s="14"/>
      <c r="Q122" s="502"/>
      <c r="R122" s="502"/>
    </row>
    <row r="123" spans="1:18" ht="12.75">
      <c r="A123" s="14"/>
      <c r="B123" s="14"/>
      <c r="C123" s="14"/>
      <c r="D123" s="14"/>
      <c r="E123" s="14"/>
      <c r="F123" s="14"/>
      <c r="G123" s="14"/>
      <c r="Q123" s="502"/>
      <c r="R123" s="502"/>
    </row>
    <row r="124" spans="1:18" ht="12.75">
      <c r="A124" s="14"/>
      <c r="B124" s="14"/>
      <c r="C124" s="14"/>
      <c r="D124" s="14"/>
      <c r="E124" s="14"/>
      <c r="F124" s="14"/>
      <c r="G124" s="14"/>
      <c r="Q124" s="502"/>
      <c r="R124" s="502"/>
    </row>
    <row r="125" spans="1:18" ht="12.75">
      <c r="A125" s="14"/>
      <c r="B125" s="14"/>
      <c r="C125" s="14"/>
      <c r="D125" s="14"/>
      <c r="E125" s="14"/>
      <c r="F125" s="14"/>
      <c r="G125" s="14"/>
      <c r="Q125" s="502"/>
      <c r="R125" s="502"/>
    </row>
    <row r="126" spans="1:18" ht="12.75">
      <c r="A126" s="14"/>
      <c r="B126" s="14"/>
      <c r="C126" s="14"/>
      <c r="D126" s="14"/>
      <c r="E126" s="14"/>
      <c r="F126" s="14"/>
      <c r="G126" s="14"/>
      <c r="Q126" s="502"/>
      <c r="R126" s="502"/>
    </row>
    <row r="127" spans="1:18" ht="12.75">
      <c r="A127" s="14"/>
      <c r="B127" s="14"/>
      <c r="C127" s="14"/>
      <c r="D127" s="14"/>
      <c r="E127" s="14"/>
      <c r="F127" s="14"/>
      <c r="G127" s="14"/>
      <c r="Q127" s="502"/>
      <c r="R127" s="502"/>
    </row>
    <row r="128" spans="1:18" ht="12.75">
      <c r="A128" s="14"/>
      <c r="B128" s="14"/>
      <c r="C128" s="14"/>
      <c r="D128" s="14"/>
      <c r="E128" s="14"/>
      <c r="F128" s="14"/>
      <c r="G128" s="14"/>
      <c r="Q128" s="502"/>
      <c r="R128" s="502"/>
    </row>
    <row r="129" spans="1:18" ht="12.75">
      <c r="A129" s="14"/>
      <c r="B129" s="14"/>
      <c r="C129" s="14"/>
      <c r="D129" s="14"/>
      <c r="E129" s="14"/>
      <c r="F129" s="14"/>
      <c r="G129" s="14"/>
      <c r="Q129" s="502"/>
      <c r="R129" s="502"/>
    </row>
    <row r="130" spans="1:18" ht="12.75">
      <c r="A130" s="14"/>
      <c r="B130" s="14"/>
      <c r="C130" s="14"/>
      <c r="D130" s="14"/>
      <c r="E130" s="14"/>
      <c r="F130" s="14"/>
      <c r="G130" s="14"/>
      <c r="Q130" s="502"/>
      <c r="R130" s="502"/>
    </row>
    <row r="131" spans="1:18" ht="12.75">
      <c r="A131" s="14"/>
      <c r="B131" s="14"/>
      <c r="C131" s="14"/>
      <c r="D131" s="14"/>
      <c r="E131" s="14"/>
      <c r="F131" s="14"/>
      <c r="G131" s="14"/>
      <c r="Q131" s="502"/>
      <c r="R131" s="502"/>
    </row>
    <row r="132" spans="1:18" ht="12.75">
      <c r="A132" s="14"/>
      <c r="B132" s="14"/>
      <c r="C132" s="14"/>
      <c r="D132" s="14"/>
      <c r="E132" s="14"/>
      <c r="F132" s="14"/>
      <c r="G132" s="14"/>
      <c r="Q132" s="502"/>
      <c r="R132" s="502"/>
    </row>
    <row r="133" spans="1:18" ht="12.75">
      <c r="A133" s="14"/>
      <c r="B133" s="14"/>
      <c r="C133" s="14"/>
      <c r="D133" s="14"/>
      <c r="E133" s="14"/>
      <c r="F133" s="14"/>
      <c r="Q133" s="502"/>
      <c r="R133" s="502"/>
    </row>
    <row r="134" spans="1:18">
      <c r="Q134" s="502"/>
      <c r="R134" s="502"/>
    </row>
    <row r="135" spans="1:18">
      <c r="Q135" s="502"/>
      <c r="R135" s="502"/>
    </row>
    <row r="136" spans="1:18">
      <c r="Q136" s="502"/>
      <c r="R136" s="502"/>
    </row>
    <row r="137" spans="1:18">
      <c r="Q137" s="502"/>
      <c r="R137" s="502"/>
    </row>
    <row r="138" spans="1:18">
      <c r="Q138" s="502"/>
      <c r="R138" s="502"/>
    </row>
    <row r="139" spans="1:18">
      <c r="Q139" s="502"/>
      <c r="R139" s="502"/>
    </row>
    <row r="140" spans="1:18">
      <c r="Q140" s="502"/>
      <c r="R140" s="502"/>
    </row>
    <row r="141" spans="1:18">
      <c r="Q141" s="502"/>
      <c r="R141" s="502"/>
    </row>
    <row r="142" spans="1:18">
      <c r="Q142" s="502"/>
      <c r="R142" s="502"/>
    </row>
    <row r="143" spans="1:18">
      <c r="Q143" s="502"/>
      <c r="R143" s="502"/>
    </row>
    <row r="144" spans="1:18">
      <c r="Q144" s="502"/>
      <c r="R144" s="502"/>
    </row>
    <row r="145" spans="17:18">
      <c r="Q145" s="502"/>
      <c r="R145" s="502"/>
    </row>
    <row r="146" spans="17:18">
      <c r="Q146" s="502"/>
      <c r="R146" s="502"/>
    </row>
    <row r="147" spans="17:18">
      <c r="Q147" s="502"/>
      <c r="R147" s="502"/>
    </row>
    <row r="148" spans="17:18">
      <c r="Q148" s="502"/>
      <c r="R148" s="502"/>
    </row>
    <row r="149" spans="17:18">
      <c r="Q149" s="502"/>
      <c r="R149" s="502"/>
    </row>
    <row r="150" spans="17:18">
      <c r="Q150" s="502"/>
      <c r="R150" s="502"/>
    </row>
    <row r="151" spans="17:18">
      <c r="Q151" s="502"/>
      <c r="R151" s="502"/>
    </row>
    <row r="152" spans="17:18">
      <c r="Q152" s="502"/>
      <c r="R152" s="502"/>
    </row>
    <row r="153" spans="17:18">
      <c r="Q153" s="502"/>
      <c r="R153" s="502"/>
    </row>
    <row r="154" spans="17:18">
      <c r="Q154" s="502"/>
      <c r="R154" s="502"/>
    </row>
    <row r="155" spans="17:18">
      <c r="Q155" s="502"/>
      <c r="R155" s="502"/>
    </row>
    <row r="156" spans="17:18">
      <c r="Q156" s="502"/>
      <c r="R156" s="502"/>
    </row>
    <row r="157" spans="17:18">
      <c r="Q157" s="502"/>
      <c r="R157" s="502"/>
    </row>
    <row r="158" spans="17:18">
      <c r="Q158" s="502"/>
      <c r="R158" s="502"/>
    </row>
    <row r="159" spans="17:18">
      <c r="Q159" s="502"/>
      <c r="R159" s="502"/>
    </row>
    <row r="160" spans="17:18">
      <c r="Q160" s="502"/>
      <c r="R160" s="502"/>
    </row>
    <row r="161" spans="6:18">
      <c r="Q161" s="502"/>
      <c r="R161" s="502"/>
    </row>
    <row r="162" spans="6:18">
      <c r="Q162" s="502"/>
      <c r="R162" s="502"/>
    </row>
    <row r="163" spans="6:18">
      <c r="Q163" s="502"/>
      <c r="R163" s="502"/>
    </row>
    <row r="164" spans="6:18">
      <c r="Q164" s="502"/>
      <c r="R164" s="502"/>
    </row>
    <row r="165" spans="6:18">
      <c r="Q165" s="502"/>
      <c r="R165" s="502"/>
    </row>
    <row r="166" spans="6:18">
      <c r="F166" s="585"/>
      <c r="Q166" s="502"/>
      <c r="R166" s="502"/>
    </row>
    <row r="167" spans="6:18">
      <c r="Q167" s="502"/>
      <c r="R167" s="502"/>
    </row>
    <row r="168" spans="6:18">
      <c r="Q168" s="502"/>
      <c r="R168" s="502"/>
    </row>
    <row r="169" spans="6:18">
      <c r="Q169" s="502"/>
      <c r="R169" s="502"/>
    </row>
    <row r="170" spans="6:18">
      <c r="Q170" s="502"/>
      <c r="R170" s="502"/>
    </row>
    <row r="171" spans="6:18">
      <c r="Q171" s="502"/>
      <c r="R171" s="502"/>
    </row>
    <row r="172" spans="6:18">
      <c r="Q172" s="502"/>
      <c r="R172" s="502"/>
    </row>
    <row r="173" spans="6:18">
      <c r="Q173" s="502"/>
      <c r="R173" s="502"/>
    </row>
    <row r="174" spans="6:18">
      <c r="Q174" s="502"/>
      <c r="R174" s="502"/>
    </row>
    <row r="175" spans="6:18">
      <c r="Q175" s="502"/>
      <c r="R175" s="502"/>
    </row>
    <row r="176" spans="6:18">
      <c r="Q176" s="502"/>
      <c r="R176" s="502"/>
    </row>
    <row r="177" spans="17:18">
      <c r="Q177" s="502"/>
      <c r="R177" s="502"/>
    </row>
    <row r="178" spans="17:18">
      <c r="Q178" s="502"/>
      <c r="R178" s="502"/>
    </row>
    <row r="179" spans="17:18">
      <c r="Q179" s="502"/>
      <c r="R179" s="502"/>
    </row>
    <row r="180" spans="17:18">
      <c r="Q180" s="502"/>
      <c r="R180" s="502"/>
    </row>
    <row r="181" spans="17:18">
      <c r="Q181" s="502"/>
      <c r="R181" s="502"/>
    </row>
    <row r="182" spans="17:18">
      <c r="Q182" s="502"/>
      <c r="R182" s="502"/>
    </row>
    <row r="183" spans="17:18">
      <c r="Q183" s="502"/>
      <c r="R183" s="502"/>
    </row>
    <row r="184" spans="17:18">
      <c r="Q184" s="502"/>
      <c r="R184" s="502"/>
    </row>
    <row r="185" spans="17:18">
      <c r="Q185" s="502"/>
      <c r="R185" s="502"/>
    </row>
    <row r="186" spans="17:18">
      <c r="Q186" s="502"/>
      <c r="R186" s="502"/>
    </row>
    <row r="187" spans="17:18">
      <c r="Q187" s="502"/>
      <c r="R187" s="502"/>
    </row>
    <row r="188" spans="17:18">
      <c r="Q188" s="502"/>
      <c r="R188" s="502"/>
    </row>
    <row r="189" spans="17:18">
      <c r="Q189" s="502"/>
      <c r="R189" s="502"/>
    </row>
    <row r="190" spans="17:18">
      <c r="Q190" s="502"/>
      <c r="R190" s="502"/>
    </row>
    <row r="191" spans="17:18">
      <c r="Q191" s="502"/>
      <c r="R191" s="502"/>
    </row>
    <row r="192" spans="17:18">
      <c r="Q192" s="502"/>
      <c r="R192" s="502"/>
    </row>
    <row r="193" spans="17:18">
      <c r="Q193" s="502"/>
      <c r="R193" s="502"/>
    </row>
    <row r="194" spans="17:18">
      <c r="Q194" s="502"/>
      <c r="R194" s="502"/>
    </row>
    <row r="195" spans="17:18">
      <c r="Q195" s="502"/>
      <c r="R195" s="502"/>
    </row>
    <row r="196" spans="17:18">
      <c r="Q196" s="502"/>
      <c r="R196" s="502"/>
    </row>
    <row r="197" spans="17:18">
      <c r="Q197" s="502"/>
      <c r="R197" s="502"/>
    </row>
    <row r="198" spans="17:18">
      <c r="Q198" s="502"/>
      <c r="R198" s="502"/>
    </row>
    <row r="199" spans="17:18">
      <c r="Q199" s="502"/>
      <c r="R199" s="502"/>
    </row>
    <row r="200" spans="17:18">
      <c r="Q200" s="502"/>
      <c r="R200" s="502"/>
    </row>
    <row r="201" spans="17:18">
      <c r="Q201" s="502"/>
      <c r="R201" s="502"/>
    </row>
    <row r="202" spans="17:18">
      <c r="Q202" s="502"/>
      <c r="R202" s="502"/>
    </row>
    <row r="203" spans="17:18">
      <c r="Q203" s="502"/>
      <c r="R203" s="502"/>
    </row>
    <row r="204" spans="17:18">
      <c r="Q204" s="502"/>
      <c r="R204" s="502"/>
    </row>
    <row r="205" spans="17:18">
      <c r="Q205" s="502"/>
      <c r="R205" s="502"/>
    </row>
    <row r="206" spans="17:18">
      <c r="Q206" s="502"/>
      <c r="R206" s="502"/>
    </row>
    <row r="207" spans="17:18">
      <c r="Q207" s="502"/>
      <c r="R207" s="502"/>
    </row>
    <row r="208" spans="17:18">
      <c r="Q208" s="502"/>
      <c r="R208" s="502"/>
    </row>
    <row r="209" spans="17:18">
      <c r="Q209" s="502"/>
      <c r="R209" s="502"/>
    </row>
    <row r="210" spans="17:18">
      <c r="Q210" s="502"/>
      <c r="R210" s="502"/>
    </row>
    <row r="211" spans="17:18">
      <c r="Q211" s="502"/>
      <c r="R211" s="502"/>
    </row>
    <row r="212" spans="17:18">
      <c r="Q212" s="502"/>
      <c r="R212" s="502"/>
    </row>
    <row r="213" spans="17:18">
      <c r="Q213" s="502"/>
      <c r="R213" s="502"/>
    </row>
    <row r="214" spans="17:18">
      <c r="Q214" s="502"/>
      <c r="R214" s="502"/>
    </row>
    <row r="215" spans="17:18">
      <c r="Q215" s="502"/>
      <c r="R215" s="502"/>
    </row>
    <row r="216" spans="17:18">
      <c r="Q216" s="502"/>
      <c r="R216" s="502"/>
    </row>
    <row r="217" spans="17:18">
      <c r="Q217" s="502"/>
      <c r="R217" s="502"/>
    </row>
    <row r="218" spans="17:18">
      <c r="Q218" s="502"/>
      <c r="R218" s="502"/>
    </row>
    <row r="219" spans="17:18">
      <c r="Q219" s="502"/>
      <c r="R219" s="502"/>
    </row>
    <row r="220" spans="17:18">
      <c r="Q220" s="502"/>
      <c r="R220" s="502"/>
    </row>
    <row r="221" spans="17:18">
      <c r="Q221" s="502"/>
      <c r="R221" s="502"/>
    </row>
    <row r="222" spans="17:18">
      <c r="Q222" s="502"/>
      <c r="R222" s="502"/>
    </row>
    <row r="223" spans="17:18">
      <c r="Q223" s="502"/>
      <c r="R223" s="502"/>
    </row>
    <row r="224" spans="17:18">
      <c r="Q224" s="502"/>
      <c r="R224" s="502"/>
    </row>
    <row r="225" spans="17:18">
      <c r="Q225" s="502"/>
      <c r="R225" s="502"/>
    </row>
    <row r="226" spans="17:18">
      <c r="Q226" s="502"/>
      <c r="R226" s="502"/>
    </row>
    <row r="227" spans="17:18">
      <c r="Q227" s="502"/>
      <c r="R227" s="502"/>
    </row>
    <row r="228" spans="17:18">
      <c r="Q228" s="502"/>
      <c r="R228" s="502"/>
    </row>
    <row r="229" spans="17:18">
      <c r="Q229" s="502"/>
      <c r="R229" s="502"/>
    </row>
    <row r="230" spans="17:18">
      <c r="Q230" s="502"/>
      <c r="R230" s="502"/>
    </row>
    <row r="231" spans="17:18">
      <c r="Q231" s="502"/>
      <c r="R231" s="502"/>
    </row>
    <row r="232" spans="17:18">
      <c r="Q232" s="502"/>
      <c r="R232" s="502"/>
    </row>
    <row r="233" spans="17:18">
      <c r="Q233" s="502"/>
      <c r="R233" s="502"/>
    </row>
    <row r="234" spans="17:18">
      <c r="Q234" s="502"/>
      <c r="R234" s="502"/>
    </row>
    <row r="235" spans="17:18">
      <c r="Q235" s="502"/>
      <c r="R235" s="502"/>
    </row>
    <row r="236" spans="17:18">
      <c r="Q236" s="502"/>
      <c r="R236" s="502"/>
    </row>
    <row r="237" spans="17:18">
      <c r="Q237" s="502"/>
      <c r="R237" s="502"/>
    </row>
    <row r="238" spans="17:18">
      <c r="Q238" s="502"/>
      <c r="R238" s="502"/>
    </row>
    <row r="239" spans="17:18">
      <c r="Q239" s="502"/>
      <c r="R239" s="502"/>
    </row>
    <row r="240" spans="17:18">
      <c r="Q240" s="502"/>
      <c r="R240" s="502"/>
    </row>
    <row r="241" spans="17:18">
      <c r="Q241" s="502"/>
      <c r="R241" s="502"/>
    </row>
    <row r="242" spans="17:18">
      <c r="Q242" s="502"/>
      <c r="R242" s="502"/>
    </row>
    <row r="243" spans="17:18">
      <c r="Q243" s="502"/>
      <c r="R243" s="502"/>
    </row>
    <row r="244" spans="17:18">
      <c r="Q244" s="502"/>
      <c r="R244" s="502"/>
    </row>
    <row r="245" spans="17:18">
      <c r="Q245" s="502"/>
      <c r="R245" s="502"/>
    </row>
    <row r="246" spans="17:18">
      <c r="Q246" s="502"/>
      <c r="R246" s="502"/>
    </row>
    <row r="247" spans="17:18">
      <c r="Q247" s="502"/>
      <c r="R247" s="502"/>
    </row>
    <row r="248" spans="17:18">
      <c r="Q248" s="502"/>
      <c r="R248" s="502"/>
    </row>
    <row r="249" spans="17:18">
      <c r="Q249" s="502"/>
      <c r="R249" s="502"/>
    </row>
    <row r="250" spans="17:18">
      <c r="Q250" s="502"/>
      <c r="R250" s="502"/>
    </row>
    <row r="251" spans="17:18">
      <c r="Q251" s="502"/>
      <c r="R251" s="502"/>
    </row>
    <row r="252" spans="17:18">
      <c r="Q252" s="502"/>
      <c r="R252" s="502"/>
    </row>
    <row r="253" spans="17:18">
      <c r="Q253" s="502"/>
      <c r="R253" s="502"/>
    </row>
    <row r="254" spans="17:18">
      <c r="Q254" s="502"/>
      <c r="R254" s="502"/>
    </row>
    <row r="255" spans="17:18">
      <c r="Q255" s="502"/>
      <c r="R255" s="502"/>
    </row>
    <row r="256" spans="17:18">
      <c r="Q256" s="502"/>
      <c r="R256" s="502"/>
    </row>
    <row r="257" spans="17:18">
      <c r="Q257" s="502"/>
      <c r="R257" s="502"/>
    </row>
    <row r="258" spans="17:18">
      <c r="Q258" s="502"/>
      <c r="R258" s="502"/>
    </row>
    <row r="259" spans="17:18">
      <c r="Q259" s="502"/>
      <c r="R259" s="502"/>
    </row>
    <row r="260" spans="17:18">
      <c r="Q260" s="502"/>
      <c r="R260" s="502"/>
    </row>
    <row r="261" spans="17:18">
      <c r="Q261" s="502"/>
      <c r="R261" s="502"/>
    </row>
    <row r="262" spans="17:18">
      <c r="Q262" s="502"/>
      <c r="R262" s="502"/>
    </row>
    <row r="263" spans="17:18">
      <c r="Q263" s="502"/>
      <c r="R263" s="502"/>
    </row>
    <row r="264" spans="17:18">
      <c r="Q264" s="502"/>
      <c r="R264" s="502"/>
    </row>
    <row r="265" spans="17:18">
      <c r="Q265" s="502"/>
      <c r="R265" s="502"/>
    </row>
    <row r="266" spans="17:18">
      <c r="Q266" s="502"/>
      <c r="R266" s="502"/>
    </row>
    <row r="267" spans="17:18">
      <c r="Q267" s="502"/>
      <c r="R267" s="502"/>
    </row>
    <row r="268" spans="17:18">
      <c r="Q268" s="502"/>
      <c r="R268" s="502"/>
    </row>
    <row r="269" spans="17:18">
      <c r="Q269" s="502"/>
      <c r="R269" s="502"/>
    </row>
    <row r="270" spans="17:18">
      <c r="Q270" s="502"/>
      <c r="R270" s="502"/>
    </row>
    <row r="271" spans="17:18">
      <c r="Q271" s="502"/>
      <c r="R271" s="502"/>
    </row>
    <row r="272" spans="17:18">
      <c r="Q272" s="502"/>
      <c r="R272" s="502"/>
    </row>
    <row r="290" spans="1:19" ht="11.45" customHeight="1">
      <c r="Q290" s="502"/>
      <c r="R290" s="502"/>
    </row>
    <row r="291" spans="1:19" ht="11.45" customHeight="1">
      <c r="Q291" s="502"/>
      <c r="R291" s="502"/>
    </row>
    <row r="292" spans="1:19" ht="11.45" customHeight="1">
      <c r="Q292" s="502"/>
      <c r="R292" s="502"/>
    </row>
    <row r="293" spans="1:19" ht="11.45" customHeight="1">
      <c r="F293" s="499"/>
      <c r="Q293" s="502"/>
      <c r="R293" s="502"/>
    </row>
    <row r="294" spans="1:19">
      <c r="G294" s="543"/>
      <c r="Q294" s="502"/>
      <c r="R294" s="502"/>
    </row>
    <row r="295" spans="1:19" ht="12.75">
      <c r="G295" s="14"/>
      <c r="Q295" s="502"/>
      <c r="R295" s="502"/>
    </row>
    <row r="296" spans="1:19" ht="12.75">
      <c r="G296" s="14"/>
      <c r="Q296" s="502"/>
      <c r="R296" s="502"/>
    </row>
    <row r="297" spans="1:19" ht="12.75">
      <c r="G297" s="14"/>
      <c r="Q297" s="502"/>
      <c r="R297" s="502"/>
    </row>
    <row r="298" spans="1:19" ht="12.75">
      <c r="G298" s="14"/>
      <c r="Q298" s="502"/>
      <c r="R298" s="502"/>
    </row>
    <row r="299" spans="1:19" ht="12.75">
      <c r="G299" s="14"/>
      <c r="Q299" s="502"/>
      <c r="R299" s="502"/>
    </row>
    <row r="300" spans="1:19" ht="12.75">
      <c r="G300" s="14"/>
      <c r="Q300" s="502"/>
      <c r="R300" s="502"/>
    </row>
    <row r="301" spans="1:19" ht="12.75">
      <c r="G301" s="14"/>
      <c r="Q301" s="502"/>
      <c r="R301" s="502"/>
    </row>
    <row r="302" spans="1:19" ht="12.75">
      <c r="G302" s="14"/>
      <c r="Q302" s="502"/>
      <c r="R302" s="502"/>
    </row>
    <row r="303" spans="1:19" ht="12.75">
      <c r="A303" s="14"/>
      <c r="B303" s="14"/>
      <c r="C303" s="14"/>
      <c r="D303" s="14"/>
      <c r="E303" s="14"/>
      <c r="F303" s="14"/>
      <c r="G303" s="14"/>
      <c r="Q303" s="502"/>
      <c r="R303" s="502"/>
    </row>
    <row r="304" spans="1:19" ht="11.45" customHeight="1">
      <c r="A304" s="14"/>
      <c r="B304" s="14"/>
      <c r="C304" s="14"/>
      <c r="D304" s="14"/>
      <c r="E304" s="14"/>
      <c r="F304" s="14"/>
      <c r="Q304" s="502"/>
      <c r="R304" s="502"/>
      <c r="S304" s="502"/>
    </row>
    <row r="305" spans="1:32" ht="11.45" customHeight="1">
      <c r="A305" s="508"/>
      <c r="B305" s="508"/>
      <c r="C305" s="516"/>
      <c r="D305" s="516"/>
      <c r="E305" s="516"/>
      <c r="F305" s="534"/>
      <c r="G305" s="577"/>
      <c r="H305" s="577"/>
      <c r="I305" s="577"/>
      <c r="J305" s="577"/>
      <c r="K305" s="577"/>
      <c r="L305" s="577"/>
      <c r="M305" s="577"/>
      <c r="N305" s="577"/>
      <c r="O305" s="577"/>
      <c r="P305" s="577"/>
      <c r="Q305" s="578"/>
      <c r="R305" s="578"/>
      <c r="S305" s="578"/>
      <c r="T305" s="578"/>
      <c r="U305" s="578"/>
      <c r="V305" s="578"/>
      <c r="W305" s="578"/>
      <c r="X305" s="578"/>
      <c r="Y305" s="578"/>
      <c r="Z305" s="578"/>
      <c r="AA305" s="578"/>
      <c r="AB305" s="578"/>
      <c r="AC305" s="578"/>
      <c r="AD305" s="578"/>
      <c r="AE305" s="578"/>
      <c r="AF305" s="578"/>
    </row>
    <row r="306" spans="1:32" ht="11.45" customHeight="1">
      <c r="A306" s="516"/>
      <c r="B306" s="516"/>
      <c r="C306" s="508"/>
      <c r="D306" s="508"/>
      <c r="E306" s="508"/>
      <c r="F306" s="577"/>
      <c r="G306" s="579"/>
      <c r="H306" s="579"/>
      <c r="I306" s="579"/>
      <c r="J306" s="579"/>
      <c r="K306" s="579"/>
      <c r="L306" s="579"/>
      <c r="M306" s="579"/>
      <c r="N306" s="579"/>
      <c r="O306" s="579"/>
      <c r="P306" s="579"/>
      <c r="Q306" s="580"/>
      <c r="R306" s="580"/>
      <c r="S306" s="580"/>
      <c r="T306" s="580"/>
      <c r="U306" s="580"/>
      <c r="V306" s="580"/>
      <c r="W306" s="580"/>
      <c r="X306" s="580"/>
      <c r="Y306" s="580"/>
      <c r="Z306" s="580"/>
      <c r="AA306" s="580"/>
      <c r="AB306" s="580"/>
      <c r="AC306" s="580"/>
      <c r="AD306" s="580"/>
      <c r="AE306" s="580"/>
      <c r="AF306" s="580"/>
    </row>
    <row r="307" spans="1:32" ht="11.45" customHeight="1">
      <c r="A307" s="516"/>
      <c r="B307" s="516"/>
      <c r="C307" s="508"/>
      <c r="D307" s="508"/>
      <c r="E307" s="508"/>
      <c r="F307" s="579"/>
      <c r="Q307" s="502"/>
      <c r="R307" s="502"/>
      <c r="S307" s="502"/>
    </row>
    <row r="308" spans="1:32" ht="11.45" customHeight="1">
      <c r="A308" s="508"/>
      <c r="B308" s="508"/>
      <c r="C308" s="516"/>
      <c r="D308" s="516"/>
      <c r="E308" s="516"/>
      <c r="F308" s="534"/>
      <c r="G308" s="516"/>
      <c r="H308" s="516"/>
      <c r="I308" s="516"/>
      <c r="J308" s="516"/>
      <c r="K308" s="516"/>
      <c r="L308" s="516"/>
      <c r="M308" s="516"/>
      <c r="N308" s="516"/>
      <c r="O308" s="516"/>
      <c r="P308" s="516"/>
      <c r="Q308" s="582"/>
      <c r="R308" s="582"/>
      <c r="S308" s="582"/>
      <c r="T308" s="582"/>
      <c r="U308" s="582"/>
      <c r="V308" s="582"/>
      <c r="W308" s="582"/>
      <c r="X308" s="582"/>
      <c r="Y308" s="582"/>
      <c r="Z308" s="582"/>
      <c r="AA308" s="582"/>
      <c r="AB308" s="582"/>
      <c r="AC308" s="582"/>
      <c r="AD308" s="582"/>
      <c r="AE308" s="582"/>
      <c r="AF308" s="582"/>
    </row>
    <row r="309" spans="1:32" ht="11.45" customHeight="1">
      <c r="A309" s="508"/>
      <c r="B309" s="508"/>
      <c r="C309" s="516"/>
      <c r="D309" s="516"/>
      <c r="E309" s="516"/>
      <c r="F309" s="516"/>
      <c r="G309" s="577"/>
      <c r="H309" s="577"/>
      <c r="I309" s="577"/>
      <c r="J309" s="577"/>
      <c r="K309" s="577"/>
      <c r="L309" s="577"/>
      <c r="M309" s="577"/>
      <c r="N309" s="577"/>
      <c r="O309" s="577"/>
      <c r="P309" s="577"/>
      <c r="Q309" s="578"/>
      <c r="R309" s="578"/>
      <c r="S309" s="578"/>
      <c r="T309" s="578"/>
      <c r="U309" s="578"/>
      <c r="V309" s="578"/>
      <c r="W309" s="578"/>
      <c r="X309" s="578"/>
      <c r="Y309" s="578"/>
      <c r="Z309" s="578"/>
      <c r="AA309" s="578"/>
      <c r="AB309" s="578"/>
      <c r="AC309" s="578"/>
      <c r="AD309" s="578"/>
      <c r="AE309" s="578"/>
      <c r="AF309" s="578"/>
    </row>
    <row r="310" spans="1:32" ht="11.45" customHeight="1">
      <c r="A310" s="508"/>
      <c r="B310" s="508"/>
      <c r="C310" s="508"/>
      <c r="D310" s="508"/>
      <c r="E310" s="508"/>
      <c r="F310" s="577"/>
      <c r="G310" s="583"/>
      <c r="H310" s="583"/>
      <c r="I310" s="583"/>
      <c r="J310" s="583"/>
      <c r="K310" s="583"/>
      <c r="L310" s="583"/>
      <c r="M310" s="583"/>
      <c r="N310" s="583"/>
      <c r="O310" s="583"/>
      <c r="P310" s="583"/>
      <c r="Q310" s="584"/>
      <c r="R310" s="584"/>
      <c r="S310" s="584"/>
      <c r="T310" s="584"/>
      <c r="U310" s="584"/>
      <c r="V310" s="584"/>
      <c r="W310" s="584"/>
      <c r="X310" s="584"/>
      <c r="Y310" s="584"/>
      <c r="Z310" s="584"/>
      <c r="AA310" s="584"/>
      <c r="AB310" s="584"/>
      <c r="AC310" s="584"/>
      <c r="AD310" s="584"/>
      <c r="AE310" s="584"/>
      <c r="AF310" s="584"/>
    </row>
    <row r="311" spans="1:32" ht="11.45" customHeight="1">
      <c r="A311" s="508"/>
      <c r="B311" s="508"/>
      <c r="C311" s="516"/>
      <c r="D311" s="516"/>
      <c r="E311" s="516"/>
      <c r="F311" s="516"/>
      <c r="G311" s="583"/>
      <c r="H311" s="583"/>
      <c r="I311" s="583"/>
      <c r="J311" s="583"/>
      <c r="K311" s="583"/>
      <c r="L311" s="583"/>
      <c r="M311" s="583"/>
      <c r="N311" s="583"/>
      <c r="O311" s="583"/>
      <c r="P311" s="583"/>
      <c r="Q311" s="584"/>
      <c r="R311" s="584"/>
      <c r="S311" s="584"/>
      <c r="T311" s="584"/>
      <c r="U311" s="584"/>
      <c r="V311" s="584"/>
      <c r="W311" s="584"/>
      <c r="X311" s="584"/>
      <c r="Y311" s="584"/>
      <c r="Z311" s="584"/>
      <c r="AA311" s="584"/>
      <c r="AB311" s="584"/>
      <c r="AC311" s="584"/>
      <c r="AD311" s="584"/>
      <c r="AE311" s="584"/>
      <c r="AF311" s="584"/>
    </row>
    <row r="312" spans="1:32" ht="11.45" customHeight="1">
      <c r="A312" s="508"/>
      <c r="B312" s="508"/>
      <c r="C312" s="508"/>
      <c r="D312" s="508"/>
      <c r="E312" s="508"/>
      <c r="F312" s="516"/>
      <c r="G312" s="583"/>
      <c r="H312" s="583"/>
      <c r="I312" s="583"/>
      <c r="J312" s="583"/>
      <c r="K312" s="583"/>
      <c r="L312" s="583"/>
      <c r="M312" s="583"/>
      <c r="N312" s="583"/>
      <c r="O312" s="583"/>
      <c r="P312" s="583"/>
      <c r="Q312" s="584"/>
      <c r="R312" s="584"/>
      <c r="S312" s="584"/>
      <c r="T312" s="584"/>
      <c r="U312" s="584"/>
      <c r="V312" s="584"/>
      <c r="W312" s="584"/>
      <c r="X312" s="584"/>
      <c r="Y312" s="584"/>
      <c r="Z312" s="584"/>
      <c r="AA312" s="584"/>
      <c r="AB312" s="584"/>
      <c r="AC312" s="584"/>
      <c r="AD312" s="584"/>
      <c r="AE312" s="584"/>
      <c r="AF312" s="584"/>
    </row>
    <row r="313" spans="1:32">
      <c r="A313" s="508"/>
      <c r="B313" s="508"/>
      <c r="C313" s="508"/>
      <c r="D313" s="508"/>
      <c r="E313" s="508"/>
      <c r="F313" s="516"/>
    </row>
  </sheetData>
  <pageMargins left="0.25" right="0.25" top="0.25" bottom="0.5" header="0" footer="0"/>
  <pageSetup scale="69" orientation="landscape" r:id="rId1"/>
  <headerFooter alignWithMargins="0">
    <oddFooter>&amp;L&amp;D   &amp;T&amp;R&amp;F
&amp;A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AH45"/>
  <sheetViews>
    <sheetView zoomScale="75" zoomScaleNormal="75" workbookViewId="0">
      <selection activeCell="D43" sqref="D43"/>
    </sheetView>
  </sheetViews>
  <sheetFormatPr defaultRowHeight="12.75"/>
  <cols>
    <col min="1" max="1" width="55.7109375" style="14" customWidth="1"/>
    <col min="2" max="2" width="9.7109375" style="14" customWidth="1"/>
    <col min="3" max="3" width="9" style="27" customWidth="1"/>
    <col min="4" max="4" width="14.85546875" style="14" customWidth="1"/>
    <col min="5" max="5" width="14.140625" style="14" customWidth="1"/>
    <col min="6" max="6" width="11.140625" style="14" customWidth="1"/>
    <col min="7" max="9" width="11.5703125" style="14" customWidth="1"/>
    <col min="10" max="10" width="11.28515625" style="14" customWidth="1"/>
    <col min="11" max="11" width="11.5703125" style="14" customWidth="1"/>
    <col min="12" max="12" width="11.28515625" style="14" customWidth="1"/>
    <col min="13" max="14" width="11.5703125" style="14" customWidth="1"/>
    <col min="15" max="15" width="11.140625" style="14" customWidth="1"/>
    <col min="16" max="16" width="10.5703125" style="14" customWidth="1"/>
    <col min="17" max="19" width="11.140625" style="14" customWidth="1"/>
    <col min="20" max="20" width="10.85546875" style="14" customWidth="1"/>
    <col min="21" max="21" width="11.140625" style="14" customWidth="1"/>
    <col min="22" max="22" width="10.85546875" style="14" customWidth="1"/>
    <col min="23" max="24" width="11.140625" style="14" customWidth="1"/>
    <col min="25" max="34" width="11.5703125" style="14" customWidth="1"/>
    <col min="35" max="16384" width="9.140625" style="14"/>
  </cols>
  <sheetData>
    <row r="2" spans="1:34" ht="21" customHeight="1">
      <c r="A2" s="135" t="str">
        <f>Assumptions!A3</f>
        <v>PROJECT NAME: LINCOLN</v>
      </c>
    </row>
    <row r="4" spans="1:34" ht="18.75">
      <c r="A4" s="93" t="s">
        <v>194</v>
      </c>
    </row>
    <row r="5" spans="1:34">
      <c r="Z5" s="285"/>
    </row>
    <row r="6" spans="1:34">
      <c r="D6" s="465">
        <f>'Power Price Assumption'!D9</f>
        <v>0.66666666666666663</v>
      </c>
      <c r="E6" s="465">
        <f>'Power Price Assumption'!E9</f>
        <v>1.6666666666666665</v>
      </c>
      <c r="F6" s="465">
        <f>'Power Price Assumption'!F9</f>
        <v>2.6666666666666665</v>
      </c>
      <c r="G6" s="465">
        <f>'Power Price Assumption'!G9</f>
        <v>3.6666666666666665</v>
      </c>
      <c r="H6" s="465">
        <f>'Power Price Assumption'!H9</f>
        <v>4.6666666666666661</v>
      </c>
      <c r="I6" s="465">
        <f>'Power Price Assumption'!I9</f>
        <v>5.6666666666666661</v>
      </c>
      <c r="J6" s="465">
        <f>'Power Price Assumption'!J9</f>
        <v>6.6666666666666661</v>
      </c>
      <c r="K6" s="465">
        <f>'Power Price Assumption'!K9</f>
        <v>7.6666666666666661</v>
      </c>
      <c r="L6" s="465">
        <f>'Power Price Assumption'!L9</f>
        <v>8.6666666666666661</v>
      </c>
      <c r="M6" s="465">
        <f>'Power Price Assumption'!M9</f>
        <v>9.6666666666666661</v>
      </c>
      <c r="N6" s="465">
        <f>'Power Price Assumption'!N9</f>
        <v>10.666666666666666</v>
      </c>
      <c r="O6" s="465">
        <f>'Power Price Assumption'!O9</f>
        <v>11.666666666666666</v>
      </c>
      <c r="P6" s="465">
        <f>'Power Price Assumption'!P9</f>
        <v>12.666666666666666</v>
      </c>
      <c r="Q6" s="465">
        <f>'Power Price Assumption'!Q9</f>
        <v>13.666666666666666</v>
      </c>
      <c r="R6" s="465">
        <f>'Power Price Assumption'!R9</f>
        <v>14.666666666666666</v>
      </c>
      <c r="S6" s="465">
        <f>'Power Price Assumption'!S9</f>
        <v>15.666666666666666</v>
      </c>
      <c r="T6" s="465">
        <f>'Power Price Assumption'!T9</f>
        <v>16.666666666666664</v>
      </c>
      <c r="U6" s="465">
        <f>'Power Price Assumption'!U9</f>
        <v>17.666666666666664</v>
      </c>
      <c r="V6" s="465">
        <f>'Power Price Assumption'!V9</f>
        <v>18.666666666666664</v>
      </c>
      <c r="W6" s="465">
        <f>'Power Price Assumption'!W9</f>
        <v>19.666666666666664</v>
      </c>
      <c r="X6" s="465">
        <f>'Power Price Assumption'!X9</f>
        <v>20.666666666666664</v>
      </c>
      <c r="Y6" s="465">
        <f>'Power Price Assumption'!Y9</f>
        <v>21.666666666666664</v>
      </c>
      <c r="Z6" s="465">
        <f>'Power Price Assumption'!Z9</f>
        <v>22.666666666666664</v>
      </c>
      <c r="AA6" s="465">
        <f>'Power Price Assumption'!AA9</f>
        <v>23.666666666666664</v>
      </c>
      <c r="AB6" s="465">
        <f>'Power Price Assumption'!AB9</f>
        <v>24.666666666666664</v>
      </c>
      <c r="AC6" s="465">
        <f>'Power Price Assumption'!AC9</f>
        <v>25.666666666666664</v>
      </c>
      <c r="AD6" s="465">
        <f>'Power Price Assumption'!AD9</f>
        <v>26.666666666666664</v>
      </c>
      <c r="AE6" s="465">
        <f>'Power Price Assumption'!AE9</f>
        <v>27.666666666666664</v>
      </c>
      <c r="AF6" s="465">
        <f>'Power Price Assumption'!AF9</f>
        <v>28.666666666666664</v>
      </c>
      <c r="AG6" s="465">
        <f>'Power Price Assumption'!AG9</f>
        <v>29.666666666666664</v>
      </c>
      <c r="AH6" s="465">
        <f>'Power Price Assumption'!AH9</f>
        <v>30.666666666666664</v>
      </c>
    </row>
    <row r="7" spans="1:34" s="28" customFormat="1" ht="13.5" thickBot="1">
      <c r="A7" s="186" t="s">
        <v>73</v>
      </c>
      <c r="B7" s="236"/>
      <c r="C7" s="236"/>
      <c r="D7" s="7">
        <f>'Power Price Assumption'!D10</f>
        <v>2002</v>
      </c>
      <c r="E7" s="7">
        <f>'Power Price Assumption'!E10</f>
        <v>2003</v>
      </c>
      <c r="F7" s="7">
        <f>'Power Price Assumption'!F10</f>
        <v>2004</v>
      </c>
      <c r="G7" s="7">
        <f>'Power Price Assumption'!G10</f>
        <v>2005</v>
      </c>
      <c r="H7" s="7">
        <f>'Power Price Assumption'!H10</f>
        <v>2006</v>
      </c>
      <c r="I7" s="7">
        <f>'Power Price Assumption'!I10</f>
        <v>2007</v>
      </c>
      <c r="J7" s="7">
        <f>'Power Price Assumption'!J10</f>
        <v>2008</v>
      </c>
      <c r="K7" s="7">
        <f>'Power Price Assumption'!K10</f>
        <v>2009</v>
      </c>
      <c r="L7" s="7">
        <f>'Power Price Assumption'!L10</f>
        <v>2010</v>
      </c>
      <c r="M7" s="7">
        <f>'Power Price Assumption'!M10</f>
        <v>2011</v>
      </c>
      <c r="N7" s="7">
        <f>'Power Price Assumption'!N10</f>
        <v>2012</v>
      </c>
      <c r="O7" s="7">
        <f>'Power Price Assumption'!O10</f>
        <v>2013</v>
      </c>
      <c r="P7" s="7">
        <f>'Power Price Assumption'!P10</f>
        <v>2014</v>
      </c>
      <c r="Q7" s="7">
        <f>'Power Price Assumption'!Q10</f>
        <v>2015</v>
      </c>
      <c r="R7" s="7">
        <f>'Power Price Assumption'!R10</f>
        <v>2016</v>
      </c>
      <c r="S7" s="7">
        <f>'Power Price Assumption'!S10</f>
        <v>2017</v>
      </c>
      <c r="T7" s="7">
        <f>'Power Price Assumption'!T10</f>
        <v>2018</v>
      </c>
      <c r="U7" s="7">
        <f>'Power Price Assumption'!U10</f>
        <v>2019</v>
      </c>
      <c r="V7" s="7">
        <f>'Power Price Assumption'!V10</f>
        <v>2020</v>
      </c>
      <c r="W7" s="7">
        <f>'Power Price Assumption'!W10</f>
        <v>2021</v>
      </c>
      <c r="X7" s="7">
        <f>'Power Price Assumption'!X10</f>
        <v>2022</v>
      </c>
      <c r="Y7" s="7">
        <f>'Power Price Assumption'!Y10</f>
        <v>2023</v>
      </c>
      <c r="Z7" s="7">
        <f>'Power Price Assumption'!Z10</f>
        <v>2024</v>
      </c>
      <c r="AA7" s="7">
        <f>'Power Price Assumption'!AA10</f>
        <v>2025</v>
      </c>
      <c r="AB7" s="7">
        <f>'Power Price Assumption'!AB10</f>
        <v>2026</v>
      </c>
      <c r="AC7" s="7">
        <f>'Power Price Assumption'!AC10</f>
        <v>2027</v>
      </c>
      <c r="AD7" s="7">
        <f>'Power Price Assumption'!AD10</f>
        <v>2028</v>
      </c>
      <c r="AE7" s="7">
        <f>'Power Price Assumption'!AE10</f>
        <v>2029</v>
      </c>
      <c r="AF7" s="7">
        <f>'Power Price Assumption'!AF10</f>
        <v>2030</v>
      </c>
      <c r="AG7" s="7">
        <f>'Power Price Assumption'!AG10</f>
        <v>2031</v>
      </c>
      <c r="AH7" s="7">
        <f>'Power Price Assumption'!AH10</f>
        <v>2032</v>
      </c>
    </row>
    <row r="8" spans="1:34" s="28" customFormat="1">
      <c r="A8" s="208"/>
      <c r="B8" s="237"/>
      <c r="C8" s="237"/>
      <c r="D8" s="443">
        <f>IS!C8</f>
        <v>37620.5</v>
      </c>
      <c r="E8" s="443">
        <f>IS!D8</f>
        <v>37985.75</v>
      </c>
      <c r="F8" s="443">
        <f>IS!E8</f>
        <v>38351</v>
      </c>
      <c r="G8" s="443">
        <f>IS!F8</f>
        <v>38716.25</v>
      </c>
      <c r="H8" s="443">
        <f>IS!G8</f>
        <v>39081.5</v>
      </c>
      <c r="I8" s="443">
        <f>IS!H8</f>
        <v>39446.75</v>
      </c>
      <c r="J8" s="443">
        <f>IS!I8</f>
        <v>39812</v>
      </c>
      <c r="K8" s="443">
        <f>IS!J8</f>
        <v>40177.25</v>
      </c>
      <c r="L8" s="443">
        <f>IS!K8</f>
        <v>40542.5</v>
      </c>
      <c r="M8" s="443">
        <f>IS!L8</f>
        <v>40907.75</v>
      </c>
      <c r="N8" s="443">
        <f>IS!M8</f>
        <v>41273</v>
      </c>
      <c r="O8" s="443">
        <f>IS!N8</f>
        <v>41638.25</v>
      </c>
      <c r="P8" s="443">
        <f>IS!O8</f>
        <v>42003.5</v>
      </c>
      <c r="Q8" s="443">
        <f>IS!P8</f>
        <v>42368.75</v>
      </c>
      <c r="R8" s="443">
        <f>IS!Q8</f>
        <v>42734</v>
      </c>
      <c r="S8" s="443">
        <f>IS!R8</f>
        <v>43099.25</v>
      </c>
      <c r="T8" s="443">
        <f>IS!S8</f>
        <v>43464.5</v>
      </c>
      <c r="U8" s="443">
        <f>IS!T8</f>
        <v>43829.75</v>
      </c>
      <c r="V8" s="443">
        <f>IS!U8</f>
        <v>44195</v>
      </c>
      <c r="W8" s="443">
        <f>IS!V8</f>
        <v>44560.25</v>
      </c>
      <c r="X8" s="443">
        <f>IS!W8</f>
        <v>44925.5</v>
      </c>
      <c r="Y8" s="443">
        <f>IS!X8</f>
        <v>45290.75</v>
      </c>
      <c r="Z8" s="443">
        <f>IS!Y8</f>
        <v>45656</v>
      </c>
      <c r="AA8" s="443">
        <f>IS!Z8</f>
        <v>46021.25</v>
      </c>
      <c r="AB8" s="443">
        <f>IS!AA8</f>
        <v>46386.5</v>
      </c>
      <c r="AC8" s="443">
        <f>IS!AB8</f>
        <v>46751.75</v>
      </c>
      <c r="AD8" s="443">
        <f>IS!AC8</f>
        <v>47117</v>
      </c>
      <c r="AE8" s="443">
        <f>IS!AD8</f>
        <v>47482.25</v>
      </c>
      <c r="AF8" s="443">
        <f>IS!AE8</f>
        <v>47847.5</v>
      </c>
      <c r="AG8" s="443">
        <f>IS!AF8</f>
        <v>48212.75</v>
      </c>
      <c r="AH8" s="443">
        <f>IS!AG8</f>
        <v>48578</v>
      </c>
    </row>
    <row r="9" spans="1:34" s="28" customFormat="1">
      <c r="A9" s="29" t="s">
        <v>181</v>
      </c>
      <c r="B9" s="29"/>
      <c r="C9" s="27"/>
      <c r="D9" s="468">
        <f>Assumptions!I19</f>
        <v>8</v>
      </c>
      <c r="E9" s="442">
        <v>12</v>
      </c>
      <c r="F9" s="442">
        <v>12</v>
      </c>
      <c r="G9" s="442">
        <v>12</v>
      </c>
      <c r="H9" s="442">
        <v>12</v>
      </c>
      <c r="I9" s="442">
        <v>12</v>
      </c>
      <c r="J9" s="442">
        <v>12</v>
      </c>
      <c r="K9" s="442">
        <v>12</v>
      </c>
      <c r="L9" s="442">
        <v>12</v>
      </c>
      <c r="M9" s="442">
        <v>12</v>
      </c>
      <c r="N9" s="442">
        <v>12</v>
      </c>
      <c r="O9" s="442">
        <v>12</v>
      </c>
      <c r="P9" s="442">
        <v>12</v>
      </c>
      <c r="Q9" s="442">
        <v>12</v>
      </c>
      <c r="R9" s="442">
        <v>12</v>
      </c>
      <c r="S9" s="442">
        <v>12</v>
      </c>
      <c r="T9" s="442">
        <v>12</v>
      </c>
      <c r="U9" s="442">
        <v>12</v>
      </c>
      <c r="V9" s="442">
        <v>12</v>
      </c>
      <c r="W9" s="442">
        <v>12</v>
      </c>
      <c r="X9" s="442">
        <v>12</v>
      </c>
      <c r="Y9" s="469">
        <v>12</v>
      </c>
      <c r="Z9" s="442">
        <v>12</v>
      </c>
      <c r="AA9" s="469">
        <v>12</v>
      </c>
      <c r="AB9" s="442">
        <v>12</v>
      </c>
      <c r="AC9" s="469">
        <v>12</v>
      </c>
      <c r="AD9" s="442">
        <v>12</v>
      </c>
      <c r="AE9" s="469">
        <v>12</v>
      </c>
      <c r="AF9" s="442">
        <v>12</v>
      </c>
      <c r="AG9" s="469">
        <v>12</v>
      </c>
      <c r="AH9" s="442">
        <v>12</v>
      </c>
    </row>
    <row r="10" spans="1:34" s="28" customFormat="1">
      <c r="A10" s="29"/>
      <c r="B10" s="29"/>
      <c r="C10" s="27"/>
      <c r="D10" s="15"/>
      <c r="E10" s="15"/>
      <c r="F10" s="15"/>
      <c r="G10" s="15"/>
      <c r="H10" s="15"/>
    </row>
    <row r="11" spans="1:34" ht="15.75">
      <c r="A11" s="30"/>
    </row>
    <row r="12" spans="1:34" s="12" customFormat="1">
      <c r="A12" s="31" t="s">
        <v>113</v>
      </c>
      <c r="B12" s="14"/>
      <c r="C12" s="32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</row>
    <row r="13" spans="1:34" s="12" customFormat="1">
      <c r="A13" s="14"/>
      <c r="B13" s="33" t="s">
        <v>114</v>
      </c>
      <c r="C13" s="27"/>
      <c r="D13" s="37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</row>
    <row r="14" spans="1:34" s="12" customFormat="1">
      <c r="A14" s="23" t="s">
        <v>115</v>
      </c>
      <c r="B14" s="35">
        <f>Assumptions!$N$46</f>
        <v>15</v>
      </c>
      <c r="C14" s="36"/>
      <c r="D14" s="351">
        <v>0.05</v>
      </c>
      <c r="E14" s="351">
        <v>9.5000000000000001E-2</v>
      </c>
      <c r="F14" s="351">
        <v>8.5500000000000007E-2</v>
      </c>
      <c r="G14" s="351">
        <v>7.6999999999999999E-2</v>
      </c>
      <c r="H14" s="351">
        <v>6.93E-2</v>
      </c>
      <c r="I14" s="351">
        <v>6.2300000000000001E-2</v>
      </c>
      <c r="J14" s="351">
        <v>5.8999999999999997E-2</v>
      </c>
      <c r="K14" s="351">
        <v>5.91E-2</v>
      </c>
      <c r="L14" s="351">
        <v>5.8999999999999997E-2</v>
      </c>
      <c r="M14" s="351">
        <v>5.91E-2</v>
      </c>
      <c r="N14" s="351">
        <v>5.8999999999999997E-2</v>
      </c>
      <c r="O14" s="351">
        <v>5.91E-2</v>
      </c>
      <c r="P14" s="351">
        <v>5.8999999999999997E-2</v>
      </c>
      <c r="Q14" s="351">
        <v>5.91E-2</v>
      </c>
      <c r="R14" s="351">
        <v>5.8999999999999997E-2</v>
      </c>
      <c r="S14" s="351">
        <v>2.9499999999999998E-2</v>
      </c>
      <c r="T14" s="351">
        <v>0</v>
      </c>
      <c r="U14" s="351">
        <v>0</v>
      </c>
      <c r="V14" s="351">
        <v>0</v>
      </c>
      <c r="W14" s="351">
        <v>0</v>
      </c>
      <c r="X14" s="351">
        <v>0</v>
      </c>
      <c r="Y14" s="351">
        <v>0</v>
      </c>
      <c r="Z14" s="351">
        <v>0</v>
      </c>
      <c r="AA14" s="351">
        <v>0</v>
      </c>
      <c r="AB14" s="351">
        <v>0</v>
      </c>
      <c r="AC14" s="351">
        <v>0</v>
      </c>
      <c r="AD14" s="351">
        <v>0</v>
      </c>
      <c r="AE14" s="351">
        <v>0</v>
      </c>
      <c r="AF14" s="351">
        <v>0</v>
      </c>
      <c r="AG14" s="351">
        <v>0</v>
      </c>
      <c r="AH14" s="351">
        <v>0</v>
      </c>
    </row>
    <row r="15" spans="1:34" s="108" customFormat="1">
      <c r="A15" s="24" t="s">
        <v>116</v>
      </c>
      <c r="B15" s="106">
        <f>Assumptions!$N$47</f>
        <v>20</v>
      </c>
      <c r="C15" s="107"/>
      <c r="D15" s="351">
        <f>1/Assumptions!$N$47*D9/12</f>
        <v>3.3333333333333333E-2</v>
      </c>
      <c r="E15" s="351">
        <f>IF(AND(E6&gt;=Assumptions!$N$47,D6&lt;Assumptions!$N$47),1/Assumptions!$N$47-Depreciation!$D$15,IF(E6&lt;Assumptions!$N$47,1/Assumptions!$N$47,0))</f>
        <v>0.05</v>
      </c>
      <c r="F15" s="351">
        <f>IF(AND(F6&gt;=Assumptions!$N$47,E6&lt;Assumptions!$N$47),1/Assumptions!$N$47-Depreciation!$D$15,IF(F6&lt;Assumptions!$N$47,1/Assumptions!$N$47,0))</f>
        <v>0.05</v>
      </c>
      <c r="G15" s="351">
        <f>IF(AND(G6&gt;=Assumptions!$N$47,F6&lt;Assumptions!$N$47),1/Assumptions!$N$47-Depreciation!$D$15,IF(G6&lt;Assumptions!$N$47,1/Assumptions!$N$47,0))</f>
        <v>0.05</v>
      </c>
      <c r="H15" s="351">
        <f>IF(AND(H6&gt;=Assumptions!$N$47,G6&lt;Assumptions!$N$47),1/Assumptions!$N$47-Depreciation!$D$15,IF(H6&lt;Assumptions!$N$47,1/Assumptions!$N$47,0))</f>
        <v>0.05</v>
      </c>
      <c r="I15" s="351">
        <f>IF(AND(I6&gt;=Assumptions!$N$47,H6&lt;Assumptions!$N$47),1/Assumptions!$N$47-Depreciation!$D$15,IF(I6&lt;Assumptions!$N$47,1/Assumptions!$N$47,0))</f>
        <v>0.05</v>
      </c>
      <c r="J15" s="351">
        <f>IF(AND(J6&gt;=Assumptions!$N$47,I6&lt;Assumptions!$N$47),1/Assumptions!$N$47-Depreciation!$D$15,IF(J6&lt;Assumptions!$N$47,1/Assumptions!$N$47,0))</f>
        <v>0.05</v>
      </c>
      <c r="K15" s="351">
        <f>IF(AND(K6&gt;=Assumptions!$N$47,J6&lt;Assumptions!$N$47),1/Assumptions!$N$47-Depreciation!$D$15,IF(K6&lt;Assumptions!$N$47,1/Assumptions!$N$47,0))</f>
        <v>0.05</v>
      </c>
      <c r="L15" s="351">
        <f>IF(AND(L6&gt;=Assumptions!$N$47,K6&lt;Assumptions!$N$47),1/Assumptions!$N$47-Depreciation!$D$15,IF(L6&lt;Assumptions!$N$47,1/Assumptions!$N$47,0))</f>
        <v>0.05</v>
      </c>
      <c r="M15" s="351">
        <f>IF(AND(M6&gt;=Assumptions!$N$47,L6&lt;Assumptions!$N$47),1/Assumptions!$N$47-Depreciation!$D$15,IF(M6&lt;Assumptions!$N$47,1/Assumptions!$N$47,0))</f>
        <v>0.05</v>
      </c>
      <c r="N15" s="351">
        <f>IF(AND(N6&gt;=Assumptions!$N$47,M6&lt;Assumptions!$N$47),1/Assumptions!$N$47-Depreciation!$D$15,IF(N6&lt;Assumptions!$N$47,1/Assumptions!$N$47,0))</f>
        <v>0.05</v>
      </c>
      <c r="O15" s="351">
        <f>IF(AND(O6&gt;=Assumptions!$N$47,N6&lt;Assumptions!$N$47),1/Assumptions!$N$47-Depreciation!$D$15,IF(O6&lt;Assumptions!$N$47,1/Assumptions!$N$47,0))</f>
        <v>0.05</v>
      </c>
      <c r="P15" s="351">
        <f>IF(AND(P6&gt;=Assumptions!$N$47,O6&lt;Assumptions!$N$47),1/Assumptions!$N$47-Depreciation!$D$15,IF(P6&lt;Assumptions!$N$47,1/Assumptions!$N$47,0))</f>
        <v>0.05</v>
      </c>
      <c r="Q15" s="351">
        <f>IF(AND(Q6&gt;=Assumptions!$N$47,P6&lt;Assumptions!$N$47),1/Assumptions!$N$47-Depreciation!$D$15,IF(Q6&lt;Assumptions!$N$47,1/Assumptions!$N$47,0))</f>
        <v>0.05</v>
      </c>
      <c r="R15" s="351">
        <f>IF(AND(R6&gt;=Assumptions!$N$47,Q6&lt;Assumptions!$N$47),1/Assumptions!$N$47-Depreciation!$D$15,IF(R6&lt;Assumptions!$N$47,1/Assumptions!$N$47,0))</f>
        <v>0.05</v>
      </c>
      <c r="S15" s="351">
        <f>IF(AND(S6&gt;=Assumptions!$N$47,R6&lt;Assumptions!$N$47),1/Assumptions!$N$47-Depreciation!$D$15,IF(S6&lt;Assumptions!$N$47,1/Assumptions!$N$47,0))</f>
        <v>0.05</v>
      </c>
      <c r="T15" s="351">
        <f>IF(AND(T6&gt;=Assumptions!$N$47,S6&lt;Assumptions!$N$47),1/Assumptions!$N$47-Depreciation!$D$15,IF(T6&lt;Assumptions!$N$47,1/Assumptions!$N$47,0))</f>
        <v>0.05</v>
      </c>
      <c r="U15" s="351">
        <f>IF(AND(U6&gt;=Assumptions!$N$47,T6&lt;Assumptions!$N$47),1/Assumptions!$N$47-Depreciation!$D$15,IF(U6&lt;Assumptions!$N$47,1/Assumptions!$N$47,0))</f>
        <v>0.05</v>
      </c>
      <c r="V15" s="351">
        <f>IF(AND(V6&gt;=Assumptions!$N$47,U6&lt;Assumptions!$N$47),1/Assumptions!$N$47-Depreciation!$D$15,IF(V6&lt;Assumptions!$N$47,1/Assumptions!$N$47,0))</f>
        <v>0.05</v>
      </c>
      <c r="W15" s="351">
        <f>IF(AND(W6&gt;=Assumptions!$N$47,V6&lt;Assumptions!$N$47),1/Assumptions!$N$47-Depreciation!$D$15,IF(W6&lt;Assumptions!$N$47,1/Assumptions!$N$47,0))</f>
        <v>0.05</v>
      </c>
      <c r="X15" s="351">
        <f>IF(AND(X6&gt;=Assumptions!$N$47,W6&lt;Assumptions!$N$47),1/Assumptions!$N$47-Depreciation!$D$15,IF(X6&lt;Assumptions!$N$47,1/Assumptions!$N$47,0))</f>
        <v>1.666666666666667E-2</v>
      </c>
      <c r="Y15" s="351">
        <f>IF(AND(Y6&gt;=Assumptions!$N$47,X6&lt;Assumptions!$N$47),1/Assumptions!$N$47-Depreciation!$D$15,IF(Y6&lt;Assumptions!$N$47,1/Assumptions!$N$47,0))</f>
        <v>0</v>
      </c>
      <c r="Z15" s="351">
        <f>IF(AND(Z6&gt;=Assumptions!$N$47,Y6&lt;Assumptions!$N$47),1/Assumptions!$N$47-Depreciation!$D$15,IF(Z6&lt;Assumptions!$N$47,1/Assumptions!$N$47,0))</f>
        <v>0</v>
      </c>
      <c r="AA15" s="351">
        <f>IF(AND(AA6&gt;=Assumptions!$N$47,Z6&lt;Assumptions!$N$47),1/Assumptions!$N$47-Depreciation!$D$15,IF(AA6&lt;Assumptions!$N$47,1/Assumptions!$N$47,0))</f>
        <v>0</v>
      </c>
      <c r="AB15" s="351">
        <f>IF(AND(AB6&gt;=Assumptions!$N$47,AA6&lt;Assumptions!$N$47),1/Assumptions!$N$47-Depreciation!$D$15,IF(AB6&lt;Assumptions!$N$47,1/Assumptions!$N$47,0))</f>
        <v>0</v>
      </c>
      <c r="AC15" s="351">
        <f>IF(AND(AC6&gt;=Assumptions!$N$47,AB6&lt;Assumptions!$N$47),1/Assumptions!$N$47-Depreciation!$D$15,IF(AC6&lt;Assumptions!$N$47,1/Assumptions!$N$47,0))</f>
        <v>0</v>
      </c>
      <c r="AD15" s="351">
        <f>IF(AND(AD6&gt;=Assumptions!$N$47,AC6&lt;Assumptions!$N$47),1/Assumptions!$N$47-Depreciation!$D$15,IF(AD6&lt;Assumptions!$N$47,1/Assumptions!$N$47,0))</f>
        <v>0</v>
      </c>
      <c r="AE15" s="351">
        <f>IF(AND(AE6&gt;=Assumptions!$N$47,AD6&lt;Assumptions!$N$47),1/Assumptions!$N$47-Depreciation!$D$15,IF(AE6&lt;Assumptions!$N$47,1/Assumptions!$N$47,0))</f>
        <v>0</v>
      </c>
      <c r="AF15" s="351">
        <f>IF(AND(AF6&gt;=Assumptions!$N$47,AE6&lt;Assumptions!$N$47),1/Assumptions!$N$47-Depreciation!$D$15,IF(AF6&lt;Assumptions!$N$47,1/Assumptions!$N$47,0))</f>
        <v>0</v>
      </c>
      <c r="AG15" s="351">
        <f>IF(AND(AG6&gt;=Assumptions!$N$47,AF6&lt;Assumptions!$N$47),1/Assumptions!$N$47-Depreciation!$D$15,IF(AG6&lt;Assumptions!$N$47,1/Assumptions!$N$47,0))</f>
        <v>0</v>
      </c>
      <c r="AH15" s="351">
        <f>IF(AND(AH6&gt;=Assumptions!$N$47,AG6&lt;Assumptions!$N$47),1/Assumptions!$N$47-Depreciation!$D$15,IF(AH6&lt;Assumptions!$N$47,1/Assumptions!$N$47,0))</f>
        <v>0</v>
      </c>
    </row>
    <row r="16" spans="1:34" s="12" customFormat="1">
      <c r="A16" s="14"/>
      <c r="B16" s="38"/>
      <c r="C16" s="27"/>
      <c r="D16" s="3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</row>
    <row r="17" spans="1:34" s="12" customFormat="1">
      <c r="A17" s="23" t="s">
        <v>117</v>
      </c>
      <c r="B17" s="113">
        <f>Assumptions!C44-Assumptions!C39-Assumptions!C40</f>
        <v>109577</v>
      </c>
      <c r="C17" s="114"/>
      <c r="D17" s="115">
        <f>$B$17*D14</f>
        <v>5478.85</v>
      </c>
      <c r="E17" s="115">
        <f t="shared" ref="E17:Y17" si="0">$B$17*E14</f>
        <v>10409.815000000001</v>
      </c>
      <c r="F17" s="115">
        <f t="shared" si="0"/>
        <v>9368.8335000000006</v>
      </c>
      <c r="G17" s="115">
        <f t="shared" si="0"/>
        <v>8437.4290000000001</v>
      </c>
      <c r="H17" s="115">
        <f t="shared" si="0"/>
        <v>7593.6860999999999</v>
      </c>
      <c r="I17" s="115">
        <f t="shared" si="0"/>
        <v>6826.6471000000001</v>
      </c>
      <c r="J17" s="115">
        <f t="shared" si="0"/>
        <v>6465.0429999999997</v>
      </c>
      <c r="K17" s="115">
        <f t="shared" si="0"/>
        <v>6476.0006999999996</v>
      </c>
      <c r="L17" s="115">
        <f t="shared" si="0"/>
        <v>6465.0429999999997</v>
      </c>
      <c r="M17" s="115">
        <f t="shared" si="0"/>
        <v>6476.0006999999996</v>
      </c>
      <c r="N17" s="115">
        <f t="shared" si="0"/>
        <v>6465.0429999999997</v>
      </c>
      <c r="O17" s="115">
        <f t="shared" si="0"/>
        <v>6476.0006999999996</v>
      </c>
      <c r="P17" s="115">
        <f t="shared" si="0"/>
        <v>6465.0429999999997</v>
      </c>
      <c r="Q17" s="115">
        <f t="shared" si="0"/>
        <v>6476.0006999999996</v>
      </c>
      <c r="R17" s="115">
        <f t="shared" si="0"/>
        <v>6465.0429999999997</v>
      </c>
      <c r="S17" s="115">
        <f t="shared" si="0"/>
        <v>3232.5214999999998</v>
      </c>
      <c r="T17" s="115">
        <f t="shared" si="0"/>
        <v>0</v>
      </c>
      <c r="U17" s="115">
        <f t="shared" si="0"/>
        <v>0</v>
      </c>
      <c r="V17" s="115">
        <f t="shared" si="0"/>
        <v>0</v>
      </c>
      <c r="W17" s="115">
        <f t="shared" si="0"/>
        <v>0</v>
      </c>
      <c r="X17" s="115">
        <f t="shared" si="0"/>
        <v>0</v>
      </c>
      <c r="Y17" s="115">
        <f t="shared" si="0"/>
        <v>0</v>
      </c>
      <c r="Z17" s="115">
        <f t="shared" ref="Z17:AH17" si="1">$B$17*Z14</f>
        <v>0</v>
      </c>
      <c r="AA17" s="115">
        <f t="shared" si="1"/>
        <v>0</v>
      </c>
      <c r="AB17" s="115">
        <f t="shared" si="1"/>
        <v>0</v>
      </c>
      <c r="AC17" s="115">
        <f t="shared" si="1"/>
        <v>0</v>
      </c>
      <c r="AD17" s="115">
        <f t="shared" si="1"/>
        <v>0</v>
      </c>
      <c r="AE17" s="115">
        <f t="shared" si="1"/>
        <v>0</v>
      </c>
      <c r="AF17" s="115">
        <f t="shared" si="1"/>
        <v>0</v>
      </c>
      <c r="AG17" s="115">
        <f t="shared" si="1"/>
        <v>0</v>
      </c>
      <c r="AH17" s="115">
        <f t="shared" si="1"/>
        <v>0</v>
      </c>
    </row>
    <row r="18" spans="1:34" s="12" customFormat="1" ht="15">
      <c r="A18" s="24" t="s">
        <v>116</v>
      </c>
      <c r="B18" s="116">
        <f>SUM(Assumptions!C34:C36)</f>
        <v>11044</v>
      </c>
      <c r="C18" s="114"/>
      <c r="D18" s="117">
        <f>$B$18*D15</f>
        <v>368.13333333333333</v>
      </c>
      <c r="E18" s="117">
        <f t="shared" ref="E18:Y18" si="2">$B$18*E15</f>
        <v>552.20000000000005</v>
      </c>
      <c r="F18" s="117">
        <f t="shared" si="2"/>
        <v>552.20000000000005</v>
      </c>
      <c r="G18" s="117">
        <f t="shared" si="2"/>
        <v>552.20000000000005</v>
      </c>
      <c r="H18" s="117">
        <f t="shared" si="2"/>
        <v>552.20000000000005</v>
      </c>
      <c r="I18" s="117">
        <f t="shared" si="2"/>
        <v>552.20000000000005</v>
      </c>
      <c r="J18" s="117">
        <f t="shared" si="2"/>
        <v>552.20000000000005</v>
      </c>
      <c r="K18" s="117">
        <f t="shared" si="2"/>
        <v>552.20000000000005</v>
      </c>
      <c r="L18" s="117">
        <f t="shared" si="2"/>
        <v>552.20000000000005</v>
      </c>
      <c r="M18" s="117">
        <f t="shared" si="2"/>
        <v>552.20000000000005</v>
      </c>
      <c r="N18" s="117">
        <f t="shared" si="2"/>
        <v>552.20000000000005</v>
      </c>
      <c r="O18" s="117">
        <f t="shared" si="2"/>
        <v>552.20000000000005</v>
      </c>
      <c r="P18" s="117">
        <f t="shared" si="2"/>
        <v>552.20000000000005</v>
      </c>
      <c r="Q18" s="117">
        <f t="shared" si="2"/>
        <v>552.20000000000005</v>
      </c>
      <c r="R18" s="117">
        <f t="shared" si="2"/>
        <v>552.20000000000005</v>
      </c>
      <c r="S18" s="117">
        <f t="shared" si="2"/>
        <v>552.20000000000005</v>
      </c>
      <c r="T18" s="117">
        <f t="shared" si="2"/>
        <v>552.20000000000005</v>
      </c>
      <c r="U18" s="117">
        <f t="shared" si="2"/>
        <v>552.20000000000005</v>
      </c>
      <c r="V18" s="117">
        <f t="shared" si="2"/>
        <v>552.20000000000005</v>
      </c>
      <c r="W18" s="117">
        <f t="shared" si="2"/>
        <v>552.20000000000005</v>
      </c>
      <c r="X18" s="117">
        <f t="shared" si="2"/>
        <v>184.06666666666669</v>
      </c>
      <c r="Y18" s="117">
        <f t="shared" si="2"/>
        <v>0</v>
      </c>
      <c r="Z18" s="117">
        <f t="shared" ref="Z18:AH18" si="3">$B$18*Z15</f>
        <v>0</v>
      </c>
      <c r="AA18" s="117">
        <f t="shared" si="3"/>
        <v>0</v>
      </c>
      <c r="AB18" s="117">
        <f t="shared" si="3"/>
        <v>0</v>
      </c>
      <c r="AC18" s="117">
        <f t="shared" si="3"/>
        <v>0</v>
      </c>
      <c r="AD18" s="117">
        <f t="shared" si="3"/>
        <v>0</v>
      </c>
      <c r="AE18" s="117">
        <f t="shared" si="3"/>
        <v>0</v>
      </c>
      <c r="AF18" s="117">
        <f t="shared" si="3"/>
        <v>0</v>
      </c>
      <c r="AG18" s="117">
        <f t="shared" si="3"/>
        <v>0</v>
      </c>
      <c r="AH18" s="117">
        <f t="shared" si="3"/>
        <v>0</v>
      </c>
    </row>
    <row r="19" spans="1:34" s="12" customFormat="1">
      <c r="A19" s="24" t="s">
        <v>118</v>
      </c>
      <c r="B19" s="115">
        <f>SUM(B17:B18)</f>
        <v>120621</v>
      </c>
      <c r="C19" s="248"/>
      <c r="D19" s="115">
        <f t="shared" ref="D19:Y19" si="4">SUM(D17:D18)</f>
        <v>5846.9833333333336</v>
      </c>
      <c r="E19" s="115">
        <f t="shared" si="4"/>
        <v>10962.015000000001</v>
      </c>
      <c r="F19" s="115">
        <f t="shared" si="4"/>
        <v>9921.0335000000014</v>
      </c>
      <c r="G19" s="115">
        <f t="shared" si="4"/>
        <v>8989.6290000000008</v>
      </c>
      <c r="H19" s="115">
        <f t="shared" si="4"/>
        <v>8145.8860999999997</v>
      </c>
      <c r="I19" s="115">
        <f t="shared" si="4"/>
        <v>7378.8471</v>
      </c>
      <c r="J19" s="115">
        <f t="shared" si="4"/>
        <v>7017.2429999999995</v>
      </c>
      <c r="K19" s="115">
        <f t="shared" si="4"/>
        <v>7028.2006999999994</v>
      </c>
      <c r="L19" s="115">
        <f t="shared" si="4"/>
        <v>7017.2429999999995</v>
      </c>
      <c r="M19" s="115">
        <f t="shared" si="4"/>
        <v>7028.2006999999994</v>
      </c>
      <c r="N19" s="115">
        <f t="shared" si="4"/>
        <v>7017.2429999999995</v>
      </c>
      <c r="O19" s="115">
        <f t="shared" si="4"/>
        <v>7028.2006999999994</v>
      </c>
      <c r="P19" s="115">
        <f t="shared" si="4"/>
        <v>7017.2429999999995</v>
      </c>
      <c r="Q19" s="115">
        <f t="shared" si="4"/>
        <v>7028.2006999999994</v>
      </c>
      <c r="R19" s="115">
        <f t="shared" si="4"/>
        <v>7017.2429999999995</v>
      </c>
      <c r="S19" s="115">
        <f t="shared" si="4"/>
        <v>3784.7214999999997</v>
      </c>
      <c r="T19" s="115">
        <f t="shared" si="4"/>
        <v>552.20000000000005</v>
      </c>
      <c r="U19" s="115">
        <f t="shared" si="4"/>
        <v>552.20000000000005</v>
      </c>
      <c r="V19" s="115">
        <f t="shared" si="4"/>
        <v>552.20000000000005</v>
      </c>
      <c r="W19" s="115">
        <f t="shared" si="4"/>
        <v>552.20000000000005</v>
      </c>
      <c r="X19" s="115">
        <f t="shared" si="4"/>
        <v>184.06666666666669</v>
      </c>
      <c r="Y19" s="115">
        <f t="shared" si="4"/>
        <v>0</v>
      </c>
      <c r="Z19" s="115">
        <f t="shared" ref="Z19:AH19" si="5">SUM(Z17:Z18)</f>
        <v>0</v>
      </c>
      <c r="AA19" s="115">
        <f t="shared" si="5"/>
        <v>0</v>
      </c>
      <c r="AB19" s="115">
        <f t="shared" si="5"/>
        <v>0</v>
      </c>
      <c r="AC19" s="115">
        <f t="shared" si="5"/>
        <v>0</v>
      </c>
      <c r="AD19" s="115">
        <f t="shared" si="5"/>
        <v>0</v>
      </c>
      <c r="AE19" s="115">
        <f t="shared" si="5"/>
        <v>0</v>
      </c>
      <c r="AF19" s="115">
        <f t="shared" si="5"/>
        <v>0</v>
      </c>
      <c r="AG19" s="115">
        <f t="shared" si="5"/>
        <v>0</v>
      </c>
      <c r="AH19" s="115">
        <f t="shared" si="5"/>
        <v>0</v>
      </c>
    </row>
    <row r="20" spans="1:34" s="12" customFormat="1">
      <c r="B20" s="115"/>
      <c r="C20" s="114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</row>
    <row r="21" spans="1:34" s="12" customFormat="1">
      <c r="A21" s="14" t="s">
        <v>119</v>
      </c>
      <c r="B21" s="115">
        <f>B19</f>
        <v>120621</v>
      </c>
      <c r="C21" s="114"/>
      <c r="D21" s="115">
        <f>B19-D19</f>
        <v>114774.01666666666</v>
      </c>
      <c r="E21" s="115">
        <f>D21-E19</f>
        <v>103812.00166666666</v>
      </c>
      <c r="F21" s="115">
        <f t="shared" ref="F21:X21" si="6">E21-F19</f>
        <v>93890.968166666658</v>
      </c>
      <c r="G21" s="115">
        <f t="shared" si="6"/>
        <v>84901.339166666658</v>
      </c>
      <c r="H21" s="115">
        <f t="shared" si="6"/>
        <v>76755.453066666654</v>
      </c>
      <c r="I21" s="115">
        <f t="shared" si="6"/>
        <v>69376.605966666655</v>
      </c>
      <c r="J21" s="115">
        <f t="shared" si="6"/>
        <v>62359.362966666653</v>
      </c>
      <c r="K21" s="115">
        <f t="shared" si="6"/>
        <v>55331.162266666652</v>
      </c>
      <c r="L21" s="115">
        <f t="shared" si="6"/>
        <v>48313.919266666649</v>
      </c>
      <c r="M21" s="115">
        <f t="shared" si="6"/>
        <v>41285.718566666648</v>
      </c>
      <c r="N21" s="115">
        <f t="shared" si="6"/>
        <v>34268.475566666646</v>
      </c>
      <c r="O21" s="115">
        <f t="shared" si="6"/>
        <v>27240.274866666645</v>
      </c>
      <c r="P21" s="115">
        <f t="shared" si="6"/>
        <v>20223.031866666646</v>
      </c>
      <c r="Q21" s="115">
        <f t="shared" si="6"/>
        <v>13194.831166666647</v>
      </c>
      <c r="R21" s="115">
        <f t="shared" si="6"/>
        <v>6177.5881666666473</v>
      </c>
      <c r="S21" s="115">
        <f t="shared" si="6"/>
        <v>2392.8666666666477</v>
      </c>
      <c r="T21" s="115">
        <f t="shared" si="6"/>
        <v>1840.6666666666476</v>
      </c>
      <c r="U21" s="115">
        <f t="shared" si="6"/>
        <v>1288.4666666666476</v>
      </c>
      <c r="V21" s="115">
        <f t="shared" si="6"/>
        <v>736.26666666664755</v>
      </c>
      <c r="W21" s="115">
        <f t="shared" si="6"/>
        <v>184.06666666664751</v>
      </c>
      <c r="X21" s="115">
        <f t="shared" si="6"/>
        <v>-1.9184653865522705E-11</v>
      </c>
      <c r="Y21" s="115">
        <f>X21-Y19</f>
        <v>-1.9184653865522705E-11</v>
      </c>
      <c r="Z21" s="115">
        <f t="shared" ref="Z21:AH21" si="7">Y21-Z19</f>
        <v>-1.9184653865522705E-11</v>
      </c>
      <c r="AA21" s="115">
        <f t="shared" si="7"/>
        <v>-1.9184653865522705E-11</v>
      </c>
      <c r="AB21" s="115">
        <f t="shared" si="7"/>
        <v>-1.9184653865522705E-11</v>
      </c>
      <c r="AC21" s="115">
        <f t="shared" si="7"/>
        <v>-1.9184653865522705E-11</v>
      </c>
      <c r="AD21" s="115">
        <f t="shared" si="7"/>
        <v>-1.9184653865522705E-11</v>
      </c>
      <c r="AE21" s="115">
        <f t="shared" si="7"/>
        <v>-1.9184653865522705E-11</v>
      </c>
      <c r="AF21" s="115">
        <f t="shared" si="7"/>
        <v>-1.9184653865522705E-11</v>
      </c>
      <c r="AG21" s="115">
        <f t="shared" si="7"/>
        <v>-1.9184653865522705E-11</v>
      </c>
      <c r="AH21" s="115">
        <f t="shared" si="7"/>
        <v>-1.9184653865522705E-11</v>
      </c>
    </row>
    <row r="22" spans="1:34" s="12" customFormat="1">
      <c r="A22" s="18"/>
      <c r="B22" s="19"/>
      <c r="C22" s="39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</row>
    <row r="23" spans="1:34" s="12" customFormat="1">
      <c r="A23" s="31" t="s">
        <v>120</v>
      </c>
      <c r="B23" s="40"/>
      <c r="C23" s="27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</row>
    <row r="24" spans="1:34" s="12" customFormat="1">
      <c r="A24" s="31"/>
      <c r="B24" s="33" t="s">
        <v>114</v>
      </c>
      <c r="C24" s="27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</row>
    <row r="25" spans="1:34" s="12" customFormat="1">
      <c r="A25" s="23" t="s">
        <v>115</v>
      </c>
      <c r="B25" s="35">
        <f>Assumptions!$N$46</f>
        <v>15</v>
      </c>
      <c r="C25" s="36"/>
      <c r="D25" s="37">
        <f>D14</f>
        <v>0.05</v>
      </c>
      <c r="E25" s="37">
        <f t="shared" ref="E25:Y25" si="8">E14</f>
        <v>9.5000000000000001E-2</v>
      </c>
      <c r="F25" s="37">
        <f t="shared" si="8"/>
        <v>8.5500000000000007E-2</v>
      </c>
      <c r="G25" s="37">
        <f t="shared" si="8"/>
        <v>7.6999999999999999E-2</v>
      </c>
      <c r="H25" s="37">
        <f t="shared" si="8"/>
        <v>6.93E-2</v>
      </c>
      <c r="I25" s="37">
        <f t="shared" si="8"/>
        <v>6.2300000000000001E-2</v>
      </c>
      <c r="J25" s="37">
        <f t="shared" si="8"/>
        <v>5.8999999999999997E-2</v>
      </c>
      <c r="K25" s="37">
        <f t="shared" si="8"/>
        <v>5.91E-2</v>
      </c>
      <c r="L25" s="37">
        <f t="shared" si="8"/>
        <v>5.8999999999999997E-2</v>
      </c>
      <c r="M25" s="37">
        <f t="shared" si="8"/>
        <v>5.91E-2</v>
      </c>
      <c r="N25" s="37">
        <f t="shared" si="8"/>
        <v>5.8999999999999997E-2</v>
      </c>
      <c r="O25" s="37">
        <f t="shared" si="8"/>
        <v>5.91E-2</v>
      </c>
      <c r="P25" s="37">
        <f t="shared" si="8"/>
        <v>5.8999999999999997E-2</v>
      </c>
      <c r="Q25" s="37">
        <f t="shared" si="8"/>
        <v>5.91E-2</v>
      </c>
      <c r="R25" s="37">
        <f t="shared" si="8"/>
        <v>5.8999999999999997E-2</v>
      </c>
      <c r="S25" s="37">
        <f t="shared" si="8"/>
        <v>2.9499999999999998E-2</v>
      </c>
      <c r="T25" s="37">
        <f t="shared" si="8"/>
        <v>0</v>
      </c>
      <c r="U25" s="37">
        <f t="shared" si="8"/>
        <v>0</v>
      </c>
      <c r="V25" s="37">
        <f t="shared" si="8"/>
        <v>0</v>
      </c>
      <c r="W25" s="37">
        <f t="shared" si="8"/>
        <v>0</v>
      </c>
      <c r="X25" s="37">
        <f t="shared" si="8"/>
        <v>0</v>
      </c>
      <c r="Y25" s="37">
        <f t="shared" si="8"/>
        <v>0</v>
      </c>
      <c r="Z25" s="37">
        <f t="shared" ref="Z25:AH25" si="9">Z14</f>
        <v>0</v>
      </c>
      <c r="AA25" s="37">
        <f t="shared" si="9"/>
        <v>0</v>
      </c>
      <c r="AB25" s="37">
        <f t="shared" si="9"/>
        <v>0</v>
      </c>
      <c r="AC25" s="37">
        <f t="shared" si="9"/>
        <v>0</v>
      </c>
      <c r="AD25" s="37">
        <f t="shared" si="9"/>
        <v>0</v>
      </c>
      <c r="AE25" s="37">
        <f t="shared" si="9"/>
        <v>0</v>
      </c>
      <c r="AF25" s="37">
        <f t="shared" si="9"/>
        <v>0</v>
      </c>
      <c r="AG25" s="37">
        <f t="shared" si="9"/>
        <v>0</v>
      </c>
      <c r="AH25" s="37">
        <f t="shared" si="9"/>
        <v>0</v>
      </c>
    </row>
    <row r="26" spans="1:34" s="12" customFormat="1">
      <c r="A26" s="24" t="s">
        <v>116</v>
      </c>
      <c r="B26" s="106">
        <f>Assumptions!$N$47</f>
        <v>20</v>
      </c>
      <c r="C26" s="36"/>
      <c r="D26" s="37">
        <f>D15</f>
        <v>3.3333333333333333E-2</v>
      </c>
      <c r="E26" s="37">
        <f t="shared" ref="E26:Y26" si="10">E15</f>
        <v>0.05</v>
      </c>
      <c r="F26" s="37">
        <f t="shared" si="10"/>
        <v>0.05</v>
      </c>
      <c r="G26" s="37">
        <f t="shared" si="10"/>
        <v>0.05</v>
      </c>
      <c r="H26" s="37">
        <f t="shared" si="10"/>
        <v>0.05</v>
      </c>
      <c r="I26" s="37">
        <f t="shared" si="10"/>
        <v>0.05</v>
      </c>
      <c r="J26" s="37">
        <f t="shared" si="10"/>
        <v>0.05</v>
      </c>
      <c r="K26" s="37">
        <f t="shared" si="10"/>
        <v>0.05</v>
      </c>
      <c r="L26" s="37">
        <f t="shared" si="10"/>
        <v>0.05</v>
      </c>
      <c r="M26" s="37">
        <f t="shared" si="10"/>
        <v>0.05</v>
      </c>
      <c r="N26" s="37">
        <f t="shared" si="10"/>
        <v>0.05</v>
      </c>
      <c r="O26" s="37">
        <f t="shared" si="10"/>
        <v>0.05</v>
      </c>
      <c r="P26" s="37">
        <f t="shared" si="10"/>
        <v>0.05</v>
      </c>
      <c r="Q26" s="37">
        <f t="shared" si="10"/>
        <v>0.05</v>
      </c>
      <c r="R26" s="37">
        <f t="shared" si="10"/>
        <v>0.05</v>
      </c>
      <c r="S26" s="37">
        <f t="shared" si="10"/>
        <v>0.05</v>
      </c>
      <c r="T26" s="37">
        <f t="shared" si="10"/>
        <v>0.05</v>
      </c>
      <c r="U26" s="37">
        <f t="shared" si="10"/>
        <v>0.05</v>
      </c>
      <c r="V26" s="37">
        <f t="shared" si="10"/>
        <v>0.05</v>
      </c>
      <c r="W26" s="37">
        <f t="shared" si="10"/>
        <v>0.05</v>
      </c>
      <c r="X26" s="37">
        <f t="shared" si="10"/>
        <v>1.666666666666667E-2</v>
      </c>
      <c r="Y26" s="37">
        <f t="shared" si="10"/>
        <v>0</v>
      </c>
      <c r="Z26" s="37">
        <f t="shared" ref="Z26:AH26" si="11">Z15</f>
        <v>0</v>
      </c>
      <c r="AA26" s="37">
        <f t="shared" si="11"/>
        <v>0</v>
      </c>
      <c r="AB26" s="37">
        <f t="shared" si="11"/>
        <v>0</v>
      </c>
      <c r="AC26" s="37">
        <f t="shared" si="11"/>
        <v>0</v>
      </c>
      <c r="AD26" s="37">
        <f t="shared" si="11"/>
        <v>0</v>
      </c>
      <c r="AE26" s="37">
        <f t="shared" si="11"/>
        <v>0</v>
      </c>
      <c r="AF26" s="37">
        <f t="shared" si="11"/>
        <v>0</v>
      </c>
      <c r="AG26" s="37">
        <f t="shared" si="11"/>
        <v>0</v>
      </c>
      <c r="AH26" s="37">
        <f t="shared" si="11"/>
        <v>0</v>
      </c>
    </row>
    <row r="27" spans="1:34" s="12" customFormat="1">
      <c r="A27" s="18"/>
      <c r="B27" s="35"/>
      <c r="C27" s="2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</row>
    <row r="28" spans="1:34" s="12" customFormat="1">
      <c r="A28" s="14"/>
      <c r="B28" s="33"/>
      <c r="C28" s="27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</row>
    <row r="29" spans="1:34" s="22" customFormat="1">
      <c r="A29" s="23" t="s">
        <v>117</v>
      </c>
      <c r="B29" s="113">
        <f>B17</f>
        <v>109577</v>
      </c>
      <c r="C29" s="114"/>
      <c r="D29" s="115">
        <f>$B$29*D25</f>
        <v>5478.85</v>
      </c>
      <c r="E29" s="115">
        <f t="shared" ref="E29:Y29" si="12">$B$29*E25</f>
        <v>10409.815000000001</v>
      </c>
      <c r="F29" s="115">
        <f t="shared" si="12"/>
        <v>9368.8335000000006</v>
      </c>
      <c r="G29" s="115">
        <f t="shared" si="12"/>
        <v>8437.4290000000001</v>
      </c>
      <c r="H29" s="115">
        <f t="shared" si="12"/>
        <v>7593.6860999999999</v>
      </c>
      <c r="I29" s="115">
        <f t="shared" si="12"/>
        <v>6826.6471000000001</v>
      </c>
      <c r="J29" s="115">
        <f t="shared" si="12"/>
        <v>6465.0429999999997</v>
      </c>
      <c r="K29" s="115">
        <f t="shared" si="12"/>
        <v>6476.0006999999996</v>
      </c>
      <c r="L29" s="115">
        <f t="shared" si="12"/>
        <v>6465.0429999999997</v>
      </c>
      <c r="M29" s="115">
        <f t="shared" si="12"/>
        <v>6476.0006999999996</v>
      </c>
      <c r="N29" s="115">
        <f t="shared" si="12"/>
        <v>6465.0429999999997</v>
      </c>
      <c r="O29" s="115">
        <f t="shared" si="12"/>
        <v>6476.0006999999996</v>
      </c>
      <c r="P29" s="115">
        <f t="shared" si="12"/>
        <v>6465.0429999999997</v>
      </c>
      <c r="Q29" s="115">
        <f t="shared" si="12"/>
        <v>6476.0006999999996</v>
      </c>
      <c r="R29" s="115">
        <f t="shared" si="12"/>
        <v>6465.0429999999997</v>
      </c>
      <c r="S29" s="115">
        <f t="shared" si="12"/>
        <v>3232.5214999999998</v>
      </c>
      <c r="T29" s="115">
        <f t="shared" si="12"/>
        <v>0</v>
      </c>
      <c r="U29" s="115">
        <f t="shared" si="12"/>
        <v>0</v>
      </c>
      <c r="V29" s="115">
        <f t="shared" si="12"/>
        <v>0</v>
      </c>
      <c r="W29" s="115">
        <f t="shared" si="12"/>
        <v>0</v>
      </c>
      <c r="X29" s="115">
        <f t="shared" si="12"/>
        <v>0</v>
      </c>
      <c r="Y29" s="115">
        <f t="shared" si="12"/>
        <v>0</v>
      </c>
      <c r="Z29" s="115">
        <f t="shared" ref="Z29:AH29" si="13">$B$29*Z25</f>
        <v>0</v>
      </c>
      <c r="AA29" s="115">
        <f t="shared" si="13"/>
        <v>0</v>
      </c>
      <c r="AB29" s="115">
        <f t="shared" si="13"/>
        <v>0</v>
      </c>
      <c r="AC29" s="115">
        <f t="shared" si="13"/>
        <v>0</v>
      </c>
      <c r="AD29" s="115">
        <f t="shared" si="13"/>
        <v>0</v>
      </c>
      <c r="AE29" s="115">
        <f t="shared" si="13"/>
        <v>0</v>
      </c>
      <c r="AF29" s="115">
        <f t="shared" si="13"/>
        <v>0</v>
      </c>
      <c r="AG29" s="115">
        <f t="shared" si="13"/>
        <v>0</v>
      </c>
      <c r="AH29" s="115">
        <f t="shared" si="13"/>
        <v>0</v>
      </c>
    </row>
    <row r="30" spans="1:34" s="12" customFormat="1" ht="15">
      <c r="A30" s="24" t="s">
        <v>116</v>
      </c>
      <c r="B30" s="116">
        <f>B18</f>
        <v>11044</v>
      </c>
      <c r="C30" s="114"/>
      <c r="D30" s="117">
        <f t="shared" ref="D30:Y30" si="14">$B30*D26</f>
        <v>368.13333333333333</v>
      </c>
      <c r="E30" s="117">
        <f t="shared" si="14"/>
        <v>552.20000000000005</v>
      </c>
      <c r="F30" s="117">
        <f t="shared" si="14"/>
        <v>552.20000000000005</v>
      </c>
      <c r="G30" s="117">
        <f t="shared" si="14"/>
        <v>552.20000000000005</v>
      </c>
      <c r="H30" s="117">
        <f t="shared" si="14"/>
        <v>552.20000000000005</v>
      </c>
      <c r="I30" s="117">
        <f t="shared" si="14"/>
        <v>552.20000000000005</v>
      </c>
      <c r="J30" s="117">
        <f t="shared" si="14"/>
        <v>552.20000000000005</v>
      </c>
      <c r="K30" s="117">
        <f t="shared" si="14"/>
        <v>552.20000000000005</v>
      </c>
      <c r="L30" s="117">
        <f t="shared" si="14"/>
        <v>552.20000000000005</v>
      </c>
      <c r="M30" s="117">
        <f t="shared" si="14"/>
        <v>552.20000000000005</v>
      </c>
      <c r="N30" s="117">
        <f t="shared" si="14"/>
        <v>552.20000000000005</v>
      </c>
      <c r="O30" s="117">
        <f t="shared" si="14"/>
        <v>552.20000000000005</v>
      </c>
      <c r="P30" s="117">
        <f t="shared" si="14"/>
        <v>552.20000000000005</v>
      </c>
      <c r="Q30" s="117">
        <f t="shared" si="14"/>
        <v>552.20000000000005</v>
      </c>
      <c r="R30" s="117">
        <f t="shared" si="14"/>
        <v>552.20000000000005</v>
      </c>
      <c r="S30" s="117">
        <f t="shared" si="14"/>
        <v>552.20000000000005</v>
      </c>
      <c r="T30" s="117">
        <f t="shared" si="14"/>
        <v>552.20000000000005</v>
      </c>
      <c r="U30" s="117">
        <f t="shared" si="14"/>
        <v>552.20000000000005</v>
      </c>
      <c r="V30" s="117">
        <f t="shared" si="14"/>
        <v>552.20000000000005</v>
      </c>
      <c r="W30" s="117">
        <f t="shared" si="14"/>
        <v>552.20000000000005</v>
      </c>
      <c r="X30" s="117">
        <f t="shared" si="14"/>
        <v>184.06666666666669</v>
      </c>
      <c r="Y30" s="117">
        <f t="shared" si="14"/>
        <v>0</v>
      </c>
      <c r="Z30" s="117">
        <f t="shared" ref="Z30:AH30" si="15">$B30*Z26</f>
        <v>0</v>
      </c>
      <c r="AA30" s="117">
        <f t="shared" si="15"/>
        <v>0</v>
      </c>
      <c r="AB30" s="117">
        <f t="shared" si="15"/>
        <v>0</v>
      </c>
      <c r="AC30" s="117">
        <f t="shared" si="15"/>
        <v>0</v>
      </c>
      <c r="AD30" s="117">
        <f t="shared" si="15"/>
        <v>0</v>
      </c>
      <c r="AE30" s="117">
        <f t="shared" si="15"/>
        <v>0</v>
      </c>
      <c r="AF30" s="117">
        <f t="shared" si="15"/>
        <v>0</v>
      </c>
      <c r="AG30" s="117">
        <f t="shared" si="15"/>
        <v>0</v>
      </c>
      <c r="AH30" s="117">
        <f t="shared" si="15"/>
        <v>0</v>
      </c>
    </row>
    <row r="31" spans="1:34" s="12" customFormat="1">
      <c r="A31" s="18" t="s">
        <v>118</v>
      </c>
      <c r="B31" s="115">
        <f>SUM(B29:B30)</f>
        <v>120621</v>
      </c>
      <c r="C31" s="114"/>
      <c r="D31" s="115">
        <f t="shared" ref="D31:Y31" si="16">SUM(D29:D30)</f>
        <v>5846.9833333333336</v>
      </c>
      <c r="E31" s="115">
        <f t="shared" si="16"/>
        <v>10962.015000000001</v>
      </c>
      <c r="F31" s="115">
        <f t="shared" si="16"/>
        <v>9921.0335000000014</v>
      </c>
      <c r="G31" s="115">
        <f t="shared" si="16"/>
        <v>8989.6290000000008</v>
      </c>
      <c r="H31" s="115">
        <f t="shared" si="16"/>
        <v>8145.8860999999997</v>
      </c>
      <c r="I31" s="115">
        <f t="shared" si="16"/>
        <v>7378.8471</v>
      </c>
      <c r="J31" s="115">
        <f t="shared" si="16"/>
        <v>7017.2429999999995</v>
      </c>
      <c r="K31" s="115">
        <f t="shared" si="16"/>
        <v>7028.2006999999994</v>
      </c>
      <c r="L31" s="115">
        <f t="shared" si="16"/>
        <v>7017.2429999999995</v>
      </c>
      <c r="M31" s="115">
        <f t="shared" si="16"/>
        <v>7028.2006999999994</v>
      </c>
      <c r="N31" s="115">
        <f t="shared" si="16"/>
        <v>7017.2429999999995</v>
      </c>
      <c r="O31" s="115">
        <f t="shared" si="16"/>
        <v>7028.2006999999994</v>
      </c>
      <c r="P31" s="115">
        <f t="shared" si="16"/>
        <v>7017.2429999999995</v>
      </c>
      <c r="Q31" s="115">
        <f t="shared" si="16"/>
        <v>7028.2006999999994</v>
      </c>
      <c r="R31" s="115">
        <f t="shared" si="16"/>
        <v>7017.2429999999995</v>
      </c>
      <c r="S31" s="115">
        <f t="shared" si="16"/>
        <v>3784.7214999999997</v>
      </c>
      <c r="T31" s="115">
        <f t="shared" si="16"/>
        <v>552.20000000000005</v>
      </c>
      <c r="U31" s="115">
        <f t="shared" si="16"/>
        <v>552.20000000000005</v>
      </c>
      <c r="V31" s="115">
        <f t="shared" si="16"/>
        <v>552.20000000000005</v>
      </c>
      <c r="W31" s="115">
        <f t="shared" si="16"/>
        <v>552.20000000000005</v>
      </c>
      <c r="X31" s="115">
        <f t="shared" si="16"/>
        <v>184.06666666666669</v>
      </c>
      <c r="Y31" s="115">
        <f t="shared" si="16"/>
        <v>0</v>
      </c>
      <c r="Z31" s="115">
        <f t="shared" ref="Z31:AH31" si="17">SUM(Z29:Z30)</f>
        <v>0</v>
      </c>
      <c r="AA31" s="115">
        <f t="shared" si="17"/>
        <v>0</v>
      </c>
      <c r="AB31" s="115">
        <f t="shared" si="17"/>
        <v>0</v>
      </c>
      <c r="AC31" s="115">
        <f t="shared" si="17"/>
        <v>0</v>
      </c>
      <c r="AD31" s="115">
        <f t="shared" si="17"/>
        <v>0</v>
      </c>
      <c r="AE31" s="115">
        <f t="shared" si="17"/>
        <v>0</v>
      </c>
      <c r="AF31" s="115">
        <f t="shared" si="17"/>
        <v>0</v>
      </c>
      <c r="AG31" s="115">
        <f t="shared" si="17"/>
        <v>0</v>
      </c>
      <c r="AH31" s="115">
        <f t="shared" si="17"/>
        <v>0</v>
      </c>
    </row>
    <row r="32" spans="1:34" s="12" customFormat="1">
      <c r="A32" s="18"/>
      <c r="B32" s="14"/>
      <c r="C32" s="27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</row>
    <row r="33" spans="1:34" s="12" customFormat="1">
      <c r="A33" s="14" t="s">
        <v>119</v>
      </c>
      <c r="B33" s="103">
        <f>B31</f>
        <v>120621</v>
      </c>
      <c r="C33" s="27"/>
      <c r="D33" s="20">
        <f>B31-D31</f>
        <v>114774.01666666666</v>
      </c>
      <c r="E33" s="20">
        <f>D33-E31</f>
        <v>103812.00166666666</v>
      </c>
      <c r="F33" s="20">
        <f t="shared" ref="F33:W33" si="18">E33-F31</f>
        <v>93890.968166666658</v>
      </c>
      <c r="G33" s="20">
        <f t="shared" si="18"/>
        <v>84901.339166666658</v>
      </c>
      <c r="H33" s="20">
        <f t="shared" si="18"/>
        <v>76755.453066666654</v>
      </c>
      <c r="I33" s="20">
        <f t="shared" si="18"/>
        <v>69376.605966666655</v>
      </c>
      <c r="J33" s="20">
        <f t="shared" si="18"/>
        <v>62359.362966666653</v>
      </c>
      <c r="K33" s="20">
        <f t="shared" si="18"/>
        <v>55331.162266666652</v>
      </c>
      <c r="L33" s="20">
        <f t="shared" si="18"/>
        <v>48313.919266666649</v>
      </c>
      <c r="M33" s="20">
        <f t="shared" si="18"/>
        <v>41285.718566666648</v>
      </c>
      <c r="N33" s="20">
        <f t="shared" si="18"/>
        <v>34268.475566666646</v>
      </c>
      <c r="O33" s="20">
        <f t="shared" si="18"/>
        <v>27240.274866666645</v>
      </c>
      <c r="P33" s="20">
        <f t="shared" si="18"/>
        <v>20223.031866666646</v>
      </c>
      <c r="Q33" s="20">
        <f t="shared" si="18"/>
        <v>13194.831166666647</v>
      </c>
      <c r="R33" s="20">
        <f t="shared" si="18"/>
        <v>6177.5881666666473</v>
      </c>
      <c r="S33" s="20">
        <f t="shared" si="18"/>
        <v>2392.8666666666477</v>
      </c>
      <c r="T33" s="20">
        <f t="shared" si="18"/>
        <v>1840.6666666666476</v>
      </c>
      <c r="U33" s="20">
        <f t="shared" si="18"/>
        <v>1288.4666666666476</v>
      </c>
      <c r="V33" s="20">
        <f t="shared" si="18"/>
        <v>736.26666666664755</v>
      </c>
      <c r="W33" s="20">
        <f t="shared" si="18"/>
        <v>184.06666666664751</v>
      </c>
      <c r="X33" s="20">
        <f>W33-X31</f>
        <v>-1.9184653865522705E-11</v>
      </c>
      <c r="Y33" s="20">
        <f>X33-Y31</f>
        <v>-1.9184653865522705E-11</v>
      </c>
      <c r="Z33" s="20">
        <f t="shared" ref="Z33:AH33" si="19">Y33-Z31</f>
        <v>-1.9184653865522705E-11</v>
      </c>
      <c r="AA33" s="20">
        <f t="shared" si="19"/>
        <v>-1.9184653865522705E-11</v>
      </c>
      <c r="AB33" s="20">
        <f t="shared" si="19"/>
        <v>-1.9184653865522705E-11</v>
      </c>
      <c r="AC33" s="20">
        <f t="shared" si="19"/>
        <v>-1.9184653865522705E-11</v>
      </c>
      <c r="AD33" s="20">
        <f t="shared" si="19"/>
        <v>-1.9184653865522705E-11</v>
      </c>
      <c r="AE33" s="20">
        <f t="shared" si="19"/>
        <v>-1.9184653865522705E-11</v>
      </c>
      <c r="AF33" s="20">
        <f t="shared" si="19"/>
        <v>-1.9184653865522705E-11</v>
      </c>
      <c r="AG33" s="20">
        <f t="shared" si="19"/>
        <v>-1.9184653865522705E-11</v>
      </c>
      <c r="AH33" s="20">
        <f t="shared" si="19"/>
        <v>-1.9184653865522705E-11</v>
      </c>
    </row>
    <row r="34" spans="1:34" s="12" customFormat="1">
      <c r="A34" s="14"/>
      <c r="B34" s="14"/>
      <c r="C34" s="27"/>
      <c r="D34" s="41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</row>
    <row r="35" spans="1:34" s="12" customFormat="1">
      <c r="A35" s="14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</row>
    <row r="36" spans="1:34" s="12" customFormat="1">
      <c r="A36" s="31" t="s">
        <v>121</v>
      </c>
    </row>
    <row r="37" spans="1:34" s="12" customFormat="1">
      <c r="A37" s="31"/>
      <c r="B37" s="33" t="s">
        <v>114</v>
      </c>
      <c r="C37" s="42" t="s">
        <v>122</v>
      </c>
    </row>
    <row r="38" spans="1:34" s="12" customFormat="1">
      <c r="A38" s="23" t="s">
        <v>123</v>
      </c>
      <c r="B38" s="35">
        <f>Assumptions!$N$50</f>
        <v>30</v>
      </c>
      <c r="C38" s="43">
        <f>Assumptions!P50</f>
        <v>0.1</v>
      </c>
      <c r="D38" s="351">
        <f>1/Assumptions!$N$50*D9/12*(1-$C$38)</f>
        <v>0.02</v>
      </c>
      <c r="E38" s="351">
        <f>IF(E6=Assumptions!$N$50,1/Assumptions!$N$50*(1-$C$38)-Depreciation!$D$38,IF(E6&lt;Assumptions!$N$50,1/Assumptions!$N$47*(1-$C$38),0))</f>
        <v>4.5000000000000005E-2</v>
      </c>
      <c r="F38" s="351">
        <f>IF(F6=Assumptions!$N$50,1/Assumptions!$N$50*(1-$C$38)-Depreciation!$D$38,IF(F6&lt;Assumptions!$N$50,1/Assumptions!$N$47*(1-$C$38),0))</f>
        <v>4.5000000000000005E-2</v>
      </c>
      <c r="G38" s="351">
        <f>IF(G6=Assumptions!$N$50,1/Assumptions!$N$50*(1-$C$38)-Depreciation!$D$38,IF(G6&lt;Assumptions!$N$50,1/Assumptions!$N$47*(1-$C$38),0))</f>
        <v>4.5000000000000005E-2</v>
      </c>
      <c r="H38" s="351">
        <f>IF(H6=Assumptions!$N$50,1/Assumptions!$N$50*(1-$C$38)-Depreciation!$D$38,IF(H6&lt;Assumptions!$N$50,1/Assumptions!$N$47*(1-$C$38),0))</f>
        <v>4.5000000000000005E-2</v>
      </c>
      <c r="I38" s="351">
        <f>IF(I6=Assumptions!$N$50,1/Assumptions!$N$50*(1-$C$38)-Depreciation!$D$38,IF(I6&lt;Assumptions!$N$50,1/Assumptions!$N$47*(1-$C$38),0))</f>
        <v>4.5000000000000005E-2</v>
      </c>
      <c r="J38" s="351">
        <f>IF(J6=Assumptions!$N$50,1/Assumptions!$N$50*(1-$C$38)-Depreciation!$D$38,IF(J6&lt;Assumptions!$N$50,1/Assumptions!$N$47*(1-$C$38),0))</f>
        <v>4.5000000000000005E-2</v>
      </c>
      <c r="K38" s="351">
        <f>IF(K6=Assumptions!$N$50,1/Assumptions!$N$50*(1-$C$38)-Depreciation!$D$38,IF(K6&lt;Assumptions!$N$50,1/Assumptions!$N$47*(1-$C$38),0))</f>
        <v>4.5000000000000005E-2</v>
      </c>
      <c r="L38" s="351">
        <f>IF(L6=Assumptions!$N$50,1/Assumptions!$N$50*(1-$C$38)-Depreciation!$D$38,IF(L6&lt;Assumptions!$N$50,1/Assumptions!$N$47*(1-$C$38),0))</f>
        <v>4.5000000000000005E-2</v>
      </c>
      <c r="M38" s="351">
        <f>IF(M6=Assumptions!$N$50,1/Assumptions!$N$50*(1-$C$38)-Depreciation!$D$38,IF(M6&lt;Assumptions!$N$50,1/Assumptions!$N$47*(1-$C$38),0))</f>
        <v>4.5000000000000005E-2</v>
      </c>
      <c r="N38" s="351">
        <f>IF(N6=Assumptions!$N$50,1/Assumptions!$N$50*(1-$C$38)-Depreciation!$D$38,IF(N6&lt;Assumptions!$N$50,1/Assumptions!$N$47*(1-$C$38),0))</f>
        <v>4.5000000000000005E-2</v>
      </c>
      <c r="O38" s="351">
        <f>IF(O6=Assumptions!$N$50,1/Assumptions!$N$50*(1-$C$38)-Depreciation!$D$38,IF(O6&lt;Assumptions!$N$50,1/Assumptions!$N$47*(1-$C$38),0))</f>
        <v>4.5000000000000005E-2</v>
      </c>
      <c r="P38" s="351">
        <f>IF(P6=Assumptions!$N$50,1/Assumptions!$N$50*(1-$C$38)-Depreciation!$D$38,IF(P6&lt;Assumptions!$N$50,1/Assumptions!$N$47*(1-$C$38),0))</f>
        <v>4.5000000000000005E-2</v>
      </c>
      <c r="Q38" s="351">
        <f>IF(Q6=Assumptions!$N$50,1/Assumptions!$N$50*(1-$C$38)-Depreciation!$D$38,IF(Q6&lt;Assumptions!$N$50,1/Assumptions!$N$47*(1-$C$38),0))</f>
        <v>4.5000000000000005E-2</v>
      </c>
      <c r="R38" s="351">
        <f>IF(R6=Assumptions!$N$50,1/Assumptions!$N$50*(1-$C$38)-Depreciation!$D$38,IF(R6&lt;Assumptions!$N$50,1/Assumptions!$N$47*(1-$C$38),0))</f>
        <v>4.5000000000000005E-2</v>
      </c>
      <c r="S38" s="351">
        <f>IF(S6=Assumptions!$N$50,1/Assumptions!$N$50*(1-$C$38)-Depreciation!$D$38,IF(S6&lt;Assumptions!$N$50,1/Assumptions!$N$47*(1-$C$38),0))</f>
        <v>4.5000000000000005E-2</v>
      </c>
      <c r="T38" s="351">
        <f>IF(T6=Assumptions!$N$50,1/Assumptions!$N$50*(1-$C$38)-Depreciation!$D$38,IF(T6&lt;Assumptions!$N$50,1/Assumptions!$N$47*(1-$C$38),0))</f>
        <v>4.5000000000000005E-2</v>
      </c>
      <c r="U38" s="351">
        <f>IF(U6=Assumptions!$N$50,1/Assumptions!$N$50*(1-$C$38)-Depreciation!$D$38,IF(U6&lt;Assumptions!$N$50,1/Assumptions!$N$47*(1-$C$38),0))</f>
        <v>4.5000000000000005E-2</v>
      </c>
      <c r="V38" s="351">
        <f>IF(V6=Assumptions!$N$50,1/Assumptions!$N$50*(1-$C$38)-Depreciation!$D$38,IF(V6&lt;Assumptions!$N$50,1/Assumptions!$N$47*(1-$C$38),0))</f>
        <v>4.5000000000000005E-2</v>
      </c>
      <c r="W38" s="351">
        <f>IF(W6=Assumptions!$N$50,1/Assumptions!$N$50*(1-$C$38)-Depreciation!$D$38,IF(W6&lt;Assumptions!$N$50,1/Assumptions!$N$47*(1-$C$38),0))</f>
        <v>4.5000000000000005E-2</v>
      </c>
      <c r="X38" s="351">
        <f>IF(X6=Assumptions!$N$50,1/Assumptions!$N$50*(1-$C$38)-Depreciation!$D$38,IF(X6&lt;Assumptions!$N$50,1/Assumptions!$N$47*(1-$C$38),0))</f>
        <v>4.5000000000000005E-2</v>
      </c>
      <c r="Y38" s="351">
        <f>IF(Y6=Assumptions!$N$50,1/Assumptions!$N$50*(1-$C$38)-Depreciation!$D$38,IF(Y6&lt;Assumptions!$N$50,1/Assumptions!$N$47*(1-$C$38),0))</f>
        <v>4.5000000000000005E-2</v>
      </c>
      <c r="Z38" s="351">
        <f>IF(Z6=Assumptions!$N$50,1/Assumptions!$N$50*(1-$C$38)-Depreciation!$D$38,IF(Z6&lt;Assumptions!$N$50,1/Assumptions!$N$47*(1-$C$38),0))</f>
        <v>4.5000000000000005E-2</v>
      </c>
      <c r="AA38" s="351">
        <f>IF(AA6=Assumptions!$N$50,1/Assumptions!$N$50*(1-$C$38)-Depreciation!$D$38,IF(AA6&lt;Assumptions!$N$50,1/Assumptions!$N$47*(1-$C$38),0))</f>
        <v>4.5000000000000005E-2</v>
      </c>
      <c r="AB38" s="351">
        <f>IF(AB6=Assumptions!$N$50,1/Assumptions!$N$50*(1-$C$38)-Depreciation!$D$38,IF(AB6&lt;Assumptions!$N$50,1/Assumptions!$N$47*(1-$C$38),0))</f>
        <v>4.5000000000000005E-2</v>
      </c>
      <c r="AC38" s="351">
        <f>IF(AC6=Assumptions!$N$50,1/Assumptions!$N$50*(1-$C$38)-Depreciation!$D$38,IF(AC6&lt;Assumptions!$N$50,1/Assumptions!$N$47*(1-$C$38),0))</f>
        <v>4.5000000000000005E-2</v>
      </c>
      <c r="AD38" s="351">
        <f>IF(AD6=Assumptions!$N$50,1/Assumptions!$N$50*(1-$C$38)-Depreciation!$D$38,IF(AD6&lt;Assumptions!$N$50,1/Assumptions!$N$47*(1-$C$38),0))</f>
        <v>4.5000000000000005E-2</v>
      </c>
      <c r="AE38" s="351">
        <f>IF(AE6=Assumptions!$N$50,1/Assumptions!$N$50*(1-$C$38)-Depreciation!$D$38,IF(AE6&lt;Assumptions!$N$50,1/Assumptions!$N$47*(1-$C$38),0))</f>
        <v>4.5000000000000005E-2</v>
      </c>
      <c r="AF38" s="351">
        <f>IF(AF6=Assumptions!$N$50,1/Assumptions!$N$50*(1-$C$38)-Depreciation!$D$38,IF(AF6&lt;Assumptions!$N$50,1/Assumptions!$N$47*(1-$C$38),0))</f>
        <v>4.5000000000000005E-2</v>
      </c>
      <c r="AG38" s="351">
        <f>IF(AG6=Assumptions!$N$50,1/Assumptions!$N$50*(1-$C$38)-Depreciation!$D$38,IF(AG6&lt;Assumptions!$N$50,1/Assumptions!$N$47*(1-$C$38),0))</f>
        <v>4.5000000000000005E-2</v>
      </c>
      <c r="AH38" s="351">
        <f>IF(AH6=Assumptions!$N$50,1/Assumptions!$N$50*(1-$C$38)-Depreciation!$D$38,IF(AH6&lt;Assumptions!$N$50,1/Assumptions!$N$47*(1-$C$38),0))</f>
        <v>0</v>
      </c>
    </row>
    <row r="39" spans="1:34" s="12" customFormat="1">
      <c r="A39" s="24" t="s">
        <v>116</v>
      </c>
      <c r="B39" s="38">
        <f>Assumptions!$N$51</f>
        <v>20</v>
      </c>
      <c r="C39" s="27"/>
      <c r="D39" s="351">
        <f>1/Assumptions!$N$51*D9/12</f>
        <v>3.3333333333333333E-2</v>
      </c>
      <c r="E39" s="351">
        <f>IF(AND(E6&gt;=Assumptions!$N$51, D6&lt;Assumptions!$N$51),1/Assumptions!$N$51-Depreciation!$D$39,IF(E6&lt;Assumptions!$N$51,1/Assumptions!$N$51,0))</f>
        <v>0.05</v>
      </c>
      <c r="F39" s="351">
        <f>IF(AND(F6&gt;=Assumptions!$N$51, E6&lt;Assumptions!$N$51),1/Assumptions!$N$51-Depreciation!$D$39,IF(F6&lt;Assumptions!$N$51,1/Assumptions!$N$51,0))</f>
        <v>0.05</v>
      </c>
      <c r="G39" s="351">
        <f>IF(AND(G6&gt;=Assumptions!$N$51, F6&lt;Assumptions!$N$51),1/Assumptions!$N$51-Depreciation!$D$39,IF(G6&lt;Assumptions!$N$51,1/Assumptions!$N$51,0))</f>
        <v>0.05</v>
      </c>
      <c r="H39" s="351">
        <f>IF(AND(H6&gt;=Assumptions!$N$51, G6&lt;Assumptions!$N$51),1/Assumptions!$N$51-Depreciation!$D$39,IF(H6&lt;Assumptions!$N$51,1/Assumptions!$N$51,0))</f>
        <v>0.05</v>
      </c>
      <c r="I39" s="351">
        <f>IF(AND(I6&gt;=Assumptions!$N$51, H6&lt;Assumptions!$N$51),1/Assumptions!$N$51-Depreciation!$D$39,IF(I6&lt;Assumptions!$N$51,1/Assumptions!$N$51,0))</f>
        <v>0.05</v>
      </c>
      <c r="J39" s="351">
        <f>IF(AND(J6&gt;=Assumptions!$N$51, I6&lt;Assumptions!$N$51),1/Assumptions!$N$51-Depreciation!$D$39,IF(J6&lt;Assumptions!$N$51,1/Assumptions!$N$51,0))</f>
        <v>0.05</v>
      </c>
      <c r="K39" s="351">
        <f>IF(AND(K6&gt;=Assumptions!$N$51, J6&lt;Assumptions!$N$51),1/Assumptions!$N$51-Depreciation!$D$39,IF(K6&lt;Assumptions!$N$51,1/Assumptions!$N$51,0))</f>
        <v>0.05</v>
      </c>
      <c r="L39" s="351">
        <f>IF(AND(L6&gt;=Assumptions!$N$51, K6&lt;Assumptions!$N$51),1/Assumptions!$N$51-Depreciation!$D$39,IF(L6&lt;Assumptions!$N$51,1/Assumptions!$N$51,0))</f>
        <v>0.05</v>
      </c>
      <c r="M39" s="351">
        <f>IF(AND(M6&gt;=Assumptions!$N$51, L6&lt;Assumptions!$N$51),1/Assumptions!$N$51-Depreciation!$D$39,IF(M6&lt;Assumptions!$N$51,1/Assumptions!$N$51,0))</f>
        <v>0.05</v>
      </c>
      <c r="N39" s="351">
        <f>IF(AND(N6&gt;=Assumptions!$N$51, M6&lt;Assumptions!$N$51),1/Assumptions!$N$51-Depreciation!$D$39,IF(N6&lt;Assumptions!$N$51,1/Assumptions!$N$51,0))</f>
        <v>0.05</v>
      </c>
      <c r="O39" s="351">
        <f>IF(AND(O6&gt;=Assumptions!$N$51, N6&lt;Assumptions!$N$51),1/Assumptions!$N$51-Depreciation!$D$39,IF(O6&lt;Assumptions!$N$51,1/Assumptions!$N$51,0))</f>
        <v>0.05</v>
      </c>
      <c r="P39" s="351">
        <f>IF(AND(P6&gt;=Assumptions!$N$51, O6&lt;Assumptions!$N$51),1/Assumptions!$N$51-Depreciation!$D$39,IF(P6&lt;Assumptions!$N$51,1/Assumptions!$N$51,0))</f>
        <v>0.05</v>
      </c>
      <c r="Q39" s="351">
        <f>IF(AND(Q6&gt;=Assumptions!$N$51, P6&lt;Assumptions!$N$51),1/Assumptions!$N$51-Depreciation!$D$39,IF(Q6&lt;Assumptions!$N$51,1/Assumptions!$N$51,0))</f>
        <v>0.05</v>
      </c>
      <c r="R39" s="351">
        <f>IF(AND(R6&gt;=Assumptions!$N$51, Q6&lt;Assumptions!$N$51),1/Assumptions!$N$51-Depreciation!$D$39,IF(R6&lt;Assumptions!$N$51,1/Assumptions!$N$51,0))</f>
        <v>0.05</v>
      </c>
      <c r="S39" s="351">
        <f>IF(AND(S6&gt;=Assumptions!$N$51, R6&lt;Assumptions!$N$51),1/Assumptions!$N$51-Depreciation!$D$39,IF(S6&lt;Assumptions!$N$51,1/Assumptions!$N$51,0))</f>
        <v>0.05</v>
      </c>
      <c r="T39" s="351">
        <f>IF(AND(T6&gt;=Assumptions!$N$51, S6&lt;Assumptions!$N$51),1/Assumptions!$N$51-Depreciation!$D$39,IF(T6&lt;Assumptions!$N$51,1/Assumptions!$N$51,0))</f>
        <v>0.05</v>
      </c>
      <c r="U39" s="351">
        <f>IF(AND(U6&gt;=Assumptions!$N$51, T6&lt;Assumptions!$N$51),1/Assumptions!$N$51-Depreciation!$D$39,IF(U6&lt;Assumptions!$N$51,1/Assumptions!$N$51,0))</f>
        <v>0.05</v>
      </c>
      <c r="V39" s="351">
        <f>IF(AND(V6&gt;=Assumptions!$N$51, U6&lt;Assumptions!$N$51),1/Assumptions!$N$51-Depreciation!$D$39,IF(V6&lt;Assumptions!$N$51,1/Assumptions!$N$51,0))</f>
        <v>0.05</v>
      </c>
      <c r="W39" s="351">
        <f>IF(AND(W6&gt;=Assumptions!$N$51, V6&lt;Assumptions!$N$51),1/Assumptions!$N$51-Depreciation!$D$39,IF(W6&lt;Assumptions!$N$51,1/Assumptions!$N$51,0))</f>
        <v>0.05</v>
      </c>
      <c r="X39" s="351">
        <f>IF(AND(X6&gt;=Assumptions!$N$51, W6&lt;Assumptions!$N$51),1/Assumptions!$N$51-Depreciation!$D$39,IF(X6&lt;Assumptions!$N$51,1/Assumptions!$N$51,0))</f>
        <v>1.666666666666667E-2</v>
      </c>
      <c r="Y39" s="351">
        <f>IF(AND(Y6&gt;=Assumptions!$N$51, X6&lt;Assumptions!$N$51),1/Assumptions!$N$51-Depreciation!$D$39,IF(Y6&lt;Assumptions!$N$51,1/Assumptions!$N$51,0))</f>
        <v>0</v>
      </c>
      <c r="Z39" s="351">
        <f>IF(AND(Z6&gt;=Assumptions!$N$51, Y6&lt;Assumptions!$N$51),1/Assumptions!$N$51-Depreciation!$D$39,IF(Z6&lt;Assumptions!$N$51,1/Assumptions!$N$51,0))</f>
        <v>0</v>
      </c>
      <c r="AA39" s="351">
        <f>IF(AND(AA6&gt;=Assumptions!$N$51, Z6&lt;Assumptions!$N$51),1/Assumptions!$N$51-Depreciation!$D$39,IF(AA6&lt;Assumptions!$N$51,1/Assumptions!$N$51,0))</f>
        <v>0</v>
      </c>
      <c r="AB39" s="351">
        <f>IF(AND(AB6&gt;=Assumptions!$N$51, AA6&lt;Assumptions!$N$51),1/Assumptions!$N$51-Depreciation!$D$39,IF(AB6&lt;Assumptions!$N$51,1/Assumptions!$N$51,0))</f>
        <v>0</v>
      </c>
      <c r="AC39" s="351">
        <f>IF(AND(AC6&gt;=Assumptions!$N$51, AB6&lt;Assumptions!$N$51),1/Assumptions!$N$51-Depreciation!$D$39,IF(AC6&lt;Assumptions!$N$51,1/Assumptions!$N$51,0))</f>
        <v>0</v>
      </c>
      <c r="AD39" s="351">
        <f>IF(AND(AD6&gt;=Assumptions!$N$51, AC6&lt;Assumptions!$N$51),1/Assumptions!$N$51-Depreciation!$D$39,IF(AD6&lt;Assumptions!$N$51,1/Assumptions!$N$51,0))</f>
        <v>0</v>
      </c>
      <c r="AE39" s="351">
        <f>IF(AND(AE6&gt;=Assumptions!$N$51, AD6&lt;Assumptions!$N$51),1/Assumptions!$N$51-Depreciation!$D$39,IF(AE6&lt;Assumptions!$N$51,1/Assumptions!$N$51,0))</f>
        <v>0</v>
      </c>
      <c r="AF39" s="351">
        <f>IF(AND(AF6&gt;=Assumptions!$N$51, AE6&lt;Assumptions!$N$51),1/Assumptions!$N$51-Depreciation!$D$39,IF(AF6&lt;Assumptions!$N$51,1/Assumptions!$N$51,0))</f>
        <v>0</v>
      </c>
      <c r="AG39" s="351">
        <f>IF(AND(AG6&gt;=Assumptions!$N$51, AF6&lt;Assumptions!$N$51),1/Assumptions!$N$51-Depreciation!$D$39,IF(AG6&lt;Assumptions!$N$51,1/Assumptions!$N$51,0))</f>
        <v>0</v>
      </c>
      <c r="AH39" s="351">
        <f>IF(AND(AH6&gt;=Assumptions!$N$51, AG6&lt;Assumptions!$N$51),1/Assumptions!$N$51-Depreciation!$D$39,IF(AH6&lt;Assumptions!$N$51,1/Assumptions!$N$51,0))</f>
        <v>0</v>
      </c>
    </row>
    <row r="40" spans="1:34" s="12" customFormat="1">
      <c r="A40" s="14"/>
      <c r="B40" s="33"/>
      <c r="C40" s="27"/>
    </row>
    <row r="41" spans="1:34" s="12" customFormat="1">
      <c r="A41" s="23" t="s">
        <v>123</v>
      </c>
      <c r="B41" s="113">
        <f>B17</f>
        <v>109577</v>
      </c>
      <c r="C41" s="114"/>
      <c r="D41" s="115">
        <f t="shared" ref="D41:Y41" si="20">D38*$B$41</f>
        <v>2191.54</v>
      </c>
      <c r="E41" s="115">
        <f t="shared" si="20"/>
        <v>4930.9650000000001</v>
      </c>
      <c r="F41" s="115">
        <f t="shared" si="20"/>
        <v>4930.9650000000001</v>
      </c>
      <c r="G41" s="115">
        <f t="shared" si="20"/>
        <v>4930.9650000000001</v>
      </c>
      <c r="H41" s="115">
        <f t="shared" si="20"/>
        <v>4930.9650000000001</v>
      </c>
      <c r="I41" s="115">
        <f t="shared" si="20"/>
        <v>4930.9650000000001</v>
      </c>
      <c r="J41" s="115">
        <f t="shared" si="20"/>
        <v>4930.9650000000001</v>
      </c>
      <c r="K41" s="115">
        <f t="shared" si="20"/>
        <v>4930.9650000000001</v>
      </c>
      <c r="L41" s="115">
        <f t="shared" si="20"/>
        <v>4930.9650000000001</v>
      </c>
      <c r="M41" s="115">
        <f t="shared" si="20"/>
        <v>4930.9650000000001</v>
      </c>
      <c r="N41" s="115">
        <f t="shared" si="20"/>
        <v>4930.9650000000001</v>
      </c>
      <c r="O41" s="115">
        <f t="shared" si="20"/>
        <v>4930.9650000000001</v>
      </c>
      <c r="P41" s="115">
        <f t="shared" si="20"/>
        <v>4930.9650000000001</v>
      </c>
      <c r="Q41" s="115">
        <f t="shared" si="20"/>
        <v>4930.9650000000001</v>
      </c>
      <c r="R41" s="115">
        <f t="shared" si="20"/>
        <v>4930.9650000000001</v>
      </c>
      <c r="S41" s="115">
        <f t="shared" si="20"/>
        <v>4930.9650000000001</v>
      </c>
      <c r="T41" s="115">
        <f t="shared" si="20"/>
        <v>4930.9650000000001</v>
      </c>
      <c r="U41" s="115">
        <f t="shared" si="20"/>
        <v>4930.9650000000001</v>
      </c>
      <c r="V41" s="115">
        <f t="shared" si="20"/>
        <v>4930.9650000000001</v>
      </c>
      <c r="W41" s="115">
        <f t="shared" si="20"/>
        <v>4930.9650000000001</v>
      </c>
      <c r="X41" s="115">
        <f t="shared" si="20"/>
        <v>4930.9650000000001</v>
      </c>
      <c r="Y41" s="115">
        <f t="shared" si="20"/>
        <v>4930.9650000000001</v>
      </c>
      <c r="Z41" s="115">
        <f t="shared" ref="Z41:AH41" si="21">Z38*$B$41</f>
        <v>4930.9650000000001</v>
      </c>
      <c r="AA41" s="115">
        <f t="shared" si="21"/>
        <v>4930.9650000000001</v>
      </c>
      <c r="AB41" s="115">
        <f t="shared" si="21"/>
        <v>4930.9650000000001</v>
      </c>
      <c r="AC41" s="115">
        <f t="shared" si="21"/>
        <v>4930.9650000000001</v>
      </c>
      <c r="AD41" s="115">
        <f t="shared" si="21"/>
        <v>4930.9650000000001</v>
      </c>
      <c r="AE41" s="115">
        <f t="shared" si="21"/>
        <v>4930.9650000000001</v>
      </c>
      <c r="AF41" s="115">
        <f t="shared" si="21"/>
        <v>4930.9650000000001</v>
      </c>
      <c r="AG41" s="115">
        <f t="shared" si="21"/>
        <v>4930.9650000000001</v>
      </c>
      <c r="AH41" s="115">
        <f t="shared" si="21"/>
        <v>0</v>
      </c>
    </row>
    <row r="42" spans="1:34" s="12" customFormat="1" ht="15">
      <c r="A42" s="24" t="s">
        <v>116</v>
      </c>
      <c r="B42" s="116">
        <f>B18</f>
        <v>11044</v>
      </c>
      <c r="C42" s="114"/>
      <c r="D42" s="117">
        <f t="shared" ref="D42:Y42" si="22">D39*$B$42</f>
        <v>368.13333333333333</v>
      </c>
      <c r="E42" s="117">
        <f t="shared" si="22"/>
        <v>552.20000000000005</v>
      </c>
      <c r="F42" s="117">
        <f t="shared" si="22"/>
        <v>552.20000000000005</v>
      </c>
      <c r="G42" s="117">
        <f t="shared" si="22"/>
        <v>552.20000000000005</v>
      </c>
      <c r="H42" s="117">
        <f t="shared" si="22"/>
        <v>552.20000000000005</v>
      </c>
      <c r="I42" s="117">
        <f t="shared" si="22"/>
        <v>552.20000000000005</v>
      </c>
      <c r="J42" s="117">
        <f t="shared" si="22"/>
        <v>552.20000000000005</v>
      </c>
      <c r="K42" s="117">
        <f t="shared" si="22"/>
        <v>552.20000000000005</v>
      </c>
      <c r="L42" s="117">
        <f t="shared" si="22"/>
        <v>552.20000000000005</v>
      </c>
      <c r="M42" s="117">
        <f t="shared" si="22"/>
        <v>552.20000000000005</v>
      </c>
      <c r="N42" s="117">
        <f t="shared" si="22"/>
        <v>552.20000000000005</v>
      </c>
      <c r="O42" s="117">
        <f t="shared" si="22"/>
        <v>552.20000000000005</v>
      </c>
      <c r="P42" s="117">
        <f t="shared" si="22"/>
        <v>552.20000000000005</v>
      </c>
      <c r="Q42" s="117">
        <f t="shared" si="22"/>
        <v>552.20000000000005</v>
      </c>
      <c r="R42" s="117">
        <f t="shared" si="22"/>
        <v>552.20000000000005</v>
      </c>
      <c r="S42" s="117">
        <f t="shared" si="22"/>
        <v>552.20000000000005</v>
      </c>
      <c r="T42" s="117">
        <f t="shared" si="22"/>
        <v>552.20000000000005</v>
      </c>
      <c r="U42" s="117">
        <f t="shared" si="22"/>
        <v>552.20000000000005</v>
      </c>
      <c r="V42" s="117">
        <f t="shared" si="22"/>
        <v>552.20000000000005</v>
      </c>
      <c r="W42" s="117">
        <f t="shared" si="22"/>
        <v>552.20000000000005</v>
      </c>
      <c r="X42" s="117">
        <f t="shared" si="22"/>
        <v>184.06666666666669</v>
      </c>
      <c r="Y42" s="117">
        <f t="shared" si="22"/>
        <v>0</v>
      </c>
      <c r="Z42" s="117">
        <f t="shared" ref="Z42:AH42" si="23">Z39*$B$42</f>
        <v>0</v>
      </c>
      <c r="AA42" s="117">
        <f t="shared" si="23"/>
        <v>0</v>
      </c>
      <c r="AB42" s="117">
        <f t="shared" si="23"/>
        <v>0</v>
      </c>
      <c r="AC42" s="117">
        <f t="shared" si="23"/>
        <v>0</v>
      </c>
      <c r="AD42" s="117">
        <f t="shared" si="23"/>
        <v>0</v>
      </c>
      <c r="AE42" s="117">
        <f t="shared" si="23"/>
        <v>0</v>
      </c>
      <c r="AF42" s="117">
        <f t="shared" si="23"/>
        <v>0</v>
      </c>
      <c r="AG42" s="117">
        <f t="shared" si="23"/>
        <v>0</v>
      </c>
      <c r="AH42" s="117">
        <f t="shared" si="23"/>
        <v>0</v>
      </c>
    </row>
    <row r="43" spans="1:34" s="12" customFormat="1">
      <c r="A43" s="18" t="s">
        <v>118</v>
      </c>
      <c r="B43" s="115">
        <f>SUM(B41:B42)</f>
        <v>120621</v>
      </c>
      <c r="C43" s="114"/>
      <c r="D43" s="115">
        <f t="shared" ref="D43:Y43" si="24">SUM(D41:D42)</f>
        <v>2559.6733333333332</v>
      </c>
      <c r="E43" s="115">
        <f t="shared" si="24"/>
        <v>5483.165</v>
      </c>
      <c r="F43" s="115">
        <f t="shared" si="24"/>
        <v>5483.165</v>
      </c>
      <c r="G43" s="115">
        <f t="shared" si="24"/>
        <v>5483.165</v>
      </c>
      <c r="H43" s="115">
        <f t="shared" si="24"/>
        <v>5483.165</v>
      </c>
      <c r="I43" s="115">
        <f t="shared" si="24"/>
        <v>5483.165</v>
      </c>
      <c r="J43" s="115">
        <f t="shared" si="24"/>
        <v>5483.165</v>
      </c>
      <c r="K43" s="115">
        <f t="shared" si="24"/>
        <v>5483.165</v>
      </c>
      <c r="L43" s="115">
        <f t="shared" si="24"/>
        <v>5483.165</v>
      </c>
      <c r="M43" s="115">
        <f t="shared" si="24"/>
        <v>5483.165</v>
      </c>
      <c r="N43" s="115">
        <f t="shared" si="24"/>
        <v>5483.165</v>
      </c>
      <c r="O43" s="115">
        <f t="shared" si="24"/>
        <v>5483.165</v>
      </c>
      <c r="P43" s="115">
        <f t="shared" si="24"/>
        <v>5483.165</v>
      </c>
      <c r="Q43" s="115">
        <f t="shared" si="24"/>
        <v>5483.165</v>
      </c>
      <c r="R43" s="115">
        <f t="shared" si="24"/>
        <v>5483.165</v>
      </c>
      <c r="S43" s="115">
        <f t="shared" si="24"/>
        <v>5483.165</v>
      </c>
      <c r="T43" s="115">
        <f t="shared" si="24"/>
        <v>5483.165</v>
      </c>
      <c r="U43" s="115">
        <f t="shared" si="24"/>
        <v>5483.165</v>
      </c>
      <c r="V43" s="115">
        <f t="shared" si="24"/>
        <v>5483.165</v>
      </c>
      <c r="W43" s="115">
        <f t="shared" si="24"/>
        <v>5483.165</v>
      </c>
      <c r="X43" s="115">
        <f t="shared" si="24"/>
        <v>5115.0316666666668</v>
      </c>
      <c r="Y43" s="115">
        <f t="shared" si="24"/>
        <v>4930.9650000000001</v>
      </c>
      <c r="Z43" s="115">
        <f t="shared" ref="Z43:AH43" si="25">SUM(Z41:Z42)</f>
        <v>4930.9650000000001</v>
      </c>
      <c r="AA43" s="115">
        <f t="shared" si="25"/>
        <v>4930.9650000000001</v>
      </c>
      <c r="AB43" s="115">
        <f t="shared" si="25"/>
        <v>4930.9650000000001</v>
      </c>
      <c r="AC43" s="115">
        <f t="shared" si="25"/>
        <v>4930.9650000000001</v>
      </c>
      <c r="AD43" s="115">
        <f t="shared" si="25"/>
        <v>4930.9650000000001</v>
      </c>
      <c r="AE43" s="115">
        <f t="shared" si="25"/>
        <v>4930.9650000000001</v>
      </c>
      <c r="AF43" s="115">
        <f t="shared" si="25"/>
        <v>4930.9650000000001</v>
      </c>
      <c r="AG43" s="115">
        <f t="shared" si="25"/>
        <v>4930.9650000000001</v>
      </c>
      <c r="AH43" s="115">
        <f t="shared" si="25"/>
        <v>0</v>
      </c>
    </row>
    <row r="44" spans="1:34">
      <c r="A44" s="24"/>
    </row>
    <row r="45" spans="1:34" s="28" customFormat="1">
      <c r="A45" s="18" t="s">
        <v>124</v>
      </c>
      <c r="B45" s="29">
        <f>B43</f>
        <v>120621</v>
      </c>
      <c r="C45" s="27"/>
      <c r="D45" s="115">
        <f>B43-D43</f>
        <v>118061.32666666666</v>
      </c>
      <c r="E45" s="115">
        <f>D45-E43</f>
        <v>112578.16166666667</v>
      </c>
      <c r="F45" s="115">
        <f t="shared" ref="F45:Y45" si="26">E45-F43</f>
        <v>107094.99666666667</v>
      </c>
      <c r="G45" s="115">
        <f t="shared" si="26"/>
        <v>101611.83166666668</v>
      </c>
      <c r="H45" s="115">
        <f t="shared" si="26"/>
        <v>96128.666666666686</v>
      </c>
      <c r="I45" s="115">
        <f t="shared" si="26"/>
        <v>90645.501666666692</v>
      </c>
      <c r="J45" s="115">
        <f t="shared" si="26"/>
        <v>85162.336666666699</v>
      </c>
      <c r="K45" s="115">
        <f t="shared" si="26"/>
        <v>79679.171666666705</v>
      </c>
      <c r="L45" s="115">
        <f t="shared" si="26"/>
        <v>74196.006666666712</v>
      </c>
      <c r="M45" s="115">
        <f t="shared" si="26"/>
        <v>68712.841666666718</v>
      </c>
      <c r="N45" s="115">
        <f t="shared" si="26"/>
        <v>63229.676666666717</v>
      </c>
      <c r="O45" s="115">
        <f t="shared" si="26"/>
        <v>57746.511666666716</v>
      </c>
      <c r="P45" s="115">
        <f t="shared" si="26"/>
        <v>52263.346666666715</v>
      </c>
      <c r="Q45" s="115">
        <f t="shared" si="26"/>
        <v>46780.181666666715</v>
      </c>
      <c r="R45" s="115">
        <f t="shared" si="26"/>
        <v>41297.016666666714</v>
      </c>
      <c r="S45" s="115">
        <f t="shared" si="26"/>
        <v>35813.851666666713</v>
      </c>
      <c r="T45" s="115">
        <f t="shared" si="26"/>
        <v>30330.686666666712</v>
      </c>
      <c r="U45" s="115">
        <f t="shared" si="26"/>
        <v>24847.521666666711</v>
      </c>
      <c r="V45" s="115">
        <f t="shared" si="26"/>
        <v>19364.35666666671</v>
      </c>
      <c r="W45" s="115">
        <f t="shared" si="26"/>
        <v>13881.191666666709</v>
      </c>
      <c r="X45" s="115">
        <f t="shared" si="26"/>
        <v>8766.1600000000435</v>
      </c>
      <c r="Y45" s="115">
        <f t="shared" si="26"/>
        <v>3835.1950000000434</v>
      </c>
      <c r="Z45" s="115">
        <f t="shared" ref="Z45:AH45" si="27">Y45-Z43</f>
        <v>-1095.7699999999568</v>
      </c>
      <c r="AA45" s="115">
        <f t="shared" si="27"/>
        <v>-6026.7349999999569</v>
      </c>
      <c r="AB45" s="115">
        <f t="shared" si="27"/>
        <v>-10957.699999999957</v>
      </c>
      <c r="AC45" s="115">
        <f t="shared" si="27"/>
        <v>-15888.664999999957</v>
      </c>
      <c r="AD45" s="115">
        <f t="shared" si="27"/>
        <v>-20819.629999999957</v>
      </c>
      <c r="AE45" s="115">
        <f t="shared" si="27"/>
        <v>-25750.594999999958</v>
      </c>
      <c r="AF45" s="115">
        <f t="shared" si="27"/>
        <v>-30681.559999999958</v>
      </c>
      <c r="AG45" s="115">
        <f t="shared" si="27"/>
        <v>-35612.524999999958</v>
      </c>
      <c r="AH45" s="115">
        <f t="shared" si="27"/>
        <v>-35612.524999999958</v>
      </c>
    </row>
  </sheetData>
  <pageMargins left="0.45" right="0.45" top="0.5" bottom="0.5" header="0.25" footer="0.25"/>
  <pageSetup scale="52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4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AF58"/>
  <sheetViews>
    <sheetView zoomScale="75" zoomScaleNormal="75" workbookViewId="0">
      <selection activeCell="C36" sqref="C36"/>
    </sheetView>
  </sheetViews>
  <sheetFormatPr defaultRowHeight="12.75"/>
  <cols>
    <col min="1" max="1" width="51.7109375" style="14" customWidth="1"/>
    <col min="2" max="21" width="10.5703125" style="14" customWidth="1"/>
    <col min="22" max="23" width="10.85546875" style="14" customWidth="1"/>
    <col min="24" max="32" width="10.85546875" style="5" customWidth="1"/>
    <col min="33" max="16384" width="9.140625" style="5"/>
  </cols>
  <sheetData>
    <row r="2" spans="1:32" ht="18.75">
      <c r="A2" s="135" t="str">
        <f>Assumptions!A3</f>
        <v>PROJECT NAME: LINCOLN</v>
      </c>
    </row>
    <row r="4" spans="1:32" ht="18.75">
      <c r="A4" s="94" t="s">
        <v>195</v>
      </c>
      <c r="B4" s="12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08"/>
      <c r="Y4" s="108"/>
    </row>
    <row r="5" spans="1:32">
      <c r="A5" s="99"/>
      <c r="B5" s="123"/>
      <c r="C5" s="16"/>
      <c r="D5" s="16"/>
      <c r="E5" s="16"/>
      <c r="F5" s="16"/>
      <c r="G5" s="16"/>
      <c r="H5" s="16"/>
      <c r="I5" s="120"/>
      <c r="J5" s="16"/>
      <c r="K5" s="16"/>
      <c r="L5" s="16"/>
      <c r="M5" s="16"/>
      <c r="N5" s="16"/>
      <c r="O5" s="120"/>
      <c r="P5" s="16"/>
      <c r="Q5" s="16"/>
      <c r="R5" s="16"/>
      <c r="S5" s="16"/>
      <c r="T5" s="16"/>
      <c r="U5" s="120"/>
      <c r="V5" s="16"/>
      <c r="W5" s="16"/>
      <c r="X5" s="141"/>
      <c r="Y5" s="141"/>
    </row>
    <row r="6" spans="1:32">
      <c r="A6" s="208"/>
      <c r="B6" s="470">
        <f>'Power Price Assumption'!D9</f>
        <v>0.66666666666666663</v>
      </c>
      <c r="C6" s="470">
        <f>'Power Price Assumption'!E9</f>
        <v>1.6666666666666665</v>
      </c>
      <c r="D6" s="470">
        <f>'Power Price Assumption'!F9</f>
        <v>2.6666666666666665</v>
      </c>
      <c r="E6" s="470">
        <f>'Power Price Assumption'!G9</f>
        <v>3.6666666666666665</v>
      </c>
      <c r="F6" s="470">
        <f>'Power Price Assumption'!H9</f>
        <v>4.6666666666666661</v>
      </c>
      <c r="G6" s="470">
        <f>'Power Price Assumption'!I9</f>
        <v>5.6666666666666661</v>
      </c>
      <c r="H6" s="470">
        <f>'Power Price Assumption'!J9</f>
        <v>6.6666666666666661</v>
      </c>
      <c r="I6" s="470">
        <f>'Power Price Assumption'!K9</f>
        <v>7.6666666666666661</v>
      </c>
      <c r="J6" s="470">
        <f>'Power Price Assumption'!L9</f>
        <v>8.6666666666666661</v>
      </c>
      <c r="K6" s="470">
        <f>'Power Price Assumption'!M9</f>
        <v>9.6666666666666661</v>
      </c>
      <c r="L6" s="470">
        <f>'Power Price Assumption'!N9</f>
        <v>10.666666666666666</v>
      </c>
      <c r="M6" s="470">
        <f>'Power Price Assumption'!O9</f>
        <v>11.666666666666666</v>
      </c>
      <c r="N6" s="470">
        <f>'Power Price Assumption'!P9</f>
        <v>12.666666666666666</v>
      </c>
      <c r="O6" s="470">
        <f>'Power Price Assumption'!Q9</f>
        <v>13.666666666666666</v>
      </c>
      <c r="P6" s="470">
        <f>'Power Price Assumption'!R9</f>
        <v>14.666666666666666</v>
      </c>
      <c r="Q6" s="470">
        <f>'Power Price Assumption'!S9</f>
        <v>15.666666666666666</v>
      </c>
      <c r="R6" s="470">
        <f>'Power Price Assumption'!T9</f>
        <v>16.666666666666664</v>
      </c>
      <c r="S6" s="470">
        <f>'Power Price Assumption'!U9</f>
        <v>17.666666666666664</v>
      </c>
      <c r="T6" s="470">
        <f>'Power Price Assumption'!V9</f>
        <v>18.666666666666664</v>
      </c>
      <c r="U6" s="470">
        <f>'Power Price Assumption'!W9</f>
        <v>19.666666666666664</v>
      </c>
      <c r="V6" s="470">
        <f>'Power Price Assumption'!X9</f>
        <v>20.666666666666664</v>
      </c>
      <c r="W6" s="470">
        <f>'Power Price Assumption'!Y9</f>
        <v>21.666666666666664</v>
      </c>
      <c r="X6" s="470">
        <f>'Power Price Assumption'!Z9</f>
        <v>22.666666666666664</v>
      </c>
      <c r="Y6" s="470">
        <f>'Power Price Assumption'!AA9</f>
        <v>23.666666666666664</v>
      </c>
      <c r="Z6" s="470">
        <f>'Power Price Assumption'!AB9</f>
        <v>24.666666666666664</v>
      </c>
      <c r="AA6" s="470">
        <f>'Power Price Assumption'!AC9</f>
        <v>25.666666666666664</v>
      </c>
      <c r="AB6" s="470">
        <f>'Power Price Assumption'!AD9</f>
        <v>26.666666666666664</v>
      </c>
      <c r="AC6" s="470">
        <f>'Power Price Assumption'!AE9</f>
        <v>27.666666666666664</v>
      </c>
      <c r="AD6" s="470">
        <f>'Power Price Assumption'!AF9</f>
        <v>28.666666666666664</v>
      </c>
      <c r="AE6" s="470">
        <f>'Power Price Assumption'!AG9</f>
        <v>29.666666666666664</v>
      </c>
      <c r="AF6" s="470">
        <f>'Power Price Assumption'!AH9</f>
        <v>30.666666666666664</v>
      </c>
    </row>
    <row r="7" spans="1:32" ht="13.5" thickBot="1">
      <c r="A7" s="186" t="s">
        <v>73</v>
      </c>
      <c r="B7" s="7">
        <f>'Power Price Assumption'!D10</f>
        <v>2002</v>
      </c>
      <c r="C7" s="7">
        <f>'Power Price Assumption'!E10</f>
        <v>2003</v>
      </c>
      <c r="D7" s="7">
        <f>'Power Price Assumption'!F10</f>
        <v>2004</v>
      </c>
      <c r="E7" s="7">
        <f>'Power Price Assumption'!G10</f>
        <v>2005</v>
      </c>
      <c r="F7" s="7">
        <f>'Power Price Assumption'!H10</f>
        <v>2006</v>
      </c>
      <c r="G7" s="7">
        <f>'Power Price Assumption'!I10</f>
        <v>2007</v>
      </c>
      <c r="H7" s="7">
        <f>'Power Price Assumption'!J10</f>
        <v>2008</v>
      </c>
      <c r="I7" s="7">
        <f>'Power Price Assumption'!K10</f>
        <v>2009</v>
      </c>
      <c r="J7" s="7">
        <f>'Power Price Assumption'!L10</f>
        <v>2010</v>
      </c>
      <c r="K7" s="7">
        <f>'Power Price Assumption'!M10</f>
        <v>2011</v>
      </c>
      <c r="L7" s="7">
        <f>'Power Price Assumption'!N10</f>
        <v>2012</v>
      </c>
      <c r="M7" s="7">
        <f>'Power Price Assumption'!O10</f>
        <v>2013</v>
      </c>
      <c r="N7" s="7">
        <f>'Power Price Assumption'!P10</f>
        <v>2014</v>
      </c>
      <c r="O7" s="7">
        <f>'Power Price Assumption'!Q10</f>
        <v>2015</v>
      </c>
      <c r="P7" s="7">
        <f>'Power Price Assumption'!R10</f>
        <v>2016</v>
      </c>
      <c r="Q7" s="7">
        <f>'Power Price Assumption'!S10</f>
        <v>2017</v>
      </c>
      <c r="R7" s="7">
        <f>'Power Price Assumption'!T10</f>
        <v>2018</v>
      </c>
      <c r="S7" s="7">
        <f>'Power Price Assumption'!U10</f>
        <v>2019</v>
      </c>
      <c r="T7" s="7">
        <f>'Power Price Assumption'!V10</f>
        <v>2020</v>
      </c>
      <c r="U7" s="7">
        <f>'Power Price Assumption'!W10</f>
        <v>2021</v>
      </c>
      <c r="V7" s="7">
        <f>'Power Price Assumption'!X10</f>
        <v>2022</v>
      </c>
      <c r="W7" s="7">
        <f>'Power Price Assumption'!Y10</f>
        <v>2023</v>
      </c>
      <c r="X7" s="7">
        <f>'Power Price Assumption'!Z10</f>
        <v>2024</v>
      </c>
      <c r="Y7" s="7">
        <f>'Power Price Assumption'!AA10</f>
        <v>2025</v>
      </c>
      <c r="Z7" s="7">
        <f>'Power Price Assumption'!AB10</f>
        <v>2026</v>
      </c>
      <c r="AA7" s="7">
        <f>'Power Price Assumption'!AC10</f>
        <v>2027</v>
      </c>
      <c r="AB7" s="7">
        <f>'Power Price Assumption'!AD10</f>
        <v>2028</v>
      </c>
      <c r="AC7" s="7">
        <f>'Power Price Assumption'!AE10</f>
        <v>2029</v>
      </c>
      <c r="AD7" s="7">
        <f>'Power Price Assumption'!AF10</f>
        <v>2030</v>
      </c>
      <c r="AE7" s="7">
        <f>'Power Price Assumption'!AG10</f>
        <v>2031</v>
      </c>
      <c r="AF7" s="7">
        <f>'Power Price Assumption'!AH10</f>
        <v>2032</v>
      </c>
    </row>
    <row r="8" spans="1:32">
      <c r="A8" s="208"/>
      <c r="B8" s="443">
        <f>Depreciation!D8</f>
        <v>37620.5</v>
      </c>
      <c r="C8" s="443">
        <f>Depreciation!E8</f>
        <v>37985.75</v>
      </c>
      <c r="D8" s="443">
        <f>Depreciation!F8</f>
        <v>38351</v>
      </c>
      <c r="E8" s="443">
        <f>Depreciation!G8</f>
        <v>38716.25</v>
      </c>
      <c r="F8" s="443">
        <f>Depreciation!H8</f>
        <v>39081.5</v>
      </c>
      <c r="G8" s="443">
        <f>Depreciation!I8</f>
        <v>39446.75</v>
      </c>
      <c r="H8" s="443">
        <f>Depreciation!J8</f>
        <v>39812</v>
      </c>
      <c r="I8" s="443">
        <f>Depreciation!K8</f>
        <v>40177.25</v>
      </c>
      <c r="J8" s="443">
        <f>Depreciation!L8</f>
        <v>40542.5</v>
      </c>
      <c r="K8" s="443">
        <f>Depreciation!M8</f>
        <v>40907.75</v>
      </c>
      <c r="L8" s="443">
        <f>Depreciation!N8</f>
        <v>41273</v>
      </c>
      <c r="M8" s="443">
        <f>Depreciation!O8</f>
        <v>41638.25</v>
      </c>
      <c r="N8" s="443">
        <f>Depreciation!P8</f>
        <v>42003.5</v>
      </c>
      <c r="O8" s="443">
        <f>Depreciation!Q8</f>
        <v>42368.75</v>
      </c>
      <c r="P8" s="443">
        <f>Depreciation!R8</f>
        <v>42734</v>
      </c>
      <c r="Q8" s="443">
        <f>Depreciation!S8</f>
        <v>43099.25</v>
      </c>
      <c r="R8" s="443">
        <f>Depreciation!T8</f>
        <v>43464.5</v>
      </c>
      <c r="S8" s="443">
        <f>Depreciation!U8</f>
        <v>43829.75</v>
      </c>
      <c r="T8" s="443">
        <f>Depreciation!V8</f>
        <v>44195</v>
      </c>
      <c r="U8" s="443">
        <f>Depreciation!W8</f>
        <v>44560.25</v>
      </c>
      <c r="V8" s="443">
        <f>Depreciation!X8</f>
        <v>44925.5</v>
      </c>
      <c r="W8" s="443">
        <f>Depreciation!Y8</f>
        <v>45290.75</v>
      </c>
      <c r="X8" s="443">
        <f>Depreciation!Z8</f>
        <v>45656</v>
      </c>
      <c r="Y8" s="443">
        <f>Depreciation!AA8</f>
        <v>46021.25</v>
      </c>
      <c r="Z8" s="443">
        <f>Depreciation!AB8</f>
        <v>46386.5</v>
      </c>
      <c r="AA8" s="443">
        <f>Depreciation!AC8</f>
        <v>46751.75</v>
      </c>
      <c r="AB8" s="443">
        <f>Depreciation!AD8</f>
        <v>47117</v>
      </c>
      <c r="AC8" s="443">
        <f>Depreciation!AE8</f>
        <v>47482.25</v>
      </c>
      <c r="AD8" s="443">
        <f>Depreciation!AF8</f>
        <v>47847.5</v>
      </c>
      <c r="AE8" s="443">
        <f>Depreciation!AG8</f>
        <v>48212.75</v>
      </c>
      <c r="AF8" s="443">
        <f>Depreciation!AH8</f>
        <v>48578</v>
      </c>
    </row>
    <row r="9" spans="1:32">
      <c r="A9" s="210" t="s">
        <v>125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</row>
    <row r="10" spans="1:32">
      <c r="A10" s="210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</row>
    <row r="11" spans="1:32">
      <c r="A11" s="210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</row>
    <row r="12" spans="1:32" ht="13.5">
      <c r="A12" s="25" t="s">
        <v>126</v>
      </c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</row>
    <row r="13" spans="1:32">
      <c r="A13" s="23" t="s">
        <v>127</v>
      </c>
      <c r="B13" s="21">
        <f>IS!C51</f>
        <v>-131.24657671945215</v>
      </c>
      <c r="C13" s="21">
        <f>IS!D51</f>
        <v>-3108.1550848336237</v>
      </c>
      <c r="D13" s="21">
        <f>IS!E51</f>
        <v>-8551.1669847947342</v>
      </c>
      <c r="E13" s="21">
        <f>IS!F51</f>
        <v>-1488.3073249273393</v>
      </c>
      <c r="F13" s="21">
        <f>IS!G51</f>
        <v>-729.88544411372368</v>
      </c>
      <c r="G13" s="21">
        <f>IS!H51</f>
        <v>-310.81903816570684</v>
      </c>
      <c r="H13" s="21">
        <f>IS!I51</f>
        <v>104.69707185013885</v>
      </c>
      <c r="I13" s="21">
        <f>IS!J51</f>
        <v>516.35206515549453</v>
      </c>
      <c r="J13" s="21">
        <f>IS!K51</f>
        <v>1171.8831447012954</v>
      </c>
      <c r="K13" s="21">
        <f>IS!L51</f>
        <v>1582.2628831604388</v>
      </c>
      <c r="L13" s="21">
        <f>IS!M51</f>
        <v>2251.1475043821401</v>
      </c>
      <c r="M13" s="21">
        <f>IS!N51</f>
        <v>2659.7211130011628</v>
      </c>
      <c r="N13" s="21">
        <f>IS!O51</f>
        <v>3342.3056982538328</v>
      </c>
      <c r="O13" s="21">
        <f>IS!P51</f>
        <v>3748.4823711424997</v>
      </c>
      <c r="P13" s="21">
        <f>IS!Q51</f>
        <v>4148.905246031014</v>
      </c>
      <c r="Q13" s="21">
        <f>IS!R51</f>
        <v>4543.1428927767347</v>
      </c>
      <c r="R13" s="21">
        <f>IS!S51</f>
        <v>4930.7431738466539</v>
      </c>
      <c r="S13" s="21">
        <f>IS!T51</f>
        <v>5311.2323901611217</v>
      </c>
      <c r="T13" s="21">
        <f>IS!U51</f>
        <v>5684.1143943248117</v>
      </c>
      <c r="U13" s="21">
        <f>IS!V51</f>
        <v>6048.8696700569444</v>
      </c>
      <c r="V13" s="21">
        <f>IS!W51</f>
        <v>6773.087709924198</v>
      </c>
      <c r="W13" s="21">
        <f>IS!X51</f>
        <v>7226.4002615017434</v>
      </c>
      <c r="X13" s="21">
        <f>IS!Y51</f>
        <v>7260.2286869409654</v>
      </c>
      <c r="Y13" s="21">
        <f>IS!Z51</f>
        <v>7291.358333501661</v>
      </c>
      <c r="Z13" s="21">
        <f>IS!AA51</f>
        <v>7319.70823781744</v>
      </c>
      <c r="AA13" s="21">
        <f>IS!AB51</f>
        <v>7345.1950076209705</v>
      </c>
      <c r="AB13" s="21">
        <f>IS!AC51</f>
        <v>7367.7327488768842</v>
      </c>
      <c r="AC13" s="21">
        <f>IS!AD51</f>
        <v>7387.2329907287767</v>
      </c>
      <c r="AD13" s="21">
        <f>IS!AE51</f>
        <v>7403.6046081944824</v>
      </c>
      <c r="AE13" s="21">
        <f>IS!AF51</f>
        <v>7416.7537425424416</v>
      </c>
      <c r="AF13" s="21">
        <f>IS!AG51</f>
        <v>12357.548719279121</v>
      </c>
    </row>
    <row r="14" spans="1:32">
      <c r="A14" s="23" t="s">
        <v>128</v>
      </c>
      <c r="B14" s="21">
        <f>IS!C45</f>
        <v>2559.6733333333332</v>
      </c>
      <c r="C14" s="21">
        <f>IS!D45</f>
        <v>5483.165</v>
      </c>
      <c r="D14" s="21">
        <f>IS!E45</f>
        <v>5483.165</v>
      </c>
      <c r="E14" s="21">
        <f>IS!F45</f>
        <v>5483.165</v>
      </c>
      <c r="F14" s="21">
        <f>IS!G45</f>
        <v>5483.165</v>
      </c>
      <c r="G14" s="21">
        <f>IS!H45</f>
        <v>5483.165</v>
      </c>
      <c r="H14" s="21">
        <f>IS!I45</f>
        <v>5483.165</v>
      </c>
      <c r="I14" s="21">
        <f>IS!J45</f>
        <v>5483.165</v>
      </c>
      <c r="J14" s="21">
        <f>IS!K45</f>
        <v>5483.165</v>
      </c>
      <c r="K14" s="21">
        <f>IS!L45</f>
        <v>5483.165</v>
      </c>
      <c r="L14" s="21">
        <f>IS!M45</f>
        <v>5483.165</v>
      </c>
      <c r="M14" s="21">
        <f>IS!N45</f>
        <v>5483.165</v>
      </c>
      <c r="N14" s="21">
        <f>IS!O45</f>
        <v>5483.165</v>
      </c>
      <c r="O14" s="21">
        <f>IS!P45</f>
        <v>5483.165</v>
      </c>
      <c r="P14" s="21">
        <f>IS!Q45</f>
        <v>5483.165</v>
      </c>
      <c r="Q14" s="21">
        <f>IS!R45</f>
        <v>5483.165</v>
      </c>
      <c r="R14" s="21">
        <f>IS!S45</f>
        <v>5483.165</v>
      </c>
      <c r="S14" s="21">
        <f>IS!T45</f>
        <v>5483.165</v>
      </c>
      <c r="T14" s="21">
        <f>IS!U45</f>
        <v>5483.165</v>
      </c>
      <c r="U14" s="21">
        <f>IS!V45</f>
        <v>5483.165</v>
      </c>
      <c r="V14" s="21">
        <f>IS!W45</f>
        <v>5115.0316666666668</v>
      </c>
      <c r="W14" s="21">
        <f>IS!X45</f>
        <v>4930.9650000000001</v>
      </c>
      <c r="X14" s="21">
        <f>IS!Y45</f>
        <v>4930.9650000000001</v>
      </c>
      <c r="Y14" s="21">
        <f>IS!Z45</f>
        <v>4930.9650000000001</v>
      </c>
      <c r="Z14" s="21">
        <f>IS!AA45</f>
        <v>4930.9650000000001</v>
      </c>
      <c r="AA14" s="21">
        <f>IS!AB45</f>
        <v>4930.9650000000001</v>
      </c>
      <c r="AB14" s="21">
        <f>IS!AC45</f>
        <v>4930.9650000000001</v>
      </c>
      <c r="AC14" s="21">
        <f>IS!AD45</f>
        <v>4930.9650000000001</v>
      </c>
      <c r="AD14" s="21">
        <f>IS!AE45</f>
        <v>4930.9650000000001</v>
      </c>
      <c r="AE14" s="21">
        <f>IS!AF45</f>
        <v>4930.9650000000001</v>
      </c>
      <c r="AF14" s="21">
        <f>IS!AG45</f>
        <v>0</v>
      </c>
    </row>
    <row r="15" spans="1:32" ht="15">
      <c r="A15" s="23" t="s">
        <v>129</v>
      </c>
      <c r="B15" s="212">
        <f>-Depreciation!D31</f>
        <v>-5846.9833333333336</v>
      </c>
      <c r="C15" s="212">
        <f>-Depreciation!E31</f>
        <v>-10962.015000000001</v>
      </c>
      <c r="D15" s="212">
        <f>-Depreciation!F31</f>
        <v>-9921.0335000000014</v>
      </c>
      <c r="E15" s="212">
        <f>-Depreciation!G31</f>
        <v>-8989.6290000000008</v>
      </c>
      <c r="F15" s="212">
        <f>-Depreciation!H31</f>
        <v>-8145.8860999999997</v>
      </c>
      <c r="G15" s="212">
        <f>-Depreciation!I31</f>
        <v>-7378.8471</v>
      </c>
      <c r="H15" s="212">
        <f>-Depreciation!J31</f>
        <v>-7017.2429999999995</v>
      </c>
      <c r="I15" s="212">
        <f>-Depreciation!K31</f>
        <v>-7028.2006999999994</v>
      </c>
      <c r="J15" s="212">
        <f>-Depreciation!L31</f>
        <v>-7017.2429999999995</v>
      </c>
      <c r="K15" s="212">
        <f>-Depreciation!M31</f>
        <v>-7028.2006999999994</v>
      </c>
      <c r="L15" s="212">
        <f>-Depreciation!N31</f>
        <v>-7017.2429999999995</v>
      </c>
      <c r="M15" s="212">
        <f>-Depreciation!O31</f>
        <v>-7028.2006999999994</v>
      </c>
      <c r="N15" s="212">
        <f>-Depreciation!P31</f>
        <v>-7017.2429999999995</v>
      </c>
      <c r="O15" s="212">
        <f>-Depreciation!Q31</f>
        <v>-7028.2006999999994</v>
      </c>
      <c r="P15" s="212">
        <f>-Depreciation!R31</f>
        <v>-7017.2429999999995</v>
      </c>
      <c r="Q15" s="212">
        <f>-Depreciation!S31</f>
        <v>-3784.7214999999997</v>
      </c>
      <c r="R15" s="212">
        <f>-Depreciation!T31</f>
        <v>-552.20000000000005</v>
      </c>
      <c r="S15" s="212">
        <f>-Depreciation!U31</f>
        <v>-552.20000000000005</v>
      </c>
      <c r="T15" s="212">
        <f>-Depreciation!V31</f>
        <v>-552.20000000000005</v>
      </c>
      <c r="U15" s="212">
        <f>-Depreciation!W31</f>
        <v>-552.20000000000005</v>
      </c>
      <c r="V15" s="212">
        <f>-Depreciation!X31</f>
        <v>-184.06666666666669</v>
      </c>
      <c r="W15" s="212">
        <f>-Depreciation!Y31</f>
        <v>0</v>
      </c>
      <c r="X15" s="212">
        <f>-Depreciation!Z31</f>
        <v>0</v>
      </c>
      <c r="Y15" s="212">
        <f>-Depreciation!AA31</f>
        <v>0</v>
      </c>
      <c r="Z15" s="212">
        <f>-Depreciation!AB31</f>
        <v>0</v>
      </c>
      <c r="AA15" s="212">
        <f>-Depreciation!AC31</f>
        <v>0</v>
      </c>
      <c r="AB15" s="212">
        <f>-Depreciation!AD31</f>
        <v>0</v>
      </c>
      <c r="AC15" s="212">
        <f>-Depreciation!AE31</f>
        <v>0</v>
      </c>
      <c r="AD15" s="212">
        <f>-Depreciation!AF31</f>
        <v>0</v>
      </c>
      <c r="AE15" s="212">
        <f>-Depreciation!AG31</f>
        <v>0</v>
      </c>
      <c r="AF15" s="212">
        <f>-Depreciation!AH31</f>
        <v>0</v>
      </c>
    </row>
    <row r="16" spans="1:32">
      <c r="A16" s="211" t="s">
        <v>130</v>
      </c>
      <c r="B16" s="26">
        <f>SUM(B13:B15)</f>
        <v>-3418.5565767194526</v>
      </c>
      <c r="C16" s="26">
        <f t="shared" ref="C16:W16" si="0">SUM(C13:C15)</f>
        <v>-8587.005084833625</v>
      </c>
      <c r="D16" s="26">
        <f t="shared" si="0"/>
        <v>-12989.035484794735</v>
      </c>
      <c r="E16" s="26">
        <f t="shared" si="0"/>
        <v>-4994.7713249273402</v>
      </c>
      <c r="F16" s="26">
        <f t="shared" si="0"/>
        <v>-3392.6065441137234</v>
      </c>
      <c r="G16" s="26">
        <f t="shared" si="0"/>
        <v>-2206.5011381657068</v>
      </c>
      <c r="H16" s="26">
        <f t="shared" si="0"/>
        <v>-1429.3809281498607</v>
      </c>
      <c r="I16" s="26">
        <f t="shared" si="0"/>
        <v>-1028.6836348445049</v>
      </c>
      <c r="J16" s="26">
        <f t="shared" si="0"/>
        <v>-362.19485529870417</v>
      </c>
      <c r="K16" s="26">
        <f t="shared" si="0"/>
        <v>37.227183160439381</v>
      </c>
      <c r="L16" s="26">
        <f t="shared" si="0"/>
        <v>717.06950438214062</v>
      </c>
      <c r="M16" s="26">
        <f t="shared" si="0"/>
        <v>1114.6854130011634</v>
      </c>
      <c r="N16" s="26">
        <f t="shared" si="0"/>
        <v>1808.2276982538342</v>
      </c>
      <c r="O16" s="26">
        <f t="shared" si="0"/>
        <v>2203.4466711424993</v>
      </c>
      <c r="P16" s="26">
        <f t="shared" si="0"/>
        <v>2614.8272460310136</v>
      </c>
      <c r="Q16" s="26">
        <f t="shared" si="0"/>
        <v>6241.586392776735</v>
      </c>
      <c r="R16" s="26">
        <f t="shared" si="0"/>
        <v>9861.7081738466532</v>
      </c>
      <c r="S16" s="26">
        <f t="shared" si="0"/>
        <v>10242.19739016112</v>
      </c>
      <c r="T16" s="26">
        <f t="shared" si="0"/>
        <v>10615.07939432481</v>
      </c>
      <c r="U16" s="26">
        <f t="shared" si="0"/>
        <v>10979.834670056944</v>
      </c>
      <c r="V16" s="26">
        <f t="shared" si="0"/>
        <v>11704.052709924197</v>
      </c>
      <c r="W16" s="26">
        <f t="shared" si="0"/>
        <v>12157.365261501744</v>
      </c>
      <c r="X16" s="26">
        <f t="shared" ref="X16:AF16" si="1">SUM(X13:X15)</f>
        <v>12191.193686940966</v>
      </c>
      <c r="Y16" s="26">
        <f t="shared" si="1"/>
        <v>12222.323333501661</v>
      </c>
      <c r="Z16" s="26">
        <f t="shared" si="1"/>
        <v>12250.67323781744</v>
      </c>
      <c r="AA16" s="26">
        <f t="shared" si="1"/>
        <v>12276.160007620971</v>
      </c>
      <c r="AB16" s="26">
        <f t="shared" si="1"/>
        <v>12298.697748876884</v>
      </c>
      <c r="AC16" s="26">
        <f t="shared" si="1"/>
        <v>12318.197990728777</v>
      </c>
      <c r="AD16" s="26">
        <f t="shared" si="1"/>
        <v>12334.569608194482</v>
      </c>
      <c r="AE16" s="26">
        <f t="shared" si="1"/>
        <v>12347.718742542442</v>
      </c>
      <c r="AF16" s="26">
        <f t="shared" si="1"/>
        <v>12357.548719279121</v>
      </c>
    </row>
    <row r="17" spans="1:32">
      <c r="A17" s="23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</row>
    <row r="18" spans="1:32">
      <c r="A18" s="23" t="s">
        <v>130</v>
      </c>
      <c r="B18" s="21">
        <f>B16</f>
        <v>-3418.5565767194526</v>
      </c>
      <c r="C18" s="21">
        <f t="shared" ref="C18:V18" si="2">C16</f>
        <v>-8587.005084833625</v>
      </c>
      <c r="D18" s="21">
        <f t="shared" si="2"/>
        <v>-12989.035484794735</v>
      </c>
      <c r="E18" s="21">
        <f t="shared" si="2"/>
        <v>-4994.7713249273402</v>
      </c>
      <c r="F18" s="21">
        <f t="shared" si="2"/>
        <v>-3392.6065441137234</v>
      </c>
      <c r="G18" s="21">
        <f t="shared" si="2"/>
        <v>-2206.5011381657068</v>
      </c>
      <c r="H18" s="21">
        <f t="shared" si="2"/>
        <v>-1429.3809281498607</v>
      </c>
      <c r="I18" s="21">
        <f t="shared" si="2"/>
        <v>-1028.6836348445049</v>
      </c>
      <c r="J18" s="21">
        <f t="shared" si="2"/>
        <v>-362.19485529870417</v>
      </c>
      <c r="K18" s="21">
        <f t="shared" si="2"/>
        <v>37.227183160439381</v>
      </c>
      <c r="L18" s="21">
        <f t="shared" si="2"/>
        <v>717.06950438214062</v>
      </c>
      <c r="M18" s="21">
        <f t="shared" si="2"/>
        <v>1114.6854130011634</v>
      </c>
      <c r="N18" s="21">
        <f t="shared" si="2"/>
        <v>1808.2276982538342</v>
      </c>
      <c r="O18" s="21">
        <f t="shared" si="2"/>
        <v>2203.4466711424993</v>
      </c>
      <c r="P18" s="21">
        <f t="shared" si="2"/>
        <v>2614.8272460310136</v>
      </c>
      <c r="Q18" s="21">
        <f t="shared" si="2"/>
        <v>6241.586392776735</v>
      </c>
      <c r="R18" s="21">
        <f t="shared" si="2"/>
        <v>9861.7081738466532</v>
      </c>
      <c r="S18" s="21">
        <f t="shared" si="2"/>
        <v>10242.19739016112</v>
      </c>
      <c r="T18" s="21">
        <f t="shared" si="2"/>
        <v>10615.07939432481</v>
      </c>
      <c r="U18" s="21">
        <f t="shared" si="2"/>
        <v>10979.834670056944</v>
      </c>
      <c r="V18" s="21">
        <f t="shared" si="2"/>
        <v>11704.052709924197</v>
      </c>
      <c r="W18" s="21">
        <f>W16</f>
        <v>12157.365261501744</v>
      </c>
      <c r="X18" s="21">
        <f t="shared" ref="X18:AF18" si="3">X16</f>
        <v>12191.193686940966</v>
      </c>
      <c r="Y18" s="21">
        <f t="shared" si="3"/>
        <v>12222.323333501661</v>
      </c>
      <c r="Z18" s="21">
        <f t="shared" si="3"/>
        <v>12250.67323781744</v>
      </c>
      <c r="AA18" s="21">
        <f t="shared" si="3"/>
        <v>12276.160007620971</v>
      </c>
      <c r="AB18" s="21">
        <f t="shared" si="3"/>
        <v>12298.697748876884</v>
      </c>
      <c r="AC18" s="21">
        <f t="shared" si="3"/>
        <v>12318.197990728777</v>
      </c>
      <c r="AD18" s="21">
        <f t="shared" si="3"/>
        <v>12334.569608194482</v>
      </c>
      <c r="AE18" s="21">
        <f t="shared" si="3"/>
        <v>12347.718742542442</v>
      </c>
      <c r="AF18" s="21">
        <f t="shared" si="3"/>
        <v>12357.548719279121</v>
      </c>
    </row>
    <row r="19" spans="1:32">
      <c r="A19" s="23" t="s">
        <v>199</v>
      </c>
      <c r="B19" s="213">
        <f>Assumptions!$O$56</f>
        <v>0.06</v>
      </c>
      <c r="C19" s="213">
        <f>Assumptions!$O$56</f>
        <v>0.06</v>
      </c>
      <c r="D19" s="213">
        <f>Assumptions!$O$56</f>
        <v>0.06</v>
      </c>
      <c r="E19" s="213">
        <f>Assumptions!$O$56</f>
        <v>0.06</v>
      </c>
      <c r="F19" s="213">
        <f>Assumptions!$O$56</f>
        <v>0.06</v>
      </c>
      <c r="G19" s="213">
        <f>Assumptions!$O$56</f>
        <v>0.06</v>
      </c>
      <c r="H19" s="213">
        <f>Assumptions!$O$56</f>
        <v>0.06</v>
      </c>
      <c r="I19" s="213">
        <f>Assumptions!$O$56</f>
        <v>0.06</v>
      </c>
      <c r="J19" s="213">
        <f>Assumptions!$O$56</f>
        <v>0.06</v>
      </c>
      <c r="K19" s="213">
        <f>Assumptions!$O$56</f>
        <v>0.06</v>
      </c>
      <c r="L19" s="213">
        <f>Assumptions!$O$56</f>
        <v>0.06</v>
      </c>
      <c r="M19" s="213">
        <f>Assumptions!$O$56</f>
        <v>0.06</v>
      </c>
      <c r="N19" s="213">
        <f>Assumptions!$O$56</f>
        <v>0.06</v>
      </c>
      <c r="O19" s="213">
        <f>Assumptions!$O$56</f>
        <v>0.06</v>
      </c>
      <c r="P19" s="213">
        <f>Assumptions!$O$56</f>
        <v>0.06</v>
      </c>
      <c r="Q19" s="213">
        <f>Assumptions!$O$56</f>
        <v>0.06</v>
      </c>
      <c r="R19" s="213">
        <f>Assumptions!$O$56</f>
        <v>0.06</v>
      </c>
      <c r="S19" s="213">
        <f>Assumptions!$O$56</f>
        <v>0.06</v>
      </c>
      <c r="T19" s="213">
        <f>Assumptions!$O$56</f>
        <v>0.06</v>
      </c>
      <c r="U19" s="213">
        <f>Assumptions!$O$56</f>
        <v>0.06</v>
      </c>
      <c r="V19" s="213">
        <f>Assumptions!$O$56</f>
        <v>0.06</v>
      </c>
      <c r="W19" s="213">
        <f>Assumptions!$O$56</f>
        <v>0.06</v>
      </c>
      <c r="X19" s="213">
        <f>Assumptions!$O$56</f>
        <v>0.06</v>
      </c>
      <c r="Y19" s="213">
        <f>Assumptions!$O$56</f>
        <v>0.06</v>
      </c>
      <c r="Z19" s="213">
        <f>Assumptions!$O$56</f>
        <v>0.06</v>
      </c>
      <c r="AA19" s="213">
        <f>Assumptions!$O$56</f>
        <v>0.06</v>
      </c>
      <c r="AB19" s="213">
        <f>Assumptions!$O$56</f>
        <v>0.06</v>
      </c>
      <c r="AC19" s="213">
        <f>Assumptions!$O$56</f>
        <v>0.06</v>
      </c>
      <c r="AD19" s="213">
        <f>Assumptions!$O$56</f>
        <v>0.06</v>
      </c>
      <c r="AE19" s="213">
        <f>Assumptions!$O$56</f>
        <v>0.06</v>
      </c>
      <c r="AF19" s="213">
        <f>Assumptions!$O$56</f>
        <v>0.06</v>
      </c>
    </row>
    <row r="20" spans="1:32">
      <c r="A20" s="23" t="s">
        <v>131</v>
      </c>
      <c r="B20" s="21">
        <f>B18*B19</f>
        <v>-205.11339460316714</v>
      </c>
      <c r="C20" s="21">
        <f t="shared" ref="C20:W20" si="4">C18*C19</f>
        <v>-515.22030509001752</v>
      </c>
      <c r="D20" s="21">
        <f t="shared" si="4"/>
        <v>-779.34212908768404</v>
      </c>
      <c r="E20" s="21">
        <f t="shared" si="4"/>
        <v>-299.68627949564041</v>
      </c>
      <c r="F20" s="21">
        <f t="shared" si="4"/>
        <v>-203.55639264682341</v>
      </c>
      <c r="G20" s="21">
        <f t="shared" si="4"/>
        <v>-132.39006828994241</v>
      </c>
      <c r="H20" s="21">
        <f t="shared" si="4"/>
        <v>-85.762855688991635</v>
      </c>
      <c r="I20" s="21">
        <f t="shared" si="4"/>
        <v>-61.721018090670292</v>
      </c>
      <c r="J20" s="21">
        <f t="shared" si="4"/>
        <v>-21.731691317922248</v>
      </c>
      <c r="K20" s="21">
        <f t="shared" si="4"/>
        <v>2.2336309896263629</v>
      </c>
      <c r="L20" s="21">
        <f t="shared" si="4"/>
        <v>43.024170262928436</v>
      </c>
      <c r="M20" s="21">
        <f t="shared" si="4"/>
        <v>66.881124780069797</v>
      </c>
      <c r="N20" s="21">
        <f t="shared" si="4"/>
        <v>108.49366189523005</v>
      </c>
      <c r="O20" s="21">
        <f t="shared" si="4"/>
        <v>132.20680026854996</v>
      </c>
      <c r="P20" s="21">
        <f t="shared" si="4"/>
        <v>156.8896347618608</v>
      </c>
      <c r="Q20" s="21">
        <f t="shared" si="4"/>
        <v>374.49518356660411</v>
      </c>
      <c r="R20" s="21">
        <f t="shared" si="4"/>
        <v>591.70249043079912</v>
      </c>
      <c r="S20" s="21">
        <f t="shared" si="4"/>
        <v>614.5318434096672</v>
      </c>
      <c r="T20" s="21">
        <f t="shared" si="4"/>
        <v>636.90476365948859</v>
      </c>
      <c r="U20" s="21">
        <f t="shared" si="4"/>
        <v>658.79008020341655</v>
      </c>
      <c r="V20" s="21">
        <f t="shared" si="4"/>
        <v>702.24316259545185</v>
      </c>
      <c r="W20" s="21">
        <f t="shared" si="4"/>
        <v>729.44191569010457</v>
      </c>
      <c r="X20" s="21">
        <f t="shared" ref="X20:AF20" si="5">X18*X19</f>
        <v>731.47162121645795</v>
      </c>
      <c r="Y20" s="21">
        <f t="shared" si="5"/>
        <v>733.33940001009967</v>
      </c>
      <c r="Z20" s="21">
        <f t="shared" si="5"/>
        <v>735.04039426904637</v>
      </c>
      <c r="AA20" s="21">
        <f t="shared" si="5"/>
        <v>736.56960045725816</v>
      </c>
      <c r="AB20" s="21">
        <f t="shared" si="5"/>
        <v>737.92186493261306</v>
      </c>
      <c r="AC20" s="21">
        <f t="shared" si="5"/>
        <v>739.09187944372661</v>
      </c>
      <c r="AD20" s="21">
        <f t="shared" si="5"/>
        <v>740.07417649166894</v>
      </c>
      <c r="AE20" s="21">
        <f t="shared" si="5"/>
        <v>740.86312455254642</v>
      </c>
      <c r="AF20" s="21">
        <f t="shared" si="5"/>
        <v>741.45292315674726</v>
      </c>
    </row>
    <row r="21" spans="1:32">
      <c r="A21" s="23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</row>
    <row r="22" spans="1:32">
      <c r="A22" s="23" t="s">
        <v>132</v>
      </c>
      <c r="B22" s="21">
        <v>0</v>
      </c>
      <c r="C22" s="21">
        <f>B26</f>
        <v>205.11339460316714</v>
      </c>
      <c r="D22" s="21">
        <f t="shared" ref="D22:W22" si="6">C26</f>
        <v>720.3336996931846</v>
      </c>
      <c r="E22" s="21">
        <f t="shared" si="6"/>
        <v>1499.6758287808686</v>
      </c>
      <c r="F22" s="21">
        <f t="shared" si="6"/>
        <v>1799.3621082765089</v>
      </c>
      <c r="G22" s="21">
        <f t="shared" si="6"/>
        <v>2002.9185009233324</v>
      </c>
      <c r="H22" s="21">
        <f t="shared" si="6"/>
        <v>2135.308569213275</v>
      </c>
      <c r="I22" s="21">
        <f t="shared" si="6"/>
        <v>2221.0714249022667</v>
      </c>
      <c r="J22" s="21">
        <f t="shared" si="6"/>
        <v>2282.7924429929371</v>
      </c>
      <c r="K22" s="21">
        <f t="shared" si="6"/>
        <v>2304.5241343108596</v>
      </c>
      <c r="L22" s="21">
        <f t="shared" si="6"/>
        <v>2302.2905033212332</v>
      </c>
      <c r="M22" s="21">
        <f t="shared" si="6"/>
        <v>2259.266333058305</v>
      </c>
      <c r="N22" s="21">
        <f t="shared" si="6"/>
        <v>2192.385208278235</v>
      </c>
      <c r="O22" s="21">
        <f t="shared" si="6"/>
        <v>2083.8915463830049</v>
      </c>
      <c r="P22" s="21">
        <f>O26</f>
        <v>1951.6847461144548</v>
      </c>
      <c r="Q22" s="21">
        <f t="shared" si="6"/>
        <v>1794.7951113525939</v>
      </c>
      <c r="R22" s="21">
        <f t="shared" si="6"/>
        <v>1420.2999277859899</v>
      </c>
      <c r="S22" s="21">
        <f t="shared" si="6"/>
        <v>828.59743735519078</v>
      </c>
      <c r="T22" s="21">
        <v>0</v>
      </c>
      <c r="U22" s="21">
        <f t="shared" si="6"/>
        <v>0</v>
      </c>
      <c r="V22" s="21">
        <f t="shared" si="6"/>
        <v>0</v>
      </c>
      <c r="W22" s="21">
        <f t="shared" si="6"/>
        <v>0</v>
      </c>
      <c r="X22" s="21">
        <f t="shared" ref="X22:AF22" si="7">W26</f>
        <v>0</v>
      </c>
      <c r="Y22" s="21">
        <f t="shared" si="7"/>
        <v>0</v>
      </c>
      <c r="Z22" s="21">
        <f t="shared" si="7"/>
        <v>0</v>
      </c>
      <c r="AA22" s="21">
        <f t="shared" si="7"/>
        <v>0</v>
      </c>
      <c r="AB22" s="21">
        <f t="shared" si="7"/>
        <v>0</v>
      </c>
      <c r="AC22" s="21">
        <f t="shared" si="7"/>
        <v>0</v>
      </c>
      <c r="AD22" s="21">
        <f t="shared" si="7"/>
        <v>0</v>
      </c>
      <c r="AE22" s="21">
        <f t="shared" si="7"/>
        <v>0</v>
      </c>
      <c r="AF22" s="21">
        <f t="shared" si="7"/>
        <v>0</v>
      </c>
    </row>
    <row r="23" spans="1:32">
      <c r="A23" s="23" t="s">
        <v>133</v>
      </c>
      <c r="B23" s="226">
        <f>IF(B20&lt;0,-B20,0)</f>
        <v>205.11339460316714</v>
      </c>
      <c r="C23" s="226">
        <f t="shared" ref="C23:W23" si="8">IF(C20&lt;0,-C20,0)</f>
        <v>515.22030509001752</v>
      </c>
      <c r="D23" s="226">
        <f t="shared" si="8"/>
        <v>779.34212908768404</v>
      </c>
      <c r="E23" s="226">
        <f t="shared" si="8"/>
        <v>299.68627949564041</v>
      </c>
      <c r="F23" s="226">
        <f t="shared" si="8"/>
        <v>203.55639264682341</v>
      </c>
      <c r="G23" s="226">
        <f t="shared" si="8"/>
        <v>132.39006828994241</v>
      </c>
      <c r="H23" s="226">
        <f t="shared" si="8"/>
        <v>85.762855688991635</v>
      </c>
      <c r="I23" s="226">
        <f t="shared" si="8"/>
        <v>61.721018090670292</v>
      </c>
      <c r="J23" s="226">
        <f t="shared" si="8"/>
        <v>21.731691317922248</v>
      </c>
      <c r="K23" s="226">
        <f t="shared" si="8"/>
        <v>0</v>
      </c>
      <c r="L23" s="226">
        <f t="shared" si="8"/>
        <v>0</v>
      </c>
      <c r="M23" s="226">
        <f t="shared" si="8"/>
        <v>0</v>
      </c>
      <c r="N23" s="226">
        <f t="shared" si="8"/>
        <v>0</v>
      </c>
      <c r="O23" s="226">
        <f t="shared" si="8"/>
        <v>0</v>
      </c>
      <c r="P23" s="226">
        <f t="shared" si="8"/>
        <v>0</v>
      </c>
      <c r="Q23" s="226">
        <f t="shared" si="8"/>
        <v>0</v>
      </c>
      <c r="R23" s="226">
        <f t="shared" si="8"/>
        <v>0</v>
      </c>
      <c r="S23" s="226">
        <f t="shared" si="8"/>
        <v>0</v>
      </c>
      <c r="T23" s="226">
        <f t="shared" si="8"/>
        <v>0</v>
      </c>
      <c r="U23" s="226">
        <f t="shared" si="8"/>
        <v>0</v>
      </c>
      <c r="V23" s="226">
        <f t="shared" si="8"/>
        <v>0</v>
      </c>
      <c r="W23" s="226">
        <f t="shared" si="8"/>
        <v>0</v>
      </c>
      <c r="X23" s="226">
        <f t="shared" ref="X23:AF23" si="9">IF(X20&lt;0,-X20,0)</f>
        <v>0</v>
      </c>
      <c r="Y23" s="226">
        <f t="shared" si="9"/>
        <v>0</v>
      </c>
      <c r="Z23" s="226">
        <f t="shared" si="9"/>
        <v>0</v>
      </c>
      <c r="AA23" s="226">
        <f t="shared" si="9"/>
        <v>0</v>
      </c>
      <c r="AB23" s="226">
        <f t="shared" si="9"/>
        <v>0</v>
      </c>
      <c r="AC23" s="226">
        <f t="shared" si="9"/>
        <v>0</v>
      </c>
      <c r="AD23" s="226">
        <f t="shared" si="9"/>
        <v>0</v>
      </c>
      <c r="AE23" s="226">
        <f t="shared" si="9"/>
        <v>0</v>
      </c>
      <c r="AF23" s="226">
        <f t="shared" si="9"/>
        <v>0</v>
      </c>
    </row>
    <row r="24" spans="1:32">
      <c r="A24" s="23" t="s">
        <v>134</v>
      </c>
      <c r="B24" s="214">
        <v>0</v>
      </c>
      <c r="C24" s="214">
        <v>0</v>
      </c>
      <c r="D24" s="214">
        <v>0</v>
      </c>
      <c r="E24" s="214">
        <v>0</v>
      </c>
      <c r="F24" s="214">
        <v>0</v>
      </c>
      <c r="G24" s="214">
        <v>0</v>
      </c>
      <c r="H24" s="214">
        <v>0</v>
      </c>
      <c r="I24" s="214">
        <v>0</v>
      </c>
      <c r="J24" s="214">
        <v>0</v>
      </c>
      <c r="K24" s="214">
        <v>0</v>
      </c>
      <c r="L24" s="214">
        <v>0</v>
      </c>
      <c r="M24" s="214">
        <v>0</v>
      </c>
      <c r="N24" s="214">
        <v>0</v>
      </c>
      <c r="O24" s="214">
        <v>0</v>
      </c>
      <c r="P24" s="214">
        <v>0</v>
      </c>
      <c r="Q24" s="214">
        <v>0</v>
      </c>
      <c r="R24" s="214">
        <v>0</v>
      </c>
      <c r="S24" s="214">
        <v>0</v>
      </c>
      <c r="T24" s="214">
        <v>0</v>
      </c>
      <c r="U24" s="214">
        <v>0</v>
      </c>
      <c r="V24" s="21">
        <f>IF(N23&gt;(SUM(O25:U25)+SUM(N24:U24))*-1,N23-(SUM(N25:U25)+SUM(N24:U24))*-1,0)</f>
        <v>0</v>
      </c>
      <c r="W24" s="21">
        <f>IF(O23&gt;(SUM(P25:V25)+SUM(O24:V24))*-1,O23-(SUM(O25:V25)+SUM(O24:V24))*-1,0)</f>
        <v>0</v>
      </c>
      <c r="X24" s="21">
        <f t="shared" ref="X24:AE24" si="10">IF(P23&gt;(SUM(Q25:W25)+SUM(P24:W24))*-1,P23-(SUM(P25:W25)+SUM(P24:W24))*-1,0)</f>
        <v>0</v>
      </c>
      <c r="Y24" s="21">
        <f t="shared" si="10"/>
        <v>0</v>
      </c>
      <c r="Z24" s="21">
        <f t="shared" si="10"/>
        <v>0</v>
      </c>
      <c r="AA24" s="21">
        <f t="shared" si="10"/>
        <v>0</v>
      </c>
      <c r="AB24" s="21">
        <f t="shared" si="10"/>
        <v>0</v>
      </c>
      <c r="AC24" s="21">
        <f t="shared" si="10"/>
        <v>0</v>
      </c>
      <c r="AD24" s="21">
        <f t="shared" si="10"/>
        <v>0</v>
      </c>
      <c r="AE24" s="21">
        <f t="shared" si="10"/>
        <v>0</v>
      </c>
      <c r="AF24" s="21">
        <f>IF(X23&gt;(SUM(Y25:AE25)+SUM(X24:AE24))*-1,X23-(SUM(X25:AE25)+SUM(X24:AE24))*-1,0)</f>
        <v>0</v>
      </c>
    </row>
    <row r="25" spans="1:32">
      <c r="A25" s="15" t="s">
        <v>135</v>
      </c>
      <c r="B25" s="215">
        <f>IF(B20&lt;0,0,IF(B22&gt;B20,-B20,-B22))</f>
        <v>0</v>
      </c>
      <c r="C25" s="215">
        <f t="shared" ref="C25:V25" si="11">IF(C20&lt;0,0,IF(C22&gt;C20,-C20,-C22))</f>
        <v>0</v>
      </c>
      <c r="D25" s="215">
        <f t="shared" si="11"/>
        <v>0</v>
      </c>
      <c r="E25" s="215">
        <f t="shared" si="11"/>
        <v>0</v>
      </c>
      <c r="F25" s="215">
        <f t="shared" si="11"/>
        <v>0</v>
      </c>
      <c r="G25" s="215">
        <f t="shared" si="11"/>
        <v>0</v>
      </c>
      <c r="H25" s="215">
        <f t="shared" si="11"/>
        <v>0</v>
      </c>
      <c r="I25" s="215">
        <f t="shared" si="11"/>
        <v>0</v>
      </c>
      <c r="J25" s="215">
        <f t="shared" si="11"/>
        <v>0</v>
      </c>
      <c r="K25" s="215">
        <f t="shared" si="11"/>
        <v>-2.2336309896263629</v>
      </c>
      <c r="L25" s="215">
        <f t="shared" si="11"/>
        <v>-43.024170262928436</v>
      </c>
      <c r="M25" s="215">
        <f t="shared" si="11"/>
        <v>-66.881124780069797</v>
      </c>
      <c r="N25" s="215">
        <f t="shared" si="11"/>
        <v>-108.49366189523005</v>
      </c>
      <c r="O25" s="215">
        <f t="shared" si="11"/>
        <v>-132.20680026854996</v>
      </c>
      <c r="P25" s="215">
        <f t="shared" si="11"/>
        <v>-156.8896347618608</v>
      </c>
      <c r="Q25" s="215">
        <f t="shared" si="11"/>
        <v>-374.49518356660411</v>
      </c>
      <c r="R25" s="215">
        <f t="shared" si="11"/>
        <v>-591.70249043079912</v>
      </c>
      <c r="S25" s="215">
        <f t="shared" si="11"/>
        <v>-614.5318434096672</v>
      </c>
      <c r="T25" s="215">
        <f t="shared" si="11"/>
        <v>0</v>
      </c>
      <c r="U25" s="215">
        <f t="shared" si="11"/>
        <v>0</v>
      </c>
      <c r="V25" s="215">
        <f t="shared" si="11"/>
        <v>0</v>
      </c>
      <c r="W25" s="215">
        <f>IF(W20&lt;0,0,IF(W22&gt;W20,-W20,-W22))</f>
        <v>0</v>
      </c>
      <c r="X25" s="215">
        <f t="shared" ref="X25:AF25" si="12">IF(X20&lt;0,0,IF(X22&gt;X20,-X20,-X22))</f>
        <v>0</v>
      </c>
      <c r="Y25" s="215">
        <f t="shared" si="12"/>
        <v>0</v>
      </c>
      <c r="Z25" s="215">
        <f t="shared" si="12"/>
        <v>0</v>
      </c>
      <c r="AA25" s="215">
        <f t="shared" si="12"/>
        <v>0</v>
      </c>
      <c r="AB25" s="215">
        <f t="shared" si="12"/>
        <v>0</v>
      </c>
      <c r="AC25" s="215">
        <f t="shared" si="12"/>
        <v>0</v>
      </c>
      <c r="AD25" s="215">
        <f t="shared" si="12"/>
        <v>0</v>
      </c>
      <c r="AE25" s="215">
        <f t="shared" si="12"/>
        <v>0</v>
      </c>
      <c r="AF25" s="215">
        <f t="shared" si="12"/>
        <v>0</v>
      </c>
    </row>
    <row r="26" spans="1:32">
      <c r="A26" s="15" t="s">
        <v>136</v>
      </c>
      <c r="B26" s="215">
        <f t="shared" ref="B26:W26" si="13">SUM(B22:B25)</f>
        <v>205.11339460316714</v>
      </c>
      <c r="C26" s="215">
        <f t="shared" si="13"/>
        <v>720.3336996931846</v>
      </c>
      <c r="D26" s="215">
        <f t="shared" si="13"/>
        <v>1499.6758287808686</v>
      </c>
      <c r="E26" s="215">
        <f t="shared" si="13"/>
        <v>1799.3621082765089</v>
      </c>
      <c r="F26" s="215">
        <f t="shared" si="13"/>
        <v>2002.9185009233324</v>
      </c>
      <c r="G26" s="215">
        <f t="shared" si="13"/>
        <v>2135.308569213275</v>
      </c>
      <c r="H26" s="215">
        <f t="shared" si="13"/>
        <v>2221.0714249022667</v>
      </c>
      <c r="I26" s="215">
        <f t="shared" si="13"/>
        <v>2282.7924429929371</v>
      </c>
      <c r="J26" s="215">
        <f t="shared" si="13"/>
        <v>2304.5241343108596</v>
      </c>
      <c r="K26" s="215">
        <f t="shared" si="13"/>
        <v>2302.2905033212332</v>
      </c>
      <c r="L26" s="215">
        <f t="shared" si="13"/>
        <v>2259.266333058305</v>
      </c>
      <c r="M26" s="215">
        <f t="shared" si="13"/>
        <v>2192.385208278235</v>
      </c>
      <c r="N26" s="215">
        <f t="shared" si="13"/>
        <v>2083.8915463830049</v>
      </c>
      <c r="O26" s="215">
        <f t="shared" si="13"/>
        <v>1951.6847461144548</v>
      </c>
      <c r="P26" s="215">
        <f t="shared" si="13"/>
        <v>1794.7951113525939</v>
      </c>
      <c r="Q26" s="215">
        <f t="shared" si="13"/>
        <v>1420.2999277859899</v>
      </c>
      <c r="R26" s="215">
        <f t="shared" si="13"/>
        <v>828.59743735519078</v>
      </c>
      <c r="S26" s="215">
        <f t="shared" si="13"/>
        <v>214.06559394552357</v>
      </c>
      <c r="T26" s="215">
        <f t="shared" si="13"/>
        <v>0</v>
      </c>
      <c r="U26" s="215">
        <f t="shared" si="13"/>
        <v>0</v>
      </c>
      <c r="V26" s="215">
        <f t="shared" si="13"/>
        <v>0</v>
      </c>
      <c r="W26" s="215">
        <f t="shared" si="13"/>
        <v>0</v>
      </c>
      <c r="X26" s="215">
        <f t="shared" ref="X26:AF26" si="14">SUM(X22:X25)</f>
        <v>0</v>
      </c>
      <c r="Y26" s="215">
        <f t="shared" si="14"/>
        <v>0</v>
      </c>
      <c r="Z26" s="215">
        <f t="shared" si="14"/>
        <v>0</v>
      </c>
      <c r="AA26" s="215">
        <f t="shared" si="14"/>
        <v>0</v>
      </c>
      <c r="AB26" s="215">
        <f t="shared" si="14"/>
        <v>0</v>
      </c>
      <c r="AC26" s="215">
        <f t="shared" si="14"/>
        <v>0</v>
      </c>
      <c r="AD26" s="215">
        <f t="shared" si="14"/>
        <v>0</v>
      </c>
      <c r="AE26" s="215">
        <f t="shared" si="14"/>
        <v>0</v>
      </c>
      <c r="AF26" s="215">
        <f t="shared" si="14"/>
        <v>0</v>
      </c>
    </row>
    <row r="27" spans="1:32">
      <c r="A27" s="1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</row>
    <row r="28" spans="1:32">
      <c r="A28" s="50" t="s">
        <v>137</v>
      </c>
      <c r="B28" s="26">
        <f>IF(B20&lt;0,0,B20+B25)</f>
        <v>0</v>
      </c>
      <c r="C28" s="26">
        <f t="shared" ref="C28:V28" si="15">IF(C20&lt;0,0,C20+C25)</f>
        <v>0</v>
      </c>
      <c r="D28" s="26">
        <f t="shared" si="15"/>
        <v>0</v>
      </c>
      <c r="E28" s="26">
        <f t="shared" si="15"/>
        <v>0</v>
      </c>
      <c r="F28" s="26">
        <f t="shared" si="15"/>
        <v>0</v>
      </c>
      <c r="G28" s="26">
        <f t="shared" si="15"/>
        <v>0</v>
      </c>
      <c r="H28" s="26">
        <f t="shared" si="15"/>
        <v>0</v>
      </c>
      <c r="I28" s="26">
        <f t="shared" si="15"/>
        <v>0</v>
      </c>
      <c r="J28" s="26">
        <f t="shared" si="15"/>
        <v>0</v>
      </c>
      <c r="K28" s="26">
        <f t="shared" si="15"/>
        <v>0</v>
      </c>
      <c r="L28" s="26">
        <f t="shared" si="15"/>
        <v>0</v>
      </c>
      <c r="M28" s="26">
        <f t="shared" si="15"/>
        <v>0</v>
      </c>
      <c r="N28" s="26">
        <f t="shared" si="15"/>
        <v>0</v>
      </c>
      <c r="O28" s="26">
        <f t="shared" si="15"/>
        <v>0</v>
      </c>
      <c r="P28" s="26">
        <f t="shared" si="15"/>
        <v>0</v>
      </c>
      <c r="Q28" s="26">
        <f t="shared" si="15"/>
        <v>0</v>
      </c>
      <c r="R28" s="26">
        <f t="shared" si="15"/>
        <v>0</v>
      </c>
      <c r="S28" s="26">
        <f t="shared" si="15"/>
        <v>0</v>
      </c>
      <c r="T28" s="26">
        <f t="shared" si="15"/>
        <v>636.90476365948859</v>
      </c>
      <c r="U28" s="26">
        <f t="shared" si="15"/>
        <v>658.79008020341655</v>
      </c>
      <c r="V28" s="26">
        <f t="shared" si="15"/>
        <v>702.24316259545185</v>
      </c>
      <c r="W28" s="26">
        <f>IF(W20&lt;0,0,W20+W25)</f>
        <v>729.44191569010457</v>
      </c>
      <c r="X28" s="26">
        <f t="shared" ref="X28:AF28" si="16">IF(X20&lt;0,0,X20+X25)</f>
        <v>731.47162121645795</v>
      </c>
      <c r="Y28" s="26">
        <f t="shared" si="16"/>
        <v>733.33940001009967</v>
      </c>
      <c r="Z28" s="26">
        <f t="shared" si="16"/>
        <v>735.04039426904637</v>
      </c>
      <c r="AA28" s="26">
        <f t="shared" si="16"/>
        <v>736.56960045725816</v>
      </c>
      <c r="AB28" s="26">
        <f t="shared" si="16"/>
        <v>737.92186493261306</v>
      </c>
      <c r="AC28" s="26">
        <f t="shared" si="16"/>
        <v>739.09187944372661</v>
      </c>
      <c r="AD28" s="26">
        <f t="shared" si="16"/>
        <v>740.07417649166894</v>
      </c>
      <c r="AE28" s="26">
        <f t="shared" si="16"/>
        <v>740.86312455254642</v>
      </c>
      <c r="AF28" s="26">
        <f t="shared" si="16"/>
        <v>741.45292315674726</v>
      </c>
    </row>
    <row r="29" spans="1:32">
      <c r="A29" s="15" t="s">
        <v>200</v>
      </c>
      <c r="B29" s="352">
        <v>0</v>
      </c>
      <c r="C29" s="352">
        <v>0</v>
      </c>
      <c r="D29" s="352">
        <v>0</v>
      </c>
      <c r="E29" s="352">
        <v>0</v>
      </c>
      <c r="F29" s="352">
        <v>0</v>
      </c>
      <c r="G29" s="352">
        <v>0</v>
      </c>
      <c r="H29" s="352">
        <v>0</v>
      </c>
      <c r="I29" s="352">
        <v>0</v>
      </c>
      <c r="J29" s="352">
        <v>0</v>
      </c>
      <c r="K29" s="352">
        <v>0</v>
      </c>
      <c r="L29" s="352">
        <v>0</v>
      </c>
      <c r="M29" s="352">
        <v>0</v>
      </c>
      <c r="N29" s="352">
        <v>0</v>
      </c>
      <c r="O29" s="352">
        <v>0</v>
      </c>
      <c r="P29" s="352">
        <v>0</v>
      </c>
      <c r="Q29" s="352">
        <v>0</v>
      </c>
      <c r="R29" s="352">
        <v>0</v>
      </c>
      <c r="S29" s="352">
        <v>0</v>
      </c>
      <c r="T29" s="352">
        <v>0</v>
      </c>
      <c r="U29" s="352">
        <v>0</v>
      </c>
      <c r="V29" s="352">
        <v>0</v>
      </c>
      <c r="W29" s="352">
        <v>0</v>
      </c>
      <c r="X29" s="352">
        <v>0</v>
      </c>
      <c r="Y29" s="352">
        <v>0</v>
      </c>
      <c r="Z29" s="352">
        <v>0</v>
      </c>
      <c r="AA29" s="352">
        <v>0</v>
      </c>
      <c r="AB29" s="352">
        <v>0</v>
      </c>
      <c r="AC29" s="352">
        <v>0</v>
      </c>
      <c r="AD29" s="352">
        <v>0</v>
      </c>
      <c r="AE29" s="352">
        <v>0</v>
      </c>
      <c r="AF29" s="352">
        <v>0</v>
      </c>
    </row>
    <row r="30" spans="1:32">
      <c r="A30" s="50" t="s">
        <v>138</v>
      </c>
      <c r="B30" s="227">
        <f t="shared" ref="B30:W30" si="17">SUM(B28:B29)</f>
        <v>0</v>
      </c>
      <c r="C30" s="228">
        <f t="shared" si="17"/>
        <v>0</v>
      </c>
      <c r="D30" s="228">
        <f t="shared" si="17"/>
        <v>0</v>
      </c>
      <c r="E30" s="228">
        <f t="shared" si="17"/>
        <v>0</v>
      </c>
      <c r="F30" s="228">
        <f t="shared" si="17"/>
        <v>0</v>
      </c>
      <c r="G30" s="228">
        <f t="shared" si="17"/>
        <v>0</v>
      </c>
      <c r="H30" s="228">
        <f t="shared" si="17"/>
        <v>0</v>
      </c>
      <c r="I30" s="228">
        <f t="shared" si="17"/>
        <v>0</v>
      </c>
      <c r="J30" s="228">
        <f t="shared" si="17"/>
        <v>0</v>
      </c>
      <c r="K30" s="228">
        <f t="shared" si="17"/>
        <v>0</v>
      </c>
      <c r="L30" s="229">
        <f t="shared" si="17"/>
        <v>0</v>
      </c>
      <c r="M30" s="227">
        <f t="shared" si="17"/>
        <v>0</v>
      </c>
      <c r="N30" s="228">
        <f t="shared" si="17"/>
        <v>0</v>
      </c>
      <c r="O30" s="228">
        <f t="shared" si="17"/>
        <v>0</v>
      </c>
      <c r="P30" s="228">
        <f t="shared" si="17"/>
        <v>0</v>
      </c>
      <c r="Q30" s="228">
        <f t="shared" si="17"/>
        <v>0</v>
      </c>
      <c r="R30" s="228">
        <f t="shared" si="17"/>
        <v>0</v>
      </c>
      <c r="S30" s="228">
        <f t="shared" si="17"/>
        <v>0</v>
      </c>
      <c r="T30" s="228">
        <f t="shared" si="17"/>
        <v>636.90476365948859</v>
      </c>
      <c r="U30" s="228">
        <f t="shared" si="17"/>
        <v>658.79008020341655</v>
      </c>
      <c r="V30" s="228">
        <f t="shared" si="17"/>
        <v>702.24316259545185</v>
      </c>
      <c r="W30" s="228">
        <f t="shared" si="17"/>
        <v>729.44191569010457</v>
      </c>
      <c r="X30" s="228">
        <f t="shared" ref="X30:AF30" si="18">SUM(X28:X29)</f>
        <v>731.47162121645795</v>
      </c>
      <c r="Y30" s="228">
        <f t="shared" si="18"/>
        <v>733.33940001009967</v>
      </c>
      <c r="Z30" s="228">
        <f t="shared" si="18"/>
        <v>735.04039426904637</v>
      </c>
      <c r="AA30" s="228">
        <f t="shared" si="18"/>
        <v>736.56960045725816</v>
      </c>
      <c r="AB30" s="228">
        <f t="shared" si="18"/>
        <v>737.92186493261306</v>
      </c>
      <c r="AC30" s="228">
        <f t="shared" si="18"/>
        <v>739.09187944372661</v>
      </c>
      <c r="AD30" s="228">
        <f t="shared" si="18"/>
        <v>740.07417649166894</v>
      </c>
      <c r="AE30" s="228">
        <f t="shared" si="18"/>
        <v>740.86312455254642</v>
      </c>
      <c r="AF30" s="228">
        <f t="shared" si="18"/>
        <v>741.45292315674726</v>
      </c>
    </row>
    <row r="31" spans="1:32">
      <c r="A31" s="50"/>
      <c r="B31" s="216"/>
      <c r="C31" s="216"/>
      <c r="D31" s="216"/>
      <c r="E31" s="216"/>
      <c r="F31" s="216"/>
      <c r="G31" s="216"/>
      <c r="H31" s="216"/>
      <c r="I31" s="216"/>
      <c r="J31" s="216"/>
      <c r="K31" s="216"/>
      <c r="L31" s="216"/>
      <c r="M31" s="216"/>
      <c r="N31" s="216"/>
      <c r="O31" s="216"/>
      <c r="P31" s="216"/>
      <c r="Q31" s="216"/>
      <c r="R31" s="216"/>
      <c r="S31" s="216"/>
      <c r="T31" s="216"/>
      <c r="U31" s="216"/>
      <c r="V31" s="216"/>
      <c r="W31" s="216"/>
      <c r="X31" s="216"/>
      <c r="Y31" s="216"/>
      <c r="Z31" s="216"/>
      <c r="AA31" s="216"/>
      <c r="AB31" s="216"/>
      <c r="AC31" s="216"/>
      <c r="AD31" s="216"/>
      <c r="AE31" s="216"/>
      <c r="AF31" s="216"/>
    </row>
    <row r="32" spans="1:32">
      <c r="A32" s="23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</row>
    <row r="33" spans="1:32">
      <c r="A33" s="210" t="s">
        <v>139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</row>
    <row r="34" spans="1:32">
      <c r="A34" s="23" t="s">
        <v>127</v>
      </c>
      <c r="B34" s="21">
        <f>B13</f>
        <v>-131.24657671945215</v>
      </c>
      <c r="C34" s="21">
        <f t="shared" ref="C34:V34" si="19">C13</f>
        <v>-3108.1550848336237</v>
      </c>
      <c r="D34" s="21">
        <f t="shared" si="19"/>
        <v>-8551.1669847947342</v>
      </c>
      <c r="E34" s="21">
        <f t="shared" si="19"/>
        <v>-1488.3073249273393</v>
      </c>
      <c r="F34" s="21">
        <f t="shared" si="19"/>
        <v>-729.88544411372368</v>
      </c>
      <c r="G34" s="21">
        <f t="shared" si="19"/>
        <v>-310.81903816570684</v>
      </c>
      <c r="H34" s="21">
        <f t="shared" si="19"/>
        <v>104.69707185013885</v>
      </c>
      <c r="I34" s="21">
        <f t="shared" si="19"/>
        <v>516.35206515549453</v>
      </c>
      <c r="J34" s="21">
        <f t="shared" si="19"/>
        <v>1171.8831447012954</v>
      </c>
      <c r="K34" s="21">
        <f t="shared" si="19"/>
        <v>1582.2628831604388</v>
      </c>
      <c r="L34" s="21">
        <f t="shared" si="19"/>
        <v>2251.1475043821401</v>
      </c>
      <c r="M34" s="21">
        <f t="shared" si="19"/>
        <v>2659.7211130011628</v>
      </c>
      <c r="N34" s="21">
        <f t="shared" si="19"/>
        <v>3342.3056982538328</v>
      </c>
      <c r="O34" s="21">
        <f t="shared" si="19"/>
        <v>3748.4823711424997</v>
      </c>
      <c r="P34" s="21">
        <f t="shared" si="19"/>
        <v>4148.905246031014</v>
      </c>
      <c r="Q34" s="21">
        <f t="shared" si="19"/>
        <v>4543.1428927767347</v>
      </c>
      <c r="R34" s="21">
        <f t="shared" si="19"/>
        <v>4930.7431738466539</v>
      </c>
      <c r="S34" s="21">
        <f t="shared" si="19"/>
        <v>5311.2323901611217</v>
      </c>
      <c r="T34" s="21">
        <f t="shared" si="19"/>
        <v>5684.1143943248117</v>
      </c>
      <c r="U34" s="21">
        <f t="shared" si="19"/>
        <v>6048.8696700569444</v>
      </c>
      <c r="V34" s="21">
        <f t="shared" si="19"/>
        <v>6773.087709924198</v>
      </c>
      <c r="W34" s="21">
        <f>W13</f>
        <v>7226.4002615017434</v>
      </c>
      <c r="X34" s="21">
        <f t="shared" ref="X34:AF34" si="20">X13</f>
        <v>7260.2286869409654</v>
      </c>
      <c r="Y34" s="21">
        <f t="shared" si="20"/>
        <v>7291.358333501661</v>
      </c>
      <c r="Z34" s="21">
        <f t="shared" si="20"/>
        <v>7319.70823781744</v>
      </c>
      <c r="AA34" s="21">
        <f t="shared" si="20"/>
        <v>7345.1950076209705</v>
      </c>
      <c r="AB34" s="21">
        <f t="shared" si="20"/>
        <v>7367.7327488768842</v>
      </c>
      <c r="AC34" s="21">
        <f t="shared" si="20"/>
        <v>7387.2329907287767</v>
      </c>
      <c r="AD34" s="21">
        <f t="shared" si="20"/>
        <v>7403.6046081944824</v>
      </c>
      <c r="AE34" s="21">
        <f t="shared" si="20"/>
        <v>7416.7537425424416</v>
      </c>
      <c r="AF34" s="21">
        <f t="shared" si="20"/>
        <v>12357.548719279121</v>
      </c>
    </row>
    <row r="35" spans="1:32">
      <c r="A35" s="23" t="s">
        <v>128</v>
      </c>
      <c r="B35" s="21">
        <f>B14</f>
        <v>2559.6733333333332</v>
      </c>
      <c r="C35" s="21">
        <f t="shared" ref="C35:V35" si="21">C14</f>
        <v>5483.165</v>
      </c>
      <c r="D35" s="21">
        <f t="shared" si="21"/>
        <v>5483.165</v>
      </c>
      <c r="E35" s="21">
        <f t="shared" si="21"/>
        <v>5483.165</v>
      </c>
      <c r="F35" s="21">
        <f t="shared" si="21"/>
        <v>5483.165</v>
      </c>
      <c r="G35" s="21">
        <f t="shared" si="21"/>
        <v>5483.165</v>
      </c>
      <c r="H35" s="21">
        <f t="shared" si="21"/>
        <v>5483.165</v>
      </c>
      <c r="I35" s="21">
        <f t="shared" si="21"/>
        <v>5483.165</v>
      </c>
      <c r="J35" s="21">
        <f t="shared" si="21"/>
        <v>5483.165</v>
      </c>
      <c r="K35" s="21">
        <f t="shared" si="21"/>
        <v>5483.165</v>
      </c>
      <c r="L35" s="21">
        <f t="shared" si="21"/>
        <v>5483.165</v>
      </c>
      <c r="M35" s="21">
        <f t="shared" si="21"/>
        <v>5483.165</v>
      </c>
      <c r="N35" s="21">
        <f t="shared" si="21"/>
        <v>5483.165</v>
      </c>
      <c r="O35" s="21">
        <f t="shared" si="21"/>
        <v>5483.165</v>
      </c>
      <c r="P35" s="21">
        <f t="shared" si="21"/>
        <v>5483.165</v>
      </c>
      <c r="Q35" s="21">
        <f t="shared" si="21"/>
        <v>5483.165</v>
      </c>
      <c r="R35" s="21">
        <f t="shared" si="21"/>
        <v>5483.165</v>
      </c>
      <c r="S35" s="21">
        <f t="shared" si="21"/>
        <v>5483.165</v>
      </c>
      <c r="T35" s="21">
        <f t="shared" si="21"/>
        <v>5483.165</v>
      </c>
      <c r="U35" s="21">
        <f t="shared" si="21"/>
        <v>5483.165</v>
      </c>
      <c r="V35" s="21">
        <f t="shared" si="21"/>
        <v>5115.0316666666668</v>
      </c>
      <c r="W35" s="21">
        <f>W14</f>
        <v>4930.9650000000001</v>
      </c>
      <c r="X35" s="21">
        <f t="shared" ref="X35:AF35" si="22">X14</f>
        <v>4930.9650000000001</v>
      </c>
      <c r="Y35" s="21">
        <f t="shared" si="22"/>
        <v>4930.9650000000001</v>
      </c>
      <c r="Z35" s="21">
        <f t="shared" si="22"/>
        <v>4930.9650000000001</v>
      </c>
      <c r="AA35" s="21">
        <f t="shared" si="22"/>
        <v>4930.9650000000001</v>
      </c>
      <c r="AB35" s="21">
        <f t="shared" si="22"/>
        <v>4930.9650000000001</v>
      </c>
      <c r="AC35" s="21">
        <f t="shared" si="22"/>
        <v>4930.9650000000001</v>
      </c>
      <c r="AD35" s="21">
        <f t="shared" si="22"/>
        <v>4930.9650000000001</v>
      </c>
      <c r="AE35" s="21">
        <f t="shared" si="22"/>
        <v>4930.9650000000001</v>
      </c>
      <c r="AF35" s="21">
        <f t="shared" si="22"/>
        <v>0</v>
      </c>
    </row>
    <row r="36" spans="1:32">
      <c r="A36" s="23" t="s">
        <v>140</v>
      </c>
      <c r="B36" s="21">
        <f>-Depreciation!D19</f>
        <v>-5846.9833333333336</v>
      </c>
      <c r="C36" s="21">
        <f>-Depreciation!E19</f>
        <v>-10962.015000000001</v>
      </c>
      <c r="D36" s="21">
        <f>-Depreciation!F19</f>
        <v>-9921.0335000000014</v>
      </c>
      <c r="E36" s="21">
        <f>-Depreciation!G19</f>
        <v>-8989.6290000000008</v>
      </c>
      <c r="F36" s="21">
        <f>-Depreciation!H19</f>
        <v>-8145.8860999999997</v>
      </c>
      <c r="G36" s="21">
        <f>-Depreciation!I19</f>
        <v>-7378.8471</v>
      </c>
      <c r="H36" s="21">
        <f>-Depreciation!J19</f>
        <v>-7017.2429999999995</v>
      </c>
      <c r="I36" s="21">
        <f>-Depreciation!K19</f>
        <v>-7028.2006999999994</v>
      </c>
      <c r="J36" s="21">
        <f>-Depreciation!L19</f>
        <v>-7017.2429999999995</v>
      </c>
      <c r="K36" s="21">
        <f>-Depreciation!M19</f>
        <v>-7028.2006999999994</v>
      </c>
      <c r="L36" s="21">
        <f>-Depreciation!N19</f>
        <v>-7017.2429999999995</v>
      </c>
      <c r="M36" s="21">
        <f>-Depreciation!O19</f>
        <v>-7028.2006999999994</v>
      </c>
      <c r="N36" s="21">
        <f>-Depreciation!P19</f>
        <v>-7017.2429999999995</v>
      </c>
      <c r="O36" s="21">
        <f>-Depreciation!Q19</f>
        <v>-7028.2006999999994</v>
      </c>
      <c r="P36" s="21">
        <f>-Depreciation!R19</f>
        <v>-7017.2429999999995</v>
      </c>
      <c r="Q36" s="21">
        <f>-Depreciation!S19</f>
        <v>-3784.7214999999997</v>
      </c>
      <c r="R36" s="21">
        <f>-Depreciation!T19</f>
        <v>-552.20000000000005</v>
      </c>
      <c r="S36" s="21">
        <f>-Depreciation!U19</f>
        <v>-552.20000000000005</v>
      </c>
      <c r="T36" s="21">
        <f>-Depreciation!V19</f>
        <v>-552.20000000000005</v>
      </c>
      <c r="U36" s="21">
        <f>-Depreciation!W19</f>
        <v>-552.20000000000005</v>
      </c>
      <c r="V36" s="21">
        <f>-Depreciation!X19</f>
        <v>-184.06666666666669</v>
      </c>
      <c r="W36" s="21">
        <f>-Depreciation!Y19</f>
        <v>0</v>
      </c>
      <c r="X36" s="21">
        <f>-Depreciation!Z19</f>
        <v>0</v>
      </c>
      <c r="Y36" s="21">
        <f>-Depreciation!AA19</f>
        <v>0</v>
      </c>
      <c r="Z36" s="21">
        <f>-Depreciation!AB19</f>
        <v>0</v>
      </c>
      <c r="AA36" s="21">
        <f>-Depreciation!AC19</f>
        <v>0</v>
      </c>
      <c r="AB36" s="21">
        <f>-Depreciation!AD19</f>
        <v>0</v>
      </c>
      <c r="AC36" s="21">
        <f>-Depreciation!AE19</f>
        <v>0</v>
      </c>
      <c r="AD36" s="21">
        <f>-Depreciation!AF19</f>
        <v>0</v>
      </c>
      <c r="AE36" s="21">
        <f>-Depreciation!AG19</f>
        <v>0</v>
      </c>
      <c r="AF36" s="21">
        <f>-Depreciation!AH19</f>
        <v>0</v>
      </c>
    </row>
    <row r="37" spans="1:32" ht="15">
      <c r="A37" s="23" t="s">
        <v>141</v>
      </c>
      <c r="B37" s="217">
        <f>-B30</f>
        <v>0</v>
      </c>
      <c r="C37" s="217">
        <f t="shared" ref="C37:V37" si="23">-C30</f>
        <v>0</v>
      </c>
      <c r="D37" s="217">
        <f t="shared" si="23"/>
        <v>0</v>
      </c>
      <c r="E37" s="217">
        <f t="shared" si="23"/>
        <v>0</v>
      </c>
      <c r="F37" s="217">
        <f t="shared" si="23"/>
        <v>0</v>
      </c>
      <c r="G37" s="217">
        <f t="shared" si="23"/>
        <v>0</v>
      </c>
      <c r="H37" s="217">
        <f t="shared" si="23"/>
        <v>0</v>
      </c>
      <c r="I37" s="217">
        <f t="shared" si="23"/>
        <v>0</v>
      </c>
      <c r="J37" s="217">
        <f t="shared" si="23"/>
        <v>0</v>
      </c>
      <c r="K37" s="217">
        <f t="shared" si="23"/>
        <v>0</v>
      </c>
      <c r="L37" s="217">
        <f t="shared" si="23"/>
        <v>0</v>
      </c>
      <c r="M37" s="217">
        <f t="shared" si="23"/>
        <v>0</v>
      </c>
      <c r="N37" s="217">
        <f t="shared" si="23"/>
        <v>0</v>
      </c>
      <c r="O37" s="217">
        <f t="shared" si="23"/>
        <v>0</v>
      </c>
      <c r="P37" s="217">
        <f t="shared" si="23"/>
        <v>0</v>
      </c>
      <c r="Q37" s="217">
        <f t="shared" si="23"/>
        <v>0</v>
      </c>
      <c r="R37" s="217">
        <f t="shared" si="23"/>
        <v>0</v>
      </c>
      <c r="S37" s="217">
        <f t="shared" si="23"/>
        <v>0</v>
      </c>
      <c r="T37" s="217">
        <f t="shared" si="23"/>
        <v>-636.90476365948859</v>
      </c>
      <c r="U37" s="217">
        <f t="shared" si="23"/>
        <v>-658.79008020341655</v>
      </c>
      <c r="V37" s="217">
        <f t="shared" si="23"/>
        <v>-702.24316259545185</v>
      </c>
      <c r="W37" s="217">
        <f>-W30</f>
        <v>-729.44191569010457</v>
      </c>
      <c r="X37" s="217">
        <f t="shared" ref="X37:AF37" si="24">-X30</f>
        <v>-731.47162121645795</v>
      </c>
      <c r="Y37" s="217">
        <f t="shared" si="24"/>
        <v>-733.33940001009967</v>
      </c>
      <c r="Z37" s="217">
        <f t="shared" si="24"/>
        <v>-735.04039426904637</v>
      </c>
      <c r="AA37" s="217">
        <f t="shared" si="24"/>
        <v>-736.56960045725816</v>
      </c>
      <c r="AB37" s="217">
        <f t="shared" si="24"/>
        <v>-737.92186493261306</v>
      </c>
      <c r="AC37" s="217">
        <f t="shared" si="24"/>
        <v>-739.09187944372661</v>
      </c>
      <c r="AD37" s="217">
        <f t="shared" si="24"/>
        <v>-740.07417649166894</v>
      </c>
      <c r="AE37" s="217">
        <f t="shared" si="24"/>
        <v>-740.86312455254642</v>
      </c>
      <c r="AF37" s="217">
        <f t="shared" si="24"/>
        <v>-741.45292315674726</v>
      </c>
    </row>
    <row r="38" spans="1:32">
      <c r="A38" s="211" t="s">
        <v>142</v>
      </c>
      <c r="B38" s="51">
        <f>SUM(B34:B37)</f>
        <v>-3418.5565767194526</v>
      </c>
      <c r="C38" s="51">
        <f t="shared" ref="C38:W38" si="25">SUM(C34:C37)</f>
        <v>-8587.005084833625</v>
      </c>
      <c r="D38" s="51">
        <f t="shared" si="25"/>
        <v>-12989.035484794735</v>
      </c>
      <c r="E38" s="51">
        <f t="shared" si="25"/>
        <v>-4994.7713249273402</v>
      </c>
      <c r="F38" s="51">
        <f t="shared" si="25"/>
        <v>-3392.6065441137234</v>
      </c>
      <c r="G38" s="51">
        <f t="shared" si="25"/>
        <v>-2206.5011381657068</v>
      </c>
      <c r="H38" s="51">
        <f t="shared" si="25"/>
        <v>-1429.3809281498607</v>
      </c>
      <c r="I38" s="51">
        <f t="shared" si="25"/>
        <v>-1028.6836348445049</v>
      </c>
      <c r="J38" s="51">
        <f t="shared" si="25"/>
        <v>-362.19485529870417</v>
      </c>
      <c r="K38" s="51">
        <f t="shared" si="25"/>
        <v>37.227183160439381</v>
      </c>
      <c r="L38" s="51">
        <f t="shared" si="25"/>
        <v>717.06950438214062</v>
      </c>
      <c r="M38" s="51">
        <f t="shared" si="25"/>
        <v>1114.6854130011634</v>
      </c>
      <c r="N38" s="51">
        <f t="shared" si="25"/>
        <v>1808.2276982538342</v>
      </c>
      <c r="O38" s="51">
        <f t="shared" si="25"/>
        <v>2203.4466711424993</v>
      </c>
      <c r="P38" s="51">
        <f t="shared" si="25"/>
        <v>2614.8272460310136</v>
      </c>
      <c r="Q38" s="51">
        <f t="shared" si="25"/>
        <v>6241.586392776735</v>
      </c>
      <c r="R38" s="51">
        <f t="shared" si="25"/>
        <v>9861.7081738466532</v>
      </c>
      <c r="S38" s="51">
        <f t="shared" si="25"/>
        <v>10242.19739016112</v>
      </c>
      <c r="T38" s="51">
        <f t="shared" si="25"/>
        <v>9978.1746306653222</v>
      </c>
      <c r="U38" s="51">
        <f t="shared" si="25"/>
        <v>10321.044589853527</v>
      </c>
      <c r="V38" s="51">
        <f t="shared" si="25"/>
        <v>11001.809547328745</v>
      </c>
      <c r="W38" s="51">
        <f t="shared" si="25"/>
        <v>11427.92334581164</v>
      </c>
      <c r="X38" s="51">
        <f t="shared" ref="X38:AF38" si="26">SUM(X34:X37)</f>
        <v>11459.722065724507</v>
      </c>
      <c r="Y38" s="51">
        <f t="shared" si="26"/>
        <v>11488.983933491561</v>
      </c>
      <c r="Z38" s="51">
        <f t="shared" si="26"/>
        <v>11515.632843548394</v>
      </c>
      <c r="AA38" s="51">
        <f t="shared" si="26"/>
        <v>11539.590407163712</v>
      </c>
      <c r="AB38" s="51">
        <f t="shared" si="26"/>
        <v>11560.775883944272</v>
      </c>
      <c r="AC38" s="51">
        <f t="shared" si="26"/>
        <v>11579.106111285051</v>
      </c>
      <c r="AD38" s="51">
        <f t="shared" si="26"/>
        <v>11594.495431702813</v>
      </c>
      <c r="AE38" s="51">
        <f t="shared" si="26"/>
        <v>11606.855617989895</v>
      </c>
      <c r="AF38" s="51">
        <f t="shared" si="26"/>
        <v>11616.095796122374</v>
      </c>
    </row>
    <row r="39" spans="1:32">
      <c r="A39" s="21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</row>
    <row r="40" spans="1:32">
      <c r="A40" s="23" t="s">
        <v>143</v>
      </c>
      <c r="B40" s="218">
        <f>Assumptions!$O$55</f>
        <v>0.35</v>
      </c>
      <c r="C40" s="218">
        <f>Assumptions!$O$55</f>
        <v>0.35</v>
      </c>
      <c r="D40" s="218">
        <f>Assumptions!$O$55</f>
        <v>0.35</v>
      </c>
      <c r="E40" s="218">
        <f>Assumptions!$O$55</f>
        <v>0.35</v>
      </c>
      <c r="F40" s="218">
        <f>Assumptions!$O$55</f>
        <v>0.35</v>
      </c>
      <c r="G40" s="218">
        <f>Assumptions!$O$55</f>
        <v>0.35</v>
      </c>
      <c r="H40" s="218">
        <f>Assumptions!$O$55</f>
        <v>0.35</v>
      </c>
      <c r="I40" s="218">
        <f>Assumptions!$O$55</f>
        <v>0.35</v>
      </c>
      <c r="J40" s="218">
        <f>Assumptions!$O$55</f>
        <v>0.35</v>
      </c>
      <c r="K40" s="218">
        <f>Assumptions!$O$55</f>
        <v>0.35</v>
      </c>
      <c r="L40" s="218">
        <f>Assumptions!$O$55</f>
        <v>0.35</v>
      </c>
      <c r="M40" s="218">
        <f>Assumptions!$O$55</f>
        <v>0.35</v>
      </c>
      <c r="N40" s="218">
        <f>Assumptions!$O$55</f>
        <v>0.35</v>
      </c>
      <c r="O40" s="218">
        <f>Assumptions!$O$55</f>
        <v>0.35</v>
      </c>
      <c r="P40" s="218">
        <f>Assumptions!$O$55</f>
        <v>0.35</v>
      </c>
      <c r="Q40" s="218">
        <f>Assumptions!$O$55</f>
        <v>0.35</v>
      </c>
      <c r="R40" s="218">
        <f>Assumptions!$O$55</f>
        <v>0.35</v>
      </c>
      <c r="S40" s="218">
        <f>Assumptions!$O$55</f>
        <v>0.35</v>
      </c>
      <c r="T40" s="218">
        <f>Assumptions!$O$55</f>
        <v>0.35</v>
      </c>
      <c r="U40" s="218">
        <f>Assumptions!$O$55</f>
        <v>0.35</v>
      </c>
      <c r="V40" s="218">
        <f>Assumptions!$O$55</f>
        <v>0.35</v>
      </c>
      <c r="W40" s="218">
        <f>Assumptions!$O$55</f>
        <v>0.35</v>
      </c>
      <c r="X40" s="218">
        <f>Assumptions!$O$55</f>
        <v>0.35</v>
      </c>
      <c r="Y40" s="218">
        <f>Assumptions!$O$55</f>
        <v>0.35</v>
      </c>
      <c r="Z40" s="218">
        <f>Assumptions!$O$55</f>
        <v>0.35</v>
      </c>
      <c r="AA40" s="218">
        <f>Assumptions!$O$55</f>
        <v>0.35</v>
      </c>
      <c r="AB40" s="218">
        <f>Assumptions!$O$55</f>
        <v>0.35</v>
      </c>
      <c r="AC40" s="218">
        <f>Assumptions!$O$55</f>
        <v>0.35</v>
      </c>
      <c r="AD40" s="218">
        <f>Assumptions!$O$55</f>
        <v>0.35</v>
      </c>
      <c r="AE40" s="218">
        <f>Assumptions!$O$55</f>
        <v>0.35</v>
      </c>
      <c r="AF40" s="218">
        <f>Assumptions!$O$55</f>
        <v>0.35</v>
      </c>
    </row>
    <row r="41" spans="1:32">
      <c r="A41" s="23" t="s">
        <v>144</v>
      </c>
      <c r="B41" s="232">
        <f>B38*B40</f>
        <v>-1196.4948018518082</v>
      </c>
      <c r="C41" s="230">
        <f t="shared" ref="C41:W41" si="27">C38*C40</f>
        <v>-3005.4517796917685</v>
      </c>
      <c r="D41" s="230">
        <f t="shared" si="27"/>
        <v>-4546.1624196781568</v>
      </c>
      <c r="E41" s="230">
        <f t="shared" si="27"/>
        <v>-1748.169963724569</v>
      </c>
      <c r="F41" s="230">
        <f t="shared" si="27"/>
        <v>-1187.4122904398032</v>
      </c>
      <c r="G41" s="230">
        <f t="shared" si="27"/>
        <v>-772.27539835799735</v>
      </c>
      <c r="H41" s="230">
        <f t="shared" si="27"/>
        <v>-500.28332485245119</v>
      </c>
      <c r="I41" s="230">
        <f t="shared" si="27"/>
        <v>-360.0392721955767</v>
      </c>
      <c r="J41" s="230">
        <f t="shared" si="27"/>
        <v>-126.76819935454645</v>
      </c>
      <c r="K41" s="230">
        <f t="shared" si="27"/>
        <v>13.029514106153783</v>
      </c>
      <c r="L41" s="231">
        <f t="shared" si="27"/>
        <v>250.97432653374921</v>
      </c>
      <c r="M41" s="232">
        <f t="shared" si="27"/>
        <v>390.13989455040718</v>
      </c>
      <c r="N41" s="230">
        <f t="shared" si="27"/>
        <v>632.87969438884193</v>
      </c>
      <c r="O41" s="230">
        <f t="shared" si="27"/>
        <v>771.20633489987472</v>
      </c>
      <c r="P41" s="230">
        <f t="shared" si="27"/>
        <v>915.18953611085465</v>
      </c>
      <c r="Q41" s="230">
        <f t="shared" si="27"/>
        <v>2184.5552374718573</v>
      </c>
      <c r="R41" s="230">
        <f t="shared" si="27"/>
        <v>3451.5978608463283</v>
      </c>
      <c r="S41" s="230">
        <f t="shared" si="27"/>
        <v>3584.7690865563918</v>
      </c>
      <c r="T41" s="230">
        <f t="shared" si="27"/>
        <v>3492.3611207328627</v>
      </c>
      <c r="U41" s="230">
        <f t="shared" si="27"/>
        <v>3612.3656064487341</v>
      </c>
      <c r="V41" s="230">
        <f t="shared" si="27"/>
        <v>3850.6333415650606</v>
      </c>
      <c r="W41" s="230">
        <f t="shared" si="27"/>
        <v>3999.7731710340736</v>
      </c>
      <c r="X41" s="230">
        <f t="shared" ref="X41:AF41" si="28">X38*X40</f>
        <v>4010.9027230035772</v>
      </c>
      <c r="Y41" s="230">
        <f t="shared" si="28"/>
        <v>4021.1443767220462</v>
      </c>
      <c r="Z41" s="230">
        <f t="shared" si="28"/>
        <v>4030.4714952419376</v>
      </c>
      <c r="AA41" s="230">
        <f t="shared" si="28"/>
        <v>4038.8566425072991</v>
      </c>
      <c r="AB41" s="230">
        <f t="shared" si="28"/>
        <v>4046.2715593804951</v>
      </c>
      <c r="AC41" s="230">
        <f t="shared" si="28"/>
        <v>4052.6871389497678</v>
      </c>
      <c r="AD41" s="230">
        <f t="shared" si="28"/>
        <v>4058.0734010959845</v>
      </c>
      <c r="AE41" s="230">
        <f t="shared" si="28"/>
        <v>4062.3994662964628</v>
      </c>
      <c r="AF41" s="230">
        <f t="shared" si="28"/>
        <v>4065.6335286428307</v>
      </c>
    </row>
    <row r="42" spans="1:32">
      <c r="A42" s="1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</row>
    <row r="43" spans="1:32">
      <c r="A43" s="15" t="s">
        <v>145</v>
      </c>
      <c r="B43" s="226">
        <f>IF(B41&lt;0,-B41,0)</f>
        <v>1196.4948018518082</v>
      </c>
      <c r="C43" s="226">
        <f>IF(C41&lt;0,-C41+B43-B44,B43-B44)</f>
        <v>4201.9465815435769</v>
      </c>
      <c r="D43" s="226">
        <f>IF(D41&lt;0,-D41+C43-C44,C43-C44)</f>
        <v>8748.1090012217337</v>
      </c>
      <c r="E43" s="226">
        <f>IF(E41&lt;0,-E41+D43-D44,D43-D44)</f>
        <v>10496.278964946303</v>
      </c>
      <c r="F43" s="226">
        <f t="shared" ref="F43:W43" si="29">IF(F41&lt;0,-F41+E43-E44,E43-E44)</f>
        <v>11683.691255386106</v>
      </c>
      <c r="G43" s="226">
        <f t="shared" si="29"/>
        <v>12455.966653744103</v>
      </c>
      <c r="H43" s="226">
        <f t="shared" si="29"/>
        <v>12956.249978596554</v>
      </c>
      <c r="I43" s="226">
        <f t="shared" si="29"/>
        <v>13316.28925079213</v>
      </c>
      <c r="J43" s="226">
        <f t="shared" si="29"/>
        <v>13443.057450146676</v>
      </c>
      <c r="K43" s="226">
        <f t="shared" si="29"/>
        <v>13443.057450146676</v>
      </c>
      <c r="L43" s="226">
        <f t="shared" si="29"/>
        <v>13430.027936040522</v>
      </c>
      <c r="M43" s="226">
        <f t="shared" si="29"/>
        <v>13179.053609506773</v>
      </c>
      <c r="N43" s="226">
        <f t="shared" si="29"/>
        <v>12788.913714956365</v>
      </c>
      <c r="O43" s="226">
        <f t="shared" si="29"/>
        <v>12156.034020567524</v>
      </c>
      <c r="P43" s="226">
        <f t="shared" si="29"/>
        <v>11384.827685667649</v>
      </c>
      <c r="Q43" s="226">
        <f t="shared" si="29"/>
        <v>10469.638149556795</v>
      </c>
      <c r="R43" s="226">
        <f t="shared" si="29"/>
        <v>8285.0829120849376</v>
      </c>
      <c r="S43" s="226">
        <f t="shared" si="29"/>
        <v>4833.4850512386092</v>
      </c>
      <c r="T43" s="226">
        <f t="shared" si="29"/>
        <v>1248.7159646822174</v>
      </c>
      <c r="U43" s="226">
        <f t="shared" si="29"/>
        <v>0</v>
      </c>
      <c r="V43" s="226">
        <f t="shared" si="29"/>
        <v>0</v>
      </c>
      <c r="W43" s="226">
        <f t="shared" si="29"/>
        <v>0</v>
      </c>
      <c r="X43" s="226">
        <f t="shared" ref="X43:AF43" si="30">IF(X41&lt;0,-X41+W43-W44,W43-W44)</f>
        <v>0</v>
      </c>
      <c r="Y43" s="226">
        <f t="shared" si="30"/>
        <v>0</v>
      </c>
      <c r="Z43" s="226">
        <f t="shared" si="30"/>
        <v>0</v>
      </c>
      <c r="AA43" s="226">
        <f t="shared" si="30"/>
        <v>0</v>
      </c>
      <c r="AB43" s="226">
        <f t="shared" si="30"/>
        <v>0</v>
      </c>
      <c r="AC43" s="226">
        <f t="shared" si="30"/>
        <v>0</v>
      </c>
      <c r="AD43" s="226">
        <f t="shared" si="30"/>
        <v>0</v>
      </c>
      <c r="AE43" s="226">
        <f t="shared" si="30"/>
        <v>0</v>
      </c>
      <c r="AF43" s="226">
        <f t="shared" si="30"/>
        <v>0</v>
      </c>
    </row>
    <row r="44" spans="1:32">
      <c r="A44" s="15" t="s">
        <v>135</v>
      </c>
      <c r="B44" s="21">
        <v>0</v>
      </c>
      <c r="C44" s="21">
        <f>IF(C41&lt;0,0,IF(C43&gt;C41,C41,C43))</f>
        <v>0</v>
      </c>
      <c r="D44" s="21">
        <f t="shared" ref="D44:W44" si="31">IF(D41&lt;0,0,IF(D43&gt;D41,D41,D43))</f>
        <v>0</v>
      </c>
      <c r="E44" s="21">
        <f t="shared" si="31"/>
        <v>0</v>
      </c>
      <c r="F44" s="21">
        <f t="shared" si="31"/>
        <v>0</v>
      </c>
      <c r="G44" s="21">
        <f t="shared" si="31"/>
        <v>0</v>
      </c>
      <c r="H44" s="21">
        <f t="shared" si="31"/>
        <v>0</v>
      </c>
      <c r="I44" s="21">
        <f t="shared" si="31"/>
        <v>0</v>
      </c>
      <c r="J44" s="226">
        <f t="shared" si="31"/>
        <v>0</v>
      </c>
      <c r="K44" s="226">
        <f t="shared" si="31"/>
        <v>13.029514106153783</v>
      </c>
      <c r="L44" s="226">
        <f t="shared" si="31"/>
        <v>250.97432653374921</v>
      </c>
      <c r="M44" s="226">
        <f t="shared" si="31"/>
        <v>390.13989455040718</v>
      </c>
      <c r="N44" s="226">
        <f t="shared" si="31"/>
        <v>632.87969438884193</v>
      </c>
      <c r="O44" s="226">
        <f t="shared" si="31"/>
        <v>771.20633489987472</v>
      </c>
      <c r="P44" s="226">
        <f t="shared" si="31"/>
        <v>915.18953611085465</v>
      </c>
      <c r="Q44" s="226">
        <f t="shared" si="31"/>
        <v>2184.5552374718573</v>
      </c>
      <c r="R44" s="226">
        <f t="shared" si="31"/>
        <v>3451.5978608463283</v>
      </c>
      <c r="S44" s="226">
        <f t="shared" si="31"/>
        <v>3584.7690865563918</v>
      </c>
      <c r="T44" s="226">
        <f t="shared" si="31"/>
        <v>1248.7159646822174</v>
      </c>
      <c r="U44" s="226">
        <f t="shared" si="31"/>
        <v>0</v>
      </c>
      <c r="V44" s="226">
        <f t="shared" si="31"/>
        <v>0</v>
      </c>
      <c r="W44" s="226">
        <f t="shared" si="31"/>
        <v>0</v>
      </c>
      <c r="X44" s="226">
        <f t="shared" ref="X44:AF44" si="32">IF(X41&lt;0,0,IF(X43&gt;X41,X41,X43))</f>
        <v>0</v>
      </c>
      <c r="Y44" s="226">
        <f t="shared" si="32"/>
        <v>0</v>
      </c>
      <c r="Z44" s="226">
        <f t="shared" si="32"/>
        <v>0</v>
      </c>
      <c r="AA44" s="226">
        <f t="shared" si="32"/>
        <v>0</v>
      </c>
      <c r="AB44" s="226">
        <f t="shared" si="32"/>
        <v>0</v>
      </c>
      <c r="AC44" s="226">
        <f t="shared" si="32"/>
        <v>0</v>
      </c>
      <c r="AD44" s="226">
        <f t="shared" si="32"/>
        <v>0</v>
      </c>
      <c r="AE44" s="226">
        <f t="shared" si="32"/>
        <v>0</v>
      </c>
      <c r="AF44" s="226">
        <f t="shared" si="32"/>
        <v>0</v>
      </c>
    </row>
    <row r="45" spans="1:32">
      <c r="A45" s="15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</row>
    <row r="46" spans="1:32">
      <c r="A46" s="50" t="s">
        <v>146</v>
      </c>
      <c r="B46" s="219">
        <f t="shared" ref="B46:V46" si="33">IF(B41&lt;0,0,(B41-B44))</f>
        <v>0</v>
      </c>
      <c r="C46" s="219">
        <f t="shared" si="33"/>
        <v>0</v>
      </c>
      <c r="D46" s="219">
        <f t="shared" si="33"/>
        <v>0</v>
      </c>
      <c r="E46" s="219">
        <f t="shared" si="33"/>
        <v>0</v>
      </c>
      <c r="F46" s="219">
        <f t="shared" si="33"/>
        <v>0</v>
      </c>
      <c r="G46" s="219">
        <f t="shared" si="33"/>
        <v>0</v>
      </c>
      <c r="H46" s="219">
        <f t="shared" si="33"/>
        <v>0</v>
      </c>
      <c r="I46" s="219">
        <f t="shared" si="33"/>
        <v>0</v>
      </c>
      <c r="J46" s="219">
        <f t="shared" si="33"/>
        <v>0</v>
      </c>
      <c r="K46" s="219">
        <f t="shared" si="33"/>
        <v>0</v>
      </c>
      <c r="L46" s="219">
        <f t="shared" si="33"/>
        <v>0</v>
      </c>
      <c r="M46" s="219">
        <f t="shared" si="33"/>
        <v>0</v>
      </c>
      <c r="N46" s="219">
        <f t="shared" si="33"/>
        <v>0</v>
      </c>
      <c r="O46" s="219">
        <f t="shared" si="33"/>
        <v>0</v>
      </c>
      <c r="P46" s="219">
        <f t="shared" si="33"/>
        <v>0</v>
      </c>
      <c r="Q46" s="219">
        <f t="shared" si="33"/>
        <v>0</v>
      </c>
      <c r="R46" s="219">
        <f t="shared" si="33"/>
        <v>0</v>
      </c>
      <c r="S46" s="219">
        <f t="shared" si="33"/>
        <v>0</v>
      </c>
      <c r="T46" s="219">
        <f t="shared" si="33"/>
        <v>2243.6451560506453</v>
      </c>
      <c r="U46" s="219">
        <f t="shared" si="33"/>
        <v>3612.3656064487341</v>
      </c>
      <c r="V46" s="219">
        <f t="shared" si="33"/>
        <v>3850.6333415650606</v>
      </c>
      <c r="W46" s="219">
        <f>IF(W41&lt;0,0,(W41-W44))</f>
        <v>3999.7731710340736</v>
      </c>
      <c r="X46" s="219">
        <f t="shared" ref="X46:AF46" si="34">IF(X41&lt;0,0,(X41-X44))</f>
        <v>4010.9027230035772</v>
      </c>
      <c r="Y46" s="219">
        <f t="shared" si="34"/>
        <v>4021.1443767220462</v>
      </c>
      <c r="Z46" s="219">
        <f t="shared" si="34"/>
        <v>4030.4714952419376</v>
      </c>
      <c r="AA46" s="219">
        <f t="shared" si="34"/>
        <v>4038.8566425072991</v>
      </c>
      <c r="AB46" s="219">
        <f t="shared" si="34"/>
        <v>4046.2715593804951</v>
      </c>
      <c r="AC46" s="219">
        <f t="shared" si="34"/>
        <v>4052.6871389497678</v>
      </c>
      <c r="AD46" s="219">
        <f t="shared" si="34"/>
        <v>4058.0734010959845</v>
      </c>
      <c r="AE46" s="219">
        <f t="shared" si="34"/>
        <v>4062.3994662964628</v>
      </c>
      <c r="AF46" s="219">
        <f t="shared" si="34"/>
        <v>4065.6335286428307</v>
      </c>
    </row>
    <row r="47" spans="1:32">
      <c r="A47" s="50"/>
      <c r="B47" s="219"/>
      <c r="C47" s="219"/>
      <c r="D47" s="219"/>
      <c r="E47" s="219"/>
      <c r="F47" s="219"/>
      <c r="G47" s="219"/>
      <c r="H47" s="219"/>
      <c r="I47" s="219"/>
      <c r="J47" s="219"/>
      <c r="K47" s="219"/>
      <c r="L47" s="219"/>
      <c r="M47" s="219"/>
      <c r="N47" s="219"/>
      <c r="O47" s="219"/>
      <c r="P47" s="219"/>
      <c r="Q47" s="219"/>
      <c r="R47" s="219"/>
      <c r="S47" s="219"/>
      <c r="T47" s="219"/>
      <c r="U47" s="219"/>
      <c r="V47" s="219"/>
      <c r="W47" s="219"/>
      <c r="X47" s="143"/>
      <c r="Y47" s="143"/>
    </row>
    <row r="48" spans="1:32">
      <c r="A48"/>
      <c r="B48"/>
      <c r="C48" s="121"/>
      <c r="D48" s="121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  <c r="V48" s="121"/>
      <c r="W48" s="121"/>
      <c r="X48" s="142"/>
      <c r="Y48" s="142"/>
    </row>
    <row r="49" spans="1:25">
      <c r="A49"/>
      <c r="B49"/>
      <c r="X49" s="6"/>
      <c r="Y49" s="6"/>
    </row>
    <row r="50" spans="1:25">
      <c r="A50"/>
      <c r="B50"/>
      <c r="C50" s="13"/>
      <c r="X50" s="6"/>
      <c r="Y50" s="6"/>
    </row>
    <row r="51" spans="1:25">
      <c r="A51"/>
      <c r="B51"/>
      <c r="X51" s="6"/>
      <c r="Y51" s="6"/>
    </row>
    <row r="52" spans="1:25">
      <c r="X52" s="6"/>
      <c r="Y52" s="6"/>
    </row>
    <row r="53" spans="1:25">
      <c r="X53" s="6"/>
      <c r="Y53" s="6"/>
    </row>
    <row r="54" spans="1:25">
      <c r="X54" s="6"/>
      <c r="Y54" s="6"/>
    </row>
    <row r="55" spans="1:25">
      <c r="X55" s="6"/>
      <c r="Y55" s="6"/>
    </row>
    <row r="56" spans="1:25">
      <c r="X56" s="6"/>
      <c r="Y56" s="6"/>
    </row>
    <row r="57" spans="1:25">
      <c r="X57" s="6"/>
      <c r="Y57" s="6"/>
    </row>
    <row r="58" spans="1:25">
      <c r="X58" s="6"/>
      <c r="Y58" s="6"/>
    </row>
  </sheetData>
  <pageMargins left="0.45" right="0.45" top="0.5" bottom="0.5" header="0.25" footer="0.25"/>
  <pageSetup scale="56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4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zoomScale="80" workbookViewId="0">
      <selection activeCell="J17" sqref="J17"/>
    </sheetView>
  </sheetViews>
  <sheetFormatPr defaultRowHeight="12.75"/>
  <cols>
    <col min="1" max="1" width="14.28515625" customWidth="1"/>
    <col min="2" max="2" width="10.140625" customWidth="1"/>
    <col min="3" max="3" width="13.5703125" customWidth="1"/>
    <col min="4" max="4" width="14.85546875" customWidth="1"/>
    <col min="5" max="5" width="11.28515625" customWidth="1"/>
    <col min="6" max="6" width="14.85546875" customWidth="1"/>
    <col min="7" max="7" width="16.42578125" customWidth="1"/>
    <col min="9" max="9" width="15" customWidth="1"/>
    <col min="10" max="10" width="14.140625" customWidth="1"/>
    <col min="11" max="11" width="11" customWidth="1"/>
    <col min="12" max="12" width="12.28515625" bestFit="1" customWidth="1"/>
    <col min="13" max="13" width="10.5703125" customWidth="1"/>
    <col min="14" max="14" width="15.5703125" customWidth="1"/>
    <col min="15" max="15" width="14.85546875" customWidth="1"/>
    <col min="16" max="16" width="25.85546875" customWidth="1"/>
    <col min="17" max="17" width="19.85546875" customWidth="1"/>
  </cols>
  <sheetData>
    <row r="1" spans="1:17" ht="23.25">
      <c r="A1" s="617" t="s">
        <v>411</v>
      </c>
    </row>
    <row r="3" spans="1:17" ht="13.5" thickBot="1"/>
    <row r="4" spans="1:17">
      <c r="A4" s="618"/>
      <c r="B4" s="680" t="s">
        <v>412</v>
      </c>
      <c r="C4" s="681"/>
      <c r="D4" s="682"/>
      <c r="E4" s="618"/>
      <c r="F4" s="619"/>
      <c r="G4" s="620"/>
      <c r="H4" s="619"/>
      <c r="I4" s="619"/>
      <c r="J4" s="620"/>
      <c r="K4" s="680" t="s">
        <v>241</v>
      </c>
      <c r="L4" s="681"/>
      <c r="M4" s="682"/>
      <c r="N4" s="619"/>
      <c r="O4" s="619"/>
      <c r="P4" s="621"/>
      <c r="Q4" s="622"/>
    </row>
    <row r="5" spans="1:17" ht="13.5" thickBot="1">
      <c r="A5" s="623" t="s">
        <v>50</v>
      </c>
      <c r="B5" s="623" t="s">
        <v>413</v>
      </c>
      <c r="C5" s="624" t="s">
        <v>414</v>
      </c>
      <c r="D5" s="625" t="s">
        <v>415</v>
      </c>
      <c r="E5" s="623" t="s">
        <v>416</v>
      </c>
      <c r="F5" s="624" t="s">
        <v>417</v>
      </c>
      <c r="G5" s="625" t="s">
        <v>418</v>
      </c>
      <c r="H5" s="624" t="s">
        <v>419</v>
      </c>
      <c r="I5" s="624" t="s">
        <v>417</v>
      </c>
      <c r="J5" s="625" t="s">
        <v>418</v>
      </c>
      <c r="K5" s="623" t="s">
        <v>34</v>
      </c>
      <c r="L5" s="624" t="s">
        <v>420</v>
      </c>
      <c r="M5" s="625" t="s">
        <v>421</v>
      </c>
      <c r="N5" s="624" t="s">
        <v>417</v>
      </c>
      <c r="O5" s="624" t="s">
        <v>418</v>
      </c>
      <c r="P5" s="626" t="s">
        <v>422</v>
      </c>
      <c r="Q5" s="627" t="s">
        <v>423</v>
      </c>
    </row>
    <row r="6" spans="1:17">
      <c r="A6" s="628">
        <v>2001</v>
      </c>
      <c r="B6" s="628">
        <v>0</v>
      </c>
      <c r="C6" s="629">
        <v>130</v>
      </c>
      <c r="D6" s="630">
        <v>15</v>
      </c>
      <c r="E6" s="631">
        <v>2.4500000000000002</v>
      </c>
      <c r="F6" s="632">
        <f>(E6*6)/12</f>
        <v>1.2250000000000001</v>
      </c>
      <c r="G6" s="633">
        <f>+F6*1000*D6*12</f>
        <v>220500</v>
      </c>
      <c r="H6" s="634">
        <v>3.45</v>
      </c>
      <c r="I6" s="632">
        <f>(H6*6)/12</f>
        <v>1.7250000000000003</v>
      </c>
      <c r="J6" s="633">
        <f t="shared" ref="J6:J13" si="0">+I6*1000*C6*12</f>
        <v>2691000.0000000005</v>
      </c>
      <c r="K6" s="635">
        <v>5.03</v>
      </c>
      <c r="L6" s="636">
        <v>4.0199999999999996</v>
      </c>
      <c r="M6" s="637">
        <v>1</v>
      </c>
      <c r="N6" s="636">
        <f>+(K6*8)/12</f>
        <v>3.3533333333333335</v>
      </c>
      <c r="O6" s="638">
        <f t="shared" ref="O6:O13" si="1">+N6*B6*1000*12</f>
        <v>0</v>
      </c>
      <c r="P6" s="639">
        <f>IF((J6+G6)&gt;O6,(J6+G6)-O6,0)</f>
        <v>2911500.0000000005</v>
      </c>
      <c r="Q6" s="640">
        <f>(J6+G6)-P6</f>
        <v>0</v>
      </c>
    </row>
    <row r="7" spans="1:17">
      <c r="A7" s="628">
        <v>2002</v>
      </c>
      <c r="B7" s="628">
        <f>+B21*4</f>
        <v>194</v>
      </c>
      <c r="C7" s="629">
        <v>140</v>
      </c>
      <c r="D7" s="630">
        <v>30</v>
      </c>
      <c r="E7" s="631">
        <v>2.4300000000000002</v>
      </c>
      <c r="F7" s="632">
        <f t="shared" ref="F7:F13" si="2">(E7*6)/12</f>
        <v>1.2150000000000001</v>
      </c>
      <c r="G7" s="633">
        <f t="shared" ref="G7:G13" si="3">+F7*1000*D7*12</f>
        <v>437400</v>
      </c>
      <c r="H7" s="634">
        <v>3.43</v>
      </c>
      <c r="I7" s="632">
        <f t="shared" ref="I7:I13" si="4">(H7*6)/12</f>
        <v>1.7150000000000001</v>
      </c>
      <c r="J7" s="633">
        <f t="shared" si="0"/>
        <v>2881200</v>
      </c>
      <c r="K7" s="635">
        <v>3.92</v>
      </c>
      <c r="L7" s="636">
        <v>2.82</v>
      </c>
      <c r="M7" s="637">
        <v>1.1000000000000001</v>
      </c>
      <c r="N7" s="636">
        <f t="shared" ref="N7:N13" si="5">+(K7*8)/12</f>
        <v>2.6133333333333333</v>
      </c>
      <c r="O7" s="638">
        <f t="shared" si="1"/>
        <v>6083840</v>
      </c>
      <c r="P7" s="641">
        <f t="shared" ref="P7:P13" si="6">IF((J7+G7)&gt;O7,(J7+G7)-O7,0)</f>
        <v>0</v>
      </c>
      <c r="Q7" s="642">
        <f t="shared" ref="Q7:Q13" si="7">(J7+G7)-P7</f>
        <v>3318600</v>
      </c>
    </row>
    <row r="8" spans="1:17">
      <c r="A8" s="628">
        <v>2003</v>
      </c>
      <c r="B8" s="628">
        <f>+B21*4</f>
        <v>194</v>
      </c>
      <c r="C8" s="629">
        <v>140</v>
      </c>
      <c r="D8" s="630">
        <v>30</v>
      </c>
      <c r="E8" s="631">
        <v>2.38</v>
      </c>
      <c r="F8" s="632">
        <f t="shared" si="2"/>
        <v>1.19</v>
      </c>
      <c r="G8" s="633">
        <f t="shared" si="3"/>
        <v>428400</v>
      </c>
      <c r="H8" s="634">
        <v>3.38</v>
      </c>
      <c r="I8" s="632">
        <f t="shared" si="4"/>
        <v>1.6900000000000002</v>
      </c>
      <c r="J8" s="633">
        <f t="shared" si="0"/>
        <v>2839200.0000000005</v>
      </c>
      <c r="K8" s="635">
        <v>3.95</v>
      </c>
      <c r="L8" s="636">
        <v>2.81</v>
      </c>
      <c r="M8" s="637">
        <v>1.1399999999999999</v>
      </c>
      <c r="N8" s="636">
        <f t="shared" si="5"/>
        <v>2.6333333333333333</v>
      </c>
      <c r="O8" s="638">
        <f t="shared" si="1"/>
        <v>6130400</v>
      </c>
      <c r="P8" s="641">
        <f t="shared" si="6"/>
        <v>0</v>
      </c>
      <c r="Q8" s="642">
        <f t="shared" si="7"/>
        <v>3267600.0000000005</v>
      </c>
    </row>
    <row r="9" spans="1:17">
      <c r="A9" s="628">
        <v>2004</v>
      </c>
      <c r="B9" s="628">
        <f>+B21*2</f>
        <v>97</v>
      </c>
      <c r="C9" s="629">
        <v>160</v>
      </c>
      <c r="D9" s="630">
        <v>0</v>
      </c>
      <c r="E9" s="631">
        <v>0</v>
      </c>
      <c r="F9" s="632">
        <f t="shared" si="2"/>
        <v>0</v>
      </c>
      <c r="G9" s="633">
        <f t="shared" si="3"/>
        <v>0</v>
      </c>
      <c r="H9" s="634">
        <v>3.39</v>
      </c>
      <c r="I9" s="632">
        <f t="shared" si="4"/>
        <v>1.6950000000000001</v>
      </c>
      <c r="J9" s="633">
        <f t="shared" si="0"/>
        <v>3254400</v>
      </c>
      <c r="K9" s="635">
        <v>3.94</v>
      </c>
      <c r="L9" s="636">
        <v>2.77</v>
      </c>
      <c r="M9" s="637">
        <v>1.17</v>
      </c>
      <c r="N9" s="636">
        <f t="shared" si="5"/>
        <v>2.6266666666666665</v>
      </c>
      <c r="O9" s="638">
        <f t="shared" si="1"/>
        <v>3057440</v>
      </c>
      <c r="P9" s="641">
        <f t="shared" si="6"/>
        <v>196960</v>
      </c>
      <c r="Q9" s="642">
        <f t="shared" si="7"/>
        <v>3057440</v>
      </c>
    </row>
    <row r="10" spans="1:17">
      <c r="A10" s="628">
        <v>2005</v>
      </c>
      <c r="B10" s="628">
        <f>+B21</f>
        <v>48.5</v>
      </c>
      <c r="C10" s="629">
        <v>185</v>
      </c>
      <c r="D10" s="630">
        <v>0</v>
      </c>
      <c r="E10" s="631">
        <v>0</v>
      </c>
      <c r="F10" s="632">
        <f t="shared" si="2"/>
        <v>0</v>
      </c>
      <c r="G10" s="633">
        <f t="shared" si="3"/>
        <v>0</v>
      </c>
      <c r="H10" s="634">
        <v>3.31</v>
      </c>
      <c r="I10" s="632">
        <f t="shared" si="4"/>
        <v>1.655</v>
      </c>
      <c r="J10" s="633">
        <f t="shared" si="0"/>
        <v>3674100</v>
      </c>
      <c r="K10" s="635">
        <v>3.83</v>
      </c>
      <c r="L10" s="636">
        <v>2.69</v>
      </c>
      <c r="M10" s="637">
        <v>1.1299999999999999</v>
      </c>
      <c r="N10" s="636">
        <f t="shared" si="5"/>
        <v>2.5533333333333332</v>
      </c>
      <c r="O10" s="638">
        <f t="shared" si="1"/>
        <v>1486040</v>
      </c>
      <c r="P10" s="641">
        <f t="shared" si="6"/>
        <v>2188060</v>
      </c>
      <c r="Q10" s="642">
        <f t="shared" si="7"/>
        <v>1486040</v>
      </c>
    </row>
    <row r="11" spans="1:17">
      <c r="A11" s="628">
        <v>2006</v>
      </c>
      <c r="B11" s="628">
        <v>0</v>
      </c>
      <c r="C11" s="629">
        <v>200</v>
      </c>
      <c r="D11" s="630">
        <v>0</v>
      </c>
      <c r="E11" s="631">
        <v>0</v>
      </c>
      <c r="F11" s="632">
        <f t="shared" si="2"/>
        <v>0</v>
      </c>
      <c r="G11" s="633">
        <f t="shared" si="3"/>
        <v>0</v>
      </c>
      <c r="H11" s="634">
        <v>3.28</v>
      </c>
      <c r="I11" s="632">
        <f t="shared" si="4"/>
        <v>1.64</v>
      </c>
      <c r="J11" s="633">
        <f t="shared" si="0"/>
        <v>3936000</v>
      </c>
      <c r="K11" s="635">
        <v>3.88</v>
      </c>
      <c r="L11" s="636">
        <v>2.74</v>
      </c>
      <c r="M11" s="637">
        <v>1.1499999999999999</v>
      </c>
      <c r="N11" s="636">
        <f t="shared" si="5"/>
        <v>2.5866666666666664</v>
      </c>
      <c r="O11" s="638">
        <f t="shared" si="1"/>
        <v>0</v>
      </c>
      <c r="P11" s="641">
        <f t="shared" si="6"/>
        <v>3936000</v>
      </c>
      <c r="Q11" s="642">
        <f t="shared" si="7"/>
        <v>0</v>
      </c>
    </row>
    <row r="12" spans="1:17">
      <c r="A12" s="628">
        <v>2007</v>
      </c>
      <c r="B12" s="628">
        <v>0</v>
      </c>
      <c r="C12" s="629">
        <v>200</v>
      </c>
      <c r="D12" s="630">
        <v>0</v>
      </c>
      <c r="E12" s="631">
        <v>0</v>
      </c>
      <c r="F12" s="632">
        <f t="shared" si="2"/>
        <v>0</v>
      </c>
      <c r="G12" s="633">
        <f t="shared" si="3"/>
        <v>0</v>
      </c>
      <c r="H12" s="634">
        <v>3.37</v>
      </c>
      <c r="I12" s="632">
        <f t="shared" si="4"/>
        <v>1.6849999999999998</v>
      </c>
      <c r="J12" s="633">
        <f t="shared" si="0"/>
        <v>4043999.9999999991</v>
      </c>
      <c r="K12" s="635">
        <v>3.96</v>
      </c>
      <c r="L12" s="636">
        <v>2.79</v>
      </c>
      <c r="M12" s="637">
        <v>1.17</v>
      </c>
      <c r="N12" s="636">
        <f t="shared" si="5"/>
        <v>2.64</v>
      </c>
      <c r="O12" s="638">
        <f t="shared" si="1"/>
        <v>0</v>
      </c>
      <c r="P12" s="641">
        <f t="shared" si="6"/>
        <v>4043999.9999999991</v>
      </c>
      <c r="Q12" s="642">
        <f t="shared" si="7"/>
        <v>0</v>
      </c>
    </row>
    <row r="13" spans="1:17" ht="13.5" thickBot="1">
      <c r="A13" s="623">
        <v>2008</v>
      </c>
      <c r="B13" s="623">
        <v>0</v>
      </c>
      <c r="C13" s="624">
        <v>200</v>
      </c>
      <c r="D13" s="625">
        <v>0</v>
      </c>
      <c r="E13" s="643">
        <v>0</v>
      </c>
      <c r="F13" s="644">
        <f t="shared" si="2"/>
        <v>0</v>
      </c>
      <c r="G13" s="645">
        <f t="shared" si="3"/>
        <v>0</v>
      </c>
      <c r="H13" s="646">
        <v>3.29</v>
      </c>
      <c r="I13" s="644">
        <f t="shared" si="4"/>
        <v>1.6450000000000002</v>
      </c>
      <c r="J13" s="645">
        <f t="shared" si="0"/>
        <v>3948000.0000000009</v>
      </c>
      <c r="K13" s="647">
        <v>3.9</v>
      </c>
      <c r="L13" s="648">
        <v>2.8</v>
      </c>
      <c r="M13" s="649">
        <v>1.1100000000000001</v>
      </c>
      <c r="N13" s="648">
        <f t="shared" si="5"/>
        <v>2.6</v>
      </c>
      <c r="O13" s="650">
        <f t="shared" si="1"/>
        <v>0</v>
      </c>
      <c r="P13" s="651">
        <f t="shared" si="6"/>
        <v>3948000.0000000009</v>
      </c>
      <c r="Q13" s="652">
        <f t="shared" si="7"/>
        <v>0</v>
      </c>
    </row>
    <row r="14" spans="1:17">
      <c r="P14" s="8"/>
      <c r="Q14" s="653"/>
    </row>
    <row r="15" spans="1:17">
      <c r="F15" s="592" t="s">
        <v>435</v>
      </c>
      <c r="G15" s="654">
        <f>SUM(G6:G13)</f>
        <v>1086300</v>
      </c>
      <c r="I15" s="592" t="s">
        <v>435</v>
      </c>
      <c r="J15" s="654">
        <f>SUM(J6:J13)</f>
        <v>27267900</v>
      </c>
      <c r="O15" s="592" t="s">
        <v>435</v>
      </c>
      <c r="P15" s="655">
        <f>SUM(P6:P13)</f>
        <v>17224520</v>
      </c>
      <c r="Q15" s="656">
        <f>SUM(Q6:Q13)</f>
        <v>11129680</v>
      </c>
    </row>
    <row r="16" spans="1:17">
      <c r="F16" s="592" t="s">
        <v>425</v>
      </c>
      <c r="G16" s="678">
        <v>7.2599999999999998E-2</v>
      </c>
      <c r="H16" s="658"/>
      <c r="I16" s="592" t="s">
        <v>425</v>
      </c>
      <c r="J16" s="657">
        <f>G16</f>
        <v>7.2599999999999998E-2</v>
      </c>
      <c r="O16" s="592" t="s">
        <v>425</v>
      </c>
      <c r="P16" s="659">
        <f>G16</f>
        <v>7.2599999999999998E-2</v>
      </c>
      <c r="Q16" s="659">
        <f>G16</f>
        <v>7.2599999999999998E-2</v>
      </c>
    </row>
    <row r="17" spans="1:17">
      <c r="F17" s="592" t="s">
        <v>426</v>
      </c>
      <c r="G17" s="660">
        <f>NPV(G16,G6:G13)</f>
        <v>932932.54931385838</v>
      </c>
      <c r="I17" s="592" t="s">
        <v>426</v>
      </c>
      <c r="J17" s="660">
        <f>NPV(J16,J6:J13)</f>
        <v>19675184.626364417</v>
      </c>
      <c r="O17" s="592" t="s">
        <v>426</v>
      </c>
      <c r="P17" s="674">
        <f>NPV(P16,P6:P13)</f>
        <v>11718855.077431271</v>
      </c>
      <c r="Q17" s="675">
        <f>NPV(Q16,Q6:Q13)</f>
        <v>8889262.0982470084</v>
      </c>
    </row>
    <row r="19" spans="1:17" ht="13.5" thickBot="1"/>
    <row r="20" spans="1:17" ht="13.5" thickBot="1">
      <c r="A20" s="683" t="s">
        <v>427</v>
      </c>
      <c r="B20" s="684"/>
      <c r="F20" s="662" t="s">
        <v>50</v>
      </c>
      <c r="G20" s="663" t="s">
        <v>428</v>
      </c>
      <c r="L20" s="664"/>
      <c r="P20" s="592" t="s">
        <v>437</v>
      </c>
      <c r="Q20" s="676">
        <f>-((545*B21*4)-(574*B21*4))*1000</f>
        <v>5626000</v>
      </c>
    </row>
    <row r="21" spans="1:17">
      <c r="A21" s="665" t="s">
        <v>412</v>
      </c>
      <c r="B21" s="665">
        <v>48.5</v>
      </c>
      <c r="F21" s="666">
        <v>2001</v>
      </c>
      <c r="G21" s="667">
        <f t="shared" ref="G21:G28" si="8">O6-Q6</f>
        <v>0</v>
      </c>
      <c r="P21" s="592"/>
      <c r="Q21" s="592"/>
    </row>
    <row r="22" spans="1:17">
      <c r="A22" s="668" t="s">
        <v>429</v>
      </c>
      <c r="B22" s="668">
        <v>9332</v>
      </c>
      <c r="F22" s="666">
        <v>2002</v>
      </c>
      <c r="G22" s="667">
        <f t="shared" si="8"/>
        <v>2765240</v>
      </c>
      <c r="K22" s="592"/>
      <c r="P22" s="592" t="s">
        <v>439</v>
      </c>
      <c r="Q22" s="676">
        <v>1700000</v>
      </c>
    </row>
    <row r="23" spans="1:17">
      <c r="A23" s="668" t="s">
        <v>436</v>
      </c>
      <c r="B23" s="669">
        <v>2</v>
      </c>
      <c r="F23" s="666">
        <v>2003</v>
      </c>
      <c r="G23" s="667">
        <f t="shared" si="8"/>
        <v>2862799.9999999995</v>
      </c>
    </row>
    <row r="24" spans="1:17">
      <c r="A24" s="668" t="s">
        <v>430</v>
      </c>
      <c r="B24" s="669">
        <v>-0.22</v>
      </c>
      <c r="F24" s="666">
        <v>2004</v>
      </c>
      <c r="G24" s="667">
        <f t="shared" si="8"/>
        <v>0</v>
      </c>
      <c r="L24" s="670"/>
      <c r="P24" s="592" t="s">
        <v>438</v>
      </c>
      <c r="Q24" s="677">
        <f>Q17-Q20</f>
        <v>3263262.0982470084</v>
      </c>
    </row>
    <row r="25" spans="1:17">
      <c r="A25" s="668" t="s">
        <v>431</v>
      </c>
      <c r="B25" s="668" t="s">
        <v>432</v>
      </c>
      <c r="F25" s="666">
        <v>2005</v>
      </c>
      <c r="G25" s="667">
        <f t="shared" si="8"/>
        <v>0</v>
      </c>
      <c r="L25" s="670"/>
    </row>
    <row r="26" spans="1:17">
      <c r="A26" s="668" t="s">
        <v>433</v>
      </c>
      <c r="B26" s="669">
        <v>0.1</v>
      </c>
      <c r="F26" s="666">
        <v>2006</v>
      </c>
      <c r="G26" s="667">
        <f t="shared" si="8"/>
        <v>0</v>
      </c>
    </row>
    <row r="27" spans="1:17" ht="13.5" thickBot="1">
      <c r="A27" s="671" t="s">
        <v>434</v>
      </c>
      <c r="B27" s="671"/>
      <c r="F27" s="666">
        <v>2007</v>
      </c>
      <c r="G27" s="667">
        <f t="shared" si="8"/>
        <v>0</v>
      </c>
      <c r="L27" s="670"/>
    </row>
    <row r="28" spans="1:17" ht="13.5" thickBot="1">
      <c r="F28" s="672">
        <v>2008</v>
      </c>
      <c r="G28" s="673">
        <f t="shared" si="8"/>
        <v>0</v>
      </c>
    </row>
    <row r="30" spans="1:17">
      <c r="F30" s="592" t="s">
        <v>424</v>
      </c>
      <c r="G30" s="656">
        <f>SUM(G21:G28)</f>
        <v>5628040</v>
      </c>
    </row>
    <row r="31" spans="1:17">
      <c r="F31" s="592" t="s">
        <v>425</v>
      </c>
      <c r="G31" s="659">
        <v>9.4393589894156374E-2</v>
      </c>
    </row>
    <row r="32" spans="1:17">
      <c r="F32" s="592" t="s">
        <v>426</v>
      </c>
      <c r="G32" s="661">
        <f>NPV(G31,G21:G28)</f>
        <v>4492886.2758482797</v>
      </c>
    </row>
  </sheetData>
  <mergeCells count="3">
    <mergeCell ref="K4:M4"/>
    <mergeCell ref="B4:D4"/>
    <mergeCell ref="A20:B20"/>
  </mergeCells>
  <pageMargins left="0.75" right="0.75" top="1" bottom="1" header="0.5" footer="0.5"/>
  <pageSetup scale="54" orientation="landscape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2:Y6"/>
  <sheetViews>
    <sheetView zoomScale="75" zoomScaleNormal="75" workbookViewId="0"/>
  </sheetViews>
  <sheetFormatPr defaultRowHeight="12.75"/>
  <cols>
    <col min="1" max="1" width="7.140625" style="14" customWidth="1"/>
    <col min="2" max="2" width="50.5703125" style="14" customWidth="1"/>
    <col min="3" max="21" width="10.5703125" style="14" customWidth="1"/>
    <col min="22" max="23" width="10.85546875" style="14" customWidth="1"/>
    <col min="24" max="32" width="10.85546875" style="5" customWidth="1"/>
    <col min="33" max="16384" width="9.140625" style="5"/>
  </cols>
  <sheetData>
    <row r="2" spans="1:25" ht="18.75">
      <c r="A2" s="135" t="str">
        <f>Assumptions!A3</f>
        <v>PROJECT NAME: LINCOLN</v>
      </c>
    </row>
    <row r="4" spans="1:25" ht="18.75">
      <c r="A4" s="94" t="s">
        <v>297</v>
      </c>
      <c r="B4" s="47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08"/>
      <c r="Y4" s="108"/>
    </row>
    <row r="5" spans="1:25">
      <c r="A5" s="99"/>
      <c r="B5" s="123"/>
      <c r="C5" s="16"/>
      <c r="D5" s="16"/>
      <c r="E5" s="16"/>
      <c r="F5" s="16"/>
      <c r="G5" s="16"/>
      <c r="H5" s="16"/>
      <c r="I5" s="120"/>
      <c r="J5" s="16"/>
      <c r="K5" s="16"/>
      <c r="L5" s="16"/>
      <c r="M5" s="16"/>
      <c r="N5" s="16"/>
      <c r="O5" s="120"/>
      <c r="P5" s="16"/>
      <c r="Q5" s="16"/>
      <c r="R5" s="16"/>
      <c r="S5" s="16"/>
      <c r="T5" s="16"/>
      <c r="U5" s="120"/>
      <c r="V5" s="16"/>
      <c r="W5" s="16"/>
      <c r="X5" s="141"/>
      <c r="Y5" s="141"/>
    </row>
    <row r="6" spans="1:25">
      <c r="A6" s="60" t="s">
        <v>301</v>
      </c>
      <c r="B6" s="60" t="s">
        <v>298</v>
      </c>
      <c r="C6" s="60"/>
      <c r="D6" s="60" t="s">
        <v>299</v>
      </c>
      <c r="E6" s="60"/>
      <c r="F6" s="60" t="s">
        <v>300</v>
      </c>
    </row>
  </sheetData>
  <pageMargins left="0.45" right="0.45" top="0.5" bottom="0.5" header="0.25" footer="0.25"/>
  <pageSetup orientation="landscape" r:id="rId1"/>
  <headerFooter alignWithMargins="0">
    <oddFooter xml:space="preserve">&amp;L&amp;T, &amp;D&amp;C&amp;F&amp;R&amp;P </oddFooter>
  </headerFooter>
  <colBreaks count="1" manualBreakCount="1">
    <brk id="16" min="1" max="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E19"/>
  <sheetViews>
    <sheetView zoomScale="75" zoomScaleNormal="75" workbookViewId="0">
      <selection activeCell="B10" sqref="B10"/>
    </sheetView>
  </sheetViews>
  <sheetFormatPr defaultColWidth="9.28515625" defaultRowHeight="12.75"/>
  <cols>
    <col min="1" max="1" width="63.85546875" style="14" bestFit="1" customWidth="1"/>
    <col min="2" max="6" width="24.5703125" style="14" customWidth="1"/>
    <col min="7" max="16384" width="9.28515625" style="14"/>
  </cols>
  <sheetData>
    <row r="2" spans="1:5" ht="18.75">
      <c r="A2" s="135" t="str">
        <f>Assumptions!A3</f>
        <v>PROJECT NAME: LINCOLN</v>
      </c>
    </row>
    <row r="4" spans="1:5" ht="18.75">
      <c r="A4" s="392" t="s">
        <v>257</v>
      </c>
    </row>
    <row r="6" spans="1:5" ht="13.5" thickBot="1"/>
    <row r="7" spans="1:5" ht="21" thickBot="1">
      <c r="A7" s="300"/>
      <c r="B7" s="301" t="s">
        <v>234</v>
      </c>
      <c r="C7" s="301" t="s">
        <v>234</v>
      </c>
      <c r="D7" s="183" t="s">
        <v>6</v>
      </c>
      <c r="E7" s="184"/>
    </row>
    <row r="8" spans="1:5" ht="16.5" thickBot="1">
      <c r="A8" s="157"/>
      <c r="B8" s="266" t="s">
        <v>270</v>
      </c>
      <c r="C8" s="266" t="s">
        <v>272</v>
      </c>
      <c r="D8" s="183" t="s">
        <v>254</v>
      </c>
      <c r="E8" s="184"/>
    </row>
    <row r="9" spans="1:5" ht="15.75">
      <c r="A9" s="381"/>
      <c r="B9" s="382" t="s">
        <v>271</v>
      </c>
      <c r="C9" s="382" t="s">
        <v>271</v>
      </c>
      <c r="D9" s="382" t="s">
        <v>8</v>
      </c>
      <c r="E9" s="383" t="s">
        <v>255</v>
      </c>
    </row>
    <row r="10" spans="1:5" ht="16.5" thickBot="1">
      <c r="A10" s="386" t="s">
        <v>256</v>
      </c>
      <c r="B10" s="387">
        <f>Assumptions!I37</f>
        <v>0.34498941302299513</v>
      </c>
      <c r="C10" s="387">
        <f>Assumptions!I38</f>
        <v>0.34498941302299513</v>
      </c>
      <c r="D10" s="388">
        <v>1.2888963749231688</v>
      </c>
      <c r="E10" s="389">
        <v>1.3927921351860328</v>
      </c>
    </row>
    <row r="11" spans="1:5" ht="15.75">
      <c r="A11" s="395"/>
      <c r="C11" s="384"/>
      <c r="D11" s="385"/>
      <c r="E11" s="385"/>
    </row>
    <row r="12" spans="1:5" ht="13.5" thickBot="1"/>
    <row r="13" spans="1:5" ht="15.75">
      <c r="A13" s="396" t="s">
        <v>258</v>
      </c>
      <c r="B13" s="397">
        <v>0.11675655245780944</v>
      </c>
      <c r="C13" s="397">
        <v>0.11675655245780944</v>
      </c>
      <c r="D13" s="390">
        <v>1.2888963749231688</v>
      </c>
      <c r="E13" s="391">
        <v>1.3927921351860328</v>
      </c>
    </row>
    <row r="14" spans="1:5" ht="15.75">
      <c r="A14" s="47"/>
      <c r="B14" s="15"/>
      <c r="C14" s="398"/>
      <c r="D14" s="152"/>
      <c r="E14" s="158"/>
    </row>
    <row r="15" spans="1:5" ht="15.75">
      <c r="A15" s="47"/>
      <c r="B15" s="15"/>
      <c r="C15" s="398"/>
      <c r="D15" s="152"/>
      <c r="E15" s="158"/>
    </row>
    <row r="16" spans="1:5" ht="15.75">
      <c r="A16" s="47"/>
      <c r="B16" s="15"/>
      <c r="C16" s="398"/>
      <c r="D16" s="152"/>
      <c r="E16" s="158"/>
    </row>
    <row r="17" spans="1:5" ht="15.75">
      <c r="A17" s="47"/>
      <c r="B17" s="15"/>
      <c r="C17" s="398"/>
      <c r="D17" s="152"/>
      <c r="E17" s="158"/>
    </row>
    <row r="18" spans="1:5" ht="15.75">
      <c r="A18" s="47"/>
      <c r="B18" s="15"/>
      <c r="C18" s="398"/>
      <c r="D18" s="152"/>
      <c r="E18" s="158"/>
    </row>
    <row r="19" spans="1:5" ht="16.5" thickBot="1">
      <c r="A19" s="311"/>
      <c r="B19" s="49"/>
      <c r="C19" s="399"/>
      <c r="D19" s="160"/>
      <c r="E19" s="400"/>
    </row>
  </sheetData>
  <pageMargins left="0.45" right="0.45" top="0.5" bottom="0.5" header="0.25" footer="0.25"/>
  <pageSetup scale="81" orientation="landscape" r:id="rId1"/>
  <headerFooter alignWithMargins="0">
    <oddFooter xml:space="preserve">&amp;L&amp;T, &amp;D&amp;C&amp;F&amp;R&amp;P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L170"/>
  <sheetViews>
    <sheetView tabSelected="1" topLeftCell="A10" zoomScale="75" zoomScaleNormal="75" workbookViewId="0">
      <selection activeCell="C30" sqref="C30"/>
    </sheetView>
  </sheetViews>
  <sheetFormatPr defaultRowHeight="12.75"/>
  <cols>
    <col min="1" max="1" width="52.7109375" style="14" customWidth="1"/>
    <col min="2" max="2" width="20.140625" style="14" customWidth="1"/>
    <col min="3" max="3" width="20.7109375" style="14" bestFit="1" customWidth="1"/>
    <col min="4" max="4" width="17.85546875" style="14" customWidth="1"/>
    <col min="5" max="5" width="20.140625" style="14" customWidth="1"/>
    <col min="6" max="6" width="6.7109375" style="14" customWidth="1"/>
    <col min="7" max="7" width="35" style="14" customWidth="1"/>
    <col min="8" max="9" width="14.42578125" style="14" customWidth="1"/>
    <col min="10" max="10" width="12" style="14" customWidth="1"/>
    <col min="11" max="11" width="11.42578125" style="14" customWidth="1"/>
    <col min="12" max="12" width="7.42578125" style="14" customWidth="1"/>
    <col min="13" max="13" width="32" style="14" customWidth="1"/>
    <col min="14" max="25" width="12.85546875" style="14" customWidth="1"/>
    <col min="26" max="33" width="12" style="14" customWidth="1"/>
    <col min="34" max="34" width="9.140625" style="14"/>
    <col min="35" max="37" width="10" style="14" customWidth="1"/>
    <col min="38" max="38" width="12" style="14" customWidth="1"/>
    <col min="39" max="39" width="17.5703125" style="14" customWidth="1"/>
    <col min="40" max="40" width="22.42578125" style="14" customWidth="1"/>
    <col min="41" max="41" width="19" style="14" customWidth="1"/>
    <col min="42" max="42" width="10.28515625" style="14" customWidth="1"/>
    <col min="43" max="62" width="13.140625" style="14" customWidth="1"/>
    <col min="63" max="63" width="9.140625" style="14"/>
    <col min="64" max="73" width="10" style="14" customWidth="1"/>
    <col min="74" max="74" width="9.140625" style="14"/>
    <col min="75" max="80" width="10" style="14" customWidth="1"/>
    <col min="81" max="81" width="9.140625" style="14"/>
    <col min="82" max="87" width="10" style="14" customWidth="1"/>
    <col min="88" max="16384" width="9.140625" style="14"/>
  </cols>
  <sheetData>
    <row r="1" spans="1:38" ht="25.5" hidden="1">
      <c r="A1" s="286" t="s">
        <v>153</v>
      </c>
      <c r="J1" s="125"/>
      <c r="AL1" s="125"/>
    </row>
    <row r="2" spans="1:38" ht="13.5" customHeight="1">
      <c r="A2" s="286"/>
      <c r="J2" s="125"/>
      <c r="AL2" s="125"/>
    </row>
    <row r="3" spans="1:38" ht="19.5" customHeight="1">
      <c r="A3" s="335" t="s">
        <v>273</v>
      </c>
      <c r="J3" s="125"/>
      <c r="AL3" s="125"/>
    </row>
    <row r="4" spans="1:38" s="5" customFormat="1" ht="19.5" customHeight="1">
      <c r="A4" s="332"/>
      <c r="J4" s="333"/>
      <c r="AL4" s="333"/>
    </row>
    <row r="5" spans="1:38" ht="19.5" customHeight="1">
      <c r="A5" s="293" t="s">
        <v>18</v>
      </c>
      <c r="B5" s="5"/>
      <c r="C5" s="5"/>
      <c r="D5" s="5"/>
    </row>
    <row r="7" spans="1:38" ht="13.5" thickBot="1"/>
    <row r="8" spans="1:38" ht="15.75">
      <c r="A8" s="146" t="s">
        <v>19</v>
      </c>
      <c r="B8" s="44"/>
      <c r="C8" s="44"/>
      <c r="D8" s="148"/>
      <c r="E8" s="359"/>
      <c r="F8" s="15"/>
      <c r="G8" s="145" t="s">
        <v>182</v>
      </c>
      <c r="H8" s="171"/>
      <c r="I8" s="172"/>
      <c r="J8" s="424"/>
      <c r="K8" s="45"/>
      <c r="M8" s="145" t="s">
        <v>20</v>
      </c>
      <c r="N8" s="424"/>
      <c r="O8" s="430"/>
      <c r="P8" s="45"/>
    </row>
    <row r="9" spans="1:38" ht="15.75">
      <c r="A9" s="47"/>
      <c r="B9" s="15"/>
      <c r="C9" s="15"/>
      <c r="D9" s="15"/>
      <c r="E9" s="46"/>
      <c r="F9" s="15"/>
      <c r="G9" s="175"/>
      <c r="H9" s="329"/>
      <c r="I9" s="329"/>
      <c r="J9" s="15"/>
      <c r="K9" s="46"/>
      <c r="M9" s="356"/>
      <c r="N9" s="253"/>
      <c r="O9" s="168"/>
      <c r="P9" s="46"/>
    </row>
    <row r="10" spans="1:38" ht="15.75">
      <c r="A10" s="150" t="s">
        <v>21</v>
      </c>
      <c r="B10" s="151" t="s">
        <v>22</v>
      </c>
      <c r="C10" s="405" t="s">
        <v>23</v>
      </c>
      <c r="D10" s="438" t="s">
        <v>260</v>
      </c>
      <c r="E10" s="46"/>
      <c r="F10" s="15"/>
      <c r="G10" s="175" t="s">
        <v>216</v>
      </c>
      <c r="H10" s="15"/>
      <c r="I10" s="414" t="s">
        <v>241</v>
      </c>
      <c r="J10" s="15"/>
      <c r="K10" s="46"/>
      <c r="M10" s="157" t="s">
        <v>278</v>
      </c>
      <c r="N10" s="15"/>
      <c r="O10" s="490">
        <f>I11*I12</f>
        <v>194</v>
      </c>
      <c r="P10" s="46"/>
    </row>
    <row r="11" spans="1:38" ht="15.75">
      <c r="A11" s="153" t="s">
        <v>24</v>
      </c>
      <c r="B11" s="250">
        <f>C11/$C$14</f>
        <v>0</v>
      </c>
      <c r="C11" s="406">
        <v>0</v>
      </c>
      <c r="D11" s="439">
        <f>C11/$O$12</f>
        <v>0</v>
      </c>
      <c r="E11" s="46"/>
      <c r="F11" s="15"/>
      <c r="G11" s="175" t="s">
        <v>26</v>
      </c>
      <c r="H11" s="329"/>
      <c r="I11" s="415">
        <v>4</v>
      </c>
      <c r="J11" s="168"/>
      <c r="K11" s="46"/>
      <c r="M11" s="157" t="s">
        <v>170</v>
      </c>
      <c r="N11" s="15"/>
      <c r="O11" s="415">
        <v>0</v>
      </c>
      <c r="P11" s="46"/>
    </row>
    <row r="12" spans="1:38" ht="15.75">
      <c r="A12" s="153" t="s">
        <v>158</v>
      </c>
      <c r="B12" s="251">
        <f>C12/C14</f>
        <v>1</v>
      </c>
      <c r="C12" s="407">
        <f>C44-C11</f>
        <v>110855.8503824605</v>
      </c>
      <c r="D12" s="439">
        <f>C12/$O$12</f>
        <v>571.42190918794074</v>
      </c>
      <c r="E12" s="46"/>
      <c r="F12" s="15"/>
      <c r="G12" s="175" t="s">
        <v>183</v>
      </c>
      <c r="H12" s="329"/>
      <c r="I12" s="416">
        <v>48.5</v>
      </c>
      <c r="J12" s="168"/>
      <c r="K12" s="46"/>
      <c r="M12" s="157" t="s">
        <v>279</v>
      </c>
      <c r="N12" s="15"/>
      <c r="O12" s="455">
        <f>SUM(O10:O11)</f>
        <v>194</v>
      </c>
      <c r="P12" s="46"/>
    </row>
    <row r="13" spans="1:38" ht="15.75">
      <c r="A13" s="155"/>
      <c r="B13" s="154"/>
      <c r="C13" s="407"/>
      <c r="D13" s="439"/>
      <c r="E13" s="46"/>
      <c r="F13" s="15"/>
      <c r="G13" s="175" t="s">
        <v>184</v>
      </c>
      <c r="H13" s="329"/>
      <c r="I13" s="415">
        <v>9332</v>
      </c>
      <c r="J13" s="168"/>
      <c r="K13" s="46"/>
      <c r="M13" s="157" t="s">
        <v>30</v>
      </c>
      <c r="N13" s="15"/>
      <c r="O13" s="491">
        <f>C30</f>
        <v>1320</v>
      </c>
      <c r="P13" s="46"/>
    </row>
    <row r="14" spans="1:38" ht="15.75">
      <c r="A14" s="156" t="s">
        <v>25</v>
      </c>
      <c r="B14" s="245">
        <f>C14/$C$14</f>
        <v>1</v>
      </c>
      <c r="C14" s="408">
        <f>SUM(C11:C12)</f>
        <v>110855.8503824605</v>
      </c>
      <c r="D14" s="440">
        <f>C14/$O$12</f>
        <v>571.42190918794074</v>
      </c>
      <c r="E14" s="46"/>
      <c r="F14" s="15"/>
      <c r="G14" s="175" t="s">
        <v>29</v>
      </c>
      <c r="H14" s="329"/>
      <c r="I14" s="415">
        <v>1200</v>
      </c>
      <c r="J14" s="168"/>
      <c r="K14" s="46"/>
      <c r="M14" s="157" t="s">
        <v>35</v>
      </c>
      <c r="N14" s="15"/>
      <c r="O14" s="415">
        <v>150</v>
      </c>
      <c r="P14" s="46"/>
    </row>
    <row r="15" spans="1:38" ht="16.5" thickBot="1">
      <c r="A15" s="47"/>
      <c r="B15" s="15"/>
      <c r="C15" s="15"/>
      <c r="D15" s="128"/>
      <c r="E15" s="46"/>
      <c r="F15" s="15"/>
      <c r="G15" s="175" t="s">
        <v>185</v>
      </c>
      <c r="H15" s="329"/>
      <c r="I15" s="417">
        <v>1</v>
      </c>
      <c r="J15" s="168"/>
      <c r="K15" s="46"/>
      <c r="M15" s="159" t="s">
        <v>280</v>
      </c>
      <c r="N15" s="49"/>
      <c r="O15" s="435">
        <v>257</v>
      </c>
      <c r="P15" s="126"/>
    </row>
    <row r="16" spans="1:38" ht="15.75">
      <c r="A16" s="47"/>
      <c r="B16" s="15"/>
      <c r="C16" s="15"/>
      <c r="D16" s="128"/>
      <c r="E16" s="46"/>
      <c r="F16" s="15"/>
      <c r="G16" s="175" t="s">
        <v>296</v>
      </c>
      <c r="H16" s="329"/>
      <c r="I16" s="460">
        <f>MIN(B48,C48,D48,B67)</f>
        <v>37104</v>
      </c>
      <c r="J16" s="168"/>
      <c r="K16" s="46"/>
    </row>
    <row r="17" spans="1:28" ht="15.75">
      <c r="A17" s="150" t="s">
        <v>213</v>
      </c>
      <c r="B17" s="151"/>
      <c r="C17" s="409"/>
      <c r="D17" s="439"/>
      <c r="E17" s="46"/>
      <c r="F17" s="15"/>
      <c r="G17" s="175" t="s">
        <v>302</v>
      </c>
      <c r="H17" s="15"/>
      <c r="I17" s="418"/>
      <c r="J17" s="15"/>
      <c r="K17" s="46"/>
    </row>
    <row r="18" spans="1:28" ht="16.5" thickBot="1">
      <c r="A18" s="360"/>
      <c r="B18" s="288"/>
      <c r="C18" s="15"/>
      <c r="D18" s="128"/>
      <c r="E18" s="46"/>
      <c r="F18" s="15"/>
      <c r="G18" s="175" t="s">
        <v>218</v>
      </c>
      <c r="H18" s="329"/>
      <c r="I18" s="418">
        <v>37377</v>
      </c>
      <c r="J18" s="15"/>
      <c r="K18" s="46"/>
    </row>
    <row r="19" spans="1:28" ht="15.75">
      <c r="A19" s="153" t="s">
        <v>327</v>
      </c>
      <c r="B19" s="15"/>
      <c r="C19" s="15"/>
      <c r="D19" s="128"/>
      <c r="E19" s="46"/>
      <c r="F19" s="15"/>
      <c r="G19" s="157" t="s">
        <v>303</v>
      </c>
      <c r="H19" s="152"/>
      <c r="I19" s="419">
        <v>8</v>
      </c>
      <c r="J19" s="168"/>
      <c r="K19" s="46"/>
      <c r="M19" s="147" t="s">
        <v>61</v>
      </c>
      <c r="N19" s="180"/>
      <c r="O19" s="44"/>
      <c r="P19" s="45"/>
    </row>
    <row r="20" spans="1:28" ht="15.75">
      <c r="A20" s="157" t="s">
        <v>222</v>
      </c>
      <c r="B20" s="289">
        <f t="shared" ref="B20:B31" si="0">C20/$C$44</f>
        <v>0.50559352354098086</v>
      </c>
      <c r="C20" s="406">
        <v>56048</v>
      </c>
      <c r="D20" s="439">
        <f t="shared" ref="D20:D31" si="1">C20/$O$12</f>
        <v>288.90721649484539</v>
      </c>
      <c r="E20" s="46"/>
      <c r="F20" s="15"/>
      <c r="G20" s="175" t="s">
        <v>217</v>
      </c>
      <c r="H20" s="341"/>
      <c r="I20" s="415">
        <v>20</v>
      </c>
      <c r="J20" s="168"/>
      <c r="K20" s="46"/>
      <c r="M20" s="47"/>
      <c r="N20" s="15"/>
      <c r="O20" s="15"/>
      <c r="P20" s="46"/>
    </row>
    <row r="21" spans="1:28" ht="15.75">
      <c r="A21" s="157" t="s">
        <v>223</v>
      </c>
      <c r="B21" s="289">
        <f t="shared" si="0"/>
        <v>0.24526445745710337</v>
      </c>
      <c r="C21" s="406">
        <v>27189</v>
      </c>
      <c r="D21" s="439">
        <f t="shared" si="1"/>
        <v>140.14948453608247</v>
      </c>
      <c r="E21" s="46"/>
      <c r="F21" s="15"/>
      <c r="G21" s="175" t="s">
        <v>219</v>
      </c>
      <c r="H21" s="15"/>
      <c r="I21" s="418">
        <f>I18+365.25*I20</f>
        <v>44682</v>
      </c>
      <c r="J21" s="168"/>
      <c r="K21" s="46"/>
      <c r="M21" s="179" t="s">
        <v>282</v>
      </c>
      <c r="N21" s="15"/>
      <c r="O21" s="423">
        <v>0.03</v>
      </c>
      <c r="P21" s="426"/>
    </row>
    <row r="22" spans="1:28" ht="15.75">
      <c r="A22" s="157" t="s">
        <v>224</v>
      </c>
      <c r="B22" s="289">
        <f t="shared" si="0"/>
        <v>5.2455508481851341E-2</v>
      </c>
      <c r="C22" s="406">
        <v>5815</v>
      </c>
      <c r="D22" s="439">
        <f t="shared" si="1"/>
        <v>29.97422680412371</v>
      </c>
      <c r="E22" s="46"/>
      <c r="F22" s="15"/>
      <c r="G22" s="175" t="s">
        <v>268</v>
      </c>
      <c r="H22" s="15"/>
      <c r="I22" s="417">
        <v>0.3</v>
      </c>
      <c r="J22" s="15"/>
      <c r="K22" s="46"/>
      <c r="M22" s="157"/>
      <c r="N22" s="15"/>
      <c r="O22" s="15"/>
      <c r="P22" s="426"/>
    </row>
    <row r="23" spans="1:28" ht="16.5" thickBot="1">
      <c r="A23" s="157" t="s">
        <v>225</v>
      </c>
      <c r="B23" s="289">
        <f t="shared" si="0"/>
        <v>1.8041447457214563E-2</v>
      </c>
      <c r="C23" s="406">
        <v>2000</v>
      </c>
      <c r="D23" s="439">
        <f t="shared" si="1"/>
        <v>10.309278350515465</v>
      </c>
      <c r="E23" s="46"/>
      <c r="F23" s="15"/>
      <c r="G23" s="433" t="s">
        <v>275</v>
      </c>
      <c r="H23" s="434"/>
      <c r="I23" s="435">
        <v>5</v>
      </c>
      <c r="J23" s="431"/>
      <c r="K23" s="126"/>
      <c r="M23" s="179" t="s">
        <v>167</v>
      </c>
      <c r="N23" s="15"/>
      <c r="O23" s="152"/>
      <c r="P23" s="426"/>
    </row>
    <row r="24" spans="1:28" ht="16.5" thickBot="1">
      <c r="A24" s="157" t="s">
        <v>226</v>
      </c>
      <c r="B24" s="289">
        <f t="shared" si="0"/>
        <v>0</v>
      </c>
      <c r="C24" s="406">
        <v>0</v>
      </c>
      <c r="D24" s="439">
        <f t="shared" si="1"/>
        <v>0</v>
      </c>
      <c r="E24" s="46"/>
      <c r="F24" s="15"/>
      <c r="M24" s="47"/>
      <c r="N24" s="15"/>
      <c r="O24" s="436" t="s">
        <v>281</v>
      </c>
      <c r="P24" s="427" t="s">
        <v>261</v>
      </c>
      <c r="Q24"/>
      <c r="R24"/>
      <c r="S24"/>
      <c r="T24"/>
      <c r="AB24"/>
    </row>
    <row r="25" spans="1:28" ht="15.75">
      <c r="A25" s="157" t="s">
        <v>227</v>
      </c>
      <c r="B25" s="289">
        <f t="shared" si="0"/>
        <v>0</v>
      </c>
      <c r="C25" s="406">
        <v>0</v>
      </c>
      <c r="D25" s="439">
        <f t="shared" si="1"/>
        <v>0</v>
      </c>
      <c r="E25" s="46"/>
      <c r="F25" s="15"/>
      <c r="G25" s="147" t="s">
        <v>60</v>
      </c>
      <c r="H25" s="180"/>
      <c r="I25" s="180"/>
      <c r="J25" s="180"/>
      <c r="K25" s="181"/>
      <c r="M25" s="157" t="s">
        <v>64</v>
      </c>
      <c r="N25" s="15"/>
      <c r="O25" s="419">
        <v>403.5</v>
      </c>
      <c r="P25" s="457">
        <f>O25/$O$12</f>
        <v>2.079896907216495</v>
      </c>
      <c r="Q25"/>
      <c r="R25"/>
      <c r="S25"/>
      <c r="T25"/>
      <c r="AB25"/>
    </row>
    <row r="26" spans="1:28" ht="15.75">
      <c r="A26" s="157" t="s">
        <v>228</v>
      </c>
      <c r="B26" s="289">
        <f t="shared" si="0"/>
        <v>0</v>
      </c>
      <c r="C26" s="406">
        <v>0</v>
      </c>
      <c r="D26" s="439">
        <f t="shared" si="1"/>
        <v>0</v>
      </c>
      <c r="E26" s="46"/>
      <c r="F26" s="15"/>
      <c r="G26" s="157"/>
      <c r="H26" s="152"/>
      <c r="I26" s="152"/>
      <c r="J26" s="152"/>
      <c r="K26" s="158"/>
      <c r="M26" s="157" t="s">
        <v>65</v>
      </c>
      <c r="N26" s="15"/>
      <c r="O26" s="489">
        <v>1.61</v>
      </c>
      <c r="P26" s="457">
        <f t="shared" ref="P26:P40" si="2">O26/$O$12</f>
        <v>8.2989690721649492E-3</v>
      </c>
      <c r="Q26"/>
      <c r="R26"/>
      <c r="S26"/>
      <c r="T26"/>
      <c r="AB26"/>
    </row>
    <row r="27" spans="1:28" ht="15.75">
      <c r="A27" s="157" t="s">
        <v>229</v>
      </c>
      <c r="B27" s="289">
        <f t="shared" si="0"/>
        <v>0</v>
      </c>
      <c r="C27" s="406">
        <v>0</v>
      </c>
      <c r="D27" s="439">
        <f t="shared" si="1"/>
        <v>0</v>
      </c>
      <c r="E27" s="46"/>
      <c r="F27" s="15"/>
      <c r="G27" s="161" t="s">
        <v>6</v>
      </c>
      <c r="H27" s="166"/>
      <c r="I27" s="151" t="s">
        <v>63</v>
      </c>
      <c r="J27" s="151" t="s">
        <v>62</v>
      </c>
      <c r="K27" s="46"/>
      <c r="M27" s="242" t="s">
        <v>239</v>
      </c>
      <c r="N27" s="15"/>
      <c r="O27" s="489">
        <v>1.61</v>
      </c>
      <c r="P27" s="457">
        <f t="shared" si="2"/>
        <v>8.2989690721649492E-3</v>
      </c>
      <c r="Q27"/>
      <c r="R27"/>
      <c r="S27"/>
      <c r="T27"/>
      <c r="AB27"/>
    </row>
    <row r="28" spans="1:28" ht="15.75">
      <c r="A28" s="157" t="s">
        <v>230</v>
      </c>
      <c r="B28" s="289">
        <f t="shared" si="0"/>
        <v>1.0824868474328737E-2</v>
      </c>
      <c r="C28" s="406">
        <v>1200</v>
      </c>
      <c r="D28" s="439">
        <f t="shared" si="1"/>
        <v>6.1855670103092786</v>
      </c>
      <c r="E28" s="46"/>
      <c r="F28" s="15"/>
      <c r="G28" s="47"/>
      <c r="H28" s="152"/>
      <c r="I28" s="167">
        <f>Debt!B92</f>
        <v>1.8224543179271946</v>
      </c>
      <c r="J28" s="167">
        <f>Debt!B93</f>
        <v>0.34739056602071272</v>
      </c>
      <c r="K28" s="46"/>
      <c r="M28" s="242" t="s">
        <v>240</v>
      </c>
      <c r="N28" s="15"/>
      <c r="O28" s="489">
        <v>1.61</v>
      </c>
      <c r="P28" s="457">
        <f t="shared" si="2"/>
        <v>8.2989690721649492E-3</v>
      </c>
      <c r="Q28"/>
      <c r="R28"/>
      <c r="S28"/>
      <c r="T28"/>
      <c r="AB28"/>
    </row>
    <row r="29" spans="1:28" ht="15.75">
      <c r="A29" s="157" t="s">
        <v>231</v>
      </c>
      <c r="B29" s="289">
        <f t="shared" si="0"/>
        <v>3.6633159061874171E-2</v>
      </c>
      <c r="C29" s="406">
        <v>4061</v>
      </c>
      <c r="D29" s="439">
        <f t="shared" si="1"/>
        <v>20.932989690721648</v>
      </c>
      <c r="E29" s="46"/>
      <c r="F29" s="15"/>
      <c r="G29" s="47"/>
      <c r="H29" s="15"/>
      <c r="I29" s="15"/>
      <c r="J29" s="15"/>
      <c r="K29" s="46"/>
      <c r="M29" s="157" t="s">
        <v>66</v>
      </c>
      <c r="N29" s="15"/>
      <c r="O29" s="419">
        <v>0</v>
      </c>
      <c r="P29" s="457">
        <f t="shared" si="2"/>
        <v>0</v>
      </c>
      <c r="Q29"/>
      <c r="R29"/>
      <c r="S29"/>
      <c r="T29"/>
      <c r="AB29"/>
    </row>
    <row r="30" spans="1:28" ht="15.75">
      <c r="A30" s="161" t="s">
        <v>232</v>
      </c>
      <c r="B30" s="358">
        <f t="shared" si="0"/>
        <v>1.1907355321761612E-2</v>
      </c>
      <c r="C30" s="410">
        <v>1320</v>
      </c>
      <c r="D30" s="440">
        <f t="shared" si="1"/>
        <v>6.804123711340206</v>
      </c>
      <c r="E30" s="46"/>
      <c r="F30" s="15"/>
      <c r="G30" s="446" t="s">
        <v>266</v>
      </c>
      <c r="H30" s="447"/>
      <c r="I30" s="448" t="s">
        <v>267</v>
      </c>
      <c r="J30" s="447"/>
      <c r="K30" s="449"/>
      <c r="M30" s="157" t="s">
        <v>67</v>
      </c>
      <c r="N30" s="15"/>
      <c r="O30" s="419">
        <v>112</v>
      </c>
      <c r="P30" s="457">
        <f t="shared" si="2"/>
        <v>0.57731958762886593</v>
      </c>
      <c r="Q30"/>
      <c r="R30"/>
      <c r="S30"/>
      <c r="T30"/>
      <c r="AB30"/>
    </row>
    <row r="31" spans="1:28" ht="15.75">
      <c r="A31" s="157" t="s">
        <v>221</v>
      </c>
      <c r="B31" s="289">
        <f t="shared" si="0"/>
        <v>0.88072031979511467</v>
      </c>
      <c r="C31" s="411">
        <f>SUM(C20:C30)</f>
        <v>97633</v>
      </c>
      <c r="D31" s="439">
        <f t="shared" si="1"/>
        <v>503.26288659793812</v>
      </c>
      <c r="E31" s="46"/>
      <c r="F31" s="15"/>
      <c r="G31" s="450" t="s">
        <v>264</v>
      </c>
      <c r="H31" s="447"/>
      <c r="I31" s="451">
        <f>D31</f>
        <v>503.26288659793812</v>
      </c>
      <c r="J31" s="447"/>
      <c r="K31" s="449"/>
      <c r="M31" s="157" t="s">
        <v>68</v>
      </c>
      <c r="N31" s="15"/>
      <c r="O31" s="419">
        <v>170</v>
      </c>
      <c r="P31" s="457">
        <f t="shared" si="2"/>
        <v>0.87628865979381443</v>
      </c>
      <c r="Q31"/>
      <c r="R31"/>
      <c r="S31"/>
      <c r="T31"/>
      <c r="AB31"/>
    </row>
    <row r="32" spans="1:28" ht="15.75">
      <c r="A32" s="47"/>
      <c r="B32" s="15"/>
      <c r="C32" s="15"/>
      <c r="D32" s="128"/>
      <c r="E32" s="46"/>
      <c r="F32" s="15"/>
      <c r="G32" s="450" t="s">
        <v>265</v>
      </c>
      <c r="H32" s="452"/>
      <c r="I32" s="451">
        <f>D37+D39+D40+D41</f>
        <v>63.519847332270608</v>
      </c>
      <c r="J32" s="452"/>
      <c r="K32" s="449"/>
      <c r="M32" s="157" t="s">
        <v>69</v>
      </c>
      <c r="N32" s="15"/>
      <c r="O32" s="419">
        <v>47.5</v>
      </c>
      <c r="P32" s="457">
        <f t="shared" si="2"/>
        <v>0.24484536082474226</v>
      </c>
      <c r="Q32"/>
      <c r="R32" s="493"/>
      <c r="S32"/>
      <c r="T32"/>
      <c r="AB32"/>
    </row>
    <row r="33" spans="1:28" ht="16.5" thickBot="1">
      <c r="A33" s="153" t="s">
        <v>208</v>
      </c>
      <c r="B33" s="15"/>
      <c r="C33" s="15"/>
      <c r="D33" s="128"/>
      <c r="E33" s="46"/>
      <c r="F33" s="15"/>
      <c r="G33" s="446" t="s">
        <v>3</v>
      </c>
      <c r="H33" s="452"/>
      <c r="I33" s="451">
        <f>SUM(P21:P40)</f>
        <v>6.450154639175258</v>
      </c>
      <c r="J33" s="452"/>
      <c r="K33" s="449"/>
      <c r="M33" s="157" t="s">
        <v>81</v>
      </c>
      <c r="N33" s="15"/>
      <c r="O33" s="419">
        <v>0</v>
      </c>
      <c r="P33" s="457">
        <f t="shared" si="2"/>
        <v>0</v>
      </c>
      <c r="Q33"/>
      <c r="R33"/>
      <c r="S33"/>
      <c r="T33"/>
      <c r="AB33"/>
    </row>
    <row r="34" spans="1:28" ht="16.5" thickBot="1">
      <c r="A34" s="153" t="s">
        <v>214</v>
      </c>
      <c r="B34" s="289">
        <f>C34/$C$44</f>
        <v>1.3531085592910922E-3</v>
      </c>
      <c r="C34" s="406">
        <v>150</v>
      </c>
      <c r="D34" s="439">
        <f>C34/$O$12</f>
        <v>0.77319587628865982</v>
      </c>
      <c r="E34" s="46"/>
      <c r="F34" s="15"/>
      <c r="G34" s="450" t="s">
        <v>34</v>
      </c>
      <c r="H34" s="452"/>
      <c r="I34" s="453">
        <f>SUM(I31:I33)</f>
        <v>573.23288856938393</v>
      </c>
      <c r="J34" s="452"/>
      <c r="K34" s="449"/>
      <c r="M34" s="157" t="s">
        <v>70</v>
      </c>
      <c r="N34" s="15"/>
      <c r="O34" s="419">
        <v>113.5</v>
      </c>
      <c r="P34" s="457">
        <f t="shared" si="2"/>
        <v>0.58505154639175261</v>
      </c>
      <c r="Q34"/>
      <c r="R34"/>
      <c r="S34"/>
      <c r="T34"/>
      <c r="AB34"/>
    </row>
    <row r="35" spans="1:28" ht="15.75">
      <c r="A35" s="153" t="s">
        <v>209</v>
      </c>
      <c r="B35" s="289">
        <f>C35/$C$44</f>
        <v>1.3531085592910922E-2</v>
      </c>
      <c r="C35" s="406">
        <v>1500</v>
      </c>
      <c r="D35" s="439">
        <f>C35/$O$12</f>
        <v>7.731958762886598</v>
      </c>
      <c r="E35" s="46"/>
      <c r="F35" s="15"/>
      <c r="G35" s="47"/>
      <c r="H35" s="15"/>
      <c r="I35" s="15"/>
      <c r="J35" s="15"/>
      <c r="K35" s="46"/>
      <c r="M35" s="157" t="s">
        <v>71</v>
      </c>
      <c r="N35" s="15"/>
      <c r="O35" s="419">
        <v>100</v>
      </c>
      <c r="P35" s="457">
        <f t="shared" si="2"/>
        <v>0.51546391752577314</v>
      </c>
      <c r="Q35"/>
      <c r="R35"/>
      <c r="S35"/>
      <c r="T35"/>
      <c r="AB35"/>
    </row>
    <row r="36" spans="1:28" ht="15.75">
      <c r="A36" s="161" t="s">
        <v>210</v>
      </c>
      <c r="B36" s="358">
        <f>C36/$C$44</f>
        <v>8.4740678706536801E-2</v>
      </c>
      <c r="C36" s="410">
        <v>9394</v>
      </c>
      <c r="D36" s="439">
        <f>C36/$O$12</f>
        <v>48.422680412371136</v>
      </c>
      <c r="E36" s="46"/>
      <c r="F36" s="15"/>
      <c r="G36" s="161" t="s">
        <v>163</v>
      </c>
      <c r="H36" s="15"/>
      <c r="I36" s="15"/>
      <c r="J36" s="15"/>
      <c r="K36" s="46"/>
      <c r="M36" s="157"/>
      <c r="N36" s="15"/>
      <c r="O36" s="270"/>
      <c r="P36" s="457"/>
      <c r="Q36"/>
      <c r="R36"/>
      <c r="S36"/>
      <c r="T36"/>
      <c r="AB36"/>
    </row>
    <row r="37" spans="1:28" ht="15.75">
      <c r="A37" s="157" t="s">
        <v>221</v>
      </c>
      <c r="B37" s="289">
        <f>C37/$C$44</f>
        <v>9.9624872858738819E-2</v>
      </c>
      <c r="C37" s="169">
        <f>SUM(C34:C36)</f>
        <v>11044</v>
      </c>
      <c r="D37" s="439">
        <f>C37/$O$12</f>
        <v>56.927835051546388</v>
      </c>
      <c r="E37" s="46"/>
      <c r="F37" s="15"/>
      <c r="G37" s="157" t="s">
        <v>203</v>
      </c>
      <c r="H37" s="152"/>
      <c r="I37" s="241">
        <f>CF!B43</f>
        <v>0.34498941302299513</v>
      </c>
      <c r="J37" s="15"/>
      <c r="K37" s="46"/>
      <c r="M37" s="179" t="s">
        <v>168</v>
      </c>
      <c r="N37" s="15"/>
      <c r="O37" s="270"/>
      <c r="P37" s="457"/>
      <c r="Q37"/>
      <c r="R37"/>
      <c r="S37"/>
      <c r="T37"/>
      <c r="AB37"/>
    </row>
    <row r="38" spans="1:28" ht="15.75">
      <c r="A38" s="47"/>
      <c r="B38" s="15"/>
      <c r="C38" s="15"/>
      <c r="D38" s="439"/>
      <c r="E38" s="46"/>
      <c r="F38" s="15"/>
      <c r="G38" s="157" t="s">
        <v>235</v>
      </c>
      <c r="H38" s="15"/>
      <c r="I38" s="241">
        <f>CF!B49</f>
        <v>0.34498941302299513</v>
      </c>
      <c r="J38" s="152"/>
      <c r="K38" s="46"/>
      <c r="M38" s="157" t="s">
        <v>262</v>
      </c>
      <c r="N38" s="15"/>
      <c r="O38" s="419">
        <v>0</v>
      </c>
      <c r="P38" s="457">
        <f t="shared" si="2"/>
        <v>0</v>
      </c>
      <c r="Q38"/>
      <c r="R38"/>
      <c r="S38"/>
      <c r="T38"/>
      <c r="AB38"/>
    </row>
    <row r="39" spans="1:28" ht="15.75">
      <c r="A39" s="157" t="s">
        <v>215</v>
      </c>
      <c r="B39" s="289">
        <f>C39/$C$44</f>
        <v>7.3736332330713687E-3</v>
      </c>
      <c r="C39" s="616">
        <f>IDC!D16</f>
        <v>817.41038246049811</v>
      </c>
      <c r="D39" s="439">
        <f>C39/$O$12</f>
        <v>4.2134555796932895</v>
      </c>
      <c r="E39" s="46"/>
      <c r="F39" s="15"/>
      <c r="G39" s="157"/>
      <c r="H39" s="152"/>
      <c r="I39" s="241"/>
      <c r="J39" s="152"/>
      <c r="K39" s="46"/>
      <c r="M39" s="157" t="s">
        <v>169</v>
      </c>
      <c r="N39" s="15"/>
      <c r="O39" s="419">
        <v>300</v>
      </c>
      <c r="P39" s="457">
        <f t="shared" si="2"/>
        <v>1.5463917525773196</v>
      </c>
      <c r="Q39"/>
      <c r="R39"/>
      <c r="S39"/>
      <c r="T39"/>
      <c r="AB39"/>
    </row>
    <row r="40" spans="1:28" ht="16.5" thickBot="1">
      <c r="A40" s="157" t="s">
        <v>220</v>
      </c>
      <c r="B40" s="289">
        <f>C40/$C$44</f>
        <v>4.1625227573285437E-3</v>
      </c>
      <c r="C40" s="406">
        <v>461.44</v>
      </c>
      <c r="D40" s="439">
        <f>C40/$O$12</f>
        <v>2.3785567010309276</v>
      </c>
      <c r="E40" s="46"/>
      <c r="F40" s="15"/>
      <c r="G40" s="161" t="s">
        <v>164</v>
      </c>
      <c r="H40" s="151">
        <f>IS!C7</f>
        <v>2002</v>
      </c>
      <c r="I40" s="151">
        <f>IS!D7</f>
        <v>2003</v>
      </c>
      <c r="J40" s="151">
        <f>IS!E7</f>
        <v>2004</v>
      </c>
      <c r="K40" s="294">
        <f>IS!F7</f>
        <v>2005</v>
      </c>
      <c r="M40" s="159" t="s">
        <v>263</v>
      </c>
      <c r="N40" s="49"/>
      <c r="O40" s="456">
        <v>0</v>
      </c>
      <c r="P40" s="458">
        <f t="shared" si="2"/>
        <v>0</v>
      </c>
      <c r="Q40"/>
      <c r="R40"/>
      <c r="S40"/>
      <c r="T40"/>
      <c r="Z40"/>
      <c r="AA40"/>
      <c r="AB40"/>
    </row>
    <row r="41" spans="1:28" ht="16.5" thickBot="1">
      <c r="A41" s="153" t="s">
        <v>211</v>
      </c>
      <c r="B41" s="289">
        <f>C41/$C$44</f>
        <v>0</v>
      </c>
      <c r="C41" s="406">
        <v>0</v>
      </c>
      <c r="D41" s="439">
        <f>C41/$O$12</f>
        <v>0</v>
      </c>
      <c r="E41" s="46"/>
      <c r="F41" s="15"/>
      <c r="G41" s="157" t="s">
        <v>204</v>
      </c>
      <c r="H41" s="169">
        <f>IS!C43</f>
        <v>6308.381519999999</v>
      </c>
      <c r="I41" s="169">
        <f>IS!D43</f>
        <v>9746.9239655999991</v>
      </c>
      <c r="J41" s="169">
        <f>IS!E43</f>
        <v>3993.5156845679994</v>
      </c>
      <c r="K41" s="287">
        <f>IS!F43</f>
        <v>10745.978963364505</v>
      </c>
      <c r="O41" s="413"/>
      <c r="Q41"/>
      <c r="R41"/>
      <c r="S41"/>
      <c r="T41"/>
      <c r="AB41"/>
    </row>
    <row r="42" spans="1:28" ht="15.75">
      <c r="A42" s="157" t="s">
        <v>359</v>
      </c>
      <c r="B42" s="289">
        <f>C42/$C$44</f>
        <v>8.118651355746553E-3</v>
      </c>
      <c r="C42" s="406">
        <v>900</v>
      </c>
      <c r="D42" s="439">
        <f>C42/$O$12</f>
        <v>4.6391752577319592</v>
      </c>
      <c r="E42" s="46"/>
      <c r="F42" s="15"/>
      <c r="G42" s="157" t="s">
        <v>205</v>
      </c>
      <c r="H42" s="169">
        <f>IS!C56</f>
        <v>-80.191658375585263</v>
      </c>
      <c r="I42" s="169">
        <f>IS!D56</f>
        <v>-1899.0827568333443</v>
      </c>
      <c r="J42" s="169">
        <f>IS!E56</f>
        <v>-5224.7630277095832</v>
      </c>
      <c r="K42" s="287">
        <f>IS!F56</f>
        <v>-909.35577553060432</v>
      </c>
      <c r="M42" s="145" t="s">
        <v>48</v>
      </c>
      <c r="N42" s="172"/>
      <c r="O42" s="172"/>
      <c r="P42" s="181"/>
      <c r="Q42"/>
      <c r="R42"/>
      <c r="S42"/>
      <c r="T42"/>
      <c r="AB42"/>
    </row>
    <row r="43" spans="1:28" ht="15.75">
      <c r="A43" s="47"/>
      <c r="B43" s="15"/>
      <c r="C43" s="15"/>
      <c r="D43" s="15"/>
      <c r="E43" s="46"/>
      <c r="F43" s="15"/>
      <c r="G43" s="157" t="s">
        <v>206</v>
      </c>
      <c r="H43" s="169">
        <f>CF!C18</f>
        <v>-2005.8072586845387</v>
      </c>
      <c r="I43" s="169">
        <f>CF!D18</f>
        <v>-2059.2241001320435</v>
      </c>
      <c r="J43" s="169">
        <f>CF!E18</f>
        <v>-7502.236000093154</v>
      </c>
      <c r="K43" s="287">
        <f>CF!F18</f>
        <v>-439.37634022575912</v>
      </c>
      <c r="M43" s="47"/>
      <c r="N43" s="292"/>
      <c r="O43" s="15"/>
      <c r="P43" s="46"/>
      <c r="Q43"/>
      <c r="R43"/>
      <c r="S43"/>
      <c r="T43"/>
      <c r="AB43"/>
    </row>
    <row r="44" spans="1:28" ht="16.5" thickBot="1">
      <c r="A44" s="361" t="s">
        <v>212</v>
      </c>
      <c r="B44" s="357">
        <f>B41+B40+B39+B37+B31+B42</f>
        <v>0.99999999999999989</v>
      </c>
      <c r="C44" s="412">
        <f>SUM(C39:C42,C37,C31)</f>
        <v>110855.8503824605</v>
      </c>
      <c r="D44" s="441">
        <f>C44/O12</f>
        <v>571.42190918794074</v>
      </c>
      <c r="E44" s="492"/>
      <c r="F44" s="15"/>
      <c r="G44" s="159" t="s">
        <v>207</v>
      </c>
      <c r="H44" s="170">
        <f>CF!C23</f>
        <v>-809.3124568327305</v>
      </c>
      <c r="I44" s="170">
        <f>CF!D23</f>
        <v>946.22767955972495</v>
      </c>
      <c r="J44" s="170">
        <f>CF!E23</f>
        <v>-2956.0735804149972</v>
      </c>
      <c r="K44" s="377">
        <f>CF!F23</f>
        <v>1308.7936234988099</v>
      </c>
      <c r="M44" s="157"/>
      <c r="N44" s="244" t="s">
        <v>50</v>
      </c>
      <c r="O44" s="244" t="s">
        <v>51</v>
      </c>
      <c r="P44" s="294" t="s">
        <v>52</v>
      </c>
      <c r="Q44"/>
      <c r="R44"/>
      <c r="S44"/>
      <c r="T44"/>
      <c r="AB44"/>
    </row>
    <row r="45" spans="1:28" ht="16.5" thickBot="1">
      <c r="A45" s="15"/>
      <c r="B45" s="15"/>
      <c r="C45" s="15"/>
      <c r="D45" s="15"/>
      <c r="E45" s="221"/>
      <c r="F45" s="15"/>
      <c r="K45"/>
      <c r="M45" s="173" t="s">
        <v>53</v>
      </c>
      <c r="N45" s="174"/>
      <c r="O45" s="174"/>
      <c r="P45" s="158"/>
      <c r="Q45"/>
      <c r="R45"/>
      <c r="S45"/>
      <c r="T45"/>
      <c r="AB45"/>
    </row>
    <row r="46" spans="1:28" ht="15.75">
      <c r="A46" s="147" t="s">
        <v>236</v>
      </c>
      <c r="B46" s="44"/>
      <c r="C46" s="44"/>
      <c r="D46" s="132"/>
      <c r="E46" s="45"/>
      <c r="F46" s="15"/>
      <c r="G46" s="145" t="s">
        <v>188</v>
      </c>
      <c r="H46" s="171"/>
      <c r="I46" s="180"/>
      <c r="J46" s="430"/>
      <c r="K46" s="45"/>
      <c r="M46" s="175" t="s">
        <v>54</v>
      </c>
      <c r="N46" s="240">
        <v>15</v>
      </c>
      <c r="O46" s="323" t="s">
        <v>55</v>
      </c>
      <c r="P46" s="372">
        <v>0</v>
      </c>
      <c r="Q46"/>
      <c r="R46"/>
      <c r="S46"/>
      <c r="T46"/>
      <c r="AB46"/>
    </row>
    <row r="47" spans="1:28" ht="15.75">
      <c r="A47" s="363" t="s">
        <v>233</v>
      </c>
      <c r="B47" s="182" t="s">
        <v>31</v>
      </c>
      <c r="C47" s="182" t="s">
        <v>32</v>
      </c>
      <c r="D47" s="182" t="s">
        <v>33</v>
      </c>
      <c r="E47" s="364" t="s">
        <v>34</v>
      </c>
      <c r="F47" s="15"/>
      <c r="G47" s="47"/>
      <c r="H47" s="15"/>
      <c r="I47" s="15"/>
      <c r="J47" s="168"/>
      <c r="K47" s="393"/>
      <c r="M47" s="175" t="s">
        <v>56</v>
      </c>
      <c r="N47" s="240">
        <v>20</v>
      </c>
      <c r="O47" s="323" t="s">
        <v>57</v>
      </c>
      <c r="P47" s="372">
        <v>0</v>
      </c>
      <c r="Q47"/>
      <c r="R47"/>
      <c r="S47"/>
      <c r="T47"/>
      <c r="AB47"/>
    </row>
    <row r="48" spans="1:28" ht="15.75">
      <c r="A48" s="362" t="s">
        <v>154</v>
      </c>
      <c r="B48" s="291">
        <v>37104</v>
      </c>
      <c r="C48" s="291">
        <v>37104</v>
      </c>
      <c r="D48" s="291">
        <v>37104</v>
      </c>
      <c r="E48" s="124"/>
      <c r="F48" s="100"/>
      <c r="G48" s="157" t="s">
        <v>189</v>
      </c>
      <c r="H48" s="15"/>
      <c r="I48" s="418">
        <v>37012</v>
      </c>
      <c r="J48" s="168"/>
      <c r="K48" s="46"/>
      <c r="M48" s="175"/>
      <c r="N48" s="176"/>
      <c r="O48" s="176"/>
      <c r="P48" s="373"/>
      <c r="Q48"/>
      <c r="R48"/>
      <c r="S48"/>
      <c r="T48"/>
      <c r="AB48"/>
    </row>
    <row r="49" spans="1:28" ht="15.75">
      <c r="A49" s="362" t="s">
        <v>274</v>
      </c>
      <c r="B49" s="291"/>
      <c r="C49" s="291"/>
      <c r="D49" s="291"/>
      <c r="E49" s="46"/>
      <c r="F49" s="50"/>
      <c r="G49" s="157" t="s">
        <v>190</v>
      </c>
      <c r="H49" s="15"/>
      <c r="I49" s="418">
        <v>44348</v>
      </c>
      <c r="J49" s="168"/>
      <c r="K49" s="46"/>
      <c r="M49" s="173" t="s">
        <v>59</v>
      </c>
      <c r="N49" s="177"/>
      <c r="O49" s="176"/>
      <c r="P49" s="374"/>
      <c r="Q49"/>
      <c r="R49"/>
      <c r="S49"/>
      <c r="T49"/>
      <c r="AB49"/>
    </row>
    <row r="50" spans="1:28" ht="15.75">
      <c r="A50" s="47"/>
      <c r="B50" s="15"/>
      <c r="C50" s="15"/>
      <c r="D50" s="15"/>
      <c r="E50" s="46"/>
      <c r="F50" s="15"/>
      <c r="G50" s="47"/>
      <c r="H50" s="15"/>
      <c r="I50" s="15"/>
      <c r="J50" s="168"/>
      <c r="K50" s="46"/>
      <c r="M50" s="175" t="s">
        <v>54</v>
      </c>
      <c r="N50" s="240">
        <v>30</v>
      </c>
      <c r="O50" s="323" t="s">
        <v>57</v>
      </c>
      <c r="P50" s="375">
        <v>0.1</v>
      </c>
      <c r="Q50"/>
      <c r="R50"/>
      <c r="S50"/>
      <c r="T50"/>
      <c r="AB50"/>
    </row>
    <row r="51" spans="1:28" ht="16.5" thickBot="1">
      <c r="A51" s="161" t="s">
        <v>36</v>
      </c>
      <c r="B51" s="15"/>
      <c r="C51" s="15"/>
      <c r="D51" s="15"/>
      <c r="E51" s="46"/>
      <c r="F51" s="133"/>
      <c r="G51" s="161" t="s">
        <v>391</v>
      </c>
      <c r="H51" s="15"/>
      <c r="I51" s="15"/>
      <c r="J51" s="168"/>
      <c r="K51" s="46"/>
      <c r="M51" s="178" t="s">
        <v>56</v>
      </c>
      <c r="N51" s="246">
        <v>20</v>
      </c>
      <c r="O51" s="324" t="s">
        <v>57</v>
      </c>
      <c r="P51" s="376">
        <v>0</v>
      </c>
      <c r="Q51"/>
      <c r="R51"/>
      <c r="S51"/>
      <c r="T51"/>
      <c r="Z51"/>
      <c r="AA51"/>
      <c r="AB51"/>
    </row>
    <row r="52" spans="1:28" ht="16.5" thickBot="1">
      <c r="A52" s="162" t="s">
        <v>37</v>
      </c>
      <c r="B52" s="679">
        <f>C12</f>
        <v>110855.8503824605</v>
      </c>
      <c r="C52" s="312">
        <v>0</v>
      </c>
      <c r="D52" s="312">
        <v>0</v>
      </c>
      <c r="E52" s="365">
        <f>SUM(B52:D52)</f>
        <v>110855.8503824605</v>
      </c>
      <c r="F52" s="133"/>
      <c r="G52" s="157" t="s">
        <v>237</v>
      </c>
      <c r="H52" s="15"/>
      <c r="I52" s="415">
        <v>3</v>
      </c>
      <c r="J52" s="168"/>
      <c r="K52" s="46"/>
      <c r="Q52"/>
      <c r="R52"/>
      <c r="S52"/>
      <c r="T52"/>
      <c r="Z52"/>
      <c r="AA52"/>
      <c r="AB52"/>
    </row>
    <row r="53" spans="1:28" ht="15.75">
      <c r="A53" s="162" t="s">
        <v>38</v>
      </c>
      <c r="B53" s="312">
        <v>25</v>
      </c>
      <c r="C53" s="312">
        <v>10</v>
      </c>
      <c r="D53" s="312">
        <v>20</v>
      </c>
      <c r="E53" s="366">
        <f>MAX(B53:D53)</f>
        <v>25</v>
      </c>
      <c r="F53" s="15"/>
      <c r="G53" s="157" t="s">
        <v>187</v>
      </c>
      <c r="H53" s="152"/>
      <c r="I53" s="416">
        <v>5</v>
      </c>
      <c r="J53" s="168"/>
      <c r="K53" s="46"/>
      <c r="M53" s="145" t="s">
        <v>58</v>
      </c>
      <c r="N53" s="172"/>
      <c r="O53" s="430"/>
      <c r="P53" s="45"/>
      <c r="Q53"/>
      <c r="R53"/>
      <c r="S53"/>
      <c r="T53"/>
      <c r="Z53"/>
      <c r="AA53"/>
      <c r="AB53"/>
    </row>
    <row r="54" spans="1:28" ht="15.75">
      <c r="A54" s="162" t="s">
        <v>39</v>
      </c>
      <c r="B54" s="291">
        <v>44408</v>
      </c>
      <c r="C54" s="291">
        <v>40390</v>
      </c>
      <c r="D54" s="291">
        <v>44043</v>
      </c>
      <c r="E54" s="471">
        <f>MAX(B54:D54)</f>
        <v>44408</v>
      </c>
      <c r="F54" s="15"/>
      <c r="G54" s="157" t="s">
        <v>41</v>
      </c>
      <c r="H54" s="152"/>
      <c r="I54" s="416">
        <v>2</v>
      </c>
      <c r="J54" s="168"/>
      <c r="K54" s="46"/>
      <c r="M54" s="157"/>
      <c r="N54" s="329"/>
      <c r="O54" s="168"/>
      <c r="P54" s="46"/>
      <c r="Q54"/>
      <c r="R54"/>
      <c r="S54"/>
      <c r="T54"/>
      <c r="Z54"/>
      <c r="AA54"/>
      <c r="AB54"/>
    </row>
    <row r="55" spans="1:28" ht="15.75">
      <c r="A55" s="162" t="s">
        <v>40</v>
      </c>
      <c r="B55" s="185">
        <f>Debt!F9</f>
        <v>8.620000000000001</v>
      </c>
      <c r="C55" s="185" t="e">
        <f>Debt!L9</f>
        <v>#DIV/0!</v>
      </c>
      <c r="D55" s="185" t="e">
        <f>Debt!R9</f>
        <v>#DIV/0!</v>
      </c>
      <c r="E55" s="367"/>
      <c r="F55" s="15"/>
      <c r="G55" s="157" t="s">
        <v>43</v>
      </c>
      <c r="H55" s="152"/>
      <c r="I55" s="415">
        <v>0</v>
      </c>
      <c r="J55" s="168"/>
      <c r="K55" s="46"/>
      <c r="M55" s="157" t="s">
        <v>283</v>
      </c>
      <c r="N55" s="15"/>
      <c r="O55" s="421">
        <v>0.35</v>
      </c>
      <c r="P55" s="46"/>
      <c r="Q55"/>
      <c r="R55"/>
      <c r="S55"/>
      <c r="T55"/>
      <c r="Z55"/>
      <c r="AA55"/>
      <c r="AB55"/>
    </row>
    <row r="56" spans="1:28" ht="15.75">
      <c r="A56" s="162"/>
      <c r="B56" s="15"/>
      <c r="C56" s="15"/>
      <c r="D56" s="15"/>
      <c r="E56" s="365"/>
      <c r="F56" s="15"/>
      <c r="G56" s="157" t="s">
        <v>252</v>
      </c>
      <c r="H56" s="341"/>
      <c r="I56" s="421">
        <v>0.02</v>
      </c>
      <c r="J56" s="168"/>
      <c r="K56" s="46"/>
      <c r="M56" s="157" t="s">
        <v>284</v>
      </c>
      <c r="N56" s="15"/>
      <c r="O56" s="423">
        <v>0.06</v>
      </c>
      <c r="P56" s="46"/>
      <c r="Q56"/>
      <c r="R56"/>
      <c r="S56"/>
      <c r="T56"/>
      <c r="Z56"/>
      <c r="AA56"/>
      <c r="AB56"/>
    </row>
    <row r="57" spans="1:28" ht="15.75">
      <c r="A57" s="47"/>
      <c r="B57" s="15"/>
      <c r="C57" s="15"/>
      <c r="D57" s="15"/>
      <c r="E57" s="365"/>
      <c r="F57" s="15"/>
      <c r="G57" s="157" t="s">
        <v>259</v>
      </c>
      <c r="H57" s="341"/>
      <c r="I57" s="422">
        <f>O12*(1-I56)</f>
        <v>190.12</v>
      </c>
      <c r="J57" s="168"/>
      <c r="K57" s="46"/>
      <c r="M57" s="330" t="s">
        <v>285</v>
      </c>
      <c r="N57" s="15"/>
      <c r="O57" s="417">
        <v>2.5000000000000001E-3</v>
      </c>
      <c r="P57" s="393"/>
      <c r="Q57"/>
      <c r="R57"/>
      <c r="S57"/>
      <c r="T57"/>
      <c r="Z57"/>
      <c r="AA57"/>
      <c r="AB57"/>
    </row>
    <row r="58" spans="1:28" ht="15.75">
      <c r="A58" s="164" t="s">
        <v>42</v>
      </c>
      <c r="B58" s="316">
        <v>0.04</v>
      </c>
      <c r="C58" s="316">
        <v>0.04</v>
      </c>
      <c r="D58" s="316">
        <v>0.04</v>
      </c>
      <c r="E58" s="368">
        <f>SUMPRODUCT(B58:D58,$B$52:$D$52)/SUM($B$52:$D$52)</f>
        <v>0.04</v>
      </c>
      <c r="F58" s="15"/>
      <c r="G58" s="157" t="s">
        <v>253</v>
      </c>
      <c r="H58" s="15"/>
      <c r="I58" s="270">
        <f>I57*I14</f>
        <v>228144</v>
      </c>
      <c r="J58" s="168"/>
      <c r="K58" s="393"/>
      <c r="M58" s="157" t="s">
        <v>286</v>
      </c>
      <c r="N58" s="15"/>
      <c r="O58" s="423">
        <v>0.03</v>
      </c>
      <c r="P58" s="393"/>
      <c r="Q58"/>
      <c r="R58"/>
      <c r="S58"/>
      <c r="T58"/>
      <c r="Z58"/>
      <c r="AA58"/>
      <c r="AB58"/>
    </row>
    <row r="59" spans="1:28" ht="15.75">
      <c r="A59" s="164" t="s">
        <v>44</v>
      </c>
      <c r="B59" s="317">
        <v>0.03</v>
      </c>
      <c r="C59" s="317">
        <v>0.04</v>
      </c>
      <c r="D59" s="317">
        <v>0.04</v>
      </c>
      <c r="E59" s="369">
        <f>SUMPRODUCT(B59:D59,$B$52:$D$52)/SUM($B$52:$D$52)</f>
        <v>0.03</v>
      </c>
      <c r="F59" s="15"/>
      <c r="G59" s="47"/>
      <c r="H59" s="15"/>
      <c r="I59" s="15"/>
      <c r="J59" s="168"/>
      <c r="K59" s="46"/>
      <c r="M59" s="330" t="s">
        <v>287</v>
      </c>
      <c r="N59" s="15"/>
      <c r="O59" s="417">
        <v>0.01</v>
      </c>
      <c r="P59" s="393"/>
      <c r="Q59"/>
      <c r="R59"/>
      <c r="S59"/>
      <c r="T59"/>
      <c r="Z59"/>
      <c r="AA59"/>
      <c r="AB59"/>
    </row>
    <row r="60" spans="1:28" ht="15.75">
      <c r="A60" s="162" t="s">
        <v>45</v>
      </c>
      <c r="B60" s="165">
        <f>Debt!F7</f>
        <v>7.0000000000000007E-2</v>
      </c>
      <c r="C60" s="165">
        <f>Debt!L7</f>
        <v>0.08</v>
      </c>
      <c r="D60" s="165">
        <f>Debt!R7</f>
        <v>0.08</v>
      </c>
      <c r="E60" s="368">
        <f>SUMPRODUCT(B60:D60,$B$52:$D$52)/SUM($B$52:$D$52)</f>
        <v>7.0000000000000007E-2</v>
      </c>
      <c r="F60" s="15"/>
      <c r="G60" s="161" t="s">
        <v>238</v>
      </c>
      <c r="H60" s="15"/>
      <c r="I60" s="15"/>
      <c r="J60" s="168"/>
      <c r="K60" s="46"/>
      <c r="M60" s="330" t="s">
        <v>289</v>
      </c>
      <c r="N60" s="15"/>
      <c r="O60" s="444">
        <v>0</v>
      </c>
      <c r="P60" s="393"/>
      <c r="Q60"/>
      <c r="R60"/>
      <c r="S60"/>
      <c r="T60"/>
      <c r="W60"/>
      <c r="X60"/>
      <c r="Z60"/>
      <c r="AA60"/>
      <c r="AB60"/>
    </row>
    <row r="61" spans="1:28" ht="15.75">
      <c r="A61" s="157"/>
      <c r="B61" s="152"/>
      <c r="C61" s="152"/>
      <c r="D61" s="152"/>
      <c r="E61" s="370"/>
      <c r="F61" s="15"/>
      <c r="G61" s="157" t="s">
        <v>237</v>
      </c>
      <c r="H61" s="15"/>
      <c r="I61" s="168">
        <f>I20-I52</f>
        <v>17</v>
      </c>
      <c r="J61" s="168"/>
      <c r="K61" s="46"/>
      <c r="M61" s="330" t="s">
        <v>328</v>
      </c>
      <c r="N61" s="15"/>
      <c r="O61" s="417">
        <v>0</v>
      </c>
      <c r="P61" s="393"/>
      <c r="Q61"/>
      <c r="R61"/>
      <c r="S61"/>
      <c r="T61"/>
      <c r="Z61"/>
      <c r="AA61"/>
      <c r="AB61"/>
    </row>
    <row r="62" spans="1:28" ht="15.75">
      <c r="A62" s="157" t="s">
        <v>276</v>
      </c>
      <c r="B62" s="163">
        <f>MAX(Debt!B84:W84)*C62/12</f>
        <v>0</v>
      </c>
      <c r="C62" s="312">
        <v>0</v>
      </c>
      <c r="D62" s="152" t="s">
        <v>277</v>
      </c>
      <c r="E62" s="371"/>
      <c r="F62" s="15"/>
      <c r="G62" s="157" t="s">
        <v>41</v>
      </c>
      <c r="H62" s="15"/>
      <c r="I62" s="420">
        <f>P28</f>
        <v>8.2989690721649492E-3</v>
      </c>
      <c r="J62" s="168"/>
      <c r="K62" s="46"/>
      <c r="M62" s="330" t="s">
        <v>186</v>
      </c>
      <c r="N62" s="15"/>
      <c r="O62" s="444">
        <v>0</v>
      </c>
      <c r="P62" s="393"/>
      <c r="Q62"/>
      <c r="R62"/>
      <c r="S62"/>
      <c r="T62"/>
      <c r="Z62"/>
      <c r="AA62"/>
      <c r="AB62"/>
    </row>
    <row r="63" spans="1:28" ht="15.75">
      <c r="A63" s="157" t="s">
        <v>46</v>
      </c>
      <c r="B63" s="191">
        <v>0.02</v>
      </c>
      <c r="C63" s="152"/>
      <c r="D63" s="152"/>
      <c r="E63" s="371"/>
      <c r="F63" s="15"/>
      <c r="G63" s="157" t="s">
        <v>43</v>
      </c>
      <c r="H63" s="152"/>
      <c r="I63" s="415">
        <v>0</v>
      </c>
      <c r="J63" s="168"/>
      <c r="K63" s="46"/>
      <c r="M63" s="330" t="s">
        <v>288</v>
      </c>
      <c r="N63" s="15"/>
      <c r="O63" s="417">
        <v>0</v>
      </c>
      <c r="P63" s="393"/>
      <c r="Q63"/>
      <c r="R63"/>
      <c r="S63"/>
      <c r="T63"/>
      <c r="Z63"/>
      <c r="AA63"/>
      <c r="AB63"/>
    </row>
    <row r="64" spans="1:28" ht="15.75">
      <c r="A64" s="157" t="s">
        <v>47</v>
      </c>
      <c r="B64" s="191">
        <v>0.05</v>
      </c>
      <c r="C64" s="15"/>
      <c r="D64" s="15"/>
      <c r="E64" s="46"/>
      <c r="F64" s="15"/>
      <c r="G64" s="157" t="s">
        <v>252</v>
      </c>
      <c r="H64" s="15"/>
      <c r="I64" s="421">
        <v>0.02</v>
      </c>
      <c r="J64" s="168"/>
      <c r="K64" s="46"/>
      <c r="M64" s="330" t="s">
        <v>290</v>
      </c>
      <c r="N64" s="15"/>
      <c r="O64" s="444">
        <v>0</v>
      </c>
      <c r="P64" s="393"/>
      <c r="Q64"/>
      <c r="R64"/>
      <c r="S64"/>
      <c r="T64"/>
      <c r="Z64"/>
      <c r="AA64"/>
      <c r="AB64"/>
    </row>
    <row r="65" spans="1:28" ht="15.75">
      <c r="A65" s="47"/>
      <c r="B65" s="15"/>
      <c r="C65" s="15"/>
      <c r="D65" s="15"/>
      <c r="E65" s="46"/>
      <c r="F65" s="15"/>
      <c r="G65" s="157" t="s">
        <v>259</v>
      </c>
      <c r="H65" s="341"/>
      <c r="I65" s="422">
        <f>O12*(1-I64)</f>
        <v>190.12</v>
      </c>
      <c r="J65" s="168"/>
      <c r="K65" s="46"/>
      <c r="M65" s="330" t="s">
        <v>294</v>
      </c>
      <c r="N65" s="15"/>
      <c r="O65" s="417">
        <v>0</v>
      </c>
      <c r="P65" s="393"/>
      <c r="Q65"/>
      <c r="R65"/>
      <c r="S65"/>
      <c r="T65"/>
      <c r="Z65"/>
      <c r="AA65"/>
      <c r="AB65"/>
    </row>
    <row r="66" spans="1:28" ht="15.75">
      <c r="A66" s="363" t="s">
        <v>234</v>
      </c>
      <c r="B66" s="15"/>
      <c r="C66" s="15"/>
      <c r="D66" s="15"/>
      <c r="E66" s="46"/>
      <c r="F66" s="15"/>
      <c r="G66" s="157" t="s">
        <v>253</v>
      </c>
      <c r="H66" s="15"/>
      <c r="I66" s="270">
        <f>I65*I14</f>
        <v>228144</v>
      </c>
      <c r="J66" s="168"/>
      <c r="K66" s="393"/>
      <c r="M66" s="330" t="s">
        <v>291</v>
      </c>
      <c r="N66" s="15"/>
      <c r="O66" s="444">
        <v>0</v>
      </c>
      <c r="P66" s="393"/>
      <c r="Q66"/>
      <c r="R66"/>
      <c r="S66"/>
      <c r="T66"/>
      <c r="Z66"/>
      <c r="AA66"/>
      <c r="AB66"/>
    </row>
    <row r="67" spans="1:28" ht="15.75">
      <c r="A67" s="362" t="s">
        <v>157</v>
      </c>
      <c r="B67" s="291">
        <v>37104</v>
      </c>
      <c r="C67" s="15"/>
      <c r="D67" s="15"/>
      <c r="E67" s="46"/>
      <c r="F67" s="15"/>
      <c r="G67" s="47"/>
      <c r="H67" s="15"/>
      <c r="I67" s="15"/>
      <c r="J67" s="168"/>
      <c r="K67" s="393"/>
      <c r="M67" s="330" t="s">
        <v>293</v>
      </c>
      <c r="N67" s="15"/>
      <c r="O67" s="417">
        <v>0</v>
      </c>
      <c r="P67" s="393"/>
      <c r="Q67"/>
      <c r="R67"/>
      <c r="S67"/>
      <c r="T67"/>
      <c r="Z67"/>
      <c r="AA67"/>
      <c r="AB67"/>
    </row>
    <row r="68" spans="1:28" ht="16.5" thickBot="1">
      <c r="A68" s="157" t="s">
        <v>27</v>
      </c>
      <c r="B68" s="187">
        <v>1</v>
      </c>
      <c r="C68" s="238">
        <f>B68*C11</f>
        <v>0</v>
      </c>
      <c r="D68" s="15"/>
      <c r="E68" s="46"/>
      <c r="F68" s="15"/>
      <c r="G68" s="157" t="s">
        <v>49</v>
      </c>
      <c r="H68" s="152"/>
      <c r="I68" s="416">
        <v>1</v>
      </c>
      <c r="J68" s="168"/>
      <c r="K68" s="393"/>
      <c r="M68" s="331" t="s">
        <v>292</v>
      </c>
      <c r="N68" s="49"/>
      <c r="O68" s="459">
        <v>0</v>
      </c>
      <c r="P68" s="394"/>
      <c r="Q68"/>
      <c r="R68"/>
      <c r="S68"/>
      <c r="T68"/>
      <c r="Z68"/>
      <c r="AA68"/>
      <c r="AB68"/>
    </row>
    <row r="69" spans="1:28" ht="16.5" thickBot="1">
      <c r="A69" s="159" t="s">
        <v>28</v>
      </c>
      <c r="B69" s="322">
        <f>1-B68</f>
        <v>0</v>
      </c>
      <c r="C69" s="239">
        <f>B69*C11</f>
        <v>0</v>
      </c>
      <c r="D69" s="49"/>
      <c r="E69" s="126"/>
      <c r="F69" s="15"/>
      <c r="G69" s="157" t="s">
        <v>251</v>
      </c>
      <c r="H69" s="15"/>
      <c r="I69" s="421">
        <v>0.02</v>
      </c>
      <c r="J69" s="168"/>
      <c r="K69" s="393"/>
      <c r="O69"/>
      <c r="P69"/>
      <c r="Q69"/>
      <c r="R69"/>
      <c r="S69"/>
      <c r="T69"/>
      <c r="W69"/>
      <c r="X69"/>
      <c r="Y69"/>
      <c r="Z69"/>
      <c r="AA69"/>
      <c r="AB69"/>
    </row>
    <row r="70" spans="1:28" ht="16.5" thickBot="1">
      <c r="F70" s="15"/>
      <c r="G70" s="159" t="s">
        <v>1</v>
      </c>
      <c r="H70" s="160"/>
      <c r="I70" s="425">
        <v>0.03</v>
      </c>
      <c r="J70" s="431"/>
      <c r="K70" s="394"/>
      <c r="Q70"/>
      <c r="R70"/>
      <c r="S70"/>
      <c r="T70"/>
      <c r="W70"/>
      <c r="X70"/>
      <c r="Y70"/>
      <c r="Z70"/>
      <c r="AA70"/>
      <c r="AB70"/>
    </row>
    <row r="71" spans="1:28">
      <c r="O71"/>
      <c r="P71"/>
      <c r="Q71"/>
      <c r="R71"/>
      <c r="S71"/>
      <c r="T71"/>
      <c r="W71"/>
      <c r="X71"/>
      <c r="Y71"/>
      <c r="Z71"/>
      <c r="AA71"/>
      <c r="AB71"/>
    </row>
    <row r="72" spans="1:28" ht="15.75">
      <c r="F72" s="152"/>
      <c r="K72"/>
      <c r="O72"/>
      <c r="P72"/>
      <c r="Q72"/>
      <c r="R72"/>
      <c r="S72"/>
      <c r="T72"/>
      <c r="W72"/>
      <c r="X72"/>
      <c r="Y72"/>
      <c r="Z72"/>
      <c r="AA72"/>
      <c r="AB72"/>
    </row>
    <row r="73" spans="1:28" ht="15.75">
      <c r="F73" s="152"/>
      <c r="K73"/>
      <c r="L73"/>
      <c r="O73"/>
      <c r="P73"/>
      <c r="Q73"/>
      <c r="R73"/>
      <c r="S73"/>
      <c r="T73"/>
    </row>
    <row r="74" spans="1:28">
      <c r="F74" s="15"/>
      <c r="K74"/>
      <c r="L74"/>
      <c r="Q74"/>
      <c r="R74"/>
      <c r="S74"/>
      <c r="T74"/>
    </row>
    <row r="75" spans="1:28">
      <c r="F75" s="15"/>
      <c r="K75"/>
      <c r="L75"/>
      <c r="Q75"/>
      <c r="R75"/>
      <c r="S75"/>
      <c r="T75"/>
    </row>
    <row r="76" spans="1:28">
      <c r="F76" s="15"/>
      <c r="K76"/>
      <c r="L76"/>
      <c r="P76"/>
      <c r="Q76"/>
      <c r="R76"/>
      <c r="S76"/>
      <c r="T76"/>
    </row>
    <row r="77" spans="1:28">
      <c r="F77" s="15"/>
      <c r="K77"/>
      <c r="L77"/>
      <c r="P77"/>
      <c r="Q77"/>
      <c r="R77"/>
      <c r="S77"/>
      <c r="T77"/>
    </row>
    <row r="78" spans="1:28">
      <c r="F78" s="15"/>
      <c r="K78"/>
      <c r="L78"/>
      <c r="P78"/>
      <c r="Q78"/>
      <c r="R78"/>
      <c r="S78"/>
      <c r="T78"/>
    </row>
    <row r="79" spans="1:28">
      <c r="F79" s="15"/>
      <c r="K79"/>
      <c r="L79"/>
      <c r="P79"/>
      <c r="Q79"/>
      <c r="R79"/>
      <c r="S79"/>
      <c r="T79"/>
    </row>
    <row r="80" spans="1:28">
      <c r="F80" s="15"/>
      <c r="K80"/>
      <c r="L80"/>
      <c r="P80"/>
      <c r="Q80"/>
      <c r="R80"/>
      <c r="S80"/>
      <c r="T80"/>
    </row>
    <row r="81" spans="4:20">
      <c r="F81" s="15"/>
      <c r="K81"/>
      <c r="L81"/>
      <c r="P81"/>
      <c r="Q81"/>
      <c r="R81"/>
      <c r="S81"/>
      <c r="T81"/>
    </row>
    <row r="82" spans="4:20" ht="15.75">
      <c r="F82" s="53"/>
      <c r="L82"/>
      <c r="P82"/>
      <c r="Q82"/>
      <c r="R82"/>
      <c r="S82"/>
      <c r="T82"/>
    </row>
    <row r="83" spans="4:20">
      <c r="K83"/>
      <c r="L83"/>
      <c r="P83"/>
      <c r="Q83"/>
      <c r="R83"/>
      <c r="S83"/>
      <c r="T83"/>
    </row>
    <row r="84" spans="4:20" ht="15.75">
      <c r="F84" s="152"/>
      <c r="L84"/>
      <c r="P84"/>
      <c r="Q84"/>
      <c r="R84"/>
      <c r="S84"/>
      <c r="T84"/>
    </row>
    <row r="85" spans="4:20" ht="15.75">
      <c r="F85" s="152"/>
      <c r="K85"/>
      <c r="L85"/>
      <c r="P85"/>
      <c r="Q85"/>
      <c r="R85"/>
      <c r="S85"/>
      <c r="T85"/>
    </row>
    <row r="86" spans="4:20" ht="15.75">
      <c r="F86" s="152"/>
      <c r="K86"/>
      <c r="L86"/>
      <c r="P86"/>
      <c r="Q86"/>
      <c r="R86"/>
      <c r="S86"/>
      <c r="T86"/>
    </row>
    <row r="87" spans="4:20" ht="15.75">
      <c r="F87" s="152"/>
      <c r="L87"/>
      <c r="P87"/>
      <c r="Q87"/>
      <c r="R87"/>
      <c r="S87"/>
      <c r="T87"/>
    </row>
    <row r="88" spans="4:20">
      <c r="F88" s="15"/>
      <c r="K88"/>
      <c r="L88"/>
      <c r="P88"/>
    </row>
    <row r="89" spans="4:20" ht="15.75">
      <c r="F89" s="152"/>
      <c r="K89"/>
      <c r="L89"/>
      <c r="P89"/>
    </row>
    <row r="90" spans="4:20" ht="15.75">
      <c r="F90" s="152"/>
      <c r="K90"/>
      <c r="L90"/>
      <c r="P90"/>
    </row>
    <row r="91" spans="4:20">
      <c r="F91" s="15"/>
      <c r="K91"/>
      <c r="L91"/>
    </row>
    <row r="92" spans="4:20">
      <c r="F92" s="15"/>
      <c r="K92"/>
      <c r="L92"/>
    </row>
    <row r="93" spans="4:20" ht="15.75">
      <c r="F93" s="152"/>
      <c r="K93"/>
      <c r="L93"/>
    </row>
    <row r="94" spans="4:20" ht="15.75">
      <c r="F94" s="152"/>
      <c r="K94"/>
      <c r="L94"/>
    </row>
    <row r="95" spans="4:20" ht="15.75">
      <c r="F95" s="152"/>
      <c r="K95"/>
      <c r="L95"/>
    </row>
    <row r="96" spans="4:20" ht="15.75">
      <c r="D96"/>
      <c r="E96"/>
      <c r="F96" s="151"/>
      <c r="K96"/>
      <c r="L96"/>
    </row>
    <row r="97" spans="4:15" ht="15.75">
      <c r="D97"/>
      <c r="E97"/>
      <c r="F97" s="169"/>
      <c r="J97" s="413"/>
      <c r="K97"/>
      <c r="L97"/>
    </row>
    <row r="98" spans="4:15" ht="15.75">
      <c r="D98"/>
      <c r="E98"/>
      <c r="F98" s="169"/>
      <c r="J98" s="261"/>
      <c r="K98"/>
      <c r="L98"/>
    </row>
    <row r="99" spans="4:15" ht="15.75">
      <c r="D99"/>
      <c r="E99"/>
      <c r="F99" s="169"/>
      <c r="L99"/>
    </row>
    <row r="100" spans="4:15" ht="15.75">
      <c r="D100"/>
      <c r="E100"/>
      <c r="F100" s="169"/>
      <c r="J100" s="261"/>
      <c r="K100"/>
      <c r="L100"/>
    </row>
    <row r="101" spans="4:15">
      <c r="D101"/>
      <c r="E101"/>
      <c r="G101"/>
      <c r="H101"/>
      <c r="I101"/>
      <c r="J101"/>
      <c r="K101"/>
      <c r="L101"/>
    </row>
    <row r="102" spans="4:15">
      <c r="D102"/>
      <c r="E102"/>
      <c r="G102"/>
      <c r="H102"/>
      <c r="I102"/>
      <c r="J102"/>
      <c r="K102"/>
      <c r="L102"/>
      <c r="M102"/>
      <c r="N102"/>
      <c r="O102"/>
    </row>
    <row r="103" spans="4:15">
      <c r="G103"/>
      <c r="H103"/>
      <c r="I103"/>
      <c r="J103"/>
      <c r="K103"/>
      <c r="L103"/>
      <c r="M103"/>
      <c r="N103"/>
      <c r="O103"/>
    </row>
    <row r="104" spans="4:15">
      <c r="G104"/>
      <c r="H104"/>
      <c r="I104"/>
      <c r="J104"/>
      <c r="K104"/>
      <c r="L104"/>
      <c r="M104"/>
      <c r="N104"/>
      <c r="O104"/>
    </row>
    <row r="105" spans="4:15">
      <c r="G105"/>
      <c r="H105"/>
      <c r="I105"/>
      <c r="J105"/>
      <c r="K105"/>
      <c r="L105"/>
      <c r="M105"/>
      <c r="N105"/>
      <c r="O105"/>
    </row>
    <row r="106" spans="4:15">
      <c r="G106"/>
      <c r="H106"/>
      <c r="I106"/>
      <c r="J106"/>
      <c r="K106"/>
      <c r="L106"/>
      <c r="M106"/>
      <c r="N106"/>
      <c r="O106"/>
    </row>
    <row r="107" spans="4:15">
      <c r="L107"/>
      <c r="M107"/>
      <c r="N107"/>
      <c r="O107"/>
    </row>
    <row r="108" spans="4:15">
      <c r="G108"/>
      <c r="H108"/>
      <c r="I108"/>
      <c r="J108"/>
      <c r="K108"/>
      <c r="L108"/>
      <c r="M108"/>
      <c r="N108"/>
      <c r="O108"/>
    </row>
    <row r="109" spans="4:15">
      <c r="G109"/>
      <c r="H109"/>
      <c r="I109"/>
      <c r="J109"/>
      <c r="K109"/>
      <c r="L109"/>
      <c r="M109"/>
      <c r="N109"/>
      <c r="O109"/>
    </row>
    <row r="110" spans="4:15">
      <c r="G110"/>
      <c r="H110"/>
      <c r="I110"/>
      <c r="J110"/>
      <c r="K110"/>
      <c r="L110"/>
      <c r="M110"/>
      <c r="N110"/>
      <c r="O110"/>
    </row>
    <row r="111" spans="4:15">
      <c r="G111"/>
      <c r="H111"/>
      <c r="I111"/>
      <c r="J111"/>
      <c r="K111"/>
      <c r="L111"/>
      <c r="M111"/>
      <c r="N111"/>
      <c r="O111"/>
    </row>
    <row r="112" spans="4:15">
      <c r="G112"/>
      <c r="H112"/>
      <c r="I112"/>
      <c r="J112"/>
      <c r="K112"/>
      <c r="L112"/>
      <c r="M112"/>
      <c r="N112"/>
      <c r="O112"/>
    </row>
    <row r="113" spans="4:25">
      <c r="G113"/>
      <c r="H113"/>
      <c r="I113"/>
      <c r="J113"/>
      <c r="K113"/>
      <c r="L113"/>
      <c r="M113"/>
      <c r="N113"/>
      <c r="O113"/>
    </row>
    <row r="114" spans="4:25">
      <c r="K114"/>
      <c r="L114"/>
      <c r="M114"/>
      <c r="N114"/>
      <c r="O114"/>
    </row>
    <row r="115" spans="4:25">
      <c r="D115"/>
      <c r="E115"/>
      <c r="K115"/>
      <c r="L115"/>
      <c r="M115"/>
      <c r="N115"/>
      <c r="O115"/>
    </row>
    <row r="116" spans="4:25" ht="15.75">
      <c r="J116" s="261"/>
      <c r="K116"/>
      <c r="L116"/>
      <c r="M116"/>
      <c r="N116"/>
      <c r="O116"/>
    </row>
    <row r="117" spans="4:25" ht="15.75">
      <c r="J117" s="261"/>
      <c r="K117"/>
      <c r="L117"/>
      <c r="M117"/>
      <c r="N117"/>
      <c r="O117"/>
    </row>
    <row r="118" spans="4:25" ht="15.75">
      <c r="J118" s="261"/>
      <c r="K118"/>
      <c r="L118"/>
      <c r="M118"/>
      <c r="N118"/>
      <c r="O118"/>
    </row>
    <row r="119" spans="4:25" ht="15.75">
      <c r="J119" s="261"/>
      <c r="K119"/>
      <c r="L119"/>
      <c r="M119"/>
      <c r="N119"/>
      <c r="O119"/>
    </row>
    <row r="120" spans="4:25" ht="15.75">
      <c r="J120" s="261"/>
      <c r="K120"/>
      <c r="L120"/>
      <c r="M120"/>
      <c r="N120"/>
      <c r="O120"/>
    </row>
    <row r="121" spans="4:25" ht="15.75">
      <c r="J121" s="261"/>
      <c r="K121"/>
      <c r="L121"/>
      <c r="M121"/>
      <c r="N121"/>
      <c r="O121"/>
    </row>
    <row r="122" spans="4:25" ht="15.75">
      <c r="J122" s="261"/>
      <c r="K122"/>
      <c r="L122"/>
      <c r="M122"/>
      <c r="N122"/>
      <c r="O122"/>
    </row>
    <row r="123" spans="4:25" ht="15.75">
      <c r="J123" s="261"/>
      <c r="K123"/>
      <c r="L123"/>
      <c r="M123"/>
      <c r="N123"/>
      <c r="O123"/>
    </row>
    <row r="124" spans="4:25">
      <c r="K124"/>
      <c r="L124"/>
      <c r="M124"/>
      <c r="N124"/>
      <c r="O124"/>
    </row>
    <row r="128" spans="4:25"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</row>
    <row r="129" spans="10:25"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</row>
    <row r="130" spans="10:25" ht="15.75">
      <c r="J130"/>
      <c r="K130" s="262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</row>
    <row r="131" spans="10:25">
      <c r="J131"/>
      <c r="K131" s="15"/>
      <c r="L131" s="15"/>
      <c r="M131" s="131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</row>
    <row r="132" spans="10:25">
      <c r="J132"/>
      <c r="K132" s="15"/>
      <c r="L132" s="15"/>
      <c r="M132" s="131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</row>
    <row r="133" spans="10:25">
      <c r="J133"/>
      <c r="K133" s="15"/>
      <c r="L133" s="15"/>
      <c r="M133" s="131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</row>
    <row r="134" spans="10:25" ht="15.75">
      <c r="J134"/>
      <c r="K134" s="15"/>
      <c r="L134" s="15"/>
      <c r="M134" s="256"/>
      <c r="N134" s="255"/>
      <c r="O134" s="255"/>
      <c r="P134" s="15"/>
      <c r="Q134" s="15"/>
      <c r="R134" s="15"/>
      <c r="S134" s="15"/>
      <c r="T134" s="15"/>
      <c r="U134" s="15"/>
      <c r="V134" s="15"/>
      <c r="W134" s="15"/>
      <c r="X134" s="15"/>
      <c r="Y134" s="15"/>
    </row>
    <row r="135" spans="10:25" ht="15.75">
      <c r="J135"/>
      <c r="K135" s="255"/>
      <c r="L135" s="255"/>
      <c r="M135" s="254"/>
      <c r="N135" s="257"/>
      <c r="O135" s="257"/>
      <c r="P135" s="15"/>
      <c r="Q135" s="15"/>
      <c r="R135" s="15"/>
      <c r="S135" s="15"/>
      <c r="T135" s="15"/>
      <c r="U135" s="15"/>
      <c r="V135" s="15"/>
      <c r="W135" s="15"/>
      <c r="X135" s="15"/>
      <c r="Y135" s="15"/>
    </row>
    <row r="136" spans="10:25" ht="15.75">
      <c r="J136"/>
      <c r="K136" s="257"/>
      <c r="L136" s="257"/>
      <c r="M136" s="259"/>
      <c r="N136" s="258"/>
      <c r="O136" s="258"/>
      <c r="P136" s="15"/>
      <c r="Q136" s="15"/>
      <c r="R136" s="15"/>
      <c r="S136" s="15"/>
      <c r="T136" s="15"/>
      <c r="U136" s="15"/>
      <c r="V136" s="15"/>
      <c r="W136" s="15"/>
      <c r="X136" s="15"/>
      <c r="Y136" s="15"/>
    </row>
    <row r="137" spans="10:25" ht="15.75">
      <c r="J137"/>
      <c r="K137" s="258"/>
      <c r="L137" s="258"/>
      <c r="M137" s="259"/>
      <c r="N137" s="258"/>
      <c r="O137" s="258"/>
      <c r="P137" s="15"/>
      <c r="Q137" s="15"/>
      <c r="R137" s="15"/>
      <c r="S137" s="15"/>
      <c r="T137" s="15"/>
      <c r="U137" s="15"/>
      <c r="V137" s="15"/>
      <c r="W137" s="15"/>
      <c r="X137" s="15"/>
      <c r="Y137" s="15"/>
    </row>
    <row r="138" spans="10:25" ht="15.75">
      <c r="J138"/>
      <c r="K138" s="258"/>
      <c r="L138" s="258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</row>
    <row r="139" spans="10:25">
      <c r="J139"/>
      <c r="K139" s="15"/>
      <c r="L139" s="15"/>
    </row>
    <row r="140" spans="10:25">
      <c r="J140"/>
    </row>
    <row r="141" spans="10:25" ht="15.75">
      <c r="J141"/>
      <c r="K141" s="262"/>
    </row>
    <row r="142" spans="10:25">
      <c r="J142"/>
      <c r="K142" s="15"/>
    </row>
    <row r="143" spans="10:25">
      <c r="J143"/>
      <c r="K143" s="15"/>
    </row>
    <row r="144" spans="10:25">
      <c r="J144"/>
      <c r="K144" s="15"/>
    </row>
    <row r="145" spans="4:11">
      <c r="J145"/>
      <c r="K145" s="15"/>
    </row>
    <row r="146" spans="4:11">
      <c r="J146"/>
      <c r="K146" s="15"/>
    </row>
    <row r="147" spans="4:11">
      <c r="J147"/>
      <c r="K147" s="15"/>
    </row>
    <row r="148" spans="4:11" ht="15.75">
      <c r="J148"/>
      <c r="K148" s="255"/>
    </row>
    <row r="149" spans="4:11" ht="15.75">
      <c r="J149"/>
      <c r="K149" s="257"/>
    </row>
    <row r="150" spans="4:11" ht="15.75">
      <c r="J150"/>
      <c r="K150" s="258"/>
    </row>
    <row r="151" spans="4:11" ht="15.75">
      <c r="J151"/>
      <c r="K151" s="258"/>
    </row>
    <row r="152" spans="4:11">
      <c r="J152"/>
    </row>
    <row r="153" spans="4:11">
      <c r="J153"/>
    </row>
    <row r="154" spans="4:11">
      <c r="J154"/>
    </row>
    <row r="155" spans="4:11">
      <c r="J155"/>
    </row>
    <row r="156" spans="4:11">
      <c r="J156"/>
    </row>
    <row r="157" spans="4:11">
      <c r="G157"/>
      <c r="H157"/>
      <c r="I157"/>
      <c r="J157"/>
    </row>
    <row r="158" spans="4:11">
      <c r="G158"/>
      <c r="H158"/>
      <c r="I158"/>
    </row>
    <row r="159" spans="4:11">
      <c r="D159"/>
      <c r="E159"/>
      <c r="G159"/>
      <c r="H159"/>
      <c r="I159"/>
    </row>
    <row r="160" spans="4:11">
      <c r="D160"/>
      <c r="E160"/>
      <c r="G160"/>
      <c r="H160"/>
      <c r="I160"/>
    </row>
    <row r="161" spans="4:9">
      <c r="D161"/>
      <c r="E161"/>
      <c r="G161"/>
      <c r="H161"/>
      <c r="I161"/>
    </row>
    <row r="162" spans="4:9">
      <c r="D162"/>
      <c r="E162"/>
      <c r="G162"/>
      <c r="H162"/>
      <c r="I162"/>
    </row>
    <row r="165" spans="4:9">
      <c r="G165"/>
      <c r="H165"/>
      <c r="I165"/>
    </row>
    <row r="166" spans="4:9">
      <c r="G166"/>
      <c r="H166"/>
      <c r="I166"/>
    </row>
    <row r="167" spans="4:9">
      <c r="G167"/>
      <c r="H167"/>
      <c r="I167"/>
    </row>
    <row r="168" spans="4:9">
      <c r="G168"/>
      <c r="H168"/>
      <c r="I168"/>
    </row>
    <row r="169" spans="4:9">
      <c r="G169"/>
      <c r="H169"/>
      <c r="I169"/>
    </row>
    <row r="170" spans="4:9">
      <c r="G170"/>
      <c r="H170"/>
      <c r="I170"/>
    </row>
  </sheetData>
  <pageMargins left="0.45" right="0.45" top="0.5" bottom="0.5" header="0.25" footer="0.25"/>
  <pageSetup scale="42" firstPageNumber="2" orientation="landscape" copies="2" r:id="rId1"/>
  <headerFooter alignWithMargins="0">
    <oddFooter xml:space="preserve">&amp;L&amp;T, &amp;D&amp;C&amp;F&amp;R&amp;P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AR39"/>
  <sheetViews>
    <sheetView topLeftCell="A33" zoomScale="75" zoomScaleNormal="75" workbookViewId="0">
      <selection activeCell="D22" sqref="D22"/>
    </sheetView>
  </sheetViews>
  <sheetFormatPr defaultColWidth="9.28515625" defaultRowHeight="15.75"/>
  <cols>
    <col min="1" max="1" width="9.140625" style="53" customWidth="1"/>
    <col min="2" max="2" width="45.140625" style="53" bestFit="1" customWidth="1"/>
    <col min="3" max="3" width="3.7109375" style="53" customWidth="1"/>
    <col min="4" max="7" width="9.85546875" style="53" customWidth="1"/>
    <col min="8" max="9" width="11.5703125" style="53" customWidth="1"/>
    <col min="10" max="10" width="10.28515625" style="53" customWidth="1"/>
    <col min="11" max="24" width="9.85546875" style="53" customWidth="1"/>
    <col min="25" max="16384" width="9.28515625" style="53"/>
  </cols>
  <sheetData>
    <row r="2" spans="2:34" ht="18.75">
      <c r="B2" s="135" t="str">
        <f>Assumptions!A3</f>
        <v>PROJECT NAME: LINCOLN</v>
      </c>
    </row>
    <row r="3" spans="2:34" ht="12" customHeight="1">
      <c r="B3" s="30"/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  <c r="O3" s="193"/>
      <c r="P3" s="193"/>
      <c r="Q3" s="193"/>
      <c r="R3" s="193"/>
      <c r="S3" s="193"/>
      <c r="T3" s="193"/>
      <c r="U3" s="193"/>
      <c r="V3" s="193"/>
      <c r="W3" s="193"/>
      <c r="X3" s="193"/>
    </row>
    <row r="4" spans="2:34" ht="18.75">
      <c r="B4" s="293" t="s">
        <v>191</v>
      </c>
      <c r="C4" s="105"/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3"/>
      <c r="P4" s="193"/>
      <c r="Q4" s="193"/>
      <c r="R4" s="193"/>
      <c r="S4" s="193"/>
      <c r="T4" s="193"/>
      <c r="U4" s="193"/>
      <c r="V4" s="193"/>
      <c r="W4" s="193"/>
      <c r="X4" s="193"/>
    </row>
    <row r="5" spans="2:34" ht="18.75">
      <c r="B5" s="445" t="s">
        <v>295</v>
      </c>
      <c r="D5" s="192"/>
      <c r="E5" s="192"/>
      <c r="F5" s="192"/>
      <c r="G5" s="192"/>
      <c r="H5" s="192"/>
      <c r="I5" s="192"/>
      <c r="J5" s="192"/>
      <c r="K5" s="192"/>
      <c r="L5" s="192"/>
      <c r="M5" s="192"/>
      <c r="N5" s="192"/>
      <c r="O5" s="192"/>
      <c r="P5" s="192"/>
      <c r="Q5" s="192"/>
      <c r="R5" s="192"/>
      <c r="S5" s="192"/>
      <c r="T5" s="192"/>
      <c r="U5" s="192"/>
      <c r="V5" s="192"/>
      <c r="W5" s="192"/>
      <c r="X5" s="192"/>
    </row>
    <row r="6" spans="2:34">
      <c r="B6" s="221"/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2"/>
      <c r="U6" s="152"/>
      <c r="V6" s="152"/>
      <c r="W6" s="152"/>
      <c r="X6" s="152"/>
    </row>
    <row r="7" spans="2:34">
      <c r="B7" s="202" t="s">
        <v>171</v>
      </c>
      <c r="C7" s="209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2"/>
      <c r="U7" s="152"/>
      <c r="V7" s="152"/>
      <c r="W7" s="152"/>
      <c r="X7" s="152"/>
    </row>
    <row r="8" spans="2:34">
      <c r="B8" s="379">
        <f>Assumptions!O21</f>
        <v>0.03</v>
      </c>
      <c r="C8" s="194"/>
      <c r="D8" s="152"/>
      <c r="E8" s="152"/>
      <c r="F8" s="152"/>
      <c r="G8" s="195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2"/>
      <c r="U8" s="152"/>
      <c r="V8" s="152"/>
      <c r="W8" s="152"/>
      <c r="X8" s="152"/>
    </row>
    <row r="9" spans="2:34">
      <c r="B9" s="220"/>
      <c r="C9" s="152"/>
      <c r="D9" s="462">
        <f>(Assumptions!I19/12)</f>
        <v>0.66666666666666663</v>
      </c>
      <c r="E9" s="462">
        <f>D9+1</f>
        <v>1.6666666666666665</v>
      </c>
      <c r="F9" s="462">
        <f t="shared" ref="F9:Y9" si="0">E9+1</f>
        <v>2.6666666666666665</v>
      </c>
      <c r="G9" s="462">
        <f t="shared" si="0"/>
        <v>3.6666666666666665</v>
      </c>
      <c r="H9" s="462">
        <f t="shared" si="0"/>
        <v>4.6666666666666661</v>
      </c>
      <c r="I9" s="462">
        <f t="shared" si="0"/>
        <v>5.6666666666666661</v>
      </c>
      <c r="J9" s="462">
        <f t="shared" si="0"/>
        <v>6.6666666666666661</v>
      </c>
      <c r="K9" s="462">
        <f t="shared" si="0"/>
        <v>7.6666666666666661</v>
      </c>
      <c r="L9" s="462">
        <f t="shared" si="0"/>
        <v>8.6666666666666661</v>
      </c>
      <c r="M9" s="462">
        <f t="shared" si="0"/>
        <v>9.6666666666666661</v>
      </c>
      <c r="N9" s="462">
        <f t="shared" si="0"/>
        <v>10.666666666666666</v>
      </c>
      <c r="O9" s="462">
        <f t="shared" si="0"/>
        <v>11.666666666666666</v>
      </c>
      <c r="P9" s="462">
        <f t="shared" si="0"/>
        <v>12.666666666666666</v>
      </c>
      <c r="Q9" s="462">
        <f t="shared" si="0"/>
        <v>13.666666666666666</v>
      </c>
      <c r="R9" s="462">
        <f t="shared" si="0"/>
        <v>14.666666666666666</v>
      </c>
      <c r="S9" s="462">
        <f t="shared" si="0"/>
        <v>15.666666666666666</v>
      </c>
      <c r="T9" s="462">
        <f t="shared" si="0"/>
        <v>16.666666666666664</v>
      </c>
      <c r="U9" s="462">
        <f t="shared" si="0"/>
        <v>17.666666666666664</v>
      </c>
      <c r="V9" s="462">
        <f t="shared" si="0"/>
        <v>18.666666666666664</v>
      </c>
      <c r="W9" s="462">
        <f t="shared" si="0"/>
        <v>19.666666666666664</v>
      </c>
      <c r="X9" s="462">
        <f t="shared" si="0"/>
        <v>20.666666666666664</v>
      </c>
      <c r="Y9" s="462">
        <f t="shared" si="0"/>
        <v>21.666666666666664</v>
      </c>
      <c r="Z9" s="462">
        <f t="shared" ref="Z9:AG9" si="1">Y9+1</f>
        <v>22.666666666666664</v>
      </c>
      <c r="AA9" s="462">
        <f t="shared" si="1"/>
        <v>23.666666666666664</v>
      </c>
      <c r="AB9" s="462">
        <f t="shared" si="1"/>
        <v>24.666666666666664</v>
      </c>
      <c r="AC9" s="462">
        <f t="shared" si="1"/>
        <v>25.666666666666664</v>
      </c>
      <c r="AD9" s="462">
        <f t="shared" si="1"/>
        <v>26.666666666666664</v>
      </c>
      <c r="AE9" s="462">
        <f t="shared" si="1"/>
        <v>27.666666666666664</v>
      </c>
      <c r="AF9" s="462">
        <f t="shared" si="1"/>
        <v>28.666666666666664</v>
      </c>
      <c r="AG9" s="462">
        <f t="shared" si="1"/>
        <v>29.666666666666664</v>
      </c>
      <c r="AH9" s="462">
        <f>AG9+1</f>
        <v>30.666666666666664</v>
      </c>
    </row>
    <row r="10" spans="2:34" ht="16.5" thickBot="1">
      <c r="B10" s="461"/>
      <c r="C10" s="461"/>
      <c r="D10" s="463">
        <f>YEAR(Assumptions!I18)</f>
        <v>2002</v>
      </c>
      <c r="E10" s="463">
        <f t="shared" ref="E10:X10" si="2">D10+1</f>
        <v>2003</v>
      </c>
      <c r="F10" s="463">
        <f t="shared" si="2"/>
        <v>2004</v>
      </c>
      <c r="G10" s="463">
        <f t="shared" si="2"/>
        <v>2005</v>
      </c>
      <c r="H10" s="463">
        <f t="shared" si="2"/>
        <v>2006</v>
      </c>
      <c r="I10" s="463">
        <f t="shared" si="2"/>
        <v>2007</v>
      </c>
      <c r="J10" s="463">
        <f t="shared" si="2"/>
        <v>2008</v>
      </c>
      <c r="K10" s="463">
        <f t="shared" si="2"/>
        <v>2009</v>
      </c>
      <c r="L10" s="463">
        <f t="shared" si="2"/>
        <v>2010</v>
      </c>
      <c r="M10" s="463">
        <f t="shared" si="2"/>
        <v>2011</v>
      </c>
      <c r="N10" s="463">
        <f t="shared" si="2"/>
        <v>2012</v>
      </c>
      <c r="O10" s="463">
        <f t="shared" si="2"/>
        <v>2013</v>
      </c>
      <c r="P10" s="463">
        <f t="shared" si="2"/>
        <v>2014</v>
      </c>
      <c r="Q10" s="463">
        <f t="shared" si="2"/>
        <v>2015</v>
      </c>
      <c r="R10" s="463">
        <f t="shared" si="2"/>
        <v>2016</v>
      </c>
      <c r="S10" s="463">
        <f t="shared" si="2"/>
        <v>2017</v>
      </c>
      <c r="T10" s="463">
        <f t="shared" si="2"/>
        <v>2018</v>
      </c>
      <c r="U10" s="463">
        <f t="shared" si="2"/>
        <v>2019</v>
      </c>
      <c r="V10" s="463">
        <f t="shared" si="2"/>
        <v>2020</v>
      </c>
      <c r="W10" s="463">
        <f t="shared" si="2"/>
        <v>2021</v>
      </c>
      <c r="X10" s="463">
        <f t="shared" si="2"/>
        <v>2022</v>
      </c>
      <c r="Y10" s="463">
        <f>X10+1</f>
        <v>2023</v>
      </c>
      <c r="Z10" s="463">
        <f t="shared" ref="Z10:AG10" si="3">Y10+1</f>
        <v>2024</v>
      </c>
      <c r="AA10" s="463">
        <f t="shared" si="3"/>
        <v>2025</v>
      </c>
      <c r="AB10" s="463">
        <f t="shared" si="3"/>
        <v>2026</v>
      </c>
      <c r="AC10" s="463">
        <f t="shared" si="3"/>
        <v>2027</v>
      </c>
      <c r="AD10" s="463">
        <f t="shared" si="3"/>
        <v>2028</v>
      </c>
      <c r="AE10" s="463">
        <f t="shared" si="3"/>
        <v>2029</v>
      </c>
      <c r="AF10" s="463">
        <f t="shared" si="3"/>
        <v>2030</v>
      </c>
      <c r="AG10" s="463">
        <f t="shared" si="3"/>
        <v>2031</v>
      </c>
      <c r="AH10" s="463">
        <f>AG10+1</f>
        <v>2032</v>
      </c>
    </row>
    <row r="11" spans="2:34">
      <c r="B11" s="152"/>
      <c r="C11" s="152"/>
      <c r="D11" s="196"/>
      <c r="E11" s="196"/>
      <c r="F11" s="196"/>
      <c r="G11" s="196"/>
      <c r="H11" s="196"/>
      <c r="I11" s="196"/>
      <c r="J11" s="196"/>
      <c r="K11" s="196"/>
      <c r="L11" s="196"/>
      <c r="M11" s="196"/>
      <c r="N11" s="196"/>
      <c r="O11" s="196"/>
      <c r="P11" s="196"/>
      <c r="Q11" s="196"/>
      <c r="R11" s="196"/>
      <c r="S11" s="196"/>
      <c r="T11" s="196"/>
      <c r="U11" s="196"/>
      <c r="V11" s="196"/>
      <c r="W11" s="196"/>
      <c r="X11" s="196"/>
      <c r="Y11" s="196"/>
      <c r="Z11" s="196"/>
      <c r="AA11" s="196"/>
      <c r="AB11" s="196"/>
      <c r="AC11" s="196"/>
      <c r="AD11" s="196"/>
      <c r="AE11" s="196"/>
      <c r="AF11" s="196"/>
      <c r="AG11" s="196"/>
      <c r="AH11" s="196"/>
    </row>
    <row r="12" spans="2:34">
      <c r="B12" s="222" t="s">
        <v>172</v>
      </c>
      <c r="C12" s="152"/>
      <c r="D12" s="152"/>
      <c r="E12" s="152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2"/>
      <c r="U12" s="152"/>
      <c r="V12" s="152"/>
      <c r="W12" s="152"/>
      <c r="X12" s="152"/>
      <c r="Y12" s="152"/>
      <c r="Z12" s="152"/>
      <c r="AA12" s="152"/>
      <c r="AB12" s="152"/>
      <c r="AC12" s="152"/>
      <c r="AD12" s="152"/>
      <c r="AE12" s="152"/>
      <c r="AF12" s="152"/>
      <c r="AG12" s="152"/>
      <c r="AH12" s="152"/>
    </row>
    <row r="13" spans="2:34">
      <c r="B13" s="152" t="s">
        <v>176</v>
      </c>
      <c r="C13" s="197"/>
      <c r="D13" s="336">
        <v>62.135922330097088</v>
      </c>
      <c r="E13" s="336">
        <v>64</v>
      </c>
      <c r="F13" s="336">
        <v>62</v>
      </c>
      <c r="G13" s="336">
        <v>61</v>
      </c>
      <c r="H13" s="336">
        <v>59</v>
      </c>
      <c r="I13" s="336">
        <v>58</v>
      </c>
      <c r="J13" s="336">
        <v>57</v>
      </c>
      <c r="K13" s="336">
        <v>56</v>
      </c>
      <c r="L13" s="336">
        <v>56</v>
      </c>
      <c r="M13" s="336">
        <v>55</v>
      </c>
      <c r="N13" s="336">
        <v>55</v>
      </c>
      <c r="O13" s="336">
        <v>54</v>
      </c>
      <c r="P13" s="336">
        <v>54</v>
      </c>
      <c r="Q13" s="336">
        <v>53</v>
      </c>
      <c r="R13" s="336">
        <v>52</v>
      </c>
      <c r="S13" s="336">
        <v>51</v>
      </c>
      <c r="T13" s="336">
        <v>50</v>
      </c>
      <c r="U13" s="336">
        <v>49</v>
      </c>
      <c r="V13" s="336">
        <v>48</v>
      </c>
      <c r="W13" s="336">
        <v>47</v>
      </c>
      <c r="X13" s="336">
        <v>46</v>
      </c>
      <c r="Y13" s="336">
        <v>45</v>
      </c>
      <c r="Z13" s="336">
        <v>44</v>
      </c>
      <c r="AA13" s="336">
        <v>43</v>
      </c>
      <c r="AB13" s="336">
        <v>42</v>
      </c>
      <c r="AC13" s="336">
        <v>41</v>
      </c>
      <c r="AD13" s="336">
        <v>40</v>
      </c>
      <c r="AE13" s="336">
        <v>39</v>
      </c>
      <c r="AF13" s="336">
        <v>38</v>
      </c>
      <c r="AG13" s="336">
        <v>37</v>
      </c>
      <c r="AH13" s="336">
        <v>36</v>
      </c>
    </row>
    <row r="14" spans="2:34">
      <c r="B14" s="152" t="s">
        <v>175</v>
      </c>
      <c r="C14" s="152"/>
      <c r="D14" s="336">
        <v>49.514563106796118</v>
      </c>
      <c r="E14" s="336">
        <v>51</v>
      </c>
      <c r="F14" s="336">
        <v>52</v>
      </c>
      <c r="G14" s="336">
        <v>52</v>
      </c>
      <c r="H14" s="336">
        <v>52</v>
      </c>
      <c r="I14" s="336">
        <v>52</v>
      </c>
      <c r="J14" s="336">
        <v>52</v>
      </c>
      <c r="K14" s="336">
        <v>50</v>
      </c>
      <c r="L14" s="336">
        <v>48</v>
      </c>
      <c r="M14" s="336">
        <v>45</v>
      </c>
      <c r="N14" s="336">
        <v>43</v>
      </c>
      <c r="O14" s="336">
        <v>41</v>
      </c>
      <c r="P14" s="336">
        <v>40</v>
      </c>
      <c r="Q14" s="336">
        <v>39</v>
      </c>
      <c r="R14" s="336">
        <v>37</v>
      </c>
      <c r="S14" s="336">
        <v>36</v>
      </c>
      <c r="T14" s="336">
        <v>35</v>
      </c>
      <c r="U14" s="336">
        <v>35</v>
      </c>
      <c r="V14" s="336">
        <v>35</v>
      </c>
      <c r="W14" s="336">
        <v>34</v>
      </c>
      <c r="X14" s="336">
        <v>34</v>
      </c>
      <c r="Y14" s="336">
        <v>34</v>
      </c>
      <c r="Z14" s="336">
        <v>34</v>
      </c>
      <c r="AA14" s="336">
        <v>34</v>
      </c>
      <c r="AB14" s="336">
        <v>34</v>
      </c>
      <c r="AC14" s="336">
        <v>34</v>
      </c>
      <c r="AD14" s="336">
        <v>34</v>
      </c>
      <c r="AE14" s="336">
        <v>34</v>
      </c>
      <c r="AF14" s="336">
        <v>34</v>
      </c>
      <c r="AG14" s="336">
        <v>34</v>
      </c>
      <c r="AH14" s="336">
        <v>34</v>
      </c>
    </row>
    <row r="15" spans="2:34">
      <c r="B15" s="152"/>
      <c r="C15" s="152"/>
      <c r="D15" s="198"/>
      <c r="E15" s="198"/>
      <c r="F15" s="198"/>
      <c r="G15" s="198"/>
      <c r="H15" s="198"/>
      <c r="I15" s="198"/>
      <c r="J15" s="198"/>
      <c r="K15" s="198"/>
      <c r="L15" s="198"/>
      <c r="M15" s="198"/>
      <c r="N15" s="198"/>
      <c r="O15" s="198"/>
      <c r="P15" s="198"/>
      <c r="Q15" s="198"/>
      <c r="R15" s="198"/>
      <c r="S15" s="198"/>
      <c r="T15" s="198"/>
      <c r="U15" s="198"/>
      <c r="V15" s="198"/>
      <c r="W15" s="198"/>
      <c r="X15" s="198"/>
      <c r="Y15" s="198"/>
      <c r="Z15" s="198"/>
      <c r="AA15" s="198"/>
      <c r="AB15" s="198"/>
      <c r="AC15" s="198"/>
      <c r="AD15" s="198"/>
      <c r="AE15" s="198"/>
      <c r="AF15" s="198"/>
      <c r="AG15" s="198"/>
      <c r="AH15" s="198"/>
    </row>
    <row r="16" spans="2:34">
      <c r="B16" s="222" t="s">
        <v>173</v>
      </c>
      <c r="C16" s="152"/>
      <c r="D16" s="198"/>
      <c r="E16" s="198"/>
      <c r="F16" s="198"/>
      <c r="G16" s="198"/>
      <c r="H16" s="198"/>
      <c r="I16" s="198"/>
      <c r="J16" s="198"/>
      <c r="K16" s="198"/>
      <c r="L16" s="198"/>
      <c r="M16" s="198"/>
      <c r="N16" s="198"/>
      <c r="O16" s="198"/>
      <c r="P16" s="198"/>
      <c r="Q16" s="198"/>
      <c r="R16" s="198"/>
      <c r="S16" s="198"/>
      <c r="T16" s="198"/>
      <c r="U16" s="198"/>
      <c r="V16" s="198"/>
      <c r="W16" s="198"/>
      <c r="X16" s="198"/>
      <c r="Y16" s="198"/>
      <c r="Z16" s="198"/>
      <c r="AA16" s="198"/>
      <c r="AB16" s="198"/>
      <c r="AC16" s="198"/>
      <c r="AD16" s="198"/>
      <c r="AE16" s="198"/>
      <c r="AF16" s="198"/>
      <c r="AG16" s="198"/>
      <c r="AH16" s="198"/>
    </row>
    <row r="17" spans="2:44">
      <c r="B17" s="152" t="s">
        <v>174</v>
      </c>
      <c r="C17" s="200"/>
      <c r="D17" s="336">
        <v>65.92</v>
      </c>
      <c r="E17" s="336">
        <v>67.897599999999997</v>
      </c>
      <c r="F17" s="336">
        <v>67.749074000000007</v>
      </c>
      <c r="G17" s="336">
        <v>68.656037409999996</v>
      </c>
      <c r="H17" s="336">
        <v>68.397170383699986</v>
      </c>
      <c r="I17" s="336">
        <v>69.255033198682</v>
      </c>
      <c r="J17" s="336">
        <v>70.10281032921759</v>
      </c>
      <c r="K17" s="336">
        <v>70.939124557706492</v>
      </c>
      <c r="L17" s="336">
        <v>73.067298294437691</v>
      </c>
      <c r="M17" s="336">
        <v>73.915400863926692</v>
      </c>
      <c r="N17" s="336">
        <v>76.132862889844503</v>
      </c>
      <c r="O17" s="336">
        <v>76.991087889693645</v>
      </c>
      <c r="P17" s="336">
        <v>79.300820526384456</v>
      </c>
      <c r="Q17" s="336">
        <v>80.167255417320888</v>
      </c>
      <c r="R17" s="336">
        <v>81.014305663239753</v>
      </c>
      <c r="S17" s="336">
        <v>81.840028394038143</v>
      </c>
      <c r="T17" s="336">
        <v>82.642381613587531</v>
      </c>
      <c r="U17" s="336">
        <v>83.41922000075526</v>
      </c>
      <c r="V17" s="336">
        <v>84.168290547700821</v>
      </c>
      <c r="W17" s="336">
        <v>84.88722802946242</v>
      </c>
      <c r="X17" s="336">
        <v>85.573550298636789</v>
      </c>
      <c r="Y17" s="336">
        <v>86.224653398735114</v>
      </c>
      <c r="Z17" s="336">
        <v>86.875756498833397</v>
      </c>
      <c r="AA17" s="336">
        <v>87.526859598931793</v>
      </c>
      <c r="AB17" s="336">
        <v>88.177962699030104</v>
      </c>
      <c r="AC17" s="336">
        <v>88.829065799128401</v>
      </c>
      <c r="AD17" s="336">
        <v>89.480168899226697</v>
      </c>
      <c r="AE17" s="336">
        <v>90.131271999325094</v>
      </c>
      <c r="AF17" s="336">
        <v>90.782375099423405</v>
      </c>
      <c r="AG17" s="336">
        <v>91.433478199521701</v>
      </c>
      <c r="AH17" s="336">
        <v>92.084581299619998</v>
      </c>
    </row>
    <row r="18" spans="2:44">
      <c r="B18" s="152" t="s">
        <v>175</v>
      </c>
      <c r="C18" s="152"/>
      <c r="D18" s="336">
        <v>52.53</v>
      </c>
      <c r="E18" s="336">
        <v>54.105899999999998</v>
      </c>
      <c r="F18" s="336">
        <v>56.821804</v>
      </c>
      <c r="G18" s="336">
        <v>58.526458119999994</v>
      </c>
      <c r="H18" s="336">
        <v>60.282251863599996</v>
      </c>
      <c r="I18" s="336">
        <v>62.090719419507991</v>
      </c>
      <c r="J18" s="336">
        <v>63.953441002093243</v>
      </c>
      <c r="K18" s="336">
        <v>63.338504069380789</v>
      </c>
      <c r="L18" s="336">
        <v>62.629112823803737</v>
      </c>
      <c r="M18" s="336">
        <v>60.476237070485482</v>
      </c>
      <c r="N18" s="336">
        <v>59.522056441151157</v>
      </c>
      <c r="O18" s="336">
        <v>58.456196360693326</v>
      </c>
      <c r="P18" s="336">
        <v>58.741348538062553</v>
      </c>
      <c r="Q18" s="336">
        <v>58.990999269349331</v>
      </c>
      <c r="R18" s="336">
        <v>57.644794414228286</v>
      </c>
      <c r="S18" s="336">
        <v>57.769431807556337</v>
      </c>
      <c r="T18" s="336">
        <v>57.849667129511275</v>
      </c>
      <c r="U18" s="336">
        <v>59.585157143396614</v>
      </c>
      <c r="V18" s="336">
        <v>61.372711857698505</v>
      </c>
      <c r="W18" s="336">
        <v>61.407781978760056</v>
      </c>
      <c r="X18" s="336">
        <v>63.250015438122844</v>
      </c>
      <c r="Y18" s="336">
        <v>65.14751590126653</v>
      </c>
      <c r="Z18" s="336">
        <v>67.045016364410202</v>
      </c>
      <c r="AA18" s="336">
        <v>68.942516827553902</v>
      </c>
      <c r="AB18" s="336">
        <v>70.840017290697602</v>
      </c>
      <c r="AC18" s="336">
        <v>72.737517753841303</v>
      </c>
      <c r="AD18" s="336">
        <v>74.635018216984903</v>
      </c>
      <c r="AE18" s="336">
        <v>76.532518680128604</v>
      </c>
      <c r="AF18" s="336">
        <v>78.430019143272304</v>
      </c>
      <c r="AG18" s="336">
        <v>80.327519606416004</v>
      </c>
      <c r="AH18" s="336">
        <v>82.225020069559704</v>
      </c>
    </row>
    <row r="19" spans="2:44">
      <c r="B19" s="152"/>
      <c r="C19" s="152"/>
      <c r="D19" s="195"/>
      <c r="E19" s="195"/>
      <c r="F19" s="195"/>
      <c r="G19" s="195"/>
      <c r="H19" s="195"/>
      <c r="I19" s="195"/>
      <c r="J19" s="195"/>
      <c r="K19" s="195"/>
      <c r="L19" s="195"/>
      <c r="M19" s="195"/>
      <c r="N19" s="195"/>
      <c r="O19" s="195"/>
      <c r="P19" s="195"/>
      <c r="Q19" s="195"/>
      <c r="R19" s="195"/>
      <c r="S19" s="195"/>
      <c r="T19" s="195"/>
      <c r="U19" s="195"/>
      <c r="V19" s="195"/>
      <c r="W19" s="195"/>
      <c r="X19" s="195"/>
      <c r="Y19" s="195"/>
      <c r="Z19" s="195"/>
      <c r="AA19" s="195"/>
      <c r="AB19" s="195"/>
      <c r="AC19" s="195"/>
      <c r="AD19" s="195"/>
      <c r="AE19" s="195"/>
      <c r="AF19" s="195"/>
      <c r="AG19" s="195"/>
      <c r="AH19" s="195"/>
    </row>
    <row r="20" spans="2:44">
      <c r="B20" s="152" t="s">
        <v>177</v>
      </c>
      <c r="C20" s="152">
        <v>1</v>
      </c>
      <c r="D20" s="201">
        <f>D17/12</f>
        <v>5.4933333333333332</v>
      </c>
      <c r="E20" s="201">
        <f t="shared" ref="E20:X20" si="4">E17/12</f>
        <v>5.6581333333333328</v>
      </c>
      <c r="F20" s="201">
        <f t="shared" si="4"/>
        <v>5.6457561666666676</v>
      </c>
      <c r="G20" s="201">
        <f t="shared" si="4"/>
        <v>5.7213364508333333</v>
      </c>
      <c r="H20" s="201">
        <f t="shared" si="4"/>
        <v>5.6997641986416658</v>
      </c>
      <c r="I20" s="201">
        <f t="shared" si="4"/>
        <v>5.7712527665568336</v>
      </c>
      <c r="J20" s="201">
        <f t="shared" si="4"/>
        <v>5.8419008607681322</v>
      </c>
      <c r="K20" s="201">
        <f t="shared" si="4"/>
        <v>5.9115937131422074</v>
      </c>
      <c r="L20" s="201">
        <f t="shared" si="4"/>
        <v>6.088941524536474</v>
      </c>
      <c r="M20" s="201">
        <f t="shared" si="4"/>
        <v>6.1596167386605574</v>
      </c>
      <c r="N20" s="201">
        <f t="shared" si="4"/>
        <v>6.3444052408203753</v>
      </c>
      <c r="O20" s="201">
        <f t="shared" si="4"/>
        <v>6.4159239908078041</v>
      </c>
      <c r="P20" s="201">
        <f t="shared" si="4"/>
        <v>6.6084017105320383</v>
      </c>
      <c r="Q20" s="201">
        <f t="shared" si="4"/>
        <v>6.680604618110074</v>
      </c>
      <c r="R20" s="201">
        <f t="shared" si="4"/>
        <v>6.7511921386033125</v>
      </c>
      <c r="S20" s="201">
        <f t="shared" si="4"/>
        <v>6.8200023661698452</v>
      </c>
      <c r="T20" s="201">
        <f t="shared" si="4"/>
        <v>6.8868651344656273</v>
      </c>
      <c r="U20" s="201">
        <f t="shared" si="4"/>
        <v>6.951601666729605</v>
      </c>
      <c r="V20" s="201">
        <f t="shared" si="4"/>
        <v>7.014024212308402</v>
      </c>
      <c r="W20" s="201">
        <f t="shared" si="4"/>
        <v>7.0739356691218687</v>
      </c>
      <c r="X20" s="201">
        <f t="shared" si="4"/>
        <v>7.1311291915530655</v>
      </c>
      <c r="Y20" s="201">
        <f>Y17/12</f>
        <v>7.1853877832279265</v>
      </c>
      <c r="Z20" s="201">
        <f t="shared" ref="Z20:AG20" si="5">Z17/12</f>
        <v>7.2396463749027831</v>
      </c>
      <c r="AA20" s="201">
        <f t="shared" si="5"/>
        <v>7.2939049665776494</v>
      </c>
      <c r="AB20" s="201">
        <f t="shared" si="5"/>
        <v>7.3481635582525087</v>
      </c>
      <c r="AC20" s="201">
        <f t="shared" si="5"/>
        <v>7.402422149927367</v>
      </c>
      <c r="AD20" s="201">
        <f t="shared" si="5"/>
        <v>7.4566807416022245</v>
      </c>
      <c r="AE20" s="201">
        <f t="shared" si="5"/>
        <v>7.5109393332770908</v>
      </c>
      <c r="AF20" s="201">
        <f t="shared" si="5"/>
        <v>7.5651979249519501</v>
      </c>
      <c r="AG20" s="201">
        <f t="shared" si="5"/>
        <v>7.6194565166268085</v>
      </c>
      <c r="AH20" s="201">
        <f>AH17/12</f>
        <v>7.6737151083016668</v>
      </c>
    </row>
    <row r="21" spans="2:44">
      <c r="B21" s="152" t="s">
        <v>178</v>
      </c>
      <c r="C21" s="152">
        <v>2</v>
      </c>
      <c r="D21" s="201">
        <f>D18/12</f>
        <v>4.3775000000000004</v>
      </c>
      <c r="E21" s="201">
        <f t="shared" ref="E21:X21" si="6">E18/12</f>
        <v>4.5088249999999999</v>
      </c>
      <c r="F21" s="201">
        <f t="shared" si="6"/>
        <v>4.7351503333333334</v>
      </c>
      <c r="G21" s="201">
        <f t="shared" si="6"/>
        <v>4.8772048433333328</v>
      </c>
      <c r="H21" s="201">
        <f t="shared" si="6"/>
        <v>5.023520988633333</v>
      </c>
      <c r="I21" s="201">
        <f t="shared" si="6"/>
        <v>5.1742266182923329</v>
      </c>
      <c r="J21" s="201">
        <f t="shared" si="6"/>
        <v>5.3294534168411039</v>
      </c>
      <c r="K21" s="201">
        <f t="shared" si="6"/>
        <v>5.2782086724483994</v>
      </c>
      <c r="L21" s="201">
        <f t="shared" si="6"/>
        <v>5.2190927353169778</v>
      </c>
      <c r="M21" s="201">
        <f t="shared" si="6"/>
        <v>5.0396864225404565</v>
      </c>
      <c r="N21" s="201">
        <f t="shared" si="6"/>
        <v>4.9601713700959298</v>
      </c>
      <c r="O21" s="201">
        <f t="shared" si="6"/>
        <v>4.8713496967244438</v>
      </c>
      <c r="P21" s="201">
        <f t="shared" si="6"/>
        <v>4.8951123781718797</v>
      </c>
      <c r="Q21" s="201">
        <f t="shared" si="6"/>
        <v>4.9159166057791106</v>
      </c>
      <c r="R21" s="201">
        <f t="shared" si="6"/>
        <v>4.8037328678523572</v>
      </c>
      <c r="S21" s="201">
        <f t="shared" si="6"/>
        <v>4.8141193172963614</v>
      </c>
      <c r="T21" s="201">
        <f t="shared" si="6"/>
        <v>4.8208055941259396</v>
      </c>
      <c r="U21" s="201">
        <f t="shared" si="6"/>
        <v>4.9654297619497179</v>
      </c>
      <c r="V21" s="201">
        <f t="shared" si="6"/>
        <v>5.114392654808209</v>
      </c>
      <c r="W21" s="201">
        <f t="shared" si="6"/>
        <v>5.117315164896671</v>
      </c>
      <c r="X21" s="201">
        <f t="shared" si="6"/>
        <v>5.27083461984357</v>
      </c>
      <c r="Y21" s="201">
        <f>Y18/12</f>
        <v>5.4289596584388775</v>
      </c>
      <c r="Z21" s="201">
        <f t="shared" ref="Z21:AG21" si="7">Z18/12</f>
        <v>5.5870846970341832</v>
      </c>
      <c r="AA21" s="201">
        <f t="shared" si="7"/>
        <v>5.7452097356294916</v>
      </c>
      <c r="AB21" s="201">
        <f t="shared" si="7"/>
        <v>5.9033347742247999</v>
      </c>
      <c r="AC21" s="201">
        <f t="shared" si="7"/>
        <v>6.0614598128201083</v>
      </c>
      <c r="AD21" s="201">
        <f t="shared" si="7"/>
        <v>6.2195848514154086</v>
      </c>
      <c r="AE21" s="201">
        <f t="shared" si="7"/>
        <v>6.377709890010717</v>
      </c>
      <c r="AF21" s="201">
        <f t="shared" si="7"/>
        <v>6.5358349286060253</v>
      </c>
      <c r="AG21" s="201">
        <f t="shared" si="7"/>
        <v>6.6939599672013337</v>
      </c>
      <c r="AH21" s="201">
        <f>AH18/12</f>
        <v>6.852085005796642</v>
      </c>
    </row>
    <row r="22" spans="2:44">
      <c r="B22" s="152" t="s">
        <v>180</v>
      </c>
      <c r="C22" s="152">
        <v>3</v>
      </c>
      <c r="D22" s="336">
        <v>0</v>
      </c>
      <c r="E22" s="336">
        <v>0</v>
      </c>
      <c r="F22" s="336">
        <v>0</v>
      </c>
      <c r="G22" s="336">
        <v>0</v>
      </c>
      <c r="H22" s="336">
        <v>0</v>
      </c>
      <c r="I22" s="336">
        <v>0</v>
      </c>
      <c r="J22" s="336">
        <v>0</v>
      </c>
      <c r="K22" s="336">
        <v>0</v>
      </c>
      <c r="L22" s="336">
        <v>0</v>
      </c>
      <c r="M22" s="336">
        <v>0</v>
      </c>
      <c r="N22" s="336">
        <v>0</v>
      </c>
      <c r="O22" s="336">
        <v>0</v>
      </c>
      <c r="P22" s="336">
        <v>0</v>
      </c>
      <c r="Q22" s="336">
        <v>0</v>
      </c>
      <c r="R22" s="336">
        <v>0</v>
      </c>
      <c r="S22" s="336">
        <v>0</v>
      </c>
      <c r="T22" s="336">
        <v>0</v>
      </c>
      <c r="U22" s="336">
        <v>0</v>
      </c>
      <c r="V22" s="336">
        <v>0</v>
      </c>
      <c r="W22" s="336">
        <v>0</v>
      </c>
      <c r="X22" s="336">
        <v>0</v>
      </c>
      <c r="Y22" s="336">
        <v>0</v>
      </c>
      <c r="Z22" s="336">
        <v>0</v>
      </c>
      <c r="AA22" s="336">
        <v>0</v>
      </c>
      <c r="AB22" s="336">
        <v>0</v>
      </c>
      <c r="AC22" s="336">
        <v>0</v>
      </c>
      <c r="AD22" s="336">
        <v>0</v>
      </c>
      <c r="AE22" s="336">
        <v>0</v>
      </c>
      <c r="AF22" s="336">
        <v>0</v>
      </c>
      <c r="AG22" s="336">
        <v>0</v>
      </c>
      <c r="AH22" s="336">
        <v>0</v>
      </c>
      <c r="AI22" s="201"/>
      <c r="AJ22" s="201"/>
      <c r="AK22" s="201"/>
      <c r="AL22" s="201"/>
      <c r="AM22" s="201"/>
      <c r="AN22" s="201"/>
      <c r="AO22" s="201"/>
      <c r="AP22" s="201"/>
      <c r="AQ22" s="201"/>
      <c r="AR22" s="201"/>
    </row>
    <row r="23" spans="2:44">
      <c r="B23" s="152" t="s">
        <v>72</v>
      </c>
      <c r="C23" s="152">
        <v>4</v>
      </c>
      <c r="D23" s="336">
        <v>4</v>
      </c>
      <c r="E23" s="336">
        <v>4</v>
      </c>
      <c r="F23" s="336">
        <v>4</v>
      </c>
      <c r="G23" s="336">
        <v>4</v>
      </c>
      <c r="H23" s="336">
        <v>4</v>
      </c>
      <c r="I23" s="336">
        <v>4</v>
      </c>
      <c r="J23" s="336">
        <v>4</v>
      </c>
      <c r="K23" s="336">
        <v>4</v>
      </c>
      <c r="L23" s="336">
        <v>4</v>
      </c>
      <c r="M23" s="336">
        <v>4</v>
      </c>
      <c r="N23" s="336">
        <v>4</v>
      </c>
      <c r="O23" s="336">
        <v>4</v>
      </c>
      <c r="P23" s="336">
        <v>4</v>
      </c>
      <c r="Q23" s="336">
        <v>4</v>
      </c>
      <c r="R23" s="336">
        <v>4</v>
      </c>
      <c r="S23" s="336">
        <v>4</v>
      </c>
      <c r="T23" s="336">
        <v>4</v>
      </c>
      <c r="U23" s="336">
        <v>4</v>
      </c>
      <c r="V23" s="336">
        <v>4</v>
      </c>
      <c r="W23" s="336">
        <v>4</v>
      </c>
      <c r="X23" s="336">
        <v>4</v>
      </c>
      <c r="Y23" s="336">
        <v>4</v>
      </c>
      <c r="Z23" s="336">
        <v>4</v>
      </c>
      <c r="AA23" s="336">
        <v>4</v>
      </c>
      <c r="AB23" s="336">
        <v>4</v>
      </c>
      <c r="AC23" s="336">
        <v>4</v>
      </c>
      <c r="AD23" s="336">
        <v>4</v>
      </c>
      <c r="AE23" s="336">
        <v>4</v>
      </c>
      <c r="AF23" s="336">
        <v>4</v>
      </c>
      <c r="AG23" s="336">
        <v>4</v>
      </c>
      <c r="AH23" s="336">
        <v>4</v>
      </c>
    </row>
    <row r="24" spans="2:44">
      <c r="B24" s="152"/>
      <c r="C24" s="152"/>
      <c r="D24" s="201"/>
      <c r="E24" s="201"/>
      <c r="F24" s="201"/>
      <c r="G24" s="201"/>
      <c r="H24" s="201"/>
      <c r="I24" s="201"/>
      <c r="J24" s="201"/>
      <c r="K24" s="201"/>
      <c r="L24" s="201"/>
      <c r="M24" s="201"/>
      <c r="N24" s="201"/>
      <c r="O24" s="201"/>
      <c r="P24" s="201"/>
      <c r="Q24" s="201"/>
      <c r="R24" s="201"/>
      <c r="S24" s="201"/>
      <c r="T24" s="201"/>
      <c r="U24" s="201"/>
      <c r="V24" s="201"/>
      <c r="W24" s="201"/>
      <c r="X24" s="201"/>
      <c r="Y24" s="201"/>
      <c r="Z24" s="201"/>
      <c r="AA24" s="201"/>
      <c r="AB24" s="201"/>
      <c r="AC24" s="201"/>
      <c r="AD24" s="201"/>
      <c r="AE24" s="201"/>
      <c r="AF24" s="201"/>
      <c r="AG24" s="201"/>
      <c r="AH24" s="201"/>
    </row>
    <row r="25" spans="2:44">
      <c r="B25" s="202" t="s">
        <v>250</v>
      </c>
      <c r="C25" s="203"/>
      <c r="D25" s="380">
        <f t="shared" ref="D25:AH25" si="8">CHOOSE($B$26,D20,D21,D22,D23)</f>
        <v>5.4933333333333332</v>
      </c>
      <c r="E25" s="380">
        <f t="shared" si="8"/>
        <v>5.6581333333333328</v>
      </c>
      <c r="F25" s="380">
        <f t="shared" si="8"/>
        <v>5.6457561666666676</v>
      </c>
      <c r="G25" s="380">
        <f t="shared" si="8"/>
        <v>5.7213364508333333</v>
      </c>
      <c r="H25" s="380">
        <f t="shared" si="8"/>
        <v>5.6997641986416658</v>
      </c>
      <c r="I25" s="380">
        <f t="shared" si="8"/>
        <v>5.7712527665568336</v>
      </c>
      <c r="J25" s="380">
        <f t="shared" si="8"/>
        <v>5.8419008607681322</v>
      </c>
      <c r="K25" s="380">
        <f t="shared" si="8"/>
        <v>5.9115937131422074</v>
      </c>
      <c r="L25" s="380">
        <f t="shared" si="8"/>
        <v>6.088941524536474</v>
      </c>
      <c r="M25" s="380">
        <f t="shared" si="8"/>
        <v>6.1596167386605574</v>
      </c>
      <c r="N25" s="380">
        <f t="shared" si="8"/>
        <v>6.3444052408203753</v>
      </c>
      <c r="O25" s="380">
        <f t="shared" si="8"/>
        <v>6.4159239908078041</v>
      </c>
      <c r="P25" s="380">
        <f t="shared" si="8"/>
        <v>6.6084017105320383</v>
      </c>
      <c r="Q25" s="380">
        <f t="shared" si="8"/>
        <v>6.680604618110074</v>
      </c>
      <c r="R25" s="380">
        <f t="shared" si="8"/>
        <v>6.7511921386033125</v>
      </c>
      <c r="S25" s="380">
        <f t="shared" si="8"/>
        <v>6.8200023661698452</v>
      </c>
      <c r="T25" s="380">
        <f t="shared" si="8"/>
        <v>6.8868651344656273</v>
      </c>
      <c r="U25" s="380">
        <f t="shared" si="8"/>
        <v>6.951601666729605</v>
      </c>
      <c r="V25" s="380">
        <f t="shared" si="8"/>
        <v>7.014024212308402</v>
      </c>
      <c r="W25" s="380">
        <f t="shared" si="8"/>
        <v>7.0739356691218687</v>
      </c>
      <c r="X25" s="380">
        <f t="shared" si="8"/>
        <v>7.1311291915530655</v>
      </c>
      <c r="Y25" s="380">
        <f t="shared" si="8"/>
        <v>7.1853877832279265</v>
      </c>
      <c r="Z25" s="380">
        <f t="shared" si="8"/>
        <v>7.2396463749027831</v>
      </c>
      <c r="AA25" s="380">
        <f t="shared" si="8"/>
        <v>7.2939049665776494</v>
      </c>
      <c r="AB25" s="380">
        <f t="shared" si="8"/>
        <v>7.3481635582525087</v>
      </c>
      <c r="AC25" s="380">
        <f t="shared" si="8"/>
        <v>7.402422149927367</v>
      </c>
      <c r="AD25" s="380">
        <f t="shared" si="8"/>
        <v>7.4566807416022245</v>
      </c>
      <c r="AE25" s="380">
        <f t="shared" si="8"/>
        <v>7.5109393332770908</v>
      </c>
      <c r="AF25" s="380">
        <f t="shared" si="8"/>
        <v>7.5651979249519501</v>
      </c>
      <c r="AG25" s="380">
        <f t="shared" si="8"/>
        <v>7.6194565166268085</v>
      </c>
      <c r="AH25" s="380">
        <f t="shared" si="8"/>
        <v>7.6737151083016668</v>
      </c>
    </row>
    <row r="26" spans="2:44">
      <c r="B26" s="223">
        <v>1</v>
      </c>
      <c r="C26" s="203"/>
      <c r="D26" s="204"/>
      <c r="E26" s="204"/>
      <c r="F26" s="204"/>
      <c r="G26" s="204"/>
      <c r="H26" s="204"/>
      <c r="I26" s="204"/>
      <c r="J26" s="204"/>
      <c r="K26" s="204"/>
      <c r="L26" s="204"/>
      <c r="M26" s="204"/>
      <c r="N26" s="204"/>
      <c r="O26" s="204"/>
      <c r="P26" s="204"/>
      <c r="Q26" s="204"/>
      <c r="R26" s="204"/>
      <c r="S26" s="204"/>
      <c r="T26" s="204"/>
      <c r="U26" s="204"/>
      <c r="V26" s="204"/>
      <c r="W26" s="204"/>
      <c r="X26" s="204"/>
      <c r="Y26" s="199"/>
      <c r="Z26" s="205"/>
      <c r="AA26" s="205"/>
    </row>
    <row r="27" spans="2:44">
      <c r="B27" s="152"/>
      <c r="C27" s="203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2:44">
      <c r="B28" s="152"/>
      <c r="C28" s="203"/>
      <c r="D28" s="206"/>
      <c r="E28" s="206"/>
      <c r="F28" s="206"/>
      <c r="G28" s="206"/>
      <c r="H28" s="206"/>
      <c r="I28" s="206"/>
      <c r="J28" s="206"/>
      <c r="K28" s="206"/>
      <c r="L28" s="206"/>
      <c r="M28" s="206"/>
      <c r="N28" s="206"/>
      <c r="O28" s="206"/>
      <c r="P28" s="206"/>
      <c r="Q28" s="206"/>
      <c r="R28" s="206"/>
      <c r="S28" s="206"/>
      <c r="T28" s="206"/>
      <c r="U28" s="206"/>
      <c r="V28" s="206"/>
      <c r="W28" s="206"/>
      <c r="X28" s="206"/>
    </row>
    <row r="29" spans="2:44">
      <c r="B29" s="152"/>
      <c r="C29" s="152"/>
      <c r="D29" s="152"/>
      <c r="E29" s="152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152"/>
      <c r="R29" s="152"/>
      <c r="S29" s="152"/>
      <c r="T29" s="152"/>
      <c r="U29" s="152"/>
      <c r="V29" s="152"/>
      <c r="W29" s="152"/>
      <c r="X29" s="152"/>
    </row>
    <row r="30" spans="2:44">
      <c r="B30" s="152"/>
      <c r="C30" s="152"/>
      <c r="D30" s="152"/>
      <c r="E30" s="152"/>
      <c r="F30" s="152"/>
      <c r="G30" s="152"/>
      <c r="H30" s="152"/>
      <c r="I30" s="152"/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152"/>
      <c r="U30" s="152"/>
      <c r="V30" s="152"/>
      <c r="W30" s="152"/>
      <c r="X30" s="152"/>
    </row>
    <row r="31" spans="2:44" ht="18.75">
      <c r="B31" s="293" t="s">
        <v>384</v>
      </c>
      <c r="C31" s="586"/>
      <c r="D31" s="587">
        <f>([3]Assumptions!J17/12)</f>
        <v>0.66849315068493154</v>
      </c>
      <c r="E31" s="587">
        <f>D31+1</f>
        <v>1.6684931506849314</v>
      </c>
      <c r="F31" s="587">
        <f t="shared" ref="F31:AH32" si="9">E31+1</f>
        <v>2.6684931506849314</v>
      </c>
      <c r="G31" s="587">
        <f t="shared" si="9"/>
        <v>3.6684931506849314</v>
      </c>
      <c r="H31" s="587">
        <f t="shared" si="9"/>
        <v>4.668493150684931</v>
      </c>
      <c r="I31" s="587">
        <f t="shared" si="9"/>
        <v>5.668493150684931</v>
      </c>
      <c r="J31" s="587">
        <f t="shared" si="9"/>
        <v>6.668493150684931</v>
      </c>
      <c r="K31" s="587">
        <f t="shared" si="9"/>
        <v>7.668493150684931</v>
      </c>
      <c r="L31" s="587">
        <f t="shared" si="9"/>
        <v>8.668493150684931</v>
      </c>
      <c r="M31" s="587">
        <f t="shared" si="9"/>
        <v>9.668493150684931</v>
      </c>
      <c r="N31" s="587">
        <f t="shared" si="9"/>
        <v>10.668493150684931</v>
      </c>
      <c r="O31" s="587">
        <f t="shared" si="9"/>
        <v>11.668493150684931</v>
      </c>
      <c r="P31" s="587">
        <f t="shared" si="9"/>
        <v>12.668493150684931</v>
      </c>
      <c r="Q31" s="587">
        <f t="shared" si="9"/>
        <v>13.668493150684931</v>
      </c>
      <c r="R31" s="587">
        <f t="shared" si="9"/>
        <v>14.668493150684931</v>
      </c>
      <c r="S31" s="587">
        <f t="shared" si="9"/>
        <v>15.668493150684931</v>
      </c>
      <c r="T31" s="587">
        <f t="shared" si="9"/>
        <v>16.668493150684931</v>
      </c>
      <c r="U31" s="587">
        <f t="shared" si="9"/>
        <v>17.668493150684931</v>
      </c>
      <c r="V31" s="587">
        <f t="shared" si="9"/>
        <v>18.668493150684931</v>
      </c>
      <c r="W31" s="587">
        <f t="shared" si="9"/>
        <v>19.668493150684931</v>
      </c>
      <c r="X31" s="587">
        <f t="shared" si="9"/>
        <v>20.668493150684931</v>
      </c>
      <c r="Y31" s="587">
        <f t="shared" si="9"/>
        <v>21.668493150684931</v>
      </c>
      <c r="Z31" s="587">
        <f t="shared" si="9"/>
        <v>22.668493150684931</v>
      </c>
      <c r="AA31" s="587">
        <f t="shared" si="9"/>
        <v>23.668493150684931</v>
      </c>
      <c r="AB31" s="587">
        <f t="shared" si="9"/>
        <v>24.668493150684931</v>
      </c>
      <c r="AC31" s="587">
        <f t="shared" si="9"/>
        <v>25.668493150684931</v>
      </c>
      <c r="AD31" s="587">
        <f t="shared" si="9"/>
        <v>26.668493150684931</v>
      </c>
      <c r="AE31" s="587">
        <f t="shared" si="9"/>
        <v>27.668493150684931</v>
      </c>
      <c r="AF31" s="587">
        <f t="shared" si="9"/>
        <v>28.668493150684931</v>
      </c>
      <c r="AG31" s="587">
        <f t="shared" si="9"/>
        <v>29.668493150684931</v>
      </c>
      <c r="AH31" s="587">
        <f t="shared" si="9"/>
        <v>30.668493150684931</v>
      </c>
    </row>
    <row r="32" spans="2:44">
      <c r="B32" s="152"/>
      <c r="C32" s="152"/>
      <c r="D32" s="196">
        <f>D10</f>
        <v>2002</v>
      </c>
      <c r="E32" s="196">
        <f t="shared" ref="E32:X32" si="10">D32+1</f>
        <v>2003</v>
      </c>
      <c r="F32" s="196">
        <f t="shared" si="10"/>
        <v>2004</v>
      </c>
      <c r="G32" s="196">
        <f t="shared" si="10"/>
        <v>2005</v>
      </c>
      <c r="H32" s="196">
        <f t="shared" si="10"/>
        <v>2006</v>
      </c>
      <c r="I32" s="196">
        <f t="shared" si="10"/>
        <v>2007</v>
      </c>
      <c r="J32" s="196">
        <f t="shared" si="10"/>
        <v>2008</v>
      </c>
      <c r="K32" s="196">
        <f t="shared" si="10"/>
        <v>2009</v>
      </c>
      <c r="L32" s="196">
        <f t="shared" si="10"/>
        <v>2010</v>
      </c>
      <c r="M32" s="196">
        <f t="shared" si="10"/>
        <v>2011</v>
      </c>
      <c r="N32" s="196">
        <f t="shared" si="10"/>
        <v>2012</v>
      </c>
      <c r="O32" s="196">
        <f t="shared" si="10"/>
        <v>2013</v>
      </c>
      <c r="P32" s="196">
        <f t="shared" si="10"/>
        <v>2014</v>
      </c>
      <c r="Q32" s="196">
        <f t="shared" si="10"/>
        <v>2015</v>
      </c>
      <c r="R32" s="196">
        <f t="shared" si="10"/>
        <v>2016</v>
      </c>
      <c r="S32" s="196">
        <f t="shared" si="10"/>
        <v>2017</v>
      </c>
      <c r="T32" s="196">
        <f t="shared" si="10"/>
        <v>2018</v>
      </c>
      <c r="U32" s="196">
        <f t="shared" si="10"/>
        <v>2019</v>
      </c>
      <c r="V32" s="196">
        <f t="shared" si="10"/>
        <v>2020</v>
      </c>
      <c r="W32" s="196">
        <f t="shared" si="10"/>
        <v>2021</v>
      </c>
      <c r="X32" s="196">
        <f t="shared" si="10"/>
        <v>2022</v>
      </c>
      <c r="Y32" s="196">
        <f>X32+1</f>
        <v>2023</v>
      </c>
      <c r="Z32" s="196">
        <f t="shared" si="9"/>
        <v>2024</v>
      </c>
      <c r="AA32" s="196">
        <f t="shared" si="9"/>
        <v>2025</v>
      </c>
      <c r="AB32" s="196">
        <f t="shared" si="9"/>
        <v>2026</v>
      </c>
      <c r="AC32" s="196">
        <f t="shared" si="9"/>
        <v>2027</v>
      </c>
      <c r="AD32" s="196">
        <f t="shared" si="9"/>
        <v>2028</v>
      </c>
      <c r="AE32" s="196">
        <f t="shared" si="9"/>
        <v>2029</v>
      </c>
      <c r="AF32" s="196">
        <f t="shared" si="9"/>
        <v>2030</v>
      </c>
      <c r="AG32" s="196">
        <f t="shared" si="9"/>
        <v>2031</v>
      </c>
      <c r="AH32" s="196">
        <f t="shared" si="9"/>
        <v>2032</v>
      </c>
    </row>
    <row r="33" spans="1:34">
      <c r="B33" s="152"/>
      <c r="C33" s="152"/>
      <c r="D33" s="152"/>
      <c r="E33" s="152"/>
      <c r="F33" s="152"/>
      <c r="G33" s="152"/>
      <c r="H33" s="152"/>
      <c r="I33" s="152"/>
      <c r="J33" s="152"/>
      <c r="K33" s="152"/>
      <c r="L33" s="152"/>
      <c r="M33" s="152"/>
      <c r="N33" s="152"/>
      <c r="O33" s="152"/>
      <c r="P33" s="152"/>
      <c r="Q33" s="152"/>
      <c r="R33" s="152"/>
      <c r="S33" s="152"/>
      <c r="T33" s="152"/>
      <c r="U33" s="152"/>
      <c r="V33" s="152"/>
      <c r="W33" s="152"/>
      <c r="X33" s="152"/>
    </row>
    <row r="34" spans="1:34">
      <c r="B34" s="222" t="s">
        <v>385</v>
      </c>
      <c r="C34" s="152"/>
      <c r="D34" s="152"/>
      <c r="E34" s="152"/>
      <c r="F34" s="152"/>
      <c r="G34" s="152"/>
      <c r="H34" s="152"/>
      <c r="I34" s="152"/>
      <c r="J34" s="152"/>
      <c r="K34" s="152"/>
      <c r="L34" s="152"/>
      <c r="M34" s="152"/>
      <c r="N34" s="152"/>
      <c r="O34" s="152"/>
      <c r="P34" s="152"/>
      <c r="Q34" s="152"/>
      <c r="R34" s="152"/>
      <c r="S34" s="152"/>
      <c r="T34" s="152"/>
      <c r="U34" s="152"/>
      <c r="V34" s="152"/>
      <c r="W34" s="152"/>
      <c r="X34" s="152"/>
      <c r="Y34" s="152"/>
      <c r="Z34" s="152"/>
      <c r="AA34" s="152"/>
      <c r="AB34" s="152"/>
      <c r="AC34" s="152"/>
      <c r="AD34" s="152"/>
      <c r="AE34" s="152"/>
      <c r="AF34" s="152"/>
      <c r="AG34" s="152"/>
      <c r="AH34" s="152"/>
    </row>
    <row r="35" spans="1:34">
      <c r="A35" s="152">
        <v>1</v>
      </c>
      <c r="B35" s="152" t="s">
        <v>386</v>
      </c>
      <c r="C35" s="197"/>
      <c r="D35" s="336">
        <v>2.2000000000000002</v>
      </c>
      <c r="E35" s="336">
        <v>2.2000000000000002</v>
      </c>
      <c r="F35" s="336">
        <v>2.2000000000000002</v>
      </c>
      <c r="G35" s="336">
        <v>2.2000000000000002</v>
      </c>
      <c r="H35" s="336">
        <v>2.2000000000000002</v>
      </c>
      <c r="I35" s="336">
        <v>2.2000000000000002</v>
      </c>
      <c r="J35" s="336">
        <v>2.2000000000000002</v>
      </c>
      <c r="K35" s="336">
        <v>2.2000000000000002</v>
      </c>
      <c r="L35" s="336">
        <v>2.2000000000000002</v>
      </c>
      <c r="M35" s="336">
        <v>2.2000000000000002</v>
      </c>
      <c r="N35" s="336">
        <v>2.2000000000000002</v>
      </c>
      <c r="O35" s="336">
        <v>2.2000000000000002</v>
      </c>
      <c r="P35" s="336">
        <v>2.2000000000000002</v>
      </c>
      <c r="Q35" s="336">
        <v>2.2000000000000002</v>
      </c>
      <c r="R35" s="336">
        <v>2.2000000000000002</v>
      </c>
      <c r="S35" s="336">
        <v>2.2000000000000002</v>
      </c>
      <c r="T35" s="336">
        <v>2.2000000000000002</v>
      </c>
      <c r="U35" s="336">
        <v>2.2000000000000002</v>
      </c>
      <c r="V35" s="336">
        <v>2.2000000000000002</v>
      </c>
      <c r="W35" s="336">
        <v>2.2000000000000002</v>
      </c>
      <c r="X35" s="336">
        <v>2.2000000000000002</v>
      </c>
      <c r="Y35" s="336">
        <v>2.2000000000000002</v>
      </c>
      <c r="Z35" s="336">
        <v>2.2000000000000002</v>
      </c>
      <c r="AA35" s="336">
        <v>2.2000000000000002</v>
      </c>
      <c r="AB35" s="336">
        <v>2.2000000000000002</v>
      </c>
      <c r="AC35" s="336">
        <v>2.2000000000000002</v>
      </c>
      <c r="AD35" s="336">
        <v>2.2000000000000002</v>
      </c>
      <c r="AE35" s="336">
        <v>2.2000000000000002</v>
      </c>
      <c r="AF35" s="336">
        <v>2.2000000000000002</v>
      </c>
      <c r="AG35" s="336">
        <v>2.2000000000000002</v>
      </c>
      <c r="AH35" s="336">
        <v>2.2000000000000002</v>
      </c>
    </row>
    <row r="36" spans="1:34">
      <c r="A36" s="152">
        <v>2</v>
      </c>
      <c r="B36" s="152" t="s">
        <v>387</v>
      </c>
      <c r="C36" s="152"/>
      <c r="D36" s="336">
        <v>2</v>
      </c>
      <c r="E36" s="336">
        <v>2</v>
      </c>
      <c r="F36" s="336">
        <v>2</v>
      </c>
      <c r="G36" s="336">
        <v>2</v>
      </c>
      <c r="H36" s="336">
        <v>2</v>
      </c>
      <c r="I36" s="336">
        <v>2</v>
      </c>
      <c r="J36" s="336">
        <v>2</v>
      </c>
      <c r="K36" s="336">
        <v>2</v>
      </c>
      <c r="L36" s="336">
        <v>2</v>
      </c>
      <c r="M36" s="336">
        <v>2</v>
      </c>
      <c r="N36" s="336">
        <v>2</v>
      </c>
      <c r="O36" s="336">
        <v>2</v>
      </c>
      <c r="P36" s="336">
        <v>2</v>
      </c>
      <c r="Q36" s="336">
        <v>2</v>
      </c>
      <c r="R36" s="336">
        <v>2</v>
      </c>
      <c r="S36" s="336">
        <v>2</v>
      </c>
      <c r="T36" s="336">
        <v>2</v>
      </c>
      <c r="U36" s="336">
        <v>2</v>
      </c>
      <c r="V36" s="336">
        <v>2</v>
      </c>
      <c r="W36" s="336">
        <v>2</v>
      </c>
      <c r="X36" s="336">
        <v>2</v>
      </c>
      <c r="Y36" s="336">
        <v>2</v>
      </c>
      <c r="Z36" s="336">
        <v>2</v>
      </c>
      <c r="AA36" s="336">
        <v>2</v>
      </c>
      <c r="AB36" s="336">
        <v>2</v>
      </c>
      <c r="AC36" s="336">
        <v>2</v>
      </c>
      <c r="AD36" s="336">
        <v>2</v>
      </c>
      <c r="AE36" s="336">
        <v>2</v>
      </c>
      <c r="AF36" s="336">
        <v>2</v>
      </c>
      <c r="AG36" s="336">
        <v>2</v>
      </c>
      <c r="AH36" s="336">
        <v>2</v>
      </c>
    </row>
    <row r="37" spans="1:34">
      <c r="B37" s="152" t="s">
        <v>388</v>
      </c>
      <c r="C37" s="152"/>
      <c r="D37" s="588">
        <v>0</v>
      </c>
      <c r="E37" s="588">
        <v>0</v>
      </c>
      <c r="F37" s="588">
        <v>0</v>
      </c>
      <c r="G37" s="588">
        <v>0</v>
      </c>
      <c r="H37" s="588">
        <v>0</v>
      </c>
      <c r="I37" s="588">
        <v>0</v>
      </c>
      <c r="J37" s="588">
        <v>0</v>
      </c>
      <c r="K37" s="588">
        <v>0</v>
      </c>
      <c r="L37" s="588">
        <v>0</v>
      </c>
      <c r="M37" s="588">
        <v>0</v>
      </c>
      <c r="N37" s="588">
        <v>0</v>
      </c>
      <c r="O37" s="588">
        <v>0</v>
      </c>
      <c r="P37" s="588">
        <v>0</v>
      </c>
      <c r="Q37" s="588">
        <v>0</v>
      </c>
      <c r="R37" s="588">
        <v>0</v>
      </c>
      <c r="S37" s="588">
        <v>0</v>
      </c>
      <c r="T37" s="588">
        <v>0</v>
      </c>
      <c r="U37" s="588">
        <v>0</v>
      </c>
      <c r="V37" s="588">
        <v>0</v>
      </c>
      <c r="W37" s="588">
        <v>0</v>
      </c>
      <c r="X37" s="588">
        <v>0</v>
      </c>
      <c r="Y37" s="588">
        <v>0</v>
      </c>
      <c r="Z37" s="588">
        <v>0</v>
      </c>
      <c r="AA37" s="588">
        <v>0</v>
      </c>
      <c r="AB37" s="588">
        <v>0</v>
      </c>
      <c r="AC37" s="588">
        <v>0</v>
      </c>
      <c r="AD37" s="588">
        <v>0</v>
      </c>
      <c r="AE37" s="588">
        <v>0</v>
      </c>
      <c r="AF37" s="588">
        <v>0</v>
      </c>
      <c r="AG37" s="588">
        <v>0</v>
      </c>
      <c r="AH37" s="588">
        <v>0</v>
      </c>
    </row>
    <row r="38" spans="1:34">
      <c r="B38" s="152"/>
      <c r="C38" s="152"/>
    </row>
    <row r="39" spans="1:34">
      <c r="B39" s="202" t="s">
        <v>250</v>
      </c>
      <c r="C39" s="223">
        <v>2</v>
      </c>
      <c r="D39" s="380">
        <f t="shared" ref="D39:AH39" si="11">CHOOSE($C$39,D35+D37,D36+D37)</f>
        <v>2</v>
      </c>
      <c r="E39" s="380">
        <f t="shared" si="11"/>
        <v>2</v>
      </c>
      <c r="F39" s="380">
        <f t="shared" si="11"/>
        <v>2</v>
      </c>
      <c r="G39" s="380">
        <f t="shared" si="11"/>
        <v>2</v>
      </c>
      <c r="H39" s="380">
        <f t="shared" si="11"/>
        <v>2</v>
      </c>
      <c r="I39" s="380">
        <f t="shared" si="11"/>
        <v>2</v>
      </c>
      <c r="J39" s="380">
        <f t="shared" si="11"/>
        <v>2</v>
      </c>
      <c r="K39" s="380">
        <f t="shared" si="11"/>
        <v>2</v>
      </c>
      <c r="L39" s="380">
        <f t="shared" si="11"/>
        <v>2</v>
      </c>
      <c r="M39" s="380">
        <f t="shared" si="11"/>
        <v>2</v>
      </c>
      <c r="N39" s="380">
        <f t="shared" si="11"/>
        <v>2</v>
      </c>
      <c r="O39" s="380">
        <f t="shared" si="11"/>
        <v>2</v>
      </c>
      <c r="P39" s="380">
        <f t="shared" si="11"/>
        <v>2</v>
      </c>
      <c r="Q39" s="380">
        <f t="shared" si="11"/>
        <v>2</v>
      </c>
      <c r="R39" s="380">
        <f t="shared" si="11"/>
        <v>2</v>
      </c>
      <c r="S39" s="380">
        <f t="shared" si="11"/>
        <v>2</v>
      </c>
      <c r="T39" s="380">
        <f t="shared" si="11"/>
        <v>2</v>
      </c>
      <c r="U39" s="380">
        <f t="shared" si="11"/>
        <v>2</v>
      </c>
      <c r="V39" s="380">
        <f t="shared" si="11"/>
        <v>2</v>
      </c>
      <c r="W39" s="380">
        <f t="shared" si="11"/>
        <v>2</v>
      </c>
      <c r="X39" s="380">
        <f t="shared" si="11"/>
        <v>2</v>
      </c>
      <c r="Y39" s="380">
        <f t="shared" si="11"/>
        <v>2</v>
      </c>
      <c r="Z39" s="380">
        <f t="shared" si="11"/>
        <v>2</v>
      </c>
      <c r="AA39" s="380">
        <f t="shared" si="11"/>
        <v>2</v>
      </c>
      <c r="AB39" s="380">
        <f t="shared" si="11"/>
        <v>2</v>
      </c>
      <c r="AC39" s="380">
        <f t="shared" si="11"/>
        <v>2</v>
      </c>
      <c r="AD39" s="380">
        <f t="shared" si="11"/>
        <v>2</v>
      </c>
      <c r="AE39" s="380">
        <f t="shared" si="11"/>
        <v>2</v>
      </c>
      <c r="AF39" s="380">
        <f t="shared" si="11"/>
        <v>2</v>
      </c>
      <c r="AG39" s="380">
        <f t="shared" si="11"/>
        <v>2</v>
      </c>
      <c r="AH39" s="380">
        <f t="shared" si="11"/>
        <v>2</v>
      </c>
    </row>
  </sheetData>
  <pageMargins left="0.45" right="0.45" top="0.5" bottom="0.5" header="0.25" footer="0.25"/>
  <pageSetup scale="65" fitToWidth="2" orientation="landscape" r:id="rId1"/>
  <headerFooter alignWithMargins="0">
    <oddFooter xml:space="preserve">&amp;L&amp;T, &amp;D&amp;C&amp;F&amp;R&amp;P </oddFooter>
  </headerFooter>
  <colBreaks count="1" manualBreakCount="1">
    <brk id="1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AU74"/>
  <sheetViews>
    <sheetView topLeftCell="A19" zoomScale="75" zoomScaleNormal="75" workbookViewId="0">
      <selection activeCell="C19" sqref="C19"/>
    </sheetView>
  </sheetViews>
  <sheetFormatPr defaultRowHeight="12.75"/>
  <cols>
    <col min="1" max="1" width="34.42578125" customWidth="1"/>
    <col min="2" max="2" width="11.28515625" bestFit="1" customWidth="1"/>
    <col min="3" max="23" width="12.5703125" customWidth="1"/>
    <col min="24" max="24" width="13.28515625" bestFit="1" customWidth="1"/>
    <col min="25" max="26" width="13.28515625" style="137" customWidth="1"/>
    <col min="27" max="33" width="13.28515625" customWidth="1"/>
  </cols>
  <sheetData>
    <row r="2" spans="1:33" ht="18.75">
      <c r="A2" s="135" t="str">
        <f>Assumptions!A3</f>
        <v>PROJECT NAME: LINCOLN</v>
      </c>
    </row>
    <row r="4" spans="1:33" ht="18.75">
      <c r="A4" s="93" t="s">
        <v>192</v>
      </c>
      <c r="B4" s="8"/>
    </row>
    <row r="6" spans="1:33">
      <c r="C6" s="462">
        <f>'Power Price Assumption'!D9</f>
        <v>0.66666666666666663</v>
      </c>
      <c r="D6" s="462">
        <f>'Power Price Assumption'!E9</f>
        <v>1.6666666666666665</v>
      </c>
      <c r="E6" s="462">
        <f>'Power Price Assumption'!F9</f>
        <v>2.6666666666666665</v>
      </c>
      <c r="F6" s="462">
        <f>'Power Price Assumption'!G9</f>
        <v>3.6666666666666665</v>
      </c>
      <c r="G6" s="462">
        <f>'Power Price Assumption'!H9</f>
        <v>4.6666666666666661</v>
      </c>
      <c r="H6" s="462">
        <f>'Power Price Assumption'!I9</f>
        <v>5.6666666666666661</v>
      </c>
      <c r="I6" s="462">
        <f>'Power Price Assumption'!J9</f>
        <v>6.6666666666666661</v>
      </c>
      <c r="J6" s="462">
        <f>'Power Price Assumption'!K9</f>
        <v>7.6666666666666661</v>
      </c>
      <c r="K6" s="462">
        <f>'Power Price Assumption'!L9</f>
        <v>8.6666666666666661</v>
      </c>
      <c r="L6" s="462">
        <f>'Power Price Assumption'!M9</f>
        <v>9.6666666666666661</v>
      </c>
      <c r="M6" s="462">
        <f>'Power Price Assumption'!N9</f>
        <v>10.666666666666666</v>
      </c>
      <c r="N6" s="462">
        <f>'Power Price Assumption'!O9</f>
        <v>11.666666666666666</v>
      </c>
      <c r="O6" s="462">
        <f>'Power Price Assumption'!P9</f>
        <v>12.666666666666666</v>
      </c>
      <c r="P6" s="462">
        <f>'Power Price Assumption'!Q9</f>
        <v>13.666666666666666</v>
      </c>
      <c r="Q6" s="462">
        <f>'Power Price Assumption'!R9</f>
        <v>14.666666666666666</v>
      </c>
      <c r="R6" s="462">
        <f>'Power Price Assumption'!S9</f>
        <v>15.666666666666666</v>
      </c>
      <c r="S6" s="462">
        <f>'Power Price Assumption'!T9</f>
        <v>16.666666666666664</v>
      </c>
      <c r="T6" s="462">
        <f>'Power Price Assumption'!U9</f>
        <v>17.666666666666664</v>
      </c>
      <c r="U6" s="462">
        <f>'Power Price Assumption'!V9</f>
        <v>18.666666666666664</v>
      </c>
      <c r="V6" s="462">
        <f>'Power Price Assumption'!W9</f>
        <v>19.666666666666664</v>
      </c>
      <c r="W6" s="462">
        <f>'Power Price Assumption'!X9</f>
        <v>20.666666666666664</v>
      </c>
      <c r="X6" s="462">
        <f>'Power Price Assumption'!Y9</f>
        <v>21.666666666666664</v>
      </c>
      <c r="Y6" s="462">
        <f>'Power Price Assumption'!Z9</f>
        <v>22.666666666666664</v>
      </c>
      <c r="Z6" s="462">
        <f>'Power Price Assumption'!AA9</f>
        <v>23.666666666666664</v>
      </c>
      <c r="AA6" s="462">
        <f>'Power Price Assumption'!AB9</f>
        <v>24.666666666666664</v>
      </c>
      <c r="AB6" s="462">
        <f>'Power Price Assumption'!AC9</f>
        <v>25.666666666666664</v>
      </c>
      <c r="AC6" s="462">
        <f>'Power Price Assumption'!AD9</f>
        <v>26.666666666666664</v>
      </c>
      <c r="AD6" s="462">
        <f>'Power Price Assumption'!AE9</f>
        <v>27.666666666666664</v>
      </c>
      <c r="AE6" s="462">
        <f>'Power Price Assumption'!AF9</f>
        <v>28.666666666666664</v>
      </c>
      <c r="AF6" s="462">
        <f>'Power Price Assumption'!AG9</f>
        <v>29.666666666666664</v>
      </c>
      <c r="AG6" s="462">
        <f>'Power Price Assumption'!AH9</f>
        <v>30.666666666666664</v>
      </c>
    </row>
    <row r="7" spans="1:33" s="6" customFormat="1" ht="13.5" thickBot="1">
      <c r="A7" s="186" t="s">
        <v>73</v>
      </c>
      <c r="B7" s="7"/>
      <c r="C7" s="7">
        <f>'Power Price Assumption'!D10</f>
        <v>2002</v>
      </c>
      <c r="D7" s="7">
        <f>'Power Price Assumption'!E10</f>
        <v>2003</v>
      </c>
      <c r="E7" s="7">
        <f>'Power Price Assumption'!F10</f>
        <v>2004</v>
      </c>
      <c r="F7" s="7">
        <f>'Power Price Assumption'!G10</f>
        <v>2005</v>
      </c>
      <c r="G7" s="7">
        <f>'Power Price Assumption'!H10</f>
        <v>2006</v>
      </c>
      <c r="H7" s="7">
        <f>'Power Price Assumption'!I10</f>
        <v>2007</v>
      </c>
      <c r="I7" s="7">
        <f>'Power Price Assumption'!J10</f>
        <v>2008</v>
      </c>
      <c r="J7" s="7">
        <f>'Power Price Assumption'!K10</f>
        <v>2009</v>
      </c>
      <c r="K7" s="7">
        <f>'Power Price Assumption'!L10</f>
        <v>2010</v>
      </c>
      <c r="L7" s="7">
        <f>'Power Price Assumption'!M10</f>
        <v>2011</v>
      </c>
      <c r="M7" s="7">
        <f>'Power Price Assumption'!N10</f>
        <v>2012</v>
      </c>
      <c r="N7" s="7">
        <f>'Power Price Assumption'!O10</f>
        <v>2013</v>
      </c>
      <c r="O7" s="7">
        <f>'Power Price Assumption'!P10</f>
        <v>2014</v>
      </c>
      <c r="P7" s="7">
        <f>'Power Price Assumption'!Q10</f>
        <v>2015</v>
      </c>
      <c r="Q7" s="7">
        <f>'Power Price Assumption'!R10</f>
        <v>2016</v>
      </c>
      <c r="R7" s="7">
        <f>'Power Price Assumption'!S10</f>
        <v>2017</v>
      </c>
      <c r="S7" s="7">
        <f>'Power Price Assumption'!T10</f>
        <v>2018</v>
      </c>
      <c r="T7" s="7">
        <f>'Power Price Assumption'!U10</f>
        <v>2019</v>
      </c>
      <c r="U7" s="7">
        <f>'Power Price Assumption'!V10</f>
        <v>2020</v>
      </c>
      <c r="V7" s="7">
        <f>'Power Price Assumption'!W10</f>
        <v>2021</v>
      </c>
      <c r="W7" s="7">
        <f>'Power Price Assumption'!X10</f>
        <v>2022</v>
      </c>
      <c r="X7" s="7">
        <f>'Power Price Assumption'!Y10</f>
        <v>2023</v>
      </c>
      <c r="Y7" s="7">
        <f>'Power Price Assumption'!Z10</f>
        <v>2024</v>
      </c>
      <c r="Z7" s="7">
        <f>'Power Price Assumption'!AA10</f>
        <v>2025</v>
      </c>
      <c r="AA7" s="7">
        <f>'Power Price Assumption'!AB10</f>
        <v>2026</v>
      </c>
      <c r="AB7" s="7">
        <f>'Power Price Assumption'!AC10</f>
        <v>2027</v>
      </c>
      <c r="AC7" s="7">
        <f>'Power Price Assumption'!AD10</f>
        <v>2028</v>
      </c>
      <c r="AD7" s="7">
        <f>'Power Price Assumption'!AE10</f>
        <v>2029</v>
      </c>
      <c r="AE7" s="7">
        <f>'Power Price Assumption'!AF10</f>
        <v>2030</v>
      </c>
      <c r="AF7" s="7">
        <f>'Power Price Assumption'!AG10</f>
        <v>2031</v>
      </c>
      <c r="AG7" s="7">
        <f>'Power Price Assumption'!AH10</f>
        <v>2032</v>
      </c>
    </row>
    <row r="8" spans="1:33">
      <c r="A8" s="2"/>
      <c r="C8" s="464">
        <f>Assumptions!I18+365.25*Assumptions!I19/12</f>
        <v>37620.5</v>
      </c>
      <c r="D8" s="464">
        <f>C8+365.25</f>
        <v>37985.75</v>
      </c>
      <c r="E8" s="464">
        <f t="shared" ref="E8:X8" si="0">D8+365.25</f>
        <v>38351</v>
      </c>
      <c r="F8" s="464">
        <f t="shared" si="0"/>
        <v>38716.25</v>
      </c>
      <c r="G8" s="464">
        <f t="shared" si="0"/>
        <v>39081.5</v>
      </c>
      <c r="H8" s="464">
        <f t="shared" si="0"/>
        <v>39446.75</v>
      </c>
      <c r="I8" s="464">
        <f t="shared" si="0"/>
        <v>39812</v>
      </c>
      <c r="J8" s="464">
        <f t="shared" si="0"/>
        <v>40177.25</v>
      </c>
      <c r="K8" s="464">
        <f t="shared" si="0"/>
        <v>40542.5</v>
      </c>
      <c r="L8" s="464">
        <f t="shared" si="0"/>
        <v>40907.75</v>
      </c>
      <c r="M8" s="464">
        <f t="shared" si="0"/>
        <v>41273</v>
      </c>
      <c r="N8" s="464">
        <f t="shared" si="0"/>
        <v>41638.25</v>
      </c>
      <c r="O8" s="464">
        <f t="shared" si="0"/>
        <v>42003.5</v>
      </c>
      <c r="P8" s="464">
        <f t="shared" si="0"/>
        <v>42368.75</v>
      </c>
      <c r="Q8" s="464">
        <f t="shared" si="0"/>
        <v>42734</v>
      </c>
      <c r="R8" s="464">
        <f t="shared" si="0"/>
        <v>43099.25</v>
      </c>
      <c r="S8" s="464">
        <f t="shared" si="0"/>
        <v>43464.5</v>
      </c>
      <c r="T8" s="464">
        <f t="shared" si="0"/>
        <v>43829.75</v>
      </c>
      <c r="U8" s="464">
        <f t="shared" si="0"/>
        <v>44195</v>
      </c>
      <c r="V8" s="464">
        <f t="shared" si="0"/>
        <v>44560.25</v>
      </c>
      <c r="W8" s="464">
        <f t="shared" si="0"/>
        <v>44925.5</v>
      </c>
      <c r="X8" s="464">
        <f t="shared" si="0"/>
        <v>45290.75</v>
      </c>
      <c r="Y8" s="464">
        <f t="shared" ref="Y8:AG8" si="1">X8+365.25</f>
        <v>45656</v>
      </c>
      <c r="Z8" s="464">
        <f t="shared" si="1"/>
        <v>46021.25</v>
      </c>
      <c r="AA8" s="464">
        <f t="shared" si="1"/>
        <v>46386.5</v>
      </c>
      <c r="AB8" s="464">
        <f t="shared" si="1"/>
        <v>46751.75</v>
      </c>
      <c r="AC8" s="464">
        <f t="shared" si="1"/>
        <v>47117</v>
      </c>
      <c r="AD8" s="464">
        <f t="shared" si="1"/>
        <v>47482.25</v>
      </c>
      <c r="AE8" s="464">
        <f t="shared" si="1"/>
        <v>47847.5</v>
      </c>
      <c r="AF8" s="464">
        <f t="shared" si="1"/>
        <v>48212.75</v>
      </c>
      <c r="AG8" s="464">
        <f t="shared" si="1"/>
        <v>48578</v>
      </c>
    </row>
    <row r="9" spans="1:33">
      <c r="A9" s="1" t="s">
        <v>74</v>
      </c>
      <c r="C9" s="109"/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</row>
    <row r="10" spans="1:33">
      <c r="A10" s="378" t="s">
        <v>244</v>
      </c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</row>
    <row r="11" spans="1:33">
      <c r="A11" s="3" t="s">
        <v>245</v>
      </c>
      <c r="C11" s="402">
        <f>IF(AND(B6&lt;Assumptions!$I$52,IS!C6&lt;Assumptions!$I$52),C6*12*Assumptions!$I$53*Assumptions!$I$57,IF(AND(B6&lt;Assumptions!$I$52,IS!C6&gt;Assumptions!$I$52),(1-C6)*12*Assumptions!$I$53*Assumptions!$I$57,0))</f>
        <v>7604.8</v>
      </c>
      <c r="D11" s="402">
        <f>IF(AND(C6&lt;Assumptions!$I$52,IS!D6&lt;Assumptions!$I$52),12*Assumptions!$I$53*Assumptions!$I$57,IF(AND(IS!C6&lt;Assumptions!$I$52,IS!D6&gt;Assumptions!$I$52),(1-$C$6)*12*Assumptions!$I$53*Assumptions!$I$57,0))</f>
        <v>11407.2</v>
      </c>
      <c r="E11" s="402">
        <f>IF(AND(D6&lt;Assumptions!$I$52,IS!E6&lt;Assumptions!$I$52),12*(Assumptions!$I$53/2)*Assumptions!$I$57,IF(AND(IS!D6&lt;Assumptions!$I$52,IS!E6&gt;Assumptions!$I$52),(1-$C$6)*12*Assumptions!$I$53*Assumptions!$I$57,0))</f>
        <v>5703.6</v>
      </c>
      <c r="F11" s="402">
        <f>IF(AND(E6&lt;Assumptions!$I$52,IS!F6&lt;Assumptions!$I$52),12*(Assumptions!$I$53/3)*Assumptions!$I$57,IF(AND(IS!E6&lt;Assumptions!$I$52,IS!F6&gt;Assumptions!$I$52),(1-$C$6)*12*Assumptions!$I$53*Assumptions!$I$57,0))</f>
        <v>3802.4</v>
      </c>
      <c r="G11" s="402">
        <f>IF(AND(F6&lt;Assumptions!$I$52,IS!G6&lt;Assumptions!$I$52),12*Assumptions!$I$53*Assumptions!$I$57,IF(AND(IS!F6&lt;Assumptions!$I$52,IS!G6&gt;Assumptions!$I$52),(1-$C$6)*12*Assumptions!$I$53*Assumptions!$I$57,0))</f>
        <v>0</v>
      </c>
      <c r="H11" s="402">
        <f>IF(AND(G6&lt;Assumptions!$I$52,IS!H6&lt;Assumptions!$I$52),12*Assumptions!$I$53*Assumptions!$I$57,IF(AND(IS!G6&lt;Assumptions!$I$52,IS!H6&gt;Assumptions!$I$52),(1-$C$6)*12*Assumptions!$I$53*Assumptions!$I$57,0))</f>
        <v>0</v>
      </c>
      <c r="I11" s="402">
        <f>IF(AND(H6&lt;Assumptions!$I$52,IS!I6&lt;Assumptions!$I$52),12*Assumptions!$I$53*Assumptions!$I$57,IF(AND(IS!H6&lt;Assumptions!$I$52,IS!I6&gt;Assumptions!$I$52),(1-$C$6)*12*Assumptions!$I$53*Assumptions!$I$57,0))</f>
        <v>0</v>
      </c>
      <c r="J11" s="402">
        <f>IF(AND(I6&lt;Assumptions!$I$52,IS!J6&lt;Assumptions!$I$52),12*Assumptions!$I$53*Assumptions!$I$57,IF(AND(IS!I6&lt;Assumptions!$I$52,IS!J6&gt;Assumptions!$I$52),(1-$C$6)*12*Assumptions!$I$53*Assumptions!$I$57,0))</f>
        <v>0</v>
      </c>
      <c r="K11" s="402">
        <f>IF(AND(J6&lt;Assumptions!$I$52,IS!K6&lt;Assumptions!$I$52),12*Assumptions!$I$53*Assumptions!$I$57,IF(AND(IS!J6&lt;Assumptions!$I$52,IS!K6&gt;Assumptions!$I$52),(1-$C$6)*12*Assumptions!$I$53*Assumptions!$I$57,0))</f>
        <v>0</v>
      </c>
      <c r="L11" s="402">
        <f>IF(AND(K6&lt;Assumptions!$I$52,IS!L6&lt;Assumptions!$I$52),12*Assumptions!$I$53*Assumptions!$I$57,IF(AND(IS!K6&lt;Assumptions!$I$52,IS!L6&gt;Assumptions!$I$52),(1-$C$6)*12*Assumptions!$I$53*Assumptions!$I$57,0))</f>
        <v>0</v>
      </c>
      <c r="M11" s="402">
        <f>IF(AND(L6&lt;Assumptions!$I$52,IS!M6&lt;Assumptions!$I$52),12*Assumptions!$I$53*Assumptions!$I$57,IF(AND(IS!L6&lt;Assumptions!$I$52,IS!M6&gt;Assumptions!$I$52),(1-$C$6)*12*Assumptions!$I$53*Assumptions!$I$57,0))</f>
        <v>0</v>
      </c>
      <c r="N11" s="402">
        <f>IF(AND(M6&lt;Assumptions!$I$52,IS!N6&lt;Assumptions!$I$52),12*Assumptions!$I$53*Assumptions!$I$57,IF(AND(IS!M6&lt;Assumptions!$I$52,IS!N6&gt;Assumptions!$I$52),(1-$C$6)*12*Assumptions!$I$53*Assumptions!$I$57,0))</f>
        <v>0</v>
      </c>
      <c r="O11" s="402">
        <f>IF(AND(N6&lt;Assumptions!$I$52,IS!O6&lt;Assumptions!$I$52),12*Assumptions!$I$53*Assumptions!$I$57,IF(AND(IS!N6&lt;Assumptions!$I$52,IS!O6&gt;Assumptions!$I$52),(1-$C$6)*12*Assumptions!$I$53*Assumptions!$I$57,0))</f>
        <v>0</v>
      </c>
      <c r="P11" s="402">
        <f>IF(AND(O6&lt;Assumptions!$I$52,IS!P6&lt;Assumptions!$I$52),12*Assumptions!$I$53*Assumptions!$I$57,IF(AND(IS!O6&lt;Assumptions!$I$52,IS!P6&gt;Assumptions!$I$52),(1-$C$6)*12*Assumptions!$I$53*Assumptions!$I$57,0))</f>
        <v>0</v>
      </c>
      <c r="Q11" s="402">
        <f>IF(AND(P6&lt;Assumptions!$I$52,IS!Q6&lt;Assumptions!$I$52),12*Assumptions!$I$53*Assumptions!$I$57,IF(AND(IS!P6&lt;Assumptions!$I$52,IS!Q6&gt;Assumptions!$I$52),(1-$C$6)*12*Assumptions!$I$53*Assumptions!$I$57,0))</f>
        <v>0</v>
      </c>
      <c r="R11" s="402">
        <f>IF(AND(Q6&lt;Assumptions!$I$52,IS!R6&lt;Assumptions!$I$52),12*Assumptions!$I$53*Assumptions!$I$57,IF(AND(IS!Q6&lt;Assumptions!$I$52,IS!R6&gt;Assumptions!$I$52),(1-$C$6)*12*Assumptions!$I$53*Assumptions!$I$57,0))</f>
        <v>0</v>
      </c>
      <c r="S11" s="402">
        <f>IF(AND(R6&lt;Assumptions!$I$52,IS!S6&lt;Assumptions!$I$52),12*Assumptions!$I$53*Assumptions!$I$57,IF(AND(IS!R6&lt;Assumptions!$I$52,IS!S6&gt;Assumptions!$I$52),(1-$C$6)*12*Assumptions!$I$53*Assumptions!$I$57,0))</f>
        <v>0</v>
      </c>
      <c r="T11" s="402">
        <f>IF(AND(S6&lt;Assumptions!$I$52,IS!T6&lt;Assumptions!$I$52),12*Assumptions!$I$53*Assumptions!$I$57,IF(AND(IS!S6&lt;Assumptions!$I$52,IS!T6&gt;Assumptions!$I$52),(1-$C$6)*12*Assumptions!$I$53*Assumptions!$I$57,0))</f>
        <v>0</v>
      </c>
      <c r="U11" s="402">
        <f>IF(AND(T6&lt;Assumptions!$I$52,IS!U6&lt;Assumptions!$I$52),12*Assumptions!$I$53*Assumptions!$I$57,IF(AND(IS!T6&lt;Assumptions!$I$52,IS!U6&gt;Assumptions!$I$52),(1-$C$6)*12*Assumptions!$I$53*Assumptions!$I$57,0))</f>
        <v>0</v>
      </c>
      <c r="V11" s="402">
        <f>IF(AND(U6&lt;Assumptions!$I$52,IS!V6&lt;Assumptions!$I$52),12*Assumptions!$I$53*Assumptions!$I$57,IF(AND(IS!U6&lt;Assumptions!$I$52,IS!V6&gt;Assumptions!$I$52),(1-$C$6)*12*Assumptions!$I$53*Assumptions!$I$57,0))</f>
        <v>0</v>
      </c>
      <c r="W11" s="402">
        <f>IF(AND(V6&lt;Assumptions!$I$52,IS!W6&lt;Assumptions!$I$52),12*Assumptions!$I$53*Assumptions!$I$57,IF(AND(IS!V6&lt;Assumptions!$I$52,IS!W6&gt;Assumptions!$I$52),(1-$C$6)*12*Assumptions!$I$53*Assumptions!$I$57,0))</f>
        <v>0</v>
      </c>
      <c r="X11" s="402">
        <f>IF(AND(W6&lt;Assumptions!$I$52,IS!X6&lt;Assumptions!$I$52),12*Assumptions!$I$53*Assumptions!$I$57,IF(AND(IS!W6&lt;Assumptions!$I$52,IS!X6&gt;Assumptions!$I$52),(1-$C$6)*12*Assumptions!$I$53*Assumptions!$I$57,0))</f>
        <v>0</v>
      </c>
      <c r="Y11" s="402">
        <f>IF(AND(X6&lt;Assumptions!$I$52,IS!Y6&lt;Assumptions!$I$52),12*Assumptions!$I$53*Assumptions!$I$57,IF(AND(IS!X6&lt;Assumptions!$I$52,IS!Y6&gt;Assumptions!$I$52),(1-$C$6)*12*Assumptions!$I$53*Assumptions!$I$57,0))</f>
        <v>0</v>
      </c>
      <c r="Z11" s="402">
        <f>IF(AND(Y6&lt;Assumptions!$I$52,IS!Z6&lt;Assumptions!$I$52),12*Assumptions!$I$53*Assumptions!$I$57,IF(AND(IS!Y6&lt;Assumptions!$I$52,IS!Z6&gt;Assumptions!$I$52),(1-$C$6)*12*Assumptions!$I$53*Assumptions!$I$57,0))</f>
        <v>0</v>
      </c>
      <c r="AA11" s="402">
        <f>IF(AND(Z6&lt;Assumptions!$I$52,IS!AA6&lt;Assumptions!$I$52),12*Assumptions!$I$53*Assumptions!$I$57,IF(AND(IS!Z6&lt;Assumptions!$I$52,IS!AA6&gt;Assumptions!$I$52),(1-$C$6)*12*Assumptions!$I$53*Assumptions!$I$57,0))</f>
        <v>0</v>
      </c>
      <c r="AB11" s="402">
        <f>IF(AND(AA6&lt;Assumptions!$I$52,IS!AB6&lt;Assumptions!$I$52),12*Assumptions!$I$53*Assumptions!$I$57,IF(AND(IS!AA6&lt;Assumptions!$I$52,IS!AB6&gt;Assumptions!$I$52),(1-$C$6)*12*Assumptions!$I$53*Assumptions!$I$57,0))</f>
        <v>0</v>
      </c>
      <c r="AC11" s="402">
        <f>IF(AND(AB6&lt;Assumptions!$I$52,IS!AC6&lt;Assumptions!$I$52),12*Assumptions!$I$53*Assumptions!$I$57,IF(AND(IS!AB6&lt;Assumptions!$I$52,IS!AC6&gt;Assumptions!$I$52),(1-$C$6)*12*Assumptions!$I$53*Assumptions!$I$57,0))</f>
        <v>0</v>
      </c>
      <c r="AD11" s="402">
        <f>IF(AND(AC6&lt;Assumptions!$I$52,IS!AD6&lt;Assumptions!$I$52),12*Assumptions!$I$53*Assumptions!$I$57,IF(AND(IS!AC6&lt;Assumptions!$I$52,IS!AD6&gt;Assumptions!$I$52),(1-$C$6)*12*Assumptions!$I$53*Assumptions!$I$57,0))</f>
        <v>0</v>
      </c>
      <c r="AE11" s="402">
        <f>IF(AND(AD6&lt;Assumptions!$I$52,IS!AE6&lt;Assumptions!$I$52),12*Assumptions!$I$53*Assumptions!$I$57,IF(AND(IS!AD6&lt;Assumptions!$I$52,IS!AE6&gt;Assumptions!$I$52),(1-$C$6)*12*Assumptions!$I$53*Assumptions!$I$57,0))</f>
        <v>0</v>
      </c>
      <c r="AF11" s="402">
        <f>IF(AND(AE6&lt;Assumptions!$I$52,IS!AF6&lt;Assumptions!$I$52),12*Assumptions!$I$53*Assumptions!$I$57,IF(AND(IS!AE6&lt;Assumptions!$I$52,IS!AF6&gt;Assumptions!$I$52),(1-$C$6)*12*Assumptions!$I$53*Assumptions!$I$57,0))</f>
        <v>0</v>
      </c>
      <c r="AG11" s="402">
        <f>IF(AND(AF6&lt;Assumptions!$I$52,IS!AG6&lt;Assumptions!$I$52),12*Assumptions!$I$53*Assumptions!$I$57,IF(AND(IS!AF6&lt;Assumptions!$I$52,IS!AG6&gt;Assumptions!$I$52),(1-$C$6)*12*Assumptions!$I$53*Assumptions!$I$57,0))</f>
        <v>0</v>
      </c>
    </row>
    <row r="12" spans="1:33">
      <c r="A12" s="3" t="s">
        <v>246</v>
      </c>
      <c r="C12" s="402">
        <f>IF(AND(C6&lt;Assumptions!$I$52,IS!B6&lt;Assumptions!$I$52),Assumptions!$P$27*Assumptions!$I$58/1000,IF(AND(B6&lt;Assumptions!$I$52,IS!C6&gt;Assumptions!$I$52),Assumptions!$P$27*Assumptions!$I$58/1000*IS!$C$6,0))</f>
        <v>1.8933600000000002</v>
      </c>
      <c r="D12" s="402">
        <f>IF(AND(D6&lt;Assumptions!$I$52,IS!C6&lt;Assumptions!$I$52),C12*(1+Assumptions!$O$21),IF(AND(IS!C6&lt;Assumptions!$I$52,IS!D6&gt;Assumptions!$I$52),C12*IS!$C$6*(1+Assumptions!$O$21),0))</f>
        <v>1.9501608000000001</v>
      </c>
      <c r="E12" s="402">
        <f>IF(AND(E6&lt;Assumptions!$I$52,IS!D6&lt;Assumptions!$I$52),D12*(1+Assumptions!$O$21),IF(AND(IS!D6&lt;Assumptions!$I$52,IS!E6&gt;Assumptions!$I$52),D12*IS!$C$6*(1+Assumptions!$O$21),0))</f>
        <v>2.0086656240000003</v>
      </c>
      <c r="F12" s="402">
        <f>IF(AND(F6&lt;Assumptions!$I$52,IS!E6&lt;Assumptions!$I$52),E12*(1+Assumptions!$O$21),IF(AND(IS!E6&lt;Assumptions!$I$52,IS!F6&gt;Assumptions!$I$52),E12*IS!$C$6*(1+Assumptions!$O$21),0))</f>
        <v>1.3792837284800001</v>
      </c>
      <c r="G12" s="402">
        <f>IF(AND(G6&lt;Assumptions!$I$52,IS!F6&lt;Assumptions!$I$52),F12*(1+Assumptions!$O$21),IF(AND(IS!F6&lt;Assumptions!$I$52,IS!G6&gt;Assumptions!$I$52),F12*IS!$C$6*(1+Assumptions!$O$21),0))</f>
        <v>0</v>
      </c>
      <c r="H12" s="402">
        <f>IF(AND(H6&lt;Assumptions!$I$52,IS!G6&lt;Assumptions!$I$52),G12*(1+Assumptions!$O$21),IF(AND(IS!G6&lt;Assumptions!$I$52,IS!H6&gt;Assumptions!$I$52),G12*IS!$C$6*(1+Assumptions!$O$21),0))</f>
        <v>0</v>
      </c>
      <c r="I12" s="402">
        <f>IF(AND(I6&lt;Assumptions!$I$52,IS!H6&lt;Assumptions!$I$52),H12*(1+Assumptions!$O$21),IF(AND(IS!H6&lt;Assumptions!$I$52,IS!I6&gt;Assumptions!$I$52),H12*IS!$C$6*(1+Assumptions!$O$21),0))</f>
        <v>0</v>
      </c>
      <c r="J12" s="402">
        <f>IF(AND(J6&lt;Assumptions!$I$52,IS!I6&lt;Assumptions!$I$52),I12*(1+Assumptions!$O$21),IF(AND(IS!I6&lt;Assumptions!$I$52,IS!J6&gt;Assumptions!$I$52),I12*IS!$C$6*(1+Assumptions!$O$21),0))</f>
        <v>0</v>
      </c>
      <c r="K12" s="402">
        <f>IF(AND(K6&lt;Assumptions!$I$52,IS!J6&lt;Assumptions!$I$52),J12*(1+Assumptions!$O$21),IF(AND(IS!J6&lt;Assumptions!$I$52,IS!K6&gt;Assumptions!$I$52),J12*IS!$C$6*(1+Assumptions!$O$21),0))</f>
        <v>0</v>
      </c>
      <c r="L12" s="402">
        <f>IF(AND(L6&lt;Assumptions!$I$52,IS!K6&lt;Assumptions!$I$52),K12*(1+Assumptions!$O$21),IF(AND(IS!K6&lt;Assumptions!$I$52,IS!L6&gt;Assumptions!$I$52),K12*IS!$C$6*(1+Assumptions!$O$21),0))</f>
        <v>0</v>
      </c>
      <c r="M12" s="402">
        <f>IF(AND(M6&lt;Assumptions!$I$52,IS!L6&lt;Assumptions!$I$52),L12*(1+Assumptions!$O$21),IF(AND(IS!L6&lt;Assumptions!$I$52,IS!M6&gt;Assumptions!$I$52),L12*IS!$C$6*(1+Assumptions!$O$21),0))</f>
        <v>0</v>
      </c>
      <c r="N12" s="402">
        <f>IF(AND(N6&lt;Assumptions!$I$52,IS!M6&lt;Assumptions!$I$52),M12*(1+Assumptions!$O$21),IF(AND(IS!M6&lt;Assumptions!$I$52,IS!N6&gt;Assumptions!$I$52),M12*IS!$C$6*(1+Assumptions!$O$21),0))</f>
        <v>0</v>
      </c>
      <c r="O12" s="402">
        <f>IF(AND(O6&lt;Assumptions!$I$52,IS!N6&lt;Assumptions!$I$52),N12*(1+Assumptions!$O$21),IF(AND(IS!N6&lt;Assumptions!$I$52,IS!O6&gt;Assumptions!$I$52),N12*IS!$C$6*(1+Assumptions!$O$21),0))</f>
        <v>0</v>
      </c>
      <c r="P12" s="402">
        <f>IF(AND(P6&lt;Assumptions!$I$52,IS!O6&lt;Assumptions!$I$52),O12*(1+Assumptions!$O$21),IF(AND(IS!O6&lt;Assumptions!$I$52,IS!P6&gt;Assumptions!$I$52),O12*IS!$C$6*(1+Assumptions!$O$21),0))</f>
        <v>0</v>
      </c>
      <c r="Q12" s="402">
        <f>IF(AND(Q6&lt;Assumptions!$I$52,IS!P6&lt;Assumptions!$I$52),P12*(1+Assumptions!$O$21),IF(AND(IS!P6&lt;Assumptions!$I$52,IS!Q6&gt;Assumptions!$I$52),P12*IS!$C$6*(1+Assumptions!$O$21),0))</f>
        <v>0</v>
      </c>
      <c r="R12" s="402">
        <f>IF(AND(R6&lt;Assumptions!$I$52,IS!Q6&lt;Assumptions!$I$52),Q12*(1+Assumptions!$O$21),IF(AND(IS!Q6&lt;Assumptions!$I$52,IS!R6&gt;Assumptions!$I$52),Q12*IS!$C$6*(1+Assumptions!$O$21),0))</f>
        <v>0</v>
      </c>
      <c r="S12" s="402">
        <f>IF(AND(S6&lt;Assumptions!$I$52,IS!R6&lt;Assumptions!$I$52),R12*(1+Assumptions!$O$21),IF(AND(IS!R6&lt;Assumptions!$I$52,IS!S6&gt;Assumptions!$I$52),R12*IS!$C$6*(1+Assumptions!$O$21),0))</f>
        <v>0</v>
      </c>
      <c r="T12" s="402">
        <f>IF(AND(T6&lt;Assumptions!$I$52,IS!S6&lt;Assumptions!$I$52),S12*(1+Assumptions!$O$21),IF(AND(IS!S6&lt;Assumptions!$I$52,IS!T6&gt;Assumptions!$I$52),S12*IS!$C$6*(1+Assumptions!$O$21),0))</f>
        <v>0</v>
      </c>
      <c r="U12" s="402">
        <f>IF(AND(U6&lt;Assumptions!$I$52,IS!T6&lt;Assumptions!$I$52),T12*(1+Assumptions!$O$21),IF(AND(IS!T6&lt;Assumptions!$I$52,IS!U6&gt;Assumptions!$I$52),T12*IS!$C$6*(1+Assumptions!$O$21),0))</f>
        <v>0</v>
      </c>
      <c r="V12" s="402">
        <f>IF(AND(V6&lt;Assumptions!$I$52,IS!U6&lt;Assumptions!$I$52),U12*(1+Assumptions!$O$21),IF(AND(IS!U6&lt;Assumptions!$I$52,IS!V6&gt;Assumptions!$I$52),U12*IS!$C$6*(1+Assumptions!$O$21),0))</f>
        <v>0</v>
      </c>
      <c r="W12" s="402">
        <f>IF(AND(W6&lt;Assumptions!$I$52,IS!V6&lt;Assumptions!$I$52),V12*(1+Assumptions!$O$21),IF(AND(IS!V6&lt;Assumptions!$I$52,IS!W6&gt;Assumptions!$I$52),V12*IS!$C$6*(1+Assumptions!$O$21),0))</f>
        <v>0</v>
      </c>
      <c r="X12" s="402">
        <f>IF(AND(X6&lt;Assumptions!$I$52,IS!W6&lt;Assumptions!$I$52),W12*(1+Assumptions!$O$21),IF(AND(IS!W6&lt;Assumptions!$I$52,IS!X6&gt;Assumptions!$I$52),W12*IS!$C$6*(1+Assumptions!$O$21),0))</f>
        <v>0</v>
      </c>
      <c r="Y12" s="402">
        <f>IF(AND(Y6&lt;Assumptions!$I$52,IS!X6&lt;Assumptions!$I$52),X12*(1+Assumptions!$O$21),IF(AND(IS!X6&lt;Assumptions!$I$52,IS!Y6&gt;Assumptions!$I$52),X12*IS!$C$6*(1+Assumptions!$O$21),0))</f>
        <v>0</v>
      </c>
      <c r="Z12" s="402">
        <f>IF(AND(Z6&lt;Assumptions!$I$52,IS!Y6&lt;Assumptions!$I$52),Y12*(1+Assumptions!$O$21),IF(AND(IS!Y6&lt;Assumptions!$I$52,IS!Z6&gt;Assumptions!$I$52),Y12*IS!$C$6*(1+Assumptions!$O$21),0))</f>
        <v>0</v>
      </c>
      <c r="AA12" s="402">
        <f>IF(AND(AA6&lt;Assumptions!$I$52,IS!Z6&lt;Assumptions!$I$52),Z12*(1+Assumptions!$O$21),IF(AND(IS!Z6&lt;Assumptions!$I$52,IS!AA6&gt;Assumptions!$I$52),Z12*IS!$C$6*(1+Assumptions!$O$21),0))</f>
        <v>0</v>
      </c>
      <c r="AB12" s="402">
        <f>IF(AND(AB6&lt;Assumptions!$I$52,IS!AA6&lt;Assumptions!$I$52),AA12*(1+Assumptions!$O$21),IF(AND(IS!AA6&lt;Assumptions!$I$52,IS!AB6&gt;Assumptions!$I$52),AA12*IS!$C$6*(1+Assumptions!$O$21),0))</f>
        <v>0</v>
      </c>
      <c r="AC12" s="402">
        <f>IF(AND(AC6&lt;Assumptions!$I$52,IS!AB6&lt;Assumptions!$I$52),AB12*(1+Assumptions!$O$21),IF(AND(IS!AB6&lt;Assumptions!$I$52,IS!AC6&gt;Assumptions!$I$52),AB12*IS!$C$6*(1+Assumptions!$O$21),0))</f>
        <v>0</v>
      </c>
      <c r="AD12" s="402">
        <f>IF(AND(AD6&lt;Assumptions!$I$52,IS!AC6&lt;Assumptions!$I$52),AC12*(1+Assumptions!$O$21),IF(AND(IS!AC6&lt;Assumptions!$I$52,IS!AD6&gt;Assumptions!$I$52),AC12*IS!$C$6*(1+Assumptions!$O$21),0))</f>
        <v>0</v>
      </c>
      <c r="AE12" s="402">
        <f>IF(AND(AE6&lt;Assumptions!$I$52,IS!AD6&lt;Assumptions!$I$52),AD12*(1+Assumptions!$O$21),IF(AND(IS!AD6&lt;Assumptions!$I$52,IS!AE6&gt;Assumptions!$I$52),AD12*IS!$C$6*(1+Assumptions!$O$21),0))</f>
        <v>0</v>
      </c>
      <c r="AF12" s="402">
        <f>IF(AND(AF6&lt;Assumptions!$I$52,IS!AE6&lt;Assumptions!$I$52),AE12*(1+Assumptions!$O$21),IF(AND(IS!AE6&lt;Assumptions!$I$52,IS!AF6&gt;Assumptions!$I$52),AE12*IS!$C$6*(1+Assumptions!$O$21),0))</f>
        <v>0</v>
      </c>
      <c r="AG12" s="402">
        <f>IF(AND(AG6&lt;Assumptions!$I$52,IS!AF6&lt;Assumptions!$I$52),AF12*(1+Assumptions!$O$21),IF(AND(IS!AF6&lt;Assumptions!$I$52,IS!AG6&gt;Assumptions!$I$52),AF12*IS!$C$6*(1+Assumptions!$O$21),0))</f>
        <v>0</v>
      </c>
    </row>
    <row r="13" spans="1:33">
      <c r="A13" s="3" t="s">
        <v>247</v>
      </c>
      <c r="C13" s="402">
        <v>0</v>
      </c>
      <c r="D13" s="402">
        <v>0</v>
      </c>
      <c r="E13" s="402">
        <v>0</v>
      </c>
      <c r="F13" s="402">
        <v>0</v>
      </c>
      <c r="G13" s="402">
        <v>0</v>
      </c>
      <c r="H13" s="402">
        <v>0</v>
      </c>
      <c r="I13" s="402">
        <v>0</v>
      </c>
      <c r="J13" s="402">
        <v>0</v>
      </c>
      <c r="K13" s="402">
        <v>0</v>
      </c>
      <c r="L13" s="402">
        <v>0</v>
      </c>
      <c r="M13" s="402">
        <v>0</v>
      </c>
      <c r="N13" s="402">
        <v>0</v>
      </c>
      <c r="O13" s="402">
        <v>0</v>
      </c>
      <c r="P13" s="402">
        <v>0</v>
      </c>
      <c r="Q13" s="402">
        <v>0</v>
      </c>
      <c r="R13" s="402">
        <v>0</v>
      </c>
      <c r="S13" s="402">
        <v>0</v>
      </c>
      <c r="T13" s="402">
        <v>0</v>
      </c>
      <c r="U13" s="402">
        <v>0</v>
      </c>
      <c r="V13" s="402">
        <v>0</v>
      </c>
      <c r="W13" s="402">
        <v>0</v>
      </c>
      <c r="X13" s="402">
        <v>0</v>
      </c>
      <c r="Y13" s="402">
        <v>0</v>
      </c>
      <c r="Z13" s="402">
        <v>0</v>
      </c>
      <c r="AA13" s="402">
        <v>0</v>
      </c>
      <c r="AB13" s="402">
        <v>0</v>
      </c>
      <c r="AC13" s="402">
        <v>0</v>
      </c>
      <c r="AD13" s="402">
        <v>0</v>
      </c>
      <c r="AE13" s="402">
        <v>0</v>
      </c>
      <c r="AF13" s="402">
        <v>0</v>
      </c>
      <c r="AG13" s="402">
        <v>0</v>
      </c>
    </row>
    <row r="14" spans="1:33">
      <c r="A14" s="3" t="s">
        <v>242</v>
      </c>
      <c r="C14" s="402">
        <v>0</v>
      </c>
      <c r="D14" s="402">
        <v>0</v>
      </c>
      <c r="E14" s="402">
        <v>0</v>
      </c>
      <c r="F14" s="402">
        <v>0</v>
      </c>
      <c r="G14" s="402">
        <v>0</v>
      </c>
      <c r="H14" s="402">
        <v>0</v>
      </c>
      <c r="I14" s="402">
        <v>0</v>
      </c>
      <c r="J14" s="402">
        <v>0</v>
      </c>
      <c r="K14" s="402">
        <v>0</v>
      </c>
      <c r="L14" s="402">
        <v>0</v>
      </c>
      <c r="M14" s="402">
        <v>0</v>
      </c>
      <c r="N14" s="402">
        <v>0</v>
      </c>
      <c r="O14" s="402">
        <v>0</v>
      </c>
      <c r="P14" s="402">
        <v>0</v>
      </c>
      <c r="Q14" s="402">
        <v>0</v>
      </c>
      <c r="R14" s="402">
        <v>0</v>
      </c>
      <c r="S14" s="402">
        <v>0</v>
      </c>
      <c r="T14" s="402">
        <v>0</v>
      </c>
      <c r="U14" s="402">
        <v>0</v>
      </c>
      <c r="V14" s="402">
        <v>0</v>
      </c>
      <c r="W14" s="402">
        <v>0</v>
      </c>
      <c r="X14" s="402">
        <v>0</v>
      </c>
      <c r="Y14" s="402">
        <v>0</v>
      </c>
      <c r="Z14" s="402">
        <v>0</v>
      </c>
      <c r="AA14" s="402">
        <v>0</v>
      </c>
      <c r="AB14" s="402">
        <v>0</v>
      </c>
      <c r="AC14" s="402">
        <v>0</v>
      </c>
      <c r="AD14" s="402">
        <v>0</v>
      </c>
      <c r="AE14" s="402">
        <v>0</v>
      </c>
      <c r="AF14" s="402">
        <v>0</v>
      </c>
      <c r="AG14" s="402">
        <v>0</v>
      </c>
    </row>
    <row r="15" spans="1:33">
      <c r="A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spans="1:33">
      <c r="A16" s="378" t="s">
        <v>243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</row>
    <row r="17" spans="1:33">
      <c r="A17" s="3" t="s">
        <v>245</v>
      </c>
      <c r="C17" s="402">
        <f>IF(AND(C6&gt;Assumptions!$I$52,B6&gt;Assumptions!$I$52),12*'Power Price Assumption'!D25*Assumptions!$I$57,IF(AND(B6&lt;Assumptions!$I$52,IS!C6&gt;Assumptions!$I$52),IS!C6*'Power Price Assumption'!D25*12*Assumptions!$I$65,0))</f>
        <v>0</v>
      </c>
      <c r="D17" s="402">
        <f>IF(AND(D6&gt;Assumptions!$I$52,IS!C6&gt;Assumptions!$I$52),12*'Power Price Assumption'!E25*Assumptions!$I$57,IF(AND(IS!C6&lt;Assumptions!$I$52,IS!D6&gt;Assumptions!$I$52),IS!D6*'Power Price Assumption'!E25*12*Assumptions!$I$65,0))</f>
        <v>0</v>
      </c>
      <c r="E17" s="402">
        <f>IF(AND(E6&gt;Assumptions!$I$52,IS!D6&gt;Assumptions!$I$52),12*'Power Price Assumption'!F25*(Assumptions!$I$57/2),IF(AND(IS!D6&lt;Assumptions!$I$52,IS!E6&gt;Assumptions!$I$52),IS!E6*'Power Price Assumption'!F25*12*(Assumptions!$I$65/2),0))</f>
        <v>0</v>
      </c>
      <c r="F17" s="402">
        <f>IF(AND(F6&gt;Assumptions!$I$52,IS!E6&gt;Assumptions!$I$52),12*'Power Price Assumption'!G25*Assumptions!$I$57,IF(AND(IS!E6&lt;Assumptions!$I$52,IS!F6&gt;Assumptions!$I$52),IS!C6*'Power Price Assumption'!G25*12*Assumptions!$I$65,0))</f>
        <v>8701.9238882594673</v>
      </c>
      <c r="G17" s="402">
        <f>IF(AND(G6&gt;Assumptions!$I$52,IS!F6&gt;Assumptions!$I$52),12*'Power Price Assumption'!H25*Assumptions!$I$65,IF(AND(IS!F6&lt;Assumptions!$I$52,IS!G6&gt;Assumptions!$I$52),IS!$C$6*'Power Price Assumption'!H25*12*Assumptions!$I$65,0))</f>
        <v>13003.670033349043</v>
      </c>
      <c r="H17" s="402">
        <f>IF(AND(H6&gt;Assumptions!$I$52,IS!G6&gt;Assumptions!$I$52),12*'Power Price Assumption'!I25*Assumptions!$I$65,IF(AND(IS!G6&lt;Assumptions!$I$52,IS!H6&gt;Assumptions!$I$52),IS!$C$6*'Power Price Assumption'!I25*12*Assumptions!$I$65,0))</f>
        <v>13166.766911733423</v>
      </c>
      <c r="I17" s="402">
        <f>IF(AND(I6&gt;Assumptions!$I$52,IS!H6&gt;Assumptions!$I$52),12*'Power Price Assumption'!J25*Assumptions!$I$65,IF(AND(IS!H6&lt;Assumptions!$I$52,IS!I6&gt;Assumptions!$I$52),IS!$C$6*'Power Price Assumption'!J25*12*Assumptions!$I$65,0))</f>
        <v>13327.946299790849</v>
      </c>
      <c r="J17" s="402">
        <f>IF(AND(J6&gt;Assumptions!$I$52,IS!I6&gt;Assumptions!$I$52),12*'Power Price Assumption'!K25*Assumptions!$I$65,IF(AND(IS!I6&lt;Assumptions!$I$52,IS!J6&gt;Assumptions!$I$52),IS!$C$6*'Power Price Assumption'!K25*12*Assumptions!$I$65,0))</f>
        <v>13486.946360911159</v>
      </c>
      <c r="K17" s="402">
        <f>IF(AND(K6&gt;Assumptions!$I$52,IS!J6&gt;Assumptions!$I$52),12*'Power Price Assumption'!L25*Assumptions!$I$65,IF(AND(IS!J6&lt;Assumptions!$I$52,IS!K6&gt;Assumptions!$I$52),IS!$C$6*'Power Price Assumption'!L25*12*Assumptions!$I$65,0))</f>
        <v>13891.554751738495</v>
      </c>
      <c r="L17" s="402">
        <f>IF(AND(L6&gt;Assumptions!$I$52,IS!K6&gt;Assumptions!$I$52),12*'Power Price Assumption'!M25*Assumptions!$I$65,IF(AND(IS!K6&lt;Assumptions!$I$52,IS!L6&gt;Assumptions!$I$52),IS!$C$6*'Power Price Assumption'!M25*12*Assumptions!$I$65,0))</f>
        <v>14052.796012249742</v>
      </c>
      <c r="M17" s="402">
        <f>IF(AND(M6&gt;Assumptions!$I$52,IS!L6&gt;Assumptions!$I$52),12*'Power Price Assumption'!N25*Assumptions!$I$65,IF(AND(IS!L6&lt;Assumptions!$I$52,IS!M6&gt;Assumptions!$I$52),IS!$C$6*'Power Price Assumption'!N25*12*Assumptions!$I$65,0))</f>
        <v>14474.379892617237</v>
      </c>
      <c r="N17" s="402">
        <f>IF(AND(N6&gt;Assumptions!$I$52,IS!M6&gt;Assumptions!$I$52),12*'Power Price Assumption'!O25*Assumptions!$I$65,IF(AND(IS!M6&lt;Assumptions!$I$52,IS!N6&gt;Assumptions!$I$52),IS!$C$6*'Power Price Assumption'!O25*12*Assumptions!$I$65,0))</f>
        <v>14637.545629588556</v>
      </c>
      <c r="O17" s="402">
        <f>IF(AND(O6&gt;Assumptions!$I$52,IS!N6&gt;Assumptions!$I$52),12*'Power Price Assumption'!P25*Assumptions!$I$65,IF(AND(IS!N6&lt;Assumptions!$I$52,IS!O6&gt;Assumptions!$I$52),IS!$C$6*'Power Price Assumption'!P25*12*Assumptions!$I$65,0))</f>
        <v>15076.671998476213</v>
      </c>
      <c r="P17" s="402">
        <f>IF(AND(P6&gt;Assumptions!$I$52,IS!O6&gt;Assumptions!$I$52),12*'Power Price Assumption'!Q25*Assumptions!$I$65,IF(AND(IS!O6&lt;Assumptions!$I$52,IS!P6&gt;Assumptions!$I$52),IS!$C$6*'Power Price Assumption'!Q25*12*Assumptions!$I$65,0))</f>
        <v>15241.398599941047</v>
      </c>
      <c r="Q17" s="402">
        <f>IF(AND(Q6&gt;Assumptions!$I$52,IS!P6&gt;Assumptions!$I$52),12*'Power Price Assumption'!R25*Assumptions!$I$65,IF(AND(IS!P6&lt;Assumptions!$I$52,IS!Q6&gt;Assumptions!$I$52),IS!$C$6*'Power Price Assumption'!R25*12*Assumptions!$I$65,0))</f>
        <v>15402.439792695142</v>
      </c>
      <c r="R17" s="402">
        <f>IF(AND(R6&gt;Assumptions!$I$52,IS!Q6&gt;Assumptions!$I$52),12*'Power Price Assumption'!S25*Assumptions!$I$65,IF(AND(IS!Q6&lt;Assumptions!$I$52,IS!R6&gt;Assumptions!$I$52),IS!$C$6*'Power Price Assumption'!S25*12*Assumptions!$I$65,0))</f>
        <v>15559.426198274532</v>
      </c>
      <c r="S17" s="402">
        <f>IF(AND(S6&gt;Assumptions!$I$52,IS!R6&gt;Assumptions!$I$52),12*'Power Price Assumption'!T25*Assumptions!$I$65,IF(AND(IS!R6&lt;Assumptions!$I$52,IS!S6&gt;Assumptions!$I$52),IS!$C$6*'Power Price Assumption'!T25*12*Assumptions!$I$65,0))</f>
        <v>15711.969592375262</v>
      </c>
      <c r="T17" s="402">
        <f>IF(AND(T6&gt;Assumptions!$I$52,IS!S6&gt;Assumptions!$I$52),12*'Power Price Assumption'!U25*Assumptions!$I$65,IF(AND(IS!S6&lt;Assumptions!$I$52,IS!T6&gt;Assumptions!$I$52),IS!$C$6*'Power Price Assumption'!U25*12*Assumptions!$I$65,0))</f>
        <v>15859.66210654359</v>
      </c>
      <c r="U17" s="402">
        <f>IF(AND(U6&gt;Assumptions!$I$52,IS!T6&gt;Assumptions!$I$52),12*'Power Price Assumption'!V25*Assumptions!$I$65,IF(AND(IS!T6&lt;Assumptions!$I$52,IS!U6&gt;Assumptions!$I$52),IS!$C$6*'Power Price Assumption'!V25*12*Assumptions!$I$65,0))</f>
        <v>16002.075398928881</v>
      </c>
      <c r="V17" s="402">
        <f>IF(AND(V6&gt;Assumptions!$I$52,IS!U6&gt;Assumptions!$I$52),12*'Power Price Assumption'!W25*Assumptions!$I$65,IF(AND(IS!U6&lt;Assumptions!$I$52,IS!V6&gt;Assumptions!$I$52),IS!$C$6*'Power Price Assumption'!W25*12*Assumptions!$I$65,0))</f>
        <v>16138.759792961395</v>
      </c>
      <c r="W17" s="402">
        <f>IF(AND(W6&gt;Assumptions!$I$52,IS!V6&gt;Assumptions!$I$52),12*'Power Price Assumption'!X25*Assumptions!$I$65,IF(AND(IS!V6&lt;Assumptions!$I$52,IS!W6&gt;Assumptions!$I$52),IS!$C$6*'Power Price Assumption'!X25*12*Assumptions!$I$65,0))</f>
        <v>16269.243382776827</v>
      </c>
      <c r="X17" s="402">
        <f>IF(AND(X6&gt;Assumptions!$I$52,IS!W6&gt;Assumptions!$I$52),12*'Power Price Assumption'!Y25*Assumptions!$I$65,IF(AND(IS!W6&lt;Assumptions!$I$52,IS!X6&gt;Assumptions!$I$52),IS!$C$6*'Power Price Assumption'!Y25*12*Assumptions!$I$65,0))</f>
        <v>16393.03110416752</v>
      </c>
      <c r="Y17" s="402">
        <f>IF(AND(Y6&gt;Assumptions!$I$52,IS!X6&gt;Assumptions!$I$52),12*'Power Price Assumption'!Z25*Assumptions!$I$65,IF(AND(IS!X6&lt;Assumptions!$I$52,IS!Y6&gt;Assumptions!$I$52),IS!$C$6*'Power Price Assumption'!Z25*12*Assumptions!$I$65,0))</f>
        <v>16516.818825558206</v>
      </c>
      <c r="Z17" s="402">
        <f>IF(AND(Z6&gt;Assumptions!$I$52,IS!Y6&gt;Assumptions!$I$52),12*'Power Price Assumption'!AA25*Assumptions!$I$65,IF(AND(IS!Y6&lt;Assumptions!$I$52,IS!Z6&gt;Assumptions!$I$52),IS!$C$6*'Power Price Assumption'!AA25*12*Assumptions!$I$65,0))</f>
        <v>16640.606546948911</v>
      </c>
      <c r="AA17" s="402">
        <f>IF(AND(AA6&gt;Assumptions!$I$52,IS!Z6&gt;Assumptions!$I$52),12*'Power Price Assumption'!AB25*Assumptions!$I$65,IF(AND(IS!Z6&lt;Assumptions!$I$52,IS!AA6&gt;Assumptions!$I$52),IS!$C$6*'Power Price Assumption'!AB25*12*Assumptions!$I$65,0))</f>
        <v>16764.394268339605</v>
      </c>
      <c r="AB17" s="402">
        <f>IF(AND(AB6&gt;Assumptions!$I$52,IS!AA6&gt;Assumptions!$I$52),12*'Power Price Assumption'!AC25*Assumptions!$I$65,IF(AND(IS!AA6&lt;Assumptions!$I$52,IS!AB6&gt;Assumptions!$I$52),IS!$C$6*'Power Price Assumption'!AC25*12*Assumptions!$I$65,0))</f>
        <v>16888.181989730292</v>
      </c>
      <c r="AC17" s="402">
        <f>IF(AND(AC6&gt;Assumptions!$I$52,IS!AB6&gt;Assumptions!$I$52),12*'Power Price Assumption'!AD25*Assumptions!$I$65,IF(AND(IS!AB6&lt;Assumptions!$I$52,IS!AC6&gt;Assumptions!$I$52),IS!$C$6*'Power Price Assumption'!AD25*12*Assumptions!$I$65,0))</f>
        <v>17011.969711120979</v>
      </c>
      <c r="AD17" s="402">
        <f>IF(AND(AD6&gt;Assumptions!$I$52,IS!AC6&gt;Assumptions!$I$52),12*'Power Price Assumption'!AE25*Assumptions!$I$65,IF(AND(IS!AC6&lt;Assumptions!$I$52,IS!AD6&gt;Assumptions!$I$52),IS!$C$6*'Power Price Assumption'!AE25*12*Assumptions!$I$65,0))</f>
        <v>17135.757432511688</v>
      </c>
      <c r="AE17" s="402">
        <f>IF(AND(AE6&gt;Assumptions!$I$52,IS!AD6&gt;Assumptions!$I$52),12*'Power Price Assumption'!AF25*Assumptions!$I$65,IF(AND(IS!AD6&lt;Assumptions!$I$52,IS!AE6&gt;Assumptions!$I$52),IS!$C$6*'Power Price Assumption'!AF25*12*Assumptions!$I$65,0))</f>
        <v>17259.545153902378</v>
      </c>
      <c r="AF17" s="402">
        <f>IF(AND(AF6&gt;Assumptions!$I$52,IS!AE6&gt;Assumptions!$I$52),12*'Power Price Assumption'!AG25*Assumptions!$I$65,IF(AND(IS!AE6&lt;Assumptions!$I$52,IS!AF6&gt;Assumptions!$I$52),IS!$C$6*'Power Price Assumption'!AG25*12*Assumptions!$I$65,0))</f>
        <v>17383.332875293065</v>
      </c>
      <c r="AG17" s="402">
        <f>IF(AND(AG6&gt;Assumptions!$I$52,IS!AF6&gt;Assumptions!$I$52),12*'Power Price Assumption'!AH25*Assumptions!$I$65,IF(AND(IS!AF6&lt;Assumptions!$I$52,IS!AG6&gt;Assumptions!$I$52),IS!$C$6*'Power Price Assumption'!AH25*12*Assumptions!$I$65,0))</f>
        <v>17507.120596683755</v>
      </c>
    </row>
    <row r="18" spans="1:33">
      <c r="A18" s="3" t="s">
        <v>246</v>
      </c>
      <c r="B18" s="401"/>
      <c r="C18" s="402">
        <f>IF(AND(C6&gt;Assumptions!$I$52,B6&gt;Assumptions!$I$52),Assumptions!$P$28*Assumptions!$I$66/1000,IF(AND(B6&lt;Assumptions!$I$52,IS!C6&gt;Assumptions!$I$52),Assumptions!$P$28*Assumptions!$I$66/1000*IS!$C$6,0))</f>
        <v>0</v>
      </c>
      <c r="D18" s="402">
        <f>IF(AND(D6&gt;Assumptions!$I$52,IS!C6&gt;Assumptions!$I$52),Assumptions!$P$28*Assumptions!$I$66/1000*(1+Assumptions!$O$21)^(IS!D6-IS!$C$6),IF(AND(IS!C6&lt;Assumptions!$I$52,IS!D6&gt;Assumptions!$I$52),C12*(1+Assumptions!$O$21)-D12,0))</f>
        <v>0</v>
      </c>
      <c r="E18" s="402">
        <f>IF(AND(E6&gt;Assumptions!$I$52,IS!D6&gt;Assumptions!$I$52),Assumptions!$P$28*Assumptions!$I$66/1000*(1+Assumptions!$O$21)^(IS!E6-IS!$C$6),IF(AND(IS!D6&lt;Assumptions!$I$52,IS!E6&gt;Assumptions!$I$52),D12*(1+Assumptions!$O$21)-E12,0))</f>
        <v>0</v>
      </c>
      <c r="F18" s="402">
        <f>IF(AND(F6&gt;Assumptions!$I$52,IS!E6&gt;Assumptions!$I$52),Assumptions!$P$28*Assumptions!$I$66/1000*(1+Assumptions!$O$21)^(IS!F6-IS!$C$6),IF(AND(IS!E6&lt;Assumptions!$I$52,IS!F6&gt;Assumptions!$I$52),E12*(1+Assumptions!$O$21)-F12,0))</f>
        <v>0.68964186424000018</v>
      </c>
      <c r="G18" s="402">
        <f>IF(AND(G6&gt;Assumptions!$I$52,IS!F6&gt;Assumptions!$I$52),Assumptions!$P$28*Assumptions!$I$66/1000*(1+Assumptions!$O$21)^(IS!G6-IS!$C$6),IF(AND(IS!F6&lt;Assumptions!$I$52,IS!G6&gt;Assumptions!$I$52),Assumptions!$P$28*Assumptions!$I$66/1000*(1+Assumptions!$O$21)^(IS!G6-IS!$C$6)*(1-$C$6),0))</f>
        <v>2.1309933605016003</v>
      </c>
      <c r="H18" s="402">
        <f>IF(AND(H6&gt;Assumptions!$I$52,IS!G6&gt;Assumptions!$I$52),Assumptions!$P$28*Assumptions!$I$66/1000*(1+Assumptions!$O$21)^(IS!H6-IS!$C$6),IF(AND(IS!G6&lt;Assumptions!$I$52,IS!H6&gt;Assumptions!$I$52),G12*(1+Assumptions!$O$21)-H12,0))</f>
        <v>2.1949231613166482</v>
      </c>
      <c r="I18" s="402">
        <f>IF(AND(I6&gt;Assumptions!$I$52,IS!H6&gt;Assumptions!$I$52),Assumptions!$P$28*Assumptions!$I$66/1000*(1+Assumptions!$O$21)^(IS!I6-IS!$C$6),IF(AND(IS!H6&lt;Assumptions!$I$52,IS!I6&gt;Assumptions!$I$52),H12*(1+Assumptions!$O$21)-I12,0))</f>
        <v>2.2607708561561477</v>
      </c>
      <c r="J18" s="402">
        <f>IF(AND(J6&gt;Assumptions!$I$52,IS!I6&gt;Assumptions!$I$52),Assumptions!$P$28*Assumptions!$I$66/1000*(1+Assumptions!$O$21)^(IS!J6-IS!$C$6),IF(AND(IS!I6&lt;Assumptions!$I$52,IS!J6&gt;Assumptions!$I$52),I12*(1+Assumptions!$O$21)-J12,0))</f>
        <v>2.3285939818408323</v>
      </c>
      <c r="K18" s="402">
        <f>IF(AND(K6&gt;Assumptions!$I$52,IS!J6&gt;Assumptions!$I$52),Assumptions!$P$28*Assumptions!$I$66/1000*(1+Assumptions!$O$21)^(IS!K6-IS!$C$6),IF(AND(IS!J6&lt;Assumptions!$I$52,IS!K6&gt;Assumptions!$I$52),J12*(1+Assumptions!$O$21)-K12,0))</f>
        <v>2.3984518012960576</v>
      </c>
      <c r="L18" s="402">
        <f>IF(AND(L6&gt;Assumptions!$I$52,IS!K6&gt;Assumptions!$I$52),Assumptions!$P$28*Assumptions!$I$66/1000*(1+Assumptions!$O$21)^(IS!L6-IS!$C$6),IF(AND(IS!K6&lt;Assumptions!$I$52,IS!L6&gt;Assumptions!$I$52),K12*(1+Assumptions!$O$21)-L12,0))</f>
        <v>2.4704053553349383</v>
      </c>
      <c r="M18" s="402">
        <f>IF(AND(M6&gt;Assumptions!$I$52,IS!L6&gt;Assumptions!$I$52),Assumptions!$P$28*Assumptions!$I$66/1000*(1+Assumptions!$O$21)^(IS!M6-IS!$C$6),IF(AND(IS!L6&lt;Assumptions!$I$52,IS!M6&gt;Assumptions!$I$52),L12*(1+Assumptions!$O$21)-M12,0))</f>
        <v>2.5445175159949867</v>
      </c>
      <c r="N18" s="402">
        <f>IF(AND(N6&gt;Assumptions!$I$52,IS!M6&gt;Assumptions!$I$52),Assumptions!$P$28*Assumptions!$I$66/1000*(1+Assumptions!$O$21)^(IS!N6-IS!$C$6),IF(AND(IS!M6&lt;Assumptions!$I$52,IS!N6&gt;Assumptions!$I$52),M12*(1+Assumptions!$O$21)-N12,0))</f>
        <v>2.6208530414748363</v>
      </c>
      <c r="O18" s="402">
        <f>IF(AND(O6&gt;Assumptions!$I$52,IS!N6&gt;Assumptions!$I$52),Assumptions!$P$28*Assumptions!$I$66/1000*(1+Assumptions!$O$21)^(IS!O6-IS!$C$6),IF(AND(IS!N6&lt;Assumptions!$I$52,IS!O6&gt;Assumptions!$I$52),N12*(1+Assumptions!$O$21)-O12,0))</f>
        <v>2.6994786327190812</v>
      </c>
      <c r="P18" s="402">
        <f>IF(AND(P6&gt;Assumptions!$I$52,IS!O6&gt;Assumptions!$I$52),Assumptions!$P$28*Assumptions!$I$66/1000*(1+Assumptions!$O$21)^(IS!P6-IS!$C$6),IF(AND(IS!O6&lt;Assumptions!$I$52,IS!P6&gt;Assumptions!$I$52),O12*(1+Assumptions!$O$21)-P12,0))</f>
        <v>2.7804629917006531</v>
      </c>
      <c r="Q18" s="402">
        <f>IF(AND(Q6&gt;Assumptions!$I$52,IS!P6&gt;Assumptions!$I$52),Assumptions!$P$28*Assumptions!$I$66/1000*(1+Assumptions!$O$21)^(IS!Q6-IS!$C$6),IF(AND(IS!P6&lt;Assumptions!$I$52,IS!Q6&gt;Assumptions!$I$52),P12*(1+Assumptions!$O$21)-Q12,0))</f>
        <v>2.8638768814516733</v>
      </c>
      <c r="R18" s="402">
        <f>IF(AND(R6&gt;Assumptions!$I$52,IS!Q6&gt;Assumptions!$I$52),Assumptions!$P$28*Assumptions!$I$66/1000*(1+Assumptions!$O$21)^(IS!R6-IS!$C$6),IF(AND(IS!Q6&lt;Assumptions!$I$52,IS!R6&gt;Assumptions!$I$52),Q12*(1+Assumptions!$O$21)-R12,0))</f>
        <v>2.9497931878952235</v>
      </c>
      <c r="S18" s="402">
        <f>IF(AND(S6&gt;Assumptions!$I$52,IS!R6&gt;Assumptions!$I$52),Assumptions!$P$28*Assumptions!$I$66/1000*(1+Assumptions!$O$21)^(IS!S6-IS!$C$6),IF(AND(IS!R6&lt;Assumptions!$I$52,IS!S6&gt;Assumptions!$I$52),R12*(1+Assumptions!$O$21)-S12,0))</f>
        <v>3.0382869835320818</v>
      </c>
      <c r="T18" s="402">
        <f>IF(AND(T6&gt;Assumptions!$I$52,IS!S6&gt;Assumptions!$I$52),Assumptions!$P$28*Assumptions!$I$66/1000*(1+Assumptions!$O$21)^(IS!T6-IS!$C$6),IF(AND(IS!S6&lt;Assumptions!$I$52,IS!T6&gt;Assumptions!$I$52),S12*(1+Assumptions!$O$21)-T12,0))</f>
        <v>3.1294355930380444</v>
      </c>
      <c r="U18" s="402">
        <f>IF(AND(U6&gt;Assumptions!$I$52,IS!T6&gt;Assumptions!$I$52),Assumptions!$P$28*Assumptions!$I$66/1000*(1+Assumptions!$O$21)^(IS!U6-IS!$C$6),IF(AND(IS!T6&lt;Assumptions!$I$52,IS!U6&gt;Assumptions!$I$52),T12*(1+Assumptions!$O$21)-U12,0))</f>
        <v>3.2233186608291855</v>
      </c>
      <c r="V18" s="402">
        <f>IF(AND(V6&gt;Assumptions!$I$52,IS!U6&gt;Assumptions!$I$52),Assumptions!$P$28*Assumptions!$I$66/1000*(1+Assumptions!$O$21)^(IS!V6-IS!$C$6),IF(AND(IS!U6&lt;Assumptions!$I$52,IS!V6&gt;Assumptions!$I$52),U12*(1+Assumptions!$O$21)-V12,0))</f>
        <v>3.3200182206540614</v>
      </c>
      <c r="W18" s="402">
        <f>IF(AND(W6&gt;Assumptions!$I$52,IS!V6&gt;Assumptions!$I$52),Assumptions!$P$28*Assumptions!$I$66/1000*(1+Assumptions!$O$21)^(IS!W6-IS!$C$6),IF(AND(IS!V6&lt;Assumptions!$I$52,IS!W6&gt;Assumptions!$I$52),V12*(1+Assumptions!$O$21)-W12,0))</f>
        <v>3.4196187672736831</v>
      </c>
      <c r="X18" s="402">
        <f>IF(AND(X6&gt;Assumptions!$I$52,IS!W6&gt;Assumptions!$I$52),Assumptions!$P$28*Assumptions!$I$66/1000*(1+Assumptions!$O$21)^(IS!X6-IS!$C$6),IF(AND(IS!W6&lt;Assumptions!$I$52,IS!X6&gt;Assumptions!$I$52),W12*(1+Assumptions!$O$21)-X12,0))</f>
        <v>3.5222073302918933</v>
      </c>
      <c r="Y18" s="402">
        <f>IF(AND(Y6&gt;Assumptions!$I$52,IS!X6&gt;Assumptions!$I$52),Assumptions!$P$28*Assumptions!$I$66/1000*(1+Assumptions!$O$21)^(IS!Y6-IS!$C$6),IF(AND(IS!X6&lt;Assumptions!$I$52,IS!Y6&gt;Assumptions!$I$52),X12*(1+Assumptions!$O$21)-Y12,0))</f>
        <v>3.6278735502006505</v>
      </c>
      <c r="Z18" s="402">
        <f>IF(AND(Z6&gt;Assumptions!$I$52,IS!Y6&gt;Assumptions!$I$52),Assumptions!$P$28*Assumptions!$I$66/1000*(1+Assumptions!$O$21)^(IS!Z6-IS!$C$6),IF(AND(IS!Y6&lt;Assumptions!$I$52,IS!Z6&gt;Assumptions!$I$52),Y12*(1+Assumptions!$O$21)-Z12,0))</f>
        <v>3.73670975670667</v>
      </c>
      <c r="AA18" s="402">
        <f>IF(AND(AA6&gt;Assumptions!$I$52,IS!Z6&gt;Assumptions!$I$52),Assumptions!$P$28*Assumptions!$I$66/1000*(1+Assumptions!$O$21)^(IS!AA6-IS!$C$6),IF(AND(IS!Z6&lt;Assumptions!$I$52,IS!AA6&gt;Assumptions!$I$52),Z12*(1+Assumptions!$O$21)-AA12,0))</f>
        <v>3.8488110494078702</v>
      </c>
      <c r="AB18" s="402">
        <f>IF(AND(AB6&gt;Assumptions!$I$52,IS!AA6&gt;Assumptions!$I$52),Assumptions!$P$28*Assumptions!$I$66/1000*(1+Assumptions!$O$21)^(IS!AB6-IS!$C$6),IF(AND(IS!AA6&lt;Assumptions!$I$52,IS!AB6&gt;Assumptions!$I$52),AA12*(1+Assumptions!$O$21)-AB12,0))</f>
        <v>3.9642753808901068</v>
      </c>
      <c r="AC18" s="402">
        <f>IF(AND(AC6&gt;Assumptions!$I$52,IS!AB6&gt;Assumptions!$I$52),Assumptions!$P$28*Assumptions!$I$66/1000*(1+Assumptions!$O$21)^(IS!AC6-IS!$C$6),IF(AND(IS!AB6&lt;Assumptions!$I$52,IS!AC6&gt;Assumptions!$I$52),AB12*(1+Assumptions!$O$21)-AC12,0))</f>
        <v>4.0832036423168097</v>
      </c>
      <c r="AD18" s="402">
        <f>IF(AND(AD6&gt;Assumptions!$I$52,IS!AC6&gt;Assumptions!$I$52),Assumptions!$P$28*Assumptions!$I$66/1000*(1+Assumptions!$O$21)^(IS!AD6-IS!$C$6),IF(AND(IS!AC6&lt;Assumptions!$I$52,IS!AD6&gt;Assumptions!$I$52),AC12*(1+Assumptions!$O$21)-AD12,0))</f>
        <v>4.2056997515863142</v>
      </c>
      <c r="AE18" s="402">
        <f>IF(AND(AE6&gt;Assumptions!$I$52,IS!AD6&gt;Assumptions!$I$52),Assumptions!$P$28*Assumptions!$I$66/1000*(1+Assumptions!$O$21)^(IS!AE6-IS!$C$6),IF(AND(IS!AD6&lt;Assumptions!$I$52,IS!AE6&gt;Assumptions!$I$52),AD12*(1+Assumptions!$O$21)-AE12,0))</f>
        <v>4.3318707441339042</v>
      </c>
      <c r="AF18" s="402">
        <f>IF(AND(AF6&gt;Assumptions!$I$52,IS!AE6&gt;Assumptions!$I$52),Assumptions!$P$28*Assumptions!$I$66/1000*(1+Assumptions!$O$21)^(IS!AF6-IS!$C$6),IF(AND(IS!AE6&lt;Assumptions!$I$52,IS!AF6&gt;Assumptions!$I$52),AE12*(1+Assumptions!$O$21)-AF12,0))</f>
        <v>4.4618268664579208</v>
      </c>
      <c r="AG18" s="402">
        <f>IF(AND(AG6&gt;Assumptions!$I$52,IS!AF6&gt;Assumptions!$I$52),Assumptions!$P$28*Assumptions!$I$66/1000*(1+Assumptions!$O$21)^(IS!AG6-IS!$C$6),IF(AND(IS!AF6&lt;Assumptions!$I$52,IS!AG6&gt;Assumptions!$I$52),AF12*(1+Assumptions!$O$21)-AG12,0))</f>
        <v>4.5956816724516587</v>
      </c>
    </row>
    <row r="19" spans="1:33">
      <c r="A19" s="3" t="s">
        <v>247</v>
      </c>
      <c r="C19" s="402">
        <v>0</v>
      </c>
      <c r="D19" s="402">
        <v>0</v>
      </c>
      <c r="E19" s="402">
        <v>0</v>
      </c>
      <c r="F19" s="402">
        <v>0</v>
      </c>
      <c r="G19" s="402">
        <v>0</v>
      </c>
      <c r="H19" s="402">
        <v>0</v>
      </c>
      <c r="I19" s="402">
        <v>0</v>
      </c>
      <c r="J19" s="402">
        <v>0</v>
      </c>
      <c r="K19" s="402">
        <v>0</v>
      </c>
      <c r="L19" s="402">
        <v>0</v>
      </c>
      <c r="M19" s="402">
        <v>0</v>
      </c>
      <c r="N19" s="402">
        <v>0</v>
      </c>
      <c r="O19" s="402">
        <v>0</v>
      </c>
      <c r="P19" s="402">
        <v>0</v>
      </c>
      <c r="Q19" s="402">
        <v>0</v>
      </c>
      <c r="R19" s="402">
        <v>0</v>
      </c>
      <c r="S19" s="402">
        <v>0</v>
      </c>
      <c r="T19" s="402">
        <v>0</v>
      </c>
      <c r="U19" s="402">
        <v>0</v>
      </c>
      <c r="V19" s="402">
        <v>0</v>
      </c>
      <c r="W19" s="402">
        <v>0</v>
      </c>
      <c r="X19" s="402">
        <v>0</v>
      </c>
      <c r="Y19" s="402">
        <v>0</v>
      </c>
      <c r="Z19" s="402">
        <v>0</v>
      </c>
      <c r="AA19" s="402">
        <v>0</v>
      </c>
      <c r="AB19" s="402">
        <v>0</v>
      </c>
      <c r="AC19" s="402">
        <v>0</v>
      </c>
      <c r="AD19" s="402">
        <v>0</v>
      </c>
      <c r="AE19" s="402">
        <v>0</v>
      </c>
      <c r="AF19" s="402">
        <v>0</v>
      </c>
      <c r="AG19" s="402">
        <v>0</v>
      </c>
    </row>
    <row r="20" spans="1:33">
      <c r="A20" s="3" t="s">
        <v>242</v>
      </c>
      <c r="C20" s="402">
        <v>0</v>
      </c>
      <c r="D20" s="402">
        <v>0</v>
      </c>
      <c r="E20" s="402">
        <v>0</v>
      </c>
      <c r="F20" s="402">
        <v>0</v>
      </c>
      <c r="G20" s="402">
        <v>0</v>
      </c>
      <c r="H20" s="402">
        <v>0</v>
      </c>
      <c r="I20" s="402">
        <v>0</v>
      </c>
      <c r="J20" s="402">
        <v>0</v>
      </c>
      <c r="K20" s="402">
        <v>0</v>
      </c>
      <c r="L20" s="402">
        <v>0</v>
      </c>
      <c r="M20" s="402">
        <v>0</v>
      </c>
      <c r="N20" s="402">
        <v>0</v>
      </c>
      <c r="O20" s="402">
        <v>0</v>
      </c>
      <c r="P20" s="402">
        <v>0</v>
      </c>
      <c r="Q20" s="402">
        <v>0</v>
      </c>
      <c r="R20" s="402">
        <v>0</v>
      </c>
      <c r="S20" s="402">
        <v>0</v>
      </c>
      <c r="T20" s="402">
        <v>0</v>
      </c>
      <c r="U20" s="402">
        <v>0</v>
      </c>
      <c r="V20" s="402">
        <v>0</v>
      </c>
      <c r="W20" s="402">
        <v>0</v>
      </c>
      <c r="X20" s="402">
        <v>0</v>
      </c>
      <c r="Y20" s="402">
        <v>0</v>
      </c>
      <c r="Z20" s="402">
        <v>0</v>
      </c>
      <c r="AA20" s="402">
        <v>0</v>
      </c>
      <c r="AB20" s="402">
        <v>0</v>
      </c>
      <c r="AC20" s="402">
        <v>0</v>
      </c>
      <c r="AD20" s="402">
        <v>0</v>
      </c>
      <c r="AE20" s="402">
        <v>0</v>
      </c>
      <c r="AF20" s="402">
        <v>0</v>
      </c>
      <c r="AG20" s="402">
        <v>0</v>
      </c>
    </row>
    <row r="21" spans="1:33"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 spans="1:33">
      <c r="A22" s="321" t="s">
        <v>75</v>
      </c>
      <c r="C22" s="402">
        <f>IF(AND(C6&gt;Assumptions!$I$52,B6&gt;Assumptions!$I$52),Assumptions!$I$68*Assumptions!$I$14*Assumptions!$I$69*Assumptions!$I$65/1000,IF(AND(C6&gt;Assumptions!$I$52,B6&lt;Assumptions!$I$52),Assumptions!$I$68*Assumptions!$I$14*Assumptions!$I$69*Assumptions!$I$65/1000*$C$6,0))</f>
        <v>0</v>
      </c>
      <c r="D22" s="402">
        <f>IF(AND(D6&gt;Assumptions!$I$52,IS!C6&gt;Assumptions!$I$52),Assumptions!$I$68*Assumptions!$I$14*Assumptions!$I$69*Assumptions!$I$65/1000,IF(AND(D6&gt;Assumptions!$I$52,IS!C6&lt;Assumptions!$I$52),Assumptions!$I$68*Assumptions!$I$14*Assumptions!$I$69*Assumptions!$I$65/1000*$C$6,0))</f>
        <v>0</v>
      </c>
      <c r="E22" s="402">
        <f>IF(AND(E6&gt;Assumptions!$I$52,IS!D6&gt;Assumptions!$I$52),Assumptions!$I$68*Assumptions!$I$14*Assumptions!$I$69*Assumptions!$I$65/1000,IF(AND(E6&gt;Assumptions!$I$52,IS!D6&lt;Assumptions!$I$52),Assumptions!$I$68*Assumptions!$I$14*Assumptions!$I$69*Assumptions!$I$65/1000*$C$6,0))</f>
        <v>0</v>
      </c>
      <c r="F22" s="402">
        <f>IF(AND(F6&gt;Assumptions!$I$52,IS!E6&gt;Assumptions!$I$52),Assumptions!$I$68*Assumptions!$I$14*Assumptions!$I$69*Assumptions!$I$65/1000,IF(AND(F6&gt;Assumptions!$I$52,IS!E6&lt;Assumptions!$I$52),Assumptions!$I$68*Assumptions!$I$14*Assumptions!$I$69*Assumptions!$I$65/1000*$C$6,0))</f>
        <v>3.0419199999999997</v>
      </c>
      <c r="G22" s="402">
        <f>IF(AND(G6&gt;Assumptions!$I$52,IS!F6&gt;Assumptions!$I$52),Assumptions!$I$68*Assumptions!$I$14*Assumptions!$I$69*Assumptions!$I$65/1000,IF(AND(G6&gt;Assumptions!$I$52,IS!F6&lt;Assumptions!$I$52),Assumptions!$I$68*Assumptions!$I$14*Assumptions!$I$69*Assumptions!$I$65/1000*$C$6,0))</f>
        <v>4.5628799999999998</v>
      </c>
      <c r="H22" s="402">
        <f>IF(AND(H6&gt;Assumptions!$I$52,IS!G6&gt;Assumptions!$I$52),Assumptions!$I$68*Assumptions!$I$14*Assumptions!$I$69*Assumptions!$I$65/1000,IF(AND(H6&gt;Assumptions!$I$52,IS!G6&lt;Assumptions!$I$52),Assumptions!$I$68*Assumptions!$I$14*Assumptions!$I$69*Assumptions!$I$65/1000*$C$6,0))</f>
        <v>4.5628799999999998</v>
      </c>
      <c r="I22" s="402">
        <f>IF(AND(I6&gt;Assumptions!$I$52,IS!H6&gt;Assumptions!$I$52),Assumptions!$I$68*Assumptions!$I$14*Assumptions!$I$69*Assumptions!$I$65/1000,IF(AND(I6&gt;Assumptions!$I$52,IS!H6&lt;Assumptions!$I$52),Assumptions!$I$68*Assumptions!$I$14*Assumptions!$I$69*Assumptions!$I$65/1000*$C$6,0))</f>
        <v>4.5628799999999998</v>
      </c>
      <c r="J22" s="402">
        <f>IF(AND(J6&gt;Assumptions!$I$52,IS!I6&gt;Assumptions!$I$52),Assumptions!$I$68*Assumptions!$I$14*Assumptions!$I$69*Assumptions!$I$65/1000,IF(AND(J6&gt;Assumptions!$I$52,IS!I6&lt;Assumptions!$I$52),Assumptions!$I$68*Assumptions!$I$14*Assumptions!$I$69*Assumptions!$I$65/1000*$C$6,0))</f>
        <v>4.5628799999999998</v>
      </c>
      <c r="K22" s="402">
        <f>IF(AND(K6&gt;Assumptions!$I$52,IS!J6&gt;Assumptions!$I$52),Assumptions!$I$68*Assumptions!$I$14*Assumptions!$I$69*Assumptions!$I$65/1000,IF(AND(K6&gt;Assumptions!$I$52,IS!J6&lt;Assumptions!$I$52),Assumptions!$I$68*Assumptions!$I$14*Assumptions!$I$69*Assumptions!$I$65/1000*$C$6,0))</f>
        <v>4.5628799999999998</v>
      </c>
      <c r="L22" s="402">
        <f>IF(AND(L6&gt;Assumptions!$I$52,IS!K6&gt;Assumptions!$I$52),Assumptions!$I$68*Assumptions!$I$14*Assumptions!$I$69*Assumptions!$I$65/1000,IF(AND(L6&gt;Assumptions!$I$52,IS!K6&lt;Assumptions!$I$52),Assumptions!$I$68*Assumptions!$I$14*Assumptions!$I$69*Assumptions!$I$65/1000*$C$6,0))</f>
        <v>4.5628799999999998</v>
      </c>
      <c r="M22" s="402">
        <f>IF(AND(M6&gt;Assumptions!$I$52,IS!L6&gt;Assumptions!$I$52),Assumptions!$I$68*Assumptions!$I$14*Assumptions!$I$69*Assumptions!$I$65/1000,IF(AND(M6&gt;Assumptions!$I$52,IS!L6&lt;Assumptions!$I$52),Assumptions!$I$68*Assumptions!$I$14*Assumptions!$I$69*Assumptions!$I$65/1000*$C$6,0))</f>
        <v>4.5628799999999998</v>
      </c>
      <c r="N22" s="402">
        <f>IF(AND(N6&gt;Assumptions!$I$52,IS!M6&gt;Assumptions!$I$52),Assumptions!$I$68*Assumptions!$I$14*Assumptions!$I$69*Assumptions!$I$65/1000,IF(AND(N6&gt;Assumptions!$I$52,IS!M6&lt;Assumptions!$I$52),Assumptions!$I$68*Assumptions!$I$14*Assumptions!$I$69*Assumptions!$I$65/1000*$C$6,0))</f>
        <v>4.5628799999999998</v>
      </c>
      <c r="O22" s="402">
        <f>IF(AND(O6&gt;Assumptions!$I$52,IS!N6&gt;Assumptions!$I$52),Assumptions!$I$68*Assumptions!$I$14*Assumptions!$I$69*Assumptions!$I$65/1000,IF(AND(O6&gt;Assumptions!$I$52,IS!N6&lt;Assumptions!$I$52),Assumptions!$I$68*Assumptions!$I$14*Assumptions!$I$69*Assumptions!$I$65/1000*$C$6,0))</f>
        <v>4.5628799999999998</v>
      </c>
      <c r="P22" s="402">
        <f>IF(AND(P6&gt;Assumptions!$I$52,IS!O6&gt;Assumptions!$I$52),Assumptions!$I$68*Assumptions!$I$14*Assumptions!$I$69*Assumptions!$I$65/1000,IF(AND(P6&gt;Assumptions!$I$52,IS!O6&lt;Assumptions!$I$52),Assumptions!$I$68*Assumptions!$I$14*Assumptions!$I$69*Assumptions!$I$65/1000*$C$6,0))</f>
        <v>4.5628799999999998</v>
      </c>
      <c r="Q22" s="402">
        <f>IF(AND(Q6&gt;Assumptions!$I$52,IS!P6&gt;Assumptions!$I$52),Assumptions!$I$68*Assumptions!$I$14*Assumptions!$I$69*Assumptions!$I$65/1000,IF(AND(Q6&gt;Assumptions!$I$52,IS!P6&lt;Assumptions!$I$52),Assumptions!$I$68*Assumptions!$I$14*Assumptions!$I$69*Assumptions!$I$65/1000*$C$6,0))</f>
        <v>4.5628799999999998</v>
      </c>
      <c r="R22" s="402">
        <f>IF(AND(R6&gt;Assumptions!$I$52,IS!Q6&gt;Assumptions!$I$52),Assumptions!$I$68*Assumptions!$I$14*Assumptions!$I$69*Assumptions!$I$65/1000,IF(AND(R6&gt;Assumptions!$I$52,IS!Q6&lt;Assumptions!$I$52),Assumptions!$I$68*Assumptions!$I$14*Assumptions!$I$69*Assumptions!$I$65/1000*$C$6,0))</f>
        <v>4.5628799999999998</v>
      </c>
      <c r="S22" s="402">
        <f>IF(AND(S6&gt;Assumptions!$I$52,IS!R6&gt;Assumptions!$I$52),Assumptions!$I$68*Assumptions!$I$14*Assumptions!$I$69*Assumptions!$I$65/1000,IF(AND(S6&gt;Assumptions!$I$52,IS!R6&lt;Assumptions!$I$52),Assumptions!$I$68*Assumptions!$I$14*Assumptions!$I$69*Assumptions!$I$65/1000*$C$6,0))</f>
        <v>4.5628799999999998</v>
      </c>
      <c r="T22" s="402">
        <f>IF(AND(T6&gt;Assumptions!$I$52,IS!S6&gt;Assumptions!$I$52),Assumptions!$I$68*Assumptions!$I$14*Assumptions!$I$69*Assumptions!$I$65/1000,IF(AND(T6&gt;Assumptions!$I$52,IS!S6&lt;Assumptions!$I$52),Assumptions!$I$68*Assumptions!$I$14*Assumptions!$I$69*Assumptions!$I$65/1000*$C$6,0))</f>
        <v>4.5628799999999998</v>
      </c>
      <c r="U22" s="402">
        <f>IF(AND(U6&gt;Assumptions!$I$52,IS!T6&gt;Assumptions!$I$52),Assumptions!$I$68*Assumptions!$I$14*Assumptions!$I$69*Assumptions!$I$65/1000,IF(AND(U6&gt;Assumptions!$I$52,IS!T6&lt;Assumptions!$I$52),Assumptions!$I$68*Assumptions!$I$14*Assumptions!$I$69*Assumptions!$I$65/1000*$C$6,0))</f>
        <v>4.5628799999999998</v>
      </c>
      <c r="V22" s="402">
        <f>IF(AND(V6&gt;Assumptions!$I$52,IS!U6&gt;Assumptions!$I$52),Assumptions!$I$68*Assumptions!$I$14*Assumptions!$I$69*Assumptions!$I$65/1000,IF(AND(V6&gt;Assumptions!$I$52,IS!U6&lt;Assumptions!$I$52),Assumptions!$I$68*Assumptions!$I$14*Assumptions!$I$69*Assumptions!$I$65/1000*$C$6,0))</f>
        <v>4.5628799999999998</v>
      </c>
      <c r="W22" s="402">
        <f>IF(AND(W6&gt;Assumptions!$I$52,IS!V6&gt;Assumptions!$I$52),Assumptions!$I$68*Assumptions!$I$14*Assumptions!$I$69*Assumptions!$I$65/1000,IF(AND(W6&gt;Assumptions!$I$52,IS!V6&lt;Assumptions!$I$52),Assumptions!$I$68*Assumptions!$I$14*Assumptions!$I$69*Assumptions!$I$65/1000*$C$6,0))</f>
        <v>4.5628799999999998</v>
      </c>
      <c r="X22" s="402">
        <f>IF(AND(X6&gt;Assumptions!$I$52,IS!W6&gt;Assumptions!$I$52),Assumptions!$I$68*Assumptions!$I$14*Assumptions!$I$69*Assumptions!$I$65/1000,IF(AND(X6&gt;Assumptions!$I$52,IS!W6&lt;Assumptions!$I$52),Assumptions!$I$68*Assumptions!$I$14*Assumptions!$I$69*Assumptions!$I$65/1000*$C$6,0))</f>
        <v>4.5628799999999998</v>
      </c>
      <c r="Y22" s="402">
        <f>IF(AND(Y6&gt;Assumptions!$I$52,IS!X6&gt;Assumptions!$I$52),Assumptions!$I$68*Assumptions!$I$14*Assumptions!$I$69*Assumptions!$I$65/1000,IF(AND(Y6&gt;Assumptions!$I$52,IS!X6&lt;Assumptions!$I$52),Assumptions!$I$68*Assumptions!$I$14*Assumptions!$I$69*Assumptions!$I$65/1000*$C$6,0))</f>
        <v>4.5628799999999998</v>
      </c>
      <c r="Z22" s="402">
        <f>IF(AND(Z6&gt;Assumptions!$I$52,IS!Y6&gt;Assumptions!$I$52),Assumptions!$I$68*Assumptions!$I$14*Assumptions!$I$69*Assumptions!$I$65/1000,IF(AND(Z6&gt;Assumptions!$I$52,IS!Y6&lt;Assumptions!$I$52),Assumptions!$I$68*Assumptions!$I$14*Assumptions!$I$69*Assumptions!$I$65/1000*$C$6,0))</f>
        <v>4.5628799999999998</v>
      </c>
      <c r="AA22" s="402">
        <f>IF(AND(AA6&gt;Assumptions!$I$52,IS!Z6&gt;Assumptions!$I$52),Assumptions!$I$68*Assumptions!$I$14*Assumptions!$I$69*Assumptions!$I$65/1000,IF(AND(AA6&gt;Assumptions!$I$52,IS!Z6&lt;Assumptions!$I$52),Assumptions!$I$68*Assumptions!$I$14*Assumptions!$I$69*Assumptions!$I$65/1000*$C$6,0))</f>
        <v>4.5628799999999998</v>
      </c>
      <c r="AB22" s="402">
        <f>IF(AND(AB6&gt;Assumptions!$I$52,IS!AA6&gt;Assumptions!$I$52),Assumptions!$I$68*Assumptions!$I$14*Assumptions!$I$69*Assumptions!$I$65/1000,IF(AND(AB6&gt;Assumptions!$I$52,IS!AA6&lt;Assumptions!$I$52),Assumptions!$I$68*Assumptions!$I$14*Assumptions!$I$69*Assumptions!$I$65/1000*$C$6,0))</f>
        <v>4.5628799999999998</v>
      </c>
      <c r="AC22" s="402">
        <f>IF(AND(AC6&gt;Assumptions!$I$52,IS!AB6&gt;Assumptions!$I$52),Assumptions!$I$68*Assumptions!$I$14*Assumptions!$I$69*Assumptions!$I$65/1000,IF(AND(AC6&gt;Assumptions!$I$52,IS!AB6&lt;Assumptions!$I$52),Assumptions!$I$68*Assumptions!$I$14*Assumptions!$I$69*Assumptions!$I$65/1000*$C$6,0))</f>
        <v>4.5628799999999998</v>
      </c>
      <c r="AD22" s="402">
        <f>IF(AND(AD6&gt;Assumptions!$I$52,IS!AC6&gt;Assumptions!$I$52),Assumptions!$I$68*Assumptions!$I$14*Assumptions!$I$69*Assumptions!$I$65/1000,IF(AND(AD6&gt;Assumptions!$I$52,IS!AC6&lt;Assumptions!$I$52),Assumptions!$I$68*Assumptions!$I$14*Assumptions!$I$69*Assumptions!$I$65/1000*$C$6,0))</f>
        <v>4.5628799999999998</v>
      </c>
      <c r="AE22" s="402">
        <f>IF(AND(AE6&gt;Assumptions!$I$52,IS!AD6&gt;Assumptions!$I$52),Assumptions!$I$68*Assumptions!$I$14*Assumptions!$I$69*Assumptions!$I$65/1000,IF(AND(AE6&gt;Assumptions!$I$52,IS!AD6&lt;Assumptions!$I$52),Assumptions!$I$68*Assumptions!$I$14*Assumptions!$I$69*Assumptions!$I$65/1000*$C$6,0))</f>
        <v>4.5628799999999998</v>
      </c>
      <c r="AF22" s="402">
        <f>IF(AND(AF6&gt;Assumptions!$I$52,IS!AE6&gt;Assumptions!$I$52),Assumptions!$I$68*Assumptions!$I$14*Assumptions!$I$69*Assumptions!$I$65/1000,IF(AND(AF6&gt;Assumptions!$I$52,IS!AE6&lt;Assumptions!$I$52),Assumptions!$I$68*Assumptions!$I$14*Assumptions!$I$69*Assumptions!$I$65/1000*$C$6,0))</f>
        <v>4.5628799999999998</v>
      </c>
      <c r="AG22" s="402">
        <f>IF(AND(AG6&gt;Assumptions!$I$52,IS!AF6&gt;Assumptions!$I$52),Assumptions!$I$68*Assumptions!$I$14*Assumptions!$I$69*Assumptions!$I$65/1000,IF(AND(AG6&gt;Assumptions!$I$52,IS!AF6&lt;Assumptions!$I$52),Assumptions!$I$68*Assumptions!$I$14*Assumptions!$I$69*Assumptions!$I$65/1000*$C$6,0))</f>
        <v>4.5628799999999998</v>
      </c>
    </row>
    <row r="23" spans="1:33">
      <c r="A23" s="454" t="s">
        <v>248</v>
      </c>
      <c r="C23" s="402">
        <v>0</v>
      </c>
      <c r="D23" s="402">
        <v>0</v>
      </c>
      <c r="E23" s="402">
        <v>0</v>
      </c>
      <c r="F23" s="402">
        <v>0</v>
      </c>
      <c r="G23" s="402">
        <v>0</v>
      </c>
      <c r="H23" s="402">
        <v>0</v>
      </c>
      <c r="I23" s="402">
        <v>0</v>
      </c>
      <c r="J23" s="402">
        <v>0</v>
      </c>
      <c r="K23" s="402">
        <v>0</v>
      </c>
      <c r="L23" s="402">
        <v>0</v>
      </c>
      <c r="M23" s="402">
        <v>0</v>
      </c>
      <c r="N23" s="402">
        <v>0</v>
      </c>
      <c r="O23" s="402">
        <v>0</v>
      </c>
      <c r="P23" s="402">
        <v>0</v>
      </c>
      <c r="Q23" s="402">
        <v>0</v>
      </c>
      <c r="R23" s="402">
        <v>0</v>
      </c>
      <c r="S23" s="402">
        <v>0</v>
      </c>
      <c r="T23" s="402">
        <v>0</v>
      </c>
      <c r="U23" s="402">
        <v>0</v>
      </c>
      <c r="V23" s="402">
        <v>0</v>
      </c>
      <c r="W23" s="402">
        <v>0</v>
      </c>
      <c r="X23" s="402">
        <v>0</v>
      </c>
      <c r="Y23" s="402">
        <v>0</v>
      </c>
      <c r="Z23" s="402">
        <v>0</v>
      </c>
      <c r="AA23" s="402">
        <v>0</v>
      </c>
      <c r="AB23" s="402">
        <v>0</v>
      </c>
      <c r="AC23" s="402">
        <v>0</v>
      </c>
      <c r="AD23" s="402">
        <v>0</v>
      </c>
      <c r="AE23" s="402">
        <v>0</v>
      </c>
      <c r="AF23" s="402">
        <v>0</v>
      </c>
      <c r="AG23" s="402">
        <v>0</v>
      </c>
    </row>
    <row r="24" spans="1:33">
      <c r="A24" s="454" t="s">
        <v>249</v>
      </c>
      <c r="C24" s="591">
        <v>0</v>
      </c>
      <c r="D24" s="591">
        <v>0</v>
      </c>
      <c r="E24" s="591">
        <v>0</v>
      </c>
      <c r="F24" s="591">
        <v>0</v>
      </c>
      <c r="G24" s="591">
        <v>0</v>
      </c>
      <c r="H24" s="591">
        <v>0</v>
      </c>
      <c r="I24" s="591">
        <v>0</v>
      </c>
      <c r="J24" s="591">
        <v>0</v>
      </c>
      <c r="K24" s="591">
        <v>0</v>
      </c>
      <c r="L24" s="591">
        <v>0</v>
      </c>
      <c r="M24" s="591">
        <v>0</v>
      </c>
      <c r="N24" s="591">
        <v>0</v>
      </c>
      <c r="O24" s="591">
        <v>0</v>
      </c>
      <c r="P24" s="591">
        <v>0</v>
      </c>
      <c r="Q24" s="591">
        <v>0</v>
      </c>
      <c r="R24" s="591">
        <v>0</v>
      </c>
      <c r="S24" s="591">
        <v>0</v>
      </c>
      <c r="T24" s="591">
        <v>0</v>
      </c>
      <c r="U24" s="591">
        <v>0</v>
      </c>
      <c r="V24" s="591">
        <v>0</v>
      </c>
      <c r="W24" s="591">
        <v>0</v>
      </c>
      <c r="X24" s="591">
        <v>0</v>
      </c>
      <c r="Y24" s="591">
        <v>0</v>
      </c>
      <c r="Z24" s="591">
        <v>0</v>
      </c>
      <c r="AA24" s="591">
        <v>0</v>
      </c>
      <c r="AB24" s="591">
        <v>0</v>
      </c>
      <c r="AC24" s="591">
        <v>0</v>
      </c>
      <c r="AD24" s="591">
        <v>0</v>
      </c>
      <c r="AE24" s="591">
        <v>0</v>
      </c>
      <c r="AF24" s="591">
        <v>0</v>
      </c>
      <c r="AG24" s="591">
        <v>0</v>
      </c>
    </row>
    <row r="25" spans="1:33">
      <c r="A25" s="454" t="s">
        <v>390</v>
      </c>
      <c r="C25" s="403">
        <f>C29</f>
        <v>4258.079616</v>
      </c>
      <c r="D25" s="403">
        <f t="shared" ref="D25:AG25" si="2">D29</f>
        <v>4258.079616</v>
      </c>
      <c r="E25" s="403">
        <f t="shared" si="2"/>
        <v>4258.079616</v>
      </c>
      <c r="F25" s="403">
        <f t="shared" si="2"/>
        <v>4258.079616</v>
      </c>
      <c r="G25" s="403">
        <f t="shared" si="2"/>
        <v>4258.079616</v>
      </c>
      <c r="H25" s="403">
        <f t="shared" si="2"/>
        <v>4258.079616</v>
      </c>
      <c r="I25" s="403">
        <f t="shared" si="2"/>
        <v>4258.079616</v>
      </c>
      <c r="J25" s="403">
        <f t="shared" si="2"/>
        <v>4258.079616</v>
      </c>
      <c r="K25" s="403">
        <f t="shared" si="2"/>
        <v>4258.079616</v>
      </c>
      <c r="L25" s="403">
        <f t="shared" si="2"/>
        <v>4258.079616</v>
      </c>
      <c r="M25" s="403">
        <f t="shared" si="2"/>
        <v>4258.079616</v>
      </c>
      <c r="N25" s="403">
        <f t="shared" si="2"/>
        <v>4258.079616</v>
      </c>
      <c r="O25" s="403">
        <f t="shared" si="2"/>
        <v>4258.079616</v>
      </c>
      <c r="P25" s="403">
        <f t="shared" si="2"/>
        <v>4258.079616</v>
      </c>
      <c r="Q25" s="403">
        <f t="shared" si="2"/>
        <v>4258.079616</v>
      </c>
      <c r="R25" s="403">
        <f t="shared" si="2"/>
        <v>4258.079616</v>
      </c>
      <c r="S25" s="403">
        <f t="shared" si="2"/>
        <v>4258.079616</v>
      </c>
      <c r="T25" s="403">
        <f t="shared" si="2"/>
        <v>4258.079616</v>
      </c>
      <c r="U25" s="403">
        <f t="shared" si="2"/>
        <v>4258.079616</v>
      </c>
      <c r="V25" s="403">
        <f t="shared" si="2"/>
        <v>4258.079616</v>
      </c>
      <c r="W25" s="403">
        <f t="shared" si="2"/>
        <v>4258.079616</v>
      </c>
      <c r="X25" s="403">
        <f t="shared" si="2"/>
        <v>4258.079616</v>
      </c>
      <c r="Y25" s="403">
        <f t="shared" si="2"/>
        <v>4258.079616</v>
      </c>
      <c r="Z25" s="403">
        <f t="shared" si="2"/>
        <v>4258.079616</v>
      </c>
      <c r="AA25" s="403">
        <f t="shared" si="2"/>
        <v>4258.079616</v>
      </c>
      <c r="AB25" s="403">
        <f t="shared" si="2"/>
        <v>4258.079616</v>
      </c>
      <c r="AC25" s="403">
        <f t="shared" si="2"/>
        <v>4258.079616</v>
      </c>
      <c r="AD25" s="403">
        <f t="shared" si="2"/>
        <v>4258.079616</v>
      </c>
      <c r="AE25" s="403">
        <f t="shared" si="2"/>
        <v>4258.079616</v>
      </c>
      <c r="AF25" s="403">
        <f t="shared" si="2"/>
        <v>4258.079616</v>
      </c>
      <c r="AG25" s="403">
        <f t="shared" si="2"/>
        <v>4258.079616</v>
      </c>
    </row>
    <row r="26" spans="1:33">
      <c r="A26" s="321" t="s">
        <v>76</v>
      </c>
      <c r="C26" s="109">
        <f>SUM(C11:C25)</f>
        <v>11864.772976</v>
      </c>
      <c r="D26" s="109">
        <f t="shared" ref="D26:AG26" si="3">SUM(D11:D25)</f>
        <v>15667.229776799999</v>
      </c>
      <c r="E26" s="109">
        <f t="shared" si="3"/>
        <v>9963.6882816239995</v>
      </c>
      <c r="F26" s="109">
        <f t="shared" si="3"/>
        <v>16767.514349852187</v>
      </c>
      <c r="G26" s="109">
        <f t="shared" si="3"/>
        <v>17268.443522709542</v>
      </c>
      <c r="H26" s="109">
        <f t="shared" si="3"/>
        <v>17431.604330894737</v>
      </c>
      <c r="I26" s="109">
        <f t="shared" si="3"/>
        <v>17592.849566647004</v>
      </c>
      <c r="J26" s="109">
        <f t="shared" si="3"/>
        <v>17751.917450893001</v>
      </c>
      <c r="K26" s="109">
        <f t="shared" si="3"/>
        <v>18156.59569953979</v>
      </c>
      <c r="L26" s="109">
        <f t="shared" si="3"/>
        <v>18317.908913605075</v>
      </c>
      <c r="M26" s="109">
        <f t="shared" si="3"/>
        <v>18739.56690613323</v>
      </c>
      <c r="N26" s="109">
        <f t="shared" si="3"/>
        <v>18902.80897863003</v>
      </c>
      <c r="O26" s="109">
        <f t="shared" si="3"/>
        <v>19342.013973108933</v>
      </c>
      <c r="P26" s="109">
        <f t="shared" si="3"/>
        <v>19506.821558932748</v>
      </c>
      <c r="Q26" s="109">
        <f t="shared" si="3"/>
        <v>19667.946165576592</v>
      </c>
      <c r="R26" s="109">
        <f t="shared" si="3"/>
        <v>19825.018487462428</v>
      </c>
      <c r="S26" s="109">
        <f t="shared" si="3"/>
        <v>19977.650375358793</v>
      </c>
      <c r="T26" s="109">
        <f t="shared" si="3"/>
        <v>20125.434038136627</v>
      </c>
      <c r="U26" s="109">
        <f t="shared" si="3"/>
        <v>20267.941213589711</v>
      </c>
      <c r="V26" s="109">
        <f t="shared" si="3"/>
        <v>20404.722307182048</v>
      </c>
      <c r="W26" s="109">
        <f t="shared" si="3"/>
        <v>20535.305497544101</v>
      </c>
      <c r="X26" s="109">
        <f t="shared" si="3"/>
        <v>20659.19580749781</v>
      </c>
      <c r="Y26" s="109">
        <f t="shared" si="3"/>
        <v>20783.089195108409</v>
      </c>
      <c r="Z26" s="109">
        <f t="shared" si="3"/>
        <v>20906.985752705619</v>
      </c>
      <c r="AA26" s="109">
        <f t="shared" si="3"/>
        <v>21030.885575389013</v>
      </c>
      <c r="AB26" s="109">
        <f t="shared" si="3"/>
        <v>21154.788761111184</v>
      </c>
      <c r="AC26" s="109">
        <f t="shared" si="3"/>
        <v>21278.695410763296</v>
      </c>
      <c r="AD26" s="109">
        <f t="shared" si="3"/>
        <v>21402.605628263274</v>
      </c>
      <c r="AE26" s="109">
        <f t="shared" si="3"/>
        <v>21526.519520646511</v>
      </c>
      <c r="AF26" s="109">
        <f t="shared" si="3"/>
        <v>21650.437198159521</v>
      </c>
      <c r="AG26" s="109">
        <f t="shared" si="3"/>
        <v>21774.358774356206</v>
      </c>
    </row>
    <row r="27" spans="1:33">
      <c r="A27" s="6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</row>
    <row r="28" spans="1:33">
      <c r="A28" s="1" t="s">
        <v>77</v>
      </c>
      <c r="Y28"/>
      <c r="Z28"/>
    </row>
    <row r="29" spans="1:33">
      <c r="A29" s="3" t="s">
        <v>78</v>
      </c>
      <c r="C29" s="590">
        <f>((Assumptions!$I$14*(Assumptions!$O$10*(1-Assumptions!$I$56))*Assumptions!$I$13/1000000)*'Power Price Assumption'!D39)</f>
        <v>4258.079616</v>
      </c>
      <c r="D29" s="590">
        <f>((Assumptions!$I$14*(Assumptions!$O$10*(1-Assumptions!$I$56))*Assumptions!$I$13/1000000)*'Power Price Assumption'!E39)</f>
        <v>4258.079616</v>
      </c>
      <c r="E29" s="590">
        <f>((Assumptions!$I$14*(Assumptions!$O$10*(1-Assumptions!$I$56))*Assumptions!$I$13/1000000)*'Power Price Assumption'!F39)</f>
        <v>4258.079616</v>
      </c>
      <c r="F29" s="590">
        <f>((Assumptions!$I$14*(Assumptions!$O$10*(1-Assumptions!$I$56))*Assumptions!$I$13/1000000)*'Power Price Assumption'!G39)</f>
        <v>4258.079616</v>
      </c>
      <c r="G29" s="590">
        <f>((Assumptions!$I$14*(Assumptions!$O$10*(1-Assumptions!$I$56))*Assumptions!$I$13/1000000)*'Power Price Assumption'!H39)</f>
        <v>4258.079616</v>
      </c>
      <c r="H29" s="590">
        <f>((Assumptions!$I$14*(Assumptions!$O$10*(1-Assumptions!$I$56))*Assumptions!$I$13/1000000)*'Power Price Assumption'!I39)</f>
        <v>4258.079616</v>
      </c>
      <c r="I29" s="590">
        <f>((Assumptions!$I$14*(Assumptions!$O$10*(1-Assumptions!$I$56))*Assumptions!$I$13/1000000)*'Power Price Assumption'!J39)</f>
        <v>4258.079616</v>
      </c>
      <c r="J29" s="590">
        <f>((Assumptions!$I$14*(Assumptions!$O$10*(1-Assumptions!$I$56))*Assumptions!$I$13/1000000)*'Power Price Assumption'!K39)</f>
        <v>4258.079616</v>
      </c>
      <c r="K29" s="590">
        <f>((Assumptions!$I$14*(Assumptions!$O$10*(1-Assumptions!$I$56))*Assumptions!$I$13/1000000)*'Power Price Assumption'!L39)</f>
        <v>4258.079616</v>
      </c>
      <c r="L29" s="590">
        <f>((Assumptions!$I$14*(Assumptions!$O$10*(1-Assumptions!$I$56))*Assumptions!$I$13/1000000)*'Power Price Assumption'!M39)</f>
        <v>4258.079616</v>
      </c>
      <c r="M29" s="590">
        <f>((Assumptions!$I$14*(Assumptions!$O$10*(1-Assumptions!$I$56))*Assumptions!$I$13/1000000)*'Power Price Assumption'!N39)</f>
        <v>4258.079616</v>
      </c>
      <c r="N29" s="590">
        <f>((Assumptions!$I$14*(Assumptions!$O$10*(1-Assumptions!$I$56))*Assumptions!$I$13/1000000)*'Power Price Assumption'!O39)</f>
        <v>4258.079616</v>
      </c>
      <c r="O29" s="590">
        <f>((Assumptions!$I$14*(Assumptions!$O$10*(1-Assumptions!$I$56))*Assumptions!$I$13/1000000)*'Power Price Assumption'!P39)</f>
        <v>4258.079616</v>
      </c>
      <c r="P29" s="590">
        <f>((Assumptions!$I$14*(Assumptions!$O$10*(1-Assumptions!$I$56))*Assumptions!$I$13/1000000)*'Power Price Assumption'!Q39)</f>
        <v>4258.079616</v>
      </c>
      <c r="Q29" s="590">
        <f>((Assumptions!$I$14*(Assumptions!$O$10*(1-Assumptions!$I$56))*Assumptions!$I$13/1000000)*'Power Price Assumption'!R39)</f>
        <v>4258.079616</v>
      </c>
      <c r="R29" s="590">
        <f>((Assumptions!$I$14*(Assumptions!$O$10*(1-Assumptions!$I$56))*Assumptions!$I$13/1000000)*'Power Price Assumption'!S39)</f>
        <v>4258.079616</v>
      </c>
      <c r="S29" s="590">
        <f>((Assumptions!$I$14*(Assumptions!$O$10*(1-Assumptions!$I$56))*Assumptions!$I$13/1000000)*'Power Price Assumption'!T39)</f>
        <v>4258.079616</v>
      </c>
      <c r="T29" s="590">
        <f>((Assumptions!$I$14*(Assumptions!$O$10*(1-Assumptions!$I$56))*Assumptions!$I$13/1000000)*'Power Price Assumption'!U39)</f>
        <v>4258.079616</v>
      </c>
      <c r="U29" s="590">
        <f>((Assumptions!$I$14*(Assumptions!$O$10*(1-Assumptions!$I$56))*Assumptions!$I$13/1000000)*'Power Price Assumption'!V39)</f>
        <v>4258.079616</v>
      </c>
      <c r="V29" s="590">
        <f>((Assumptions!$I$14*(Assumptions!$O$10*(1-Assumptions!$I$56))*Assumptions!$I$13/1000000)*'Power Price Assumption'!W39)</f>
        <v>4258.079616</v>
      </c>
      <c r="W29" s="590">
        <f>((Assumptions!$I$14*(Assumptions!$O$10*(1-Assumptions!$I$56))*Assumptions!$I$13/1000000)*'Power Price Assumption'!X39)</f>
        <v>4258.079616</v>
      </c>
      <c r="X29" s="590">
        <f>((Assumptions!$I$14*(Assumptions!$O$10*(1-Assumptions!$I$56))*Assumptions!$I$13/1000000)*'Power Price Assumption'!Y39)</f>
        <v>4258.079616</v>
      </c>
      <c r="Y29" s="590">
        <f>((Assumptions!$I$14*(Assumptions!$O$10*(1-Assumptions!$I$56))*Assumptions!$I$13/1000000)*'Power Price Assumption'!Z39)</f>
        <v>4258.079616</v>
      </c>
      <c r="Z29" s="590">
        <f>((Assumptions!$I$14*(Assumptions!$O$10*(1-Assumptions!$I$56))*Assumptions!$I$13/1000000)*'Power Price Assumption'!AA39)</f>
        <v>4258.079616</v>
      </c>
      <c r="AA29" s="590">
        <f>((Assumptions!$I$14*(Assumptions!$O$10*(1-Assumptions!$I$56))*Assumptions!$I$13/1000000)*'Power Price Assumption'!AB39)</f>
        <v>4258.079616</v>
      </c>
      <c r="AB29" s="590">
        <f>((Assumptions!$I$14*(Assumptions!$O$10*(1-Assumptions!$I$56))*Assumptions!$I$13/1000000)*'Power Price Assumption'!AC39)</f>
        <v>4258.079616</v>
      </c>
      <c r="AC29" s="590">
        <f>((Assumptions!$I$14*(Assumptions!$O$10*(1-Assumptions!$I$56))*Assumptions!$I$13/1000000)*'Power Price Assumption'!AD39)</f>
        <v>4258.079616</v>
      </c>
      <c r="AD29" s="590">
        <f>((Assumptions!$I$14*(Assumptions!$O$10*(1-Assumptions!$I$56))*Assumptions!$I$13/1000000)*'Power Price Assumption'!AE39)</f>
        <v>4258.079616</v>
      </c>
      <c r="AE29" s="590">
        <f>((Assumptions!$I$14*(Assumptions!$O$10*(1-Assumptions!$I$56))*Assumptions!$I$13/1000000)*'Power Price Assumption'!AF39)</f>
        <v>4258.079616</v>
      </c>
      <c r="AF29" s="590">
        <f>((Assumptions!$I$14*(Assumptions!$O$10*(1-Assumptions!$I$56))*Assumptions!$I$13/1000000)*'Power Price Assumption'!AG39)</f>
        <v>4258.079616</v>
      </c>
      <c r="AG29" s="590">
        <f>((Assumptions!$I$14*(Assumptions!$O$10*(1-Assumptions!$I$56))*Assumptions!$I$13/1000000)*'Power Price Assumption'!AH39)</f>
        <v>4258.079616</v>
      </c>
    </row>
    <row r="30" spans="1:33">
      <c r="A30" s="3" t="s">
        <v>64</v>
      </c>
      <c r="C30" s="118">
        <f>Assumptions!$O25*Assumptions!I19/12</f>
        <v>269</v>
      </c>
      <c r="D30" s="118">
        <f>Assumptions!$O25*(1+Assumptions!$O$21)</f>
        <v>415.60500000000002</v>
      </c>
      <c r="E30" s="118">
        <f>D30*(1+Assumptions!$O$21)</f>
        <v>428.07315000000006</v>
      </c>
      <c r="F30" s="118">
        <f>E30*(1+Assumptions!$O$21)</f>
        <v>440.91534450000006</v>
      </c>
      <c r="G30" s="118">
        <f>F30*(1+Assumptions!$O$21)</f>
        <v>454.14280483500005</v>
      </c>
      <c r="H30" s="118">
        <f>G30*(1+Assumptions!$O$21)</f>
        <v>467.76708898005006</v>
      </c>
      <c r="I30" s="118">
        <f>H30*(1+Assumptions!$O$21)</f>
        <v>481.80010164945156</v>
      </c>
      <c r="J30" s="118">
        <f>I30*(1+Assumptions!$O$21)</f>
        <v>496.25410469893512</v>
      </c>
      <c r="K30" s="118">
        <f>J30*(1+Assumptions!$O$21)</f>
        <v>511.14172783990318</v>
      </c>
      <c r="L30" s="118">
        <f>K30*(1+Assumptions!$O$21)</f>
        <v>526.47597967510035</v>
      </c>
      <c r="M30" s="118">
        <f>L30*(1+Assumptions!$O$21)</f>
        <v>542.27025906535334</v>
      </c>
      <c r="N30" s="118">
        <f>M30*(1+Assumptions!$O$21)</f>
        <v>558.5383668373139</v>
      </c>
      <c r="O30" s="118">
        <f>N30*(1+Assumptions!$O$21)</f>
        <v>575.29451784243338</v>
      </c>
      <c r="P30" s="118">
        <f>O30*(1+Assumptions!$O$21)</f>
        <v>592.55335337770634</v>
      </c>
      <c r="Q30" s="118">
        <f>P30*(1+Assumptions!$O$21)</f>
        <v>610.32995397903755</v>
      </c>
      <c r="R30" s="118">
        <f>Q30*(1+Assumptions!$O$21)</f>
        <v>628.63985259840865</v>
      </c>
      <c r="S30" s="118">
        <f>R30*(1+Assumptions!$O$21)</f>
        <v>647.49904817636093</v>
      </c>
      <c r="T30" s="118">
        <f>S30*(1+Assumptions!$O$21)</f>
        <v>666.92401962165172</v>
      </c>
      <c r="U30" s="118">
        <f>T30*(1+Assumptions!$O$21)</f>
        <v>686.93174021030131</v>
      </c>
      <c r="V30" s="118">
        <f>U30*(1+Assumptions!$O$21)</f>
        <v>707.53969241661036</v>
      </c>
      <c r="W30" s="118">
        <f>V30*(1+Assumptions!$O$21)</f>
        <v>728.76588318910865</v>
      </c>
      <c r="X30" s="118">
        <f>W30*(1+Assumptions!$O$21)</f>
        <v>750.6288596847819</v>
      </c>
      <c r="Y30" s="118">
        <f>X30*(1+Assumptions!$O$21)</f>
        <v>773.14772547532539</v>
      </c>
      <c r="Z30" s="118">
        <f>Y30*(1+Assumptions!$O$21)</f>
        <v>796.34215723958516</v>
      </c>
      <c r="AA30" s="118">
        <f>Z30*(1+Assumptions!$O$21)</f>
        <v>820.23242195677278</v>
      </c>
      <c r="AB30" s="118">
        <f>AA30*(1+Assumptions!$O$21)</f>
        <v>844.83939461547595</v>
      </c>
      <c r="AC30" s="118">
        <f>AB30*(1+Assumptions!$O$21)</f>
        <v>870.18457645394028</v>
      </c>
      <c r="AD30" s="118">
        <f>AC30*(1+Assumptions!$O$21)</f>
        <v>896.29011374755851</v>
      </c>
      <c r="AE30" s="118">
        <f>AD30*(1+Assumptions!$O$21)</f>
        <v>923.17881715998533</v>
      </c>
      <c r="AF30" s="118">
        <f>AE30*(1+Assumptions!$O$21)</f>
        <v>950.87418167478495</v>
      </c>
      <c r="AG30" s="118">
        <f>AF30*(1+Assumptions!$O$21)</f>
        <v>979.40040712502855</v>
      </c>
    </row>
    <row r="31" spans="1:33">
      <c r="A31" s="3" t="s">
        <v>79</v>
      </c>
      <c r="C31" s="590">
        <f>+(Assumptions!$O$26*Assumptions!$I$57*Assumptions!$I$14)/1000</f>
        <v>367.31184000000002</v>
      </c>
      <c r="D31" s="118">
        <f>C31*(1+Assumptions!$O$21)</f>
        <v>378.33119520000002</v>
      </c>
      <c r="E31" s="118">
        <f>D31*(1+Assumptions!$O$21)</f>
        <v>389.68113105600003</v>
      </c>
      <c r="F31" s="118">
        <f>E31*(1+Assumptions!$O$21)</f>
        <v>401.37156498768002</v>
      </c>
      <c r="G31" s="118">
        <f>F31*(1+Assumptions!$O$21)</f>
        <v>413.41271193731041</v>
      </c>
      <c r="H31" s="118">
        <f>G31*(1+Assumptions!$O$21)</f>
        <v>425.81509329542973</v>
      </c>
      <c r="I31" s="118">
        <f>H31*(1+Assumptions!$O$21)</f>
        <v>438.58954609429264</v>
      </c>
      <c r="J31" s="118">
        <f>I31*(1+Assumptions!$O$21)</f>
        <v>451.74723247712143</v>
      </c>
      <c r="K31" s="118">
        <f>J31*(1+Assumptions!$O$21)</f>
        <v>465.29964945143507</v>
      </c>
      <c r="L31" s="118">
        <f>K31*(1+Assumptions!$O$21)</f>
        <v>479.25863893497814</v>
      </c>
      <c r="M31" s="118">
        <f>L31*(1+Assumptions!$O$21)</f>
        <v>493.63639810302749</v>
      </c>
      <c r="N31" s="118">
        <f>M31*(1+Assumptions!$O$21)</f>
        <v>508.44549004611832</v>
      </c>
      <c r="O31" s="118">
        <f>N31*(1+Assumptions!$O$21)</f>
        <v>523.69885474750185</v>
      </c>
      <c r="P31" s="118">
        <f>O31*(1+Assumptions!$O$21)</f>
        <v>539.40982038992695</v>
      </c>
      <c r="Q31" s="118">
        <f>P31*(1+Assumptions!$O$21)</f>
        <v>555.59211500162473</v>
      </c>
      <c r="R31" s="118">
        <f>Q31*(1+Assumptions!$O$21)</f>
        <v>572.25987845167344</v>
      </c>
      <c r="S31" s="118">
        <f>R31*(1+Assumptions!$O$21)</f>
        <v>589.42767480522366</v>
      </c>
      <c r="T31" s="118">
        <f>S31*(1+Assumptions!$O$21)</f>
        <v>607.11050504938044</v>
      </c>
      <c r="U31" s="118">
        <f>T31*(1+Assumptions!$O$21)</f>
        <v>625.32382020086186</v>
      </c>
      <c r="V31" s="118">
        <f>U31*(1+Assumptions!$O$21)</f>
        <v>644.08353480688777</v>
      </c>
      <c r="W31" s="118">
        <f>V31*(1+Assumptions!$O$21)</f>
        <v>663.40604085109442</v>
      </c>
      <c r="X31" s="118">
        <f>W31*(1+Assumptions!$O$21)</f>
        <v>683.30822207662732</v>
      </c>
      <c r="Y31" s="118">
        <f>X31*(1+Assumptions!$O$21)</f>
        <v>703.8074687389261</v>
      </c>
      <c r="Z31" s="118">
        <f>Y31*(1+Assumptions!$O$21)</f>
        <v>724.92169280109385</v>
      </c>
      <c r="AA31" s="118">
        <f>Z31*(1+Assumptions!$O$21)</f>
        <v>746.66934358512674</v>
      </c>
      <c r="AB31" s="118">
        <f>AA31*(1+Assumptions!$O$21)</f>
        <v>769.06942389268056</v>
      </c>
      <c r="AC31" s="118">
        <f>AB31*(1+Assumptions!$O$21)</f>
        <v>792.14150660946098</v>
      </c>
      <c r="AD31" s="118">
        <f>AC31*(1+Assumptions!$O$21)</f>
        <v>815.90575180774488</v>
      </c>
      <c r="AE31" s="118">
        <f>AD31*(1+Assumptions!$O$21)</f>
        <v>840.3829243619773</v>
      </c>
      <c r="AF31" s="118">
        <f>AE31*(1+Assumptions!$O$21)</f>
        <v>865.59441209283659</v>
      </c>
      <c r="AG31" s="118">
        <f>AF31*(1+Assumptions!$O$21)</f>
        <v>891.56224445562168</v>
      </c>
    </row>
    <row r="32" spans="1:33">
      <c r="A32" s="3" t="s">
        <v>66</v>
      </c>
      <c r="C32" s="404">
        <v>0</v>
      </c>
      <c r="D32" s="404">
        <v>0</v>
      </c>
      <c r="E32" s="404">
        <v>0</v>
      </c>
      <c r="F32" s="404">
        <v>0</v>
      </c>
      <c r="G32" s="404">
        <v>0</v>
      </c>
      <c r="H32" s="404">
        <v>0</v>
      </c>
      <c r="I32" s="404">
        <v>0</v>
      </c>
      <c r="J32" s="404">
        <v>0</v>
      </c>
      <c r="K32" s="404">
        <v>0</v>
      </c>
      <c r="L32" s="404">
        <v>0</v>
      </c>
      <c r="M32" s="404">
        <v>0</v>
      </c>
      <c r="N32" s="404">
        <v>0</v>
      </c>
      <c r="O32" s="404">
        <v>0</v>
      </c>
      <c r="P32" s="404">
        <v>0</v>
      </c>
      <c r="Q32" s="404">
        <v>0</v>
      </c>
      <c r="R32" s="404">
        <v>0</v>
      </c>
      <c r="S32" s="404">
        <v>0</v>
      </c>
      <c r="T32" s="404">
        <v>0</v>
      </c>
      <c r="U32" s="404">
        <v>0</v>
      </c>
      <c r="V32" s="404">
        <v>0</v>
      </c>
      <c r="W32" s="404">
        <v>0</v>
      </c>
      <c r="X32" s="404">
        <v>0</v>
      </c>
      <c r="Y32" s="404">
        <v>0</v>
      </c>
      <c r="Z32" s="404">
        <v>0</v>
      </c>
      <c r="AA32" s="404">
        <v>0</v>
      </c>
      <c r="AB32" s="404">
        <v>0</v>
      </c>
      <c r="AC32" s="404">
        <v>0</v>
      </c>
      <c r="AD32" s="404">
        <v>0</v>
      </c>
      <c r="AE32" s="404">
        <v>0</v>
      </c>
      <c r="AF32" s="404">
        <v>0</v>
      </c>
      <c r="AG32" s="404">
        <v>0</v>
      </c>
    </row>
    <row r="33" spans="1:47">
      <c r="A33" s="3" t="s">
        <v>67</v>
      </c>
      <c r="C33" s="118">
        <f>Assumptions!$O30*Assumptions!I19/12</f>
        <v>74.666666666666671</v>
      </c>
      <c r="D33" s="118">
        <f>Assumptions!$O30*(1+Assumptions!$O$21)</f>
        <v>115.36</v>
      </c>
      <c r="E33" s="118">
        <f>D33*(1+Assumptions!$O$21)</f>
        <v>118.82080000000001</v>
      </c>
      <c r="F33" s="118">
        <f>E33*(1+Assumptions!$O$21)</f>
        <v>122.38542400000001</v>
      </c>
      <c r="G33" s="118">
        <f>F33*(1+Assumptions!$O$21)</f>
        <v>126.05698672000001</v>
      </c>
      <c r="H33" s="118">
        <f>G33*(1+Assumptions!$O$21)</f>
        <v>129.83869632160003</v>
      </c>
      <c r="I33" s="118">
        <f>H33*(1+Assumptions!$O$21)</f>
        <v>133.73385721124802</v>
      </c>
      <c r="J33" s="118">
        <f>I33*(1+Assumptions!$O$21)</f>
        <v>137.74587292758545</v>
      </c>
      <c r="K33" s="118">
        <f>J33*(1+Assumptions!$O$21)</f>
        <v>141.87824911541301</v>
      </c>
      <c r="L33" s="118">
        <f>K33*(1+Assumptions!$O$21)</f>
        <v>146.13459658887541</v>
      </c>
      <c r="M33" s="118">
        <f>L33*(1+Assumptions!$O$21)</f>
        <v>150.51863448654169</v>
      </c>
      <c r="N33" s="118">
        <f>M33*(1+Assumptions!$O$21)</f>
        <v>155.03419352113795</v>
      </c>
      <c r="O33" s="118">
        <f>N33*(1+Assumptions!$O$21)</f>
        <v>159.68521932677208</v>
      </c>
      <c r="P33" s="118">
        <f>O33*(1+Assumptions!$O$21)</f>
        <v>164.47577590657525</v>
      </c>
      <c r="Q33" s="118">
        <f>P33*(1+Assumptions!$O$21)</f>
        <v>169.41004918377251</v>
      </c>
      <c r="R33" s="118">
        <f>Q33*(1+Assumptions!$O$21)</f>
        <v>174.49235065928571</v>
      </c>
      <c r="S33" s="118">
        <f>R33*(1+Assumptions!$O$21)</f>
        <v>179.72712117906428</v>
      </c>
      <c r="T33" s="118">
        <f>S33*(1+Assumptions!$O$21)</f>
        <v>185.11893481443622</v>
      </c>
      <c r="U33" s="118">
        <f>T33*(1+Assumptions!$O$21)</f>
        <v>190.67250285886931</v>
      </c>
      <c r="V33" s="118">
        <f>U33*(1+Assumptions!$O$21)</f>
        <v>196.39267794463538</v>
      </c>
      <c r="W33" s="118">
        <f>V33*(1+Assumptions!$O$21)</f>
        <v>202.28445828297444</v>
      </c>
      <c r="X33" s="118">
        <f>W33*(1+Assumptions!$O$21)</f>
        <v>208.35299203146369</v>
      </c>
      <c r="Y33" s="118">
        <f>X33*(1+Assumptions!$O$21)</f>
        <v>214.6035817924076</v>
      </c>
      <c r="Z33" s="118">
        <f>Y33*(1+Assumptions!$O$21)</f>
        <v>221.04168924617983</v>
      </c>
      <c r="AA33" s="118">
        <f>Z33*(1+Assumptions!$O$21)</f>
        <v>227.67293992356522</v>
      </c>
      <c r="AB33" s="118">
        <f>AA33*(1+Assumptions!$O$21)</f>
        <v>234.5031281212722</v>
      </c>
      <c r="AC33" s="118">
        <f>AB33*(1+Assumptions!$O$21)</f>
        <v>241.53822196491038</v>
      </c>
      <c r="AD33" s="118">
        <f>AC33*(1+Assumptions!$O$21)</f>
        <v>248.78436862385769</v>
      </c>
      <c r="AE33" s="118">
        <f>AD33*(1+Assumptions!$O$21)</f>
        <v>256.2478996825734</v>
      </c>
      <c r="AF33" s="118">
        <f>AE33*(1+Assumptions!$O$21)</f>
        <v>263.93533667305059</v>
      </c>
      <c r="AG33" s="118">
        <f>AF33*(1+Assumptions!$O$21)</f>
        <v>271.85339677324208</v>
      </c>
    </row>
    <row r="34" spans="1:47">
      <c r="A34" s="3" t="s">
        <v>68</v>
      </c>
      <c r="C34" s="118">
        <f>Assumptions!$O31*Assumptions!I19/12</f>
        <v>113.33333333333333</v>
      </c>
      <c r="D34" s="118">
        <f>(Assumptions!$O31)*(1+Assumptions!$O$21)</f>
        <v>175.1</v>
      </c>
      <c r="E34" s="118">
        <f>D34*(1+Assumptions!$O$21)</f>
        <v>180.35300000000001</v>
      </c>
      <c r="F34" s="118">
        <f>E34*(1+Assumptions!$O$21)</f>
        <v>185.76359000000002</v>
      </c>
      <c r="G34" s="118">
        <f>F34*(1+Assumptions!$O$21)</f>
        <v>191.33649770000002</v>
      </c>
      <c r="H34" s="118">
        <f>G34*(1+Assumptions!$O$21)</f>
        <v>197.07659263100004</v>
      </c>
      <c r="I34" s="118">
        <f>H34*(1+Assumptions!$O$21)</f>
        <v>202.98889040993004</v>
      </c>
      <c r="J34" s="118">
        <f>I34*(1+Assumptions!$O$21)</f>
        <v>209.07855712222795</v>
      </c>
      <c r="K34" s="118">
        <f>J34*(1+Assumptions!$O$21)</f>
        <v>215.3509138358948</v>
      </c>
      <c r="L34" s="118">
        <f>K34*(1+Assumptions!$O$21)</f>
        <v>221.81144125097165</v>
      </c>
      <c r="M34" s="118">
        <f>L34*(1+Assumptions!$O$21)</f>
        <v>228.46578448850082</v>
      </c>
      <c r="N34" s="118">
        <f>M34*(1+Assumptions!$O$21)</f>
        <v>235.31975802315586</v>
      </c>
      <c r="O34" s="118">
        <f>N34*(1+Assumptions!$O$21)</f>
        <v>242.37935076385054</v>
      </c>
      <c r="P34" s="118">
        <f>O34*(1+Assumptions!$O$21)</f>
        <v>249.65073128676607</v>
      </c>
      <c r="Q34" s="118">
        <f>P34*(1+Assumptions!$O$21)</f>
        <v>257.14025322536907</v>
      </c>
      <c r="R34" s="118">
        <f>Q34*(1+Assumptions!$O$21)</f>
        <v>264.85446082213014</v>
      </c>
      <c r="S34" s="118">
        <f>R34*(1+Assumptions!$O$21)</f>
        <v>272.80009464679404</v>
      </c>
      <c r="T34" s="118">
        <f>S34*(1+Assumptions!$O$21)</f>
        <v>280.98409748619787</v>
      </c>
      <c r="U34" s="118">
        <f>T34*(1+Assumptions!$O$21)</f>
        <v>289.41362041078384</v>
      </c>
      <c r="V34" s="118">
        <f>U34*(1+Assumptions!$O$21)</f>
        <v>298.09602902310735</v>
      </c>
      <c r="W34" s="118">
        <f>V34*(1+Assumptions!$O$21)</f>
        <v>307.03890989380056</v>
      </c>
      <c r="X34" s="118">
        <f>W34*(1+Assumptions!$O$21)</f>
        <v>316.2500771906146</v>
      </c>
      <c r="Y34" s="118">
        <f>X34*(1+Assumptions!$O$21)</f>
        <v>325.73757950633308</v>
      </c>
      <c r="Z34" s="118">
        <f>Y34*(1+Assumptions!$O$21)</f>
        <v>335.50970689152308</v>
      </c>
      <c r="AA34" s="118">
        <f>Z34*(1+Assumptions!$O$21)</f>
        <v>345.57499809826879</v>
      </c>
      <c r="AB34" s="118">
        <f>AA34*(1+Assumptions!$O$21)</f>
        <v>355.94224804121689</v>
      </c>
      <c r="AC34" s="118">
        <f>AB34*(1+Assumptions!$O$21)</f>
        <v>366.62051548245341</v>
      </c>
      <c r="AD34" s="118">
        <f>AC34*(1+Assumptions!$O$21)</f>
        <v>377.61913094692704</v>
      </c>
      <c r="AE34" s="118">
        <f>AD34*(1+Assumptions!$O$21)</f>
        <v>388.94770487533486</v>
      </c>
      <c r="AF34" s="118">
        <f>AE34*(1+Assumptions!$O$21)</f>
        <v>400.61613602159491</v>
      </c>
      <c r="AG34" s="118">
        <f>AF34*(1+Assumptions!$O$21)</f>
        <v>412.63462010224276</v>
      </c>
    </row>
    <row r="35" spans="1:47">
      <c r="A35" s="3" t="s">
        <v>80</v>
      </c>
      <c r="C35" s="118">
        <f>+Assumptions!O32*Assumptions!I19/12</f>
        <v>31.666666666666668</v>
      </c>
      <c r="D35" s="118">
        <f>+Assumptions!O32*(1+Assumptions!$O$21)</f>
        <v>48.925000000000004</v>
      </c>
      <c r="E35" s="118">
        <f>D35*(1+Assumptions!$O$21)</f>
        <v>50.392750000000007</v>
      </c>
      <c r="F35" s="118">
        <f>E35*(1+Assumptions!$O$21)</f>
        <v>51.904532500000009</v>
      </c>
      <c r="G35" s="118">
        <f>F35*(1+Assumptions!$O$21)</f>
        <v>53.46166847500001</v>
      </c>
      <c r="H35" s="118">
        <f>G35*(1+Assumptions!$O$21)</f>
        <v>55.065518529250014</v>
      </c>
      <c r="I35" s="118">
        <f>H35*(1+Assumptions!$O$21)</f>
        <v>56.717484085127516</v>
      </c>
      <c r="J35" s="118">
        <f>I35*(1+Assumptions!$O$21)</f>
        <v>58.419008607681342</v>
      </c>
      <c r="K35" s="118">
        <f>J35*(1+Assumptions!$O$21)</f>
        <v>60.171578865911783</v>
      </c>
      <c r="L35" s="118">
        <f>K35*(1+Assumptions!$O$21)</f>
        <v>61.976726231889138</v>
      </c>
      <c r="M35" s="118">
        <f>L35*(1+Assumptions!$O$21)</f>
        <v>63.836028018845816</v>
      </c>
      <c r="N35" s="118">
        <f>M35*(1+Assumptions!$O$21)</f>
        <v>65.75110885941119</v>
      </c>
      <c r="O35" s="118">
        <f>N35*(1+Assumptions!$O$21)</f>
        <v>67.723642125193521</v>
      </c>
      <c r="P35" s="118">
        <f>O35*(1+Assumptions!$O$21)</f>
        <v>69.755351388949322</v>
      </c>
      <c r="Q35" s="118">
        <f>P35*(1+Assumptions!$O$21)</f>
        <v>71.848011930617801</v>
      </c>
      <c r="R35" s="118">
        <f>Q35*(1+Assumptions!$O$21)</f>
        <v>74.003452288536337</v>
      </c>
      <c r="S35" s="118">
        <f>R35*(1+Assumptions!$O$21)</f>
        <v>76.223555857192423</v>
      </c>
      <c r="T35" s="118">
        <f>S35*(1+Assumptions!$O$21)</f>
        <v>78.5102625329082</v>
      </c>
      <c r="U35" s="118">
        <f>T35*(1+Assumptions!$O$21)</f>
        <v>80.865570408895451</v>
      </c>
      <c r="V35" s="118">
        <f>U35*(1+Assumptions!$O$21)</f>
        <v>83.291537521162311</v>
      </c>
      <c r="W35" s="118">
        <f>V35*(1+Assumptions!$O$21)</f>
        <v>85.790283646797178</v>
      </c>
      <c r="X35" s="118">
        <f>W35*(1+Assumptions!$O$21)</f>
        <v>88.363992156201093</v>
      </c>
      <c r="Y35" s="118">
        <f>X35*(1+Assumptions!$O$21)</f>
        <v>91.01491192088713</v>
      </c>
      <c r="Z35" s="118">
        <f>Y35*(1+Assumptions!$O$21)</f>
        <v>93.745359278513746</v>
      </c>
      <c r="AA35" s="118">
        <f>Z35*(1+Assumptions!$O$21)</f>
        <v>96.557720056869158</v>
      </c>
      <c r="AB35" s="118">
        <f>AA35*(1+Assumptions!$O$21)</f>
        <v>99.454451658575238</v>
      </c>
      <c r="AC35" s="118">
        <f>AB35*(1+Assumptions!$O$21)</f>
        <v>102.4380852083325</v>
      </c>
      <c r="AD35" s="118">
        <f>AC35*(1+Assumptions!$O$21)</f>
        <v>105.51122776458247</v>
      </c>
      <c r="AE35" s="118">
        <f>AD35*(1+Assumptions!$O$21)</f>
        <v>108.67656459751994</v>
      </c>
      <c r="AF35" s="118">
        <f>AE35*(1+Assumptions!$O$21)</f>
        <v>111.93686153544554</v>
      </c>
      <c r="AG35" s="118">
        <f>AF35*(1+Assumptions!$O$21)</f>
        <v>115.29496738150891</v>
      </c>
    </row>
    <row r="36" spans="1:47" ht="14.25" customHeight="1">
      <c r="A36" s="3" t="s">
        <v>358</v>
      </c>
      <c r="C36" s="118">
        <f>Assumptions!O39</f>
        <v>300</v>
      </c>
      <c r="D36" s="118">
        <f>+C36*(1+Assumptions!$O$21)</f>
        <v>309</v>
      </c>
      <c r="E36" s="118">
        <f>+D36*(1+Assumptions!$O$21)</f>
        <v>318.27</v>
      </c>
      <c r="F36" s="118">
        <f>+E36*(1+Assumptions!$O$21)</f>
        <v>327.81810000000002</v>
      </c>
      <c r="G36" s="118">
        <f>+F36*(1+Assumptions!$O$21)</f>
        <v>337.65264300000001</v>
      </c>
      <c r="H36" s="118">
        <f>+G36*(1+Assumptions!$O$21)</f>
        <v>347.78222228999999</v>
      </c>
      <c r="I36" s="118">
        <f>+H36*(1+Assumptions!$O$21)</f>
        <v>358.21568895870001</v>
      </c>
      <c r="J36" s="118">
        <f>+I36*(1+Assumptions!$O$21)</f>
        <v>368.96215962746101</v>
      </c>
      <c r="K36" s="118">
        <f>+J36*(1+Assumptions!$O$21)</f>
        <v>380.03102441628482</v>
      </c>
      <c r="L36" s="118">
        <f>+K36*(1+Assumptions!$O$21)</f>
        <v>391.4319551487734</v>
      </c>
      <c r="M36" s="118">
        <f>+L36*(1+Assumptions!$O$21)</f>
        <v>403.17491380323662</v>
      </c>
      <c r="N36" s="118">
        <f>+M36*(1+Assumptions!$O$21)</f>
        <v>415.27016121733374</v>
      </c>
      <c r="O36" s="118">
        <f>+N36*(1+Assumptions!$O$21)</f>
        <v>427.72826605385376</v>
      </c>
      <c r="P36" s="118">
        <f>+O36*(1+Assumptions!$O$21)</f>
        <v>440.56011403546938</v>
      </c>
      <c r="Q36" s="118">
        <f>+P36*(1+Assumptions!$O$21)</f>
        <v>453.77691745653345</v>
      </c>
      <c r="R36" s="118">
        <f>+Q36*(1+Assumptions!$O$21)</f>
        <v>467.39022498022945</v>
      </c>
      <c r="S36" s="118">
        <f>+R36*(1+Assumptions!$O$21)</f>
        <v>481.41193172963636</v>
      </c>
      <c r="T36" s="118">
        <f>+S36*(1+Assumptions!$O$21)</f>
        <v>495.85428968152547</v>
      </c>
      <c r="U36" s="118">
        <f>+T36*(1+Assumptions!$O$21)</f>
        <v>510.72991837197122</v>
      </c>
      <c r="V36" s="118">
        <f>+U36*(1+Assumptions!$O$21)</f>
        <v>526.05181592313033</v>
      </c>
      <c r="W36" s="118">
        <f>+V36*(1+Assumptions!$O$21)</f>
        <v>541.83337040082426</v>
      </c>
      <c r="X36" s="118">
        <f>+W36*(1+Assumptions!$O$21)</f>
        <v>558.08837151284899</v>
      </c>
      <c r="Y36" s="118">
        <f>+X36*(1+Assumptions!$O$21)</f>
        <v>574.83102265823447</v>
      </c>
      <c r="Z36" s="118">
        <f>+Y36*(1+Assumptions!$O$21)</f>
        <v>592.07595333798156</v>
      </c>
      <c r="AA36" s="118">
        <f>+Z36*(1+Assumptions!$O$21)</f>
        <v>609.838231938121</v>
      </c>
      <c r="AB36" s="118">
        <f>+AA36*(1+Assumptions!$O$21)</f>
        <v>628.13337889626462</v>
      </c>
      <c r="AC36" s="118">
        <f>+AB36*(1+Assumptions!$O$21)</f>
        <v>646.97738026315255</v>
      </c>
      <c r="AD36" s="118">
        <f>+AC36*(1+Assumptions!$O$21)</f>
        <v>666.38670167104715</v>
      </c>
      <c r="AE36" s="118">
        <f>+AD36*(1+Assumptions!$O$21)</f>
        <v>686.37830272117856</v>
      </c>
      <c r="AF36" s="118">
        <f>+AE36*(1+Assumptions!$O$21)</f>
        <v>706.96965180281393</v>
      </c>
      <c r="AG36" s="118">
        <f>+AF36*(1+Assumptions!$O$21)</f>
        <v>728.1787413568984</v>
      </c>
    </row>
    <row r="37" spans="1:47">
      <c r="A37" s="15" t="s">
        <v>46</v>
      </c>
      <c r="C37" s="402">
        <f>IF(C8&lt;Assumptions!E54,Assumptions!$B$63*Assumptions!$B$62*(13-MONTH(Assumptions!$B$48))/12," ")</f>
        <v>0</v>
      </c>
      <c r="D37" s="402">
        <f>IF(D8&lt;Assumptions!$E$54,Assumptions!$B$63*Assumptions!$B$62,0)</f>
        <v>0</v>
      </c>
      <c r="E37" s="402">
        <f>IF(E8&lt;Assumptions!$E$54,Assumptions!$B$63*Assumptions!$B$62,0)</f>
        <v>0</v>
      </c>
      <c r="F37" s="402">
        <f>IF(F8&lt;Assumptions!$E$54,Assumptions!$B$63*Assumptions!$B$62,0)</f>
        <v>0</v>
      </c>
      <c r="G37" s="402">
        <f>IF(G8&lt;Assumptions!$E$54,Assumptions!$B$63*Assumptions!$B$62,0)</f>
        <v>0</v>
      </c>
      <c r="H37" s="402">
        <f>IF(H8&lt;Assumptions!$E$54,Assumptions!$B$63*Assumptions!$B$62,0)</f>
        <v>0</v>
      </c>
      <c r="I37" s="402">
        <f>IF(I8&lt;Assumptions!$E$54,Assumptions!$B$63*Assumptions!$B$62,0)</f>
        <v>0</v>
      </c>
      <c r="J37" s="402">
        <f>IF(J8&lt;Assumptions!$E$54,Assumptions!$B$63*Assumptions!$B$62,0)</f>
        <v>0</v>
      </c>
      <c r="K37" s="402">
        <f>IF(K8&lt;Assumptions!$E$54,Assumptions!$B$63*Assumptions!$B$62,0)</f>
        <v>0</v>
      </c>
      <c r="L37" s="402">
        <f>IF(L8&lt;Assumptions!$E$54,Assumptions!$B$63*Assumptions!$B$62,0)</f>
        <v>0</v>
      </c>
      <c r="M37" s="402">
        <f>IF(M8&lt;Assumptions!$E$54,Assumptions!$B$63*Assumptions!$B$62,0)</f>
        <v>0</v>
      </c>
      <c r="N37" s="402">
        <f>IF(N8&lt;Assumptions!$E$54,Assumptions!$B$63*Assumptions!$B$62,0)</f>
        <v>0</v>
      </c>
      <c r="O37" s="402">
        <f>IF(O8&lt;Assumptions!$E$54,Assumptions!$B$63*Assumptions!$B$62,0)</f>
        <v>0</v>
      </c>
      <c r="P37" s="402">
        <f>IF(P8&lt;Assumptions!$E$54,Assumptions!$B$63*Assumptions!$B$62,0)</f>
        <v>0</v>
      </c>
      <c r="Q37" s="402">
        <f>IF(Q8&lt;Assumptions!$E$54,Assumptions!$B$63*Assumptions!$B$62,0)</f>
        <v>0</v>
      </c>
      <c r="R37" s="402">
        <f>IF(R8&lt;Assumptions!$E$54,Assumptions!$B$63*Assumptions!$B$62,0)</f>
        <v>0</v>
      </c>
      <c r="S37" s="402">
        <f>IF(S8&lt;Assumptions!$E$54,Assumptions!$B$63*Assumptions!$B$62,0)</f>
        <v>0</v>
      </c>
      <c r="T37" s="402">
        <f>IF(T8&lt;Assumptions!$E$54,Assumptions!$B$63*Assumptions!$B$62,0)</f>
        <v>0</v>
      </c>
      <c r="U37" s="402">
        <f>IF(U8&lt;Assumptions!$E$54,Assumptions!$B$63*Assumptions!$B$62,0)</f>
        <v>0</v>
      </c>
      <c r="V37" s="402">
        <f>IF(V8&lt;Assumptions!$E$54,Assumptions!$B$63*Assumptions!$B$62,0)</f>
        <v>0</v>
      </c>
      <c r="W37" s="402">
        <f>IF(W8&lt;Assumptions!$E$54,Assumptions!$B$63*Assumptions!$B$62,0)</f>
        <v>0</v>
      </c>
      <c r="X37" s="402">
        <f>IF(X8&lt;Assumptions!$E$54,Assumptions!$B$63*Assumptions!$B$62,0)</f>
        <v>0</v>
      </c>
      <c r="Y37" s="402">
        <f>IF(Y8&lt;Assumptions!$E$54,Assumptions!$B$63*Assumptions!$B$62,0)</f>
        <v>0</v>
      </c>
      <c r="Z37" s="402">
        <f>IF(Z8&lt;Assumptions!$E$54,Assumptions!$B$63*Assumptions!$B$62,0)</f>
        <v>0</v>
      </c>
      <c r="AA37" s="402">
        <f>IF(AA8&lt;Assumptions!$E$54,Assumptions!$B$63*Assumptions!$B$62,0)</f>
        <v>0</v>
      </c>
      <c r="AB37" s="402">
        <f>IF(AB8&lt;Assumptions!$E$54,Assumptions!$B$63*Assumptions!$B$62,0)</f>
        <v>0</v>
      </c>
      <c r="AC37" s="402">
        <f>IF(AC8&lt;Assumptions!$E$54,Assumptions!$B$63*Assumptions!$B$62,0)</f>
        <v>0</v>
      </c>
      <c r="AD37" s="402">
        <f>IF(AD8&lt;Assumptions!$E$54,Assumptions!$B$63*Assumptions!$B$62,0)</f>
        <v>0</v>
      </c>
      <c r="AE37" s="402">
        <f>IF(AE8&lt;Assumptions!$E$54,Assumptions!$B$63*Assumptions!$B$62,0)</f>
        <v>0</v>
      </c>
      <c r="AF37" s="402">
        <f>IF(AF8&lt;Assumptions!$E$54,Assumptions!$B$63*Assumptions!$B$62,0)</f>
        <v>0</v>
      </c>
      <c r="AG37" s="402">
        <f>IF(AG8&lt;Assumptions!$E$54,Assumptions!$B$63*Assumptions!$B$62,0)</f>
        <v>0</v>
      </c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36"/>
      <c r="AS37" s="136"/>
      <c r="AT37" s="136"/>
      <c r="AU37" s="136"/>
    </row>
    <row r="38" spans="1:47">
      <c r="A38" s="15" t="s">
        <v>81</v>
      </c>
      <c r="C38" s="118">
        <f>Assumptions!$P$33*Assumptions!$O$12*(1-Assumptions!$I$56)*Assumptions!I19/12</f>
        <v>0</v>
      </c>
      <c r="D38" s="118">
        <f>Assumptions!$P$33*Assumptions!$O$12*(1-Assumptions!$I$56)*(1+Assumptions!$O$21)</f>
        <v>0</v>
      </c>
      <c r="E38" s="118">
        <f>D38*(1+Assumptions!$O$21)</f>
        <v>0</v>
      </c>
      <c r="F38" s="118">
        <f>E38*(1+Assumptions!$O$21)</f>
        <v>0</v>
      </c>
      <c r="G38" s="118">
        <f>F38*(1+Assumptions!$O$21)</f>
        <v>0</v>
      </c>
      <c r="H38" s="118">
        <f>G38*(1+Assumptions!$O$21)</f>
        <v>0</v>
      </c>
      <c r="I38" s="118">
        <f>H38*(1+Assumptions!$O$21)</f>
        <v>0</v>
      </c>
      <c r="J38" s="118">
        <f>I38*(1+Assumptions!$O$21)</f>
        <v>0</v>
      </c>
      <c r="K38" s="118">
        <f>J38*(1+Assumptions!$O$21)</f>
        <v>0</v>
      </c>
      <c r="L38" s="118">
        <f>K38*(1+Assumptions!$O$21)</f>
        <v>0</v>
      </c>
      <c r="M38" s="118">
        <f>L38*(1+Assumptions!$O$21)</f>
        <v>0</v>
      </c>
      <c r="N38" s="118">
        <f>M38*(1+Assumptions!$O$21)</f>
        <v>0</v>
      </c>
      <c r="O38" s="118">
        <f>N38*(1+Assumptions!$O$21)</f>
        <v>0</v>
      </c>
      <c r="P38" s="118">
        <f>O38*(1+Assumptions!$O$21)</f>
        <v>0</v>
      </c>
      <c r="Q38" s="118">
        <f>P38*(1+Assumptions!$O$21)</f>
        <v>0</v>
      </c>
      <c r="R38" s="118">
        <f>Q38*(1+Assumptions!$O$21)</f>
        <v>0</v>
      </c>
      <c r="S38" s="118">
        <f>R38*(1+Assumptions!$O$21)</f>
        <v>0</v>
      </c>
      <c r="T38" s="118">
        <f>S38*(1+Assumptions!$O$21)</f>
        <v>0</v>
      </c>
      <c r="U38" s="118">
        <f>T38*(1+Assumptions!$O$21)</f>
        <v>0</v>
      </c>
      <c r="V38" s="118">
        <f>U38*(1+Assumptions!$O$21)</f>
        <v>0</v>
      </c>
      <c r="W38" s="118">
        <f>V38*(1+Assumptions!$O$21)</f>
        <v>0</v>
      </c>
      <c r="X38" s="118">
        <f>W38*(1+Assumptions!$O$21)</f>
        <v>0</v>
      </c>
      <c r="Y38" s="118">
        <f>X38*(1+Assumptions!$O$21)</f>
        <v>0</v>
      </c>
      <c r="Z38" s="118">
        <f>Y38*(1+Assumptions!$O$21)</f>
        <v>0</v>
      </c>
      <c r="AA38" s="118">
        <f>Z38*(1+Assumptions!$O$21)</f>
        <v>0</v>
      </c>
      <c r="AB38" s="118">
        <f>AA38*(1+Assumptions!$O$21)</f>
        <v>0</v>
      </c>
      <c r="AC38" s="118">
        <f>AB38*(1+Assumptions!$O$21)</f>
        <v>0</v>
      </c>
      <c r="AD38" s="118">
        <f>AC38*(1+Assumptions!$O$21)</f>
        <v>0</v>
      </c>
      <c r="AE38" s="118">
        <f>AD38*(1+Assumptions!$O$21)</f>
        <v>0</v>
      </c>
      <c r="AF38" s="118">
        <f>AE38*(1+Assumptions!$O$21)</f>
        <v>0</v>
      </c>
      <c r="AG38" s="118">
        <f>AF38*(1+Assumptions!$O$21)</f>
        <v>0</v>
      </c>
    </row>
    <row r="39" spans="1:47">
      <c r="A39" s="3" t="s">
        <v>82</v>
      </c>
      <c r="C39" s="118">
        <f>Assumptions!$O34*Assumptions!I19/12</f>
        <v>75.666666666666671</v>
      </c>
      <c r="D39" s="118">
        <f>Assumptions!$O34*(1+Assumptions!$O$21)</f>
        <v>116.905</v>
      </c>
      <c r="E39" s="118">
        <f>D39*(1+Assumptions!$O$21)</f>
        <v>120.41215000000001</v>
      </c>
      <c r="F39" s="118">
        <f>E39*(1+Assumptions!$O$21)</f>
        <v>124.02451450000001</v>
      </c>
      <c r="G39" s="118">
        <f>F39*(1+Assumptions!$O$21)</f>
        <v>127.74524993500002</v>
      </c>
      <c r="H39" s="118">
        <f>G39*(1+Assumptions!$O$21)</f>
        <v>131.57760743305002</v>
      </c>
      <c r="I39" s="118">
        <f>H39*(1+Assumptions!$O$21)</f>
        <v>135.52493565604152</v>
      </c>
      <c r="J39" s="118">
        <f>I39*(1+Assumptions!$O$21)</f>
        <v>139.59068372572278</v>
      </c>
      <c r="K39" s="118">
        <f>J39*(1+Assumptions!$O$21)</f>
        <v>143.77840423749447</v>
      </c>
      <c r="L39" s="118">
        <f>K39*(1+Assumptions!$O$21)</f>
        <v>148.0917563646193</v>
      </c>
      <c r="M39" s="118">
        <f>L39*(1+Assumptions!$O$21)</f>
        <v>152.53450905555789</v>
      </c>
      <c r="N39" s="118">
        <f>M39*(1+Assumptions!$O$21)</f>
        <v>157.11054432722463</v>
      </c>
      <c r="O39" s="118">
        <f>N39*(1+Assumptions!$O$21)</f>
        <v>161.82386065704137</v>
      </c>
      <c r="P39" s="118">
        <f>O39*(1+Assumptions!$O$21)</f>
        <v>166.67857647675262</v>
      </c>
      <c r="Q39" s="118">
        <f>P39*(1+Assumptions!$O$21)</f>
        <v>171.6789337710552</v>
      </c>
      <c r="R39" s="118">
        <f>Q39*(1+Assumptions!$O$21)</f>
        <v>176.82930178418687</v>
      </c>
      <c r="S39" s="118">
        <f>R39*(1+Assumptions!$O$21)</f>
        <v>182.13418083771248</v>
      </c>
      <c r="T39" s="118">
        <f>S39*(1+Assumptions!$O$21)</f>
        <v>187.59820626284386</v>
      </c>
      <c r="U39" s="118">
        <f>T39*(1+Assumptions!$O$21)</f>
        <v>193.22615245072919</v>
      </c>
      <c r="V39" s="118">
        <f>U39*(1+Assumptions!$O$21)</f>
        <v>199.02293702425106</v>
      </c>
      <c r="W39" s="118">
        <f>V39*(1+Assumptions!$O$21)</f>
        <v>204.9936251349786</v>
      </c>
      <c r="X39" s="118">
        <f>W39*(1+Assumptions!$O$21)</f>
        <v>211.14343388902796</v>
      </c>
      <c r="Y39" s="118">
        <f>X39*(1+Assumptions!$O$21)</f>
        <v>217.47773690569881</v>
      </c>
      <c r="Z39" s="118">
        <f>Y39*(1+Assumptions!$O$21)</f>
        <v>224.00206901286978</v>
      </c>
      <c r="AA39" s="118">
        <f>Z39*(1+Assumptions!$O$21)</f>
        <v>230.72213108325587</v>
      </c>
      <c r="AB39" s="118">
        <f>AA39*(1+Assumptions!$O$21)</f>
        <v>237.64379501575357</v>
      </c>
      <c r="AC39" s="118">
        <f>AB39*(1+Assumptions!$O$21)</f>
        <v>244.77310886622618</v>
      </c>
      <c r="AD39" s="118">
        <f>AC39*(1+Assumptions!$O$21)</f>
        <v>252.11630213221298</v>
      </c>
      <c r="AE39" s="118">
        <f>AD39*(1+Assumptions!$O$21)</f>
        <v>259.67979119617939</v>
      </c>
      <c r="AF39" s="118">
        <f>AE39*(1+Assumptions!$O$21)</f>
        <v>267.4701849320648</v>
      </c>
      <c r="AG39" s="118">
        <f>AF39*(1+Assumptions!$O$21)</f>
        <v>275.49429048002673</v>
      </c>
    </row>
    <row r="40" spans="1:47">
      <c r="A40" s="3" t="s">
        <v>83</v>
      </c>
      <c r="C40" s="119">
        <f>Assumptions!$O35*Assumptions!I19/12</f>
        <v>66.666666666666671</v>
      </c>
      <c r="D40" s="119">
        <f>Assumptions!$O35*(1+Assumptions!$O$21)</f>
        <v>103</v>
      </c>
      <c r="E40" s="119">
        <f>D40*(1+Assumptions!$O$21)</f>
        <v>106.09</v>
      </c>
      <c r="F40" s="119">
        <f>E40*(1+Assumptions!$O$21)</f>
        <v>109.2727</v>
      </c>
      <c r="G40" s="119">
        <f>F40*(1+Assumptions!$O$21)</f>
        <v>112.550881</v>
      </c>
      <c r="H40" s="119">
        <f>G40*(1+Assumptions!$O$21)</f>
        <v>115.92740743</v>
      </c>
      <c r="I40" s="119">
        <f>H40*(1+Assumptions!$O$21)</f>
        <v>119.4052296529</v>
      </c>
      <c r="J40" s="119">
        <f>I40*(1+Assumptions!$O$21)</f>
        <v>122.987386542487</v>
      </c>
      <c r="K40" s="119">
        <f>J40*(1+Assumptions!$O$21)</f>
        <v>126.67700813876162</v>
      </c>
      <c r="L40" s="119">
        <f>K40*(1+Assumptions!$O$21)</f>
        <v>130.47731838292447</v>
      </c>
      <c r="M40" s="119">
        <f>L40*(1+Assumptions!$O$21)</f>
        <v>134.39163793441222</v>
      </c>
      <c r="N40" s="119">
        <f>M40*(1+Assumptions!$O$21)</f>
        <v>138.4233870724446</v>
      </c>
      <c r="O40" s="119">
        <f>N40*(1+Assumptions!$O$21)</f>
        <v>142.57608868461793</v>
      </c>
      <c r="P40" s="119">
        <f>O40*(1+Assumptions!$O$21)</f>
        <v>146.85337134515646</v>
      </c>
      <c r="Q40" s="119">
        <f>P40*(1+Assumptions!$O$21)</f>
        <v>151.25897248551115</v>
      </c>
      <c r="R40" s="119">
        <f>Q40*(1+Assumptions!$O$21)</f>
        <v>155.79674166007649</v>
      </c>
      <c r="S40" s="119">
        <f>R40*(1+Assumptions!$O$21)</f>
        <v>160.47064390987879</v>
      </c>
      <c r="T40" s="119">
        <f>S40*(1+Assumptions!$O$21)</f>
        <v>165.28476322717515</v>
      </c>
      <c r="U40" s="119">
        <f>T40*(1+Assumptions!$O$21)</f>
        <v>170.24330612399041</v>
      </c>
      <c r="V40" s="119">
        <f>U40*(1+Assumptions!$O$21)</f>
        <v>175.35060530771011</v>
      </c>
      <c r="W40" s="119">
        <f>V40*(1+Assumptions!$O$21)</f>
        <v>180.61112346694142</v>
      </c>
      <c r="X40" s="119">
        <f>W40*(1+Assumptions!$O$21)</f>
        <v>186.02945717094966</v>
      </c>
      <c r="Y40" s="119">
        <f>X40*(1+Assumptions!$O$21)</f>
        <v>191.61034088607815</v>
      </c>
      <c r="Z40" s="119">
        <f>Y40*(1+Assumptions!$O$21)</f>
        <v>197.35865111266051</v>
      </c>
      <c r="AA40" s="119">
        <f>Z40*(1+Assumptions!$O$21)</f>
        <v>203.27941064604033</v>
      </c>
      <c r="AB40" s="119">
        <f>AA40*(1+Assumptions!$O$21)</f>
        <v>209.37779296542155</v>
      </c>
      <c r="AC40" s="119">
        <f>AB40*(1+Assumptions!$O$21)</f>
        <v>215.6591267543842</v>
      </c>
      <c r="AD40" s="119">
        <f>AC40*(1+Assumptions!$O$21)</f>
        <v>222.12890055701573</v>
      </c>
      <c r="AE40" s="119">
        <f>AD40*(1+Assumptions!$O$21)</f>
        <v>228.79276757372619</v>
      </c>
      <c r="AF40" s="119">
        <f>AE40*(1+Assumptions!$O$21)</f>
        <v>235.65655060093798</v>
      </c>
      <c r="AG40" s="119">
        <f>AF40*(1+Assumptions!$O$21)</f>
        <v>242.72624711896611</v>
      </c>
    </row>
    <row r="41" spans="1:47">
      <c r="A41" s="3" t="s">
        <v>84</v>
      </c>
      <c r="C41" s="110">
        <f t="shared" ref="C41:X41" si="4">SUM(C29:C40)</f>
        <v>5556.3914560000012</v>
      </c>
      <c r="D41" s="110">
        <f t="shared" si="4"/>
        <v>5920.3058112000008</v>
      </c>
      <c r="E41" s="110">
        <f t="shared" si="4"/>
        <v>5970.1725970560001</v>
      </c>
      <c r="F41" s="110">
        <f t="shared" si="4"/>
        <v>6021.5353864876806</v>
      </c>
      <c r="G41" s="110">
        <f t="shared" si="4"/>
        <v>6074.4390596023113</v>
      </c>
      <c r="H41" s="110">
        <f t="shared" si="4"/>
        <v>6128.9298429103792</v>
      </c>
      <c r="I41" s="110">
        <f t="shared" si="4"/>
        <v>6185.0553497176916</v>
      </c>
      <c r="J41" s="110">
        <f t="shared" si="4"/>
        <v>6242.8646217292226</v>
      </c>
      <c r="K41" s="110">
        <f t="shared" si="4"/>
        <v>6302.4081719010992</v>
      </c>
      <c r="L41" s="110">
        <f t="shared" si="4"/>
        <v>6363.738028578131</v>
      </c>
      <c r="M41" s="110">
        <f t="shared" si="4"/>
        <v>6426.9077809554747</v>
      </c>
      <c r="N41" s="110">
        <f t="shared" si="4"/>
        <v>6491.9726259041418</v>
      </c>
      <c r="O41" s="110">
        <f t="shared" si="4"/>
        <v>6558.9894162012652</v>
      </c>
      <c r="P41" s="110">
        <f t="shared" si="4"/>
        <v>6628.0167102073019</v>
      </c>
      <c r="Q41" s="110">
        <f t="shared" si="4"/>
        <v>6699.114823033522</v>
      </c>
      <c r="R41" s="110">
        <f t="shared" si="4"/>
        <v>6772.3458792445272</v>
      </c>
      <c r="S41" s="110">
        <f t="shared" si="4"/>
        <v>6847.773867141862</v>
      </c>
      <c r="T41" s="110">
        <f t="shared" si="4"/>
        <v>6925.4646946761186</v>
      </c>
      <c r="U41" s="110">
        <f t="shared" si="4"/>
        <v>7005.4862470364023</v>
      </c>
      <c r="V41" s="110">
        <f t="shared" si="4"/>
        <v>7087.908445967495</v>
      </c>
      <c r="W41" s="110">
        <f t="shared" si="4"/>
        <v>7172.8033108665195</v>
      </c>
      <c r="X41" s="110">
        <f t="shared" si="4"/>
        <v>7260.2450217125152</v>
      </c>
      <c r="Y41" s="110">
        <f t="shared" ref="Y41:AG41" si="5">SUM(Y29:Y40)</f>
        <v>7350.3099838838916</v>
      </c>
      <c r="Z41" s="110">
        <f t="shared" si="5"/>
        <v>7443.0768949204075</v>
      </c>
      <c r="AA41" s="110">
        <f t="shared" si="5"/>
        <v>7538.6268132880205</v>
      </c>
      <c r="AB41" s="110">
        <f t="shared" si="5"/>
        <v>7637.0432292066607</v>
      </c>
      <c r="AC41" s="110">
        <f t="shared" si="5"/>
        <v>7738.4121376028606</v>
      </c>
      <c r="AD41" s="110">
        <f t="shared" si="5"/>
        <v>7842.8221132509461</v>
      </c>
      <c r="AE41" s="110">
        <f t="shared" si="5"/>
        <v>7950.3643881684757</v>
      </c>
      <c r="AF41" s="110">
        <f t="shared" si="5"/>
        <v>8061.1329313335282</v>
      </c>
      <c r="AG41" s="110">
        <f t="shared" si="5"/>
        <v>8175.2245307935345</v>
      </c>
    </row>
    <row r="42" spans="1:47">
      <c r="A42" s="4"/>
      <c r="C42" s="225"/>
      <c r="D42" s="225"/>
      <c r="E42" s="225"/>
      <c r="F42" s="225"/>
      <c r="G42" s="225"/>
      <c r="H42" s="225"/>
      <c r="I42" s="225"/>
      <c r="J42" s="225"/>
      <c r="K42" s="225"/>
      <c r="L42" s="225"/>
      <c r="M42" s="225"/>
      <c r="N42" s="225"/>
      <c r="O42" s="225"/>
      <c r="P42" s="225"/>
      <c r="Q42" s="225"/>
      <c r="R42" s="225"/>
      <c r="S42" s="225"/>
      <c r="T42" s="225"/>
      <c r="U42" s="225"/>
      <c r="V42" s="225"/>
      <c r="W42" s="225"/>
      <c r="X42" s="225"/>
      <c r="Y42" s="225"/>
      <c r="Z42" s="225"/>
      <c r="AA42" s="225"/>
      <c r="AB42" s="225"/>
      <c r="AC42" s="225"/>
      <c r="AD42" s="225"/>
      <c r="AE42" s="225"/>
      <c r="AF42" s="225"/>
      <c r="AG42" s="225"/>
    </row>
    <row r="43" spans="1:47">
      <c r="A43" s="1" t="s">
        <v>85</v>
      </c>
      <c r="C43" s="111">
        <f t="shared" ref="C43:X43" si="6">C26-C41</f>
        <v>6308.381519999999</v>
      </c>
      <c r="D43" s="111">
        <f t="shared" si="6"/>
        <v>9746.9239655999991</v>
      </c>
      <c r="E43" s="111">
        <f t="shared" si="6"/>
        <v>3993.5156845679994</v>
      </c>
      <c r="F43" s="111">
        <f t="shared" si="6"/>
        <v>10745.978963364505</v>
      </c>
      <c r="G43" s="111">
        <f t="shared" si="6"/>
        <v>11194.004463107231</v>
      </c>
      <c r="H43" s="111">
        <f t="shared" si="6"/>
        <v>11302.674487984357</v>
      </c>
      <c r="I43" s="111">
        <f t="shared" si="6"/>
        <v>11407.794216929313</v>
      </c>
      <c r="J43" s="111">
        <f t="shared" si="6"/>
        <v>11509.052829163778</v>
      </c>
      <c r="K43" s="111">
        <f t="shared" si="6"/>
        <v>11854.187527638691</v>
      </c>
      <c r="L43" s="111">
        <f t="shared" si="6"/>
        <v>11954.170885026944</v>
      </c>
      <c r="M43" s="111">
        <f t="shared" si="6"/>
        <v>12312.659125177755</v>
      </c>
      <c r="N43" s="111">
        <f t="shared" si="6"/>
        <v>12410.836352725888</v>
      </c>
      <c r="O43" s="111">
        <f t="shared" si="6"/>
        <v>12783.024556907669</v>
      </c>
      <c r="P43" s="111">
        <f t="shared" si="6"/>
        <v>12878.804848725445</v>
      </c>
      <c r="Q43" s="111">
        <f t="shared" si="6"/>
        <v>12968.83134254307</v>
      </c>
      <c r="R43" s="111">
        <f t="shared" si="6"/>
        <v>13052.672608217901</v>
      </c>
      <c r="S43" s="111">
        <f t="shared" si="6"/>
        <v>13129.87650821693</v>
      </c>
      <c r="T43" s="111">
        <f t="shared" si="6"/>
        <v>13199.969343460509</v>
      </c>
      <c r="U43" s="111">
        <f t="shared" si="6"/>
        <v>13262.454966553309</v>
      </c>
      <c r="V43" s="111">
        <f t="shared" si="6"/>
        <v>13316.813861214552</v>
      </c>
      <c r="W43" s="111">
        <f t="shared" si="6"/>
        <v>13362.502186677582</v>
      </c>
      <c r="X43" s="111">
        <f t="shared" si="6"/>
        <v>13398.950785785295</v>
      </c>
      <c r="Y43" s="111">
        <f t="shared" ref="Y43:AG43" si="7">Y26-Y41</f>
        <v>13432.779211224517</v>
      </c>
      <c r="Z43" s="111">
        <f t="shared" si="7"/>
        <v>13463.908857785213</v>
      </c>
      <c r="AA43" s="111">
        <f t="shared" si="7"/>
        <v>13492.258762100992</v>
      </c>
      <c r="AB43" s="111">
        <f t="shared" si="7"/>
        <v>13517.745531904522</v>
      </c>
      <c r="AC43" s="111">
        <f t="shared" si="7"/>
        <v>13540.283273160436</v>
      </c>
      <c r="AD43" s="111">
        <f t="shared" si="7"/>
        <v>13559.783515012328</v>
      </c>
      <c r="AE43" s="111">
        <f t="shared" si="7"/>
        <v>13576.155132478034</v>
      </c>
      <c r="AF43" s="111">
        <f t="shared" si="7"/>
        <v>13589.304266825993</v>
      </c>
      <c r="AG43" s="111">
        <f t="shared" si="7"/>
        <v>13599.134243562672</v>
      </c>
    </row>
    <row r="44" spans="1:47">
      <c r="A44" s="1"/>
      <c r="C44" s="225"/>
      <c r="D44" s="225"/>
      <c r="E44" s="225"/>
      <c r="F44" s="225"/>
      <c r="G44" s="225"/>
      <c r="H44" s="225"/>
      <c r="I44" s="225"/>
      <c r="J44" s="225"/>
      <c r="K44" s="225"/>
      <c r="L44" s="225"/>
      <c r="M44" s="225"/>
      <c r="N44" s="225"/>
      <c r="O44" s="225"/>
      <c r="P44" s="225"/>
      <c r="Q44" s="225"/>
      <c r="R44" s="225"/>
      <c r="S44" s="225"/>
      <c r="T44" s="225"/>
      <c r="U44" s="225"/>
      <c r="V44" s="225"/>
      <c r="W44" s="225"/>
      <c r="X44" s="225"/>
      <c r="Y44" s="225"/>
      <c r="Z44" s="225"/>
      <c r="AA44" s="225"/>
      <c r="AB44" s="225"/>
      <c r="AC44" s="225"/>
      <c r="AD44" s="225"/>
      <c r="AE44" s="225"/>
      <c r="AF44" s="225"/>
      <c r="AG44" s="225"/>
    </row>
    <row r="45" spans="1:47">
      <c r="A45" s="3" t="s">
        <v>86</v>
      </c>
      <c r="C45" s="109">
        <f>Depreciation!D43</f>
        <v>2559.6733333333332</v>
      </c>
      <c r="D45" s="109">
        <f>Depreciation!E43</f>
        <v>5483.165</v>
      </c>
      <c r="E45" s="109">
        <f>Depreciation!F43</f>
        <v>5483.165</v>
      </c>
      <c r="F45" s="109">
        <f>Depreciation!G43</f>
        <v>5483.165</v>
      </c>
      <c r="G45" s="109">
        <f>Depreciation!H43</f>
        <v>5483.165</v>
      </c>
      <c r="H45" s="109">
        <f>Depreciation!I43</f>
        <v>5483.165</v>
      </c>
      <c r="I45" s="109">
        <f>Depreciation!J43</f>
        <v>5483.165</v>
      </c>
      <c r="J45" s="109">
        <f>Depreciation!K43</f>
        <v>5483.165</v>
      </c>
      <c r="K45" s="109">
        <f>Depreciation!L43</f>
        <v>5483.165</v>
      </c>
      <c r="L45" s="109">
        <f>Depreciation!M43</f>
        <v>5483.165</v>
      </c>
      <c r="M45" s="109">
        <f>Depreciation!N43</f>
        <v>5483.165</v>
      </c>
      <c r="N45" s="109">
        <f>Depreciation!O43</f>
        <v>5483.165</v>
      </c>
      <c r="O45" s="109">
        <f>Depreciation!P43</f>
        <v>5483.165</v>
      </c>
      <c r="P45" s="109">
        <f>Depreciation!Q43</f>
        <v>5483.165</v>
      </c>
      <c r="Q45" s="109">
        <f>Depreciation!R43</f>
        <v>5483.165</v>
      </c>
      <c r="R45" s="109">
        <f>Depreciation!S43</f>
        <v>5483.165</v>
      </c>
      <c r="S45" s="109">
        <f>Depreciation!T43</f>
        <v>5483.165</v>
      </c>
      <c r="T45" s="109">
        <f>Depreciation!U43</f>
        <v>5483.165</v>
      </c>
      <c r="U45" s="109">
        <f>Depreciation!V43</f>
        <v>5483.165</v>
      </c>
      <c r="V45" s="109">
        <f>Depreciation!W43</f>
        <v>5483.165</v>
      </c>
      <c r="W45" s="109">
        <f>Depreciation!X43</f>
        <v>5115.0316666666668</v>
      </c>
      <c r="X45" s="109">
        <f>Depreciation!Y43</f>
        <v>4930.9650000000001</v>
      </c>
      <c r="Y45" s="109">
        <f>Depreciation!Z43</f>
        <v>4930.9650000000001</v>
      </c>
      <c r="Z45" s="109">
        <f>Depreciation!AA43</f>
        <v>4930.9650000000001</v>
      </c>
      <c r="AA45" s="109">
        <f>Depreciation!AB43</f>
        <v>4930.9650000000001</v>
      </c>
      <c r="AB45" s="109">
        <f>Depreciation!AC43</f>
        <v>4930.9650000000001</v>
      </c>
      <c r="AC45" s="109">
        <f>Depreciation!AD43</f>
        <v>4930.9650000000001</v>
      </c>
      <c r="AD45" s="109">
        <f>Depreciation!AE43</f>
        <v>4930.9650000000001</v>
      </c>
      <c r="AE45" s="109">
        <f>Depreciation!AF43</f>
        <v>4930.9650000000001</v>
      </c>
      <c r="AF45" s="109">
        <f>Depreciation!AG43</f>
        <v>4930.9650000000001</v>
      </c>
      <c r="AG45" s="109">
        <f>Depreciation!AH43</f>
        <v>0</v>
      </c>
    </row>
    <row r="46" spans="1:47">
      <c r="A46" s="3"/>
      <c r="C46" s="109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109"/>
      <c r="AE46" s="109"/>
      <c r="AF46" s="109"/>
      <c r="AG46" s="109"/>
    </row>
    <row r="47" spans="1:47">
      <c r="A47" s="1" t="s">
        <v>87</v>
      </c>
      <c r="C47" s="111">
        <f>C43-C45</f>
        <v>3748.7081866666658</v>
      </c>
      <c r="D47" s="111">
        <f t="shared" ref="D47:X47" si="8">D43-D45</f>
        <v>4263.7589655999991</v>
      </c>
      <c r="E47" s="111">
        <f t="shared" si="8"/>
        <v>-1489.6493154320005</v>
      </c>
      <c r="F47" s="111">
        <f t="shared" si="8"/>
        <v>5262.8139633645051</v>
      </c>
      <c r="G47" s="111">
        <f t="shared" si="8"/>
        <v>5710.8394631072306</v>
      </c>
      <c r="H47" s="111">
        <f t="shared" si="8"/>
        <v>5819.5094879843573</v>
      </c>
      <c r="I47" s="111">
        <f t="shared" si="8"/>
        <v>5924.6292169293129</v>
      </c>
      <c r="J47" s="111">
        <f t="shared" si="8"/>
        <v>6025.8878291637784</v>
      </c>
      <c r="K47" s="111">
        <f t="shared" si="8"/>
        <v>6371.0225276386909</v>
      </c>
      <c r="L47" s="111">
        <f t="shared" si="8"/>
        <v>6471.0058850269443</v>
      </c>
      <c r="M47" s="111">
        <f t="shared" si="8"/>
        <v>6829.4941251777554</v>
      </c>
      <c r="N47" s="111">
        <f t="shared" si="8"/>
        <v>6927.671352725888</v>
      </c>
      <c r="O47" s="111">
        <f t="shared" si="8"/>
        <v>7299.8595569076688</v>
      </c>
      <c r="P47" s="111">
        <f t="shared" si="8"/>
        <v>7395.6398487254455</v>
      </c>
      <c r="Q47" s="111">
        <f t="shared" si="8"/>
        <v>7485.6663425430697</v>
      </c>
      <c r="R47" s="111">
        <f t="shared" si="8"/>
        <v>7569.5076082179012</v>
      </c>
      <c r="S47" s="111">
        <f t="shared" si="8"/>
        <v>7646.7115082169303</v>
      </c>
      <c r="T47" s="111">
        <f t="shared" si="8"/>
        <v>7716.8043434605088</v>
      </c>
      <c r="U47" s="111">
        <f t="shared" si="8"/>
        <v>7779.2899665533087</v>
      </c>
      <c r="V47" s="111">
        <f t="shared" si="8"/>
        <v>7833.6488612145522</v>
      </c>
      <c r="W47" s="111">
        <f t="shared" si="8"/>
        <v>8247.4705200109165</v>
      </c>
      <c r="X47" s="111">
        <f t="shared" si="8"/>
        <v>8467.9857857852949</v>
      </c>
      <c r="Y47" s="111">
        <f t="shared" ref="Y47:AG47" si="9">Y43-Y45</f>
        <v>8501.8142112245168</v>
      </c>
      <c r="Z47" s="111">
        <f t="shared" si="9"/>
        <v>8532.9438577852125</v>
      </c>
      <c r="AA47" s="111">
        <f t="shared" si="9"/>
        <v>8561.2937621009914</v>
      </c>
      <c r="AB47" s="111">
        <f t="shared" si="9"/>
        <v>8586.7805319045219</v>
      </c>
      <c r="AC47" s="111">
        <f t="shared" si="9"/>
        <v>8609.3182731604356</v>
      </c>
      <c r="AD47" s="111">
        <f t="shared" si="9"/>
        <v>8628.8185150123281</v>
      </c>
      <c r="AE47" s="111">
        <f t="shared" si="9"/>
        <v>8645.1901324780338</v>
      </c>
      <c r="AF47" s="111">
        <f t="shared" si="9"/>
        <v>8658.339266825993</v>
      </c>
      <c r="AG47" s="111">
        <f t="shared" si="9"/>
        <v>13599.134243562672</v>
      </c>
    </row>
    <row r="48" spans="1:47">
      <c r="A48" s="1"/>
      <c r="C48" s="111"/>
      <c r="D48" s="111"/>
      <c r="E48" s="111"/>
      <c r="F48" s="111"/>
      <c r="G48" s="111"/>
      <c r="H48" s="111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111"/>
      <c r="AE48" s="111"/>
      <c r="AF48" s="111"/>
      <c r="AG48" s="111"/>
    </row>
    <row r="49" spans="1:33">
      <c r="A49" s="3" t="s">
        <v>321</v>
      </c>
      <c r="C49" s="109">
        <f>SUM(Debt!B86)</f>
        <v>3879.954763386118</v>
      </c>
      <c r="D49" s="109">
        <f>SUM(Debt!C86)</f>
        <v>7371.9140504336228</v>
      </c>
      <c r="E49" s="109">
        <f>SUM(Debt!D86)</f>
        <v>7061.5176693627336</v>
      </c>
      <c r="F49" s="109">
        <f>SUM(Debt!E86)</f>
        <v>6751.1212882918444</v>
      </c>
      <c r="G49" s="109">
        <f>SUM(Debt!F86)</f>
        <v>6440.7249072209543</v>
      </c>
      <c r="H49" s="109">
        <f>SUM(Debt!G86)</f>
        <v>6130.3285261500641</v>
      </c>
      <c r="I49" s="109">
        <f>SUM(Debt!H86)</f>
        <v>5819.932145079174</v>
      </c>
      <c r="J49" s="109">
        <f>SUM(Debt!I86)</f>
        <v>5509.5357640082839</v>
      </c>
      <c r="K49" s="109">
        <f>SUM(Debt!J86)</f>
        <v>5199.1393829373956</v>
      </c>
      <c r="L49" s="109">
        <f>SUM(Debt!K86)</f>
        <v>4888.7430018665054</v>
      </c>
      <c r="M49" s="109">
        <f>SUM(Debt!L86)</f>
        <v>4578.3466207956153</v>
      </c>
      <c r="N49" s="109">
        <f>SUM(Debt!M86)</f>
        <v>4267.9502397247252</v>
      </c>
      <c r="O49" s="109">
        <f>SUM(Debt!N86)</f>
        <v>3957.553858653836</v>
      </c>
      <c r="P49" s="109">
        <f>SUM(Debt!O86)</f>
        <v>3647.1574775829458</v>
      </c>
      <c r="Q49" s="109">
        <f>SUM(Debt!P86)</f>
        <v>3336.7610965120562</v>
      </c>
      <c r="R49" s="109">
        <f>SUM(Debt!Q86)</f>
        <v>3026.3647154411665</v>
      </c>
      <c r="S49" s="109">
        <f>SUM(Debt!R86)</f>
        <v>2715.9683343702764</v>
      </c>
      <c r="T49" s="109">
        <f>SUM(Debt!S86)</f>
        <v>2405.5719532993867</v>
      </c>
      <c r="U49" s="109">
        <f>SUM(Debt!T86)</f>
        <v>2095.175572228497</v>
      </c>
      <c r="V49" s="109">
        <f>SUM(Debt!U86)</f>
        <v>1784.779191157608</v>
      </c>
      <c r="W49" s="109">
        <f>SUM(Debt!V86)</f>
        <v>1474.3828100867188</v>
      </c>
      <c r="X49" s="109">
        <f>SUM(Debt!W86)</f>
        <v>1241.5855242835519</v>
      </c>
      <c r="Y49" s="109">
        <f>SUM(Debt!X86)</f>
        <v>1241.5855242835519</v>
      </c>
      <c r="Z49" s="109">
        <f>SUM(Debt!Y86)</f>
        <v>1241.5855242835519</v>
      </c>
      <c r="AA49" s="109">
        <f>SUM(Debt!Z86)</f>
        <v>1241.5855242835519</v>
      </c>
      <c r="AB49" s="109">
        <f>SUM(Debt!AA86)</f>
        <v>1241.5855242835519</v>
      </c>
      <c r="AC49" s="109">
        <f>SUM(Debt!AB86)</f>
        <v>1241.5855242835519</v>
      </c>
      <c r="AD49" s="109">
        <f>SUM(Debt!AC86)</f>
        <v>1241.5855242835519</v>
      </c>
      <c r="AE49" s="109">
        <f>SUM(Debt!AD86)</f>
        <v>1241.5855242835519</v>
      </c>
      <c r="AF49" s="109">
        <f>SUM(Debt!AE86)</f>
        <v>1241.5855242835519</v>
      </c>
      <c r="AG49" s="109">
        <f>SUM(Debt!AF86)</f>
        <v>1241.5855242835519</v>
      </c>
    </row>
    <row r="50" spans="1:33">
      <c r="A50" s="5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109"/>
      <c r="AB50" s="109"/>
      <c r="AC50" s="109"/>
      <c r="AD50" s="109"/>
      <c r="AE50" s="109"/>
      <c r="AF50" s="109"/>
      <c r="AG50" s="109"/>
    </row>
    <row r="51" spans="1:33">
      <c r="A51" s="1" t="s">
        <v>88</v>
      </c>
      <c r="C51" s="111">
        <f>C47-C49</f>
        <v>-131.24657671945215</v>
      </c>
      <c r="D51" s="111">
        <f t="shared" ref="D51:X51" si="10">D47-D49</f>
        <v>-3108.1550848336237</v>
      </c>
      <c r="E51" s="111">
        <f t="shared" si="10"/>
        <v>-8551.1669847947342</v>
      </c>
      <c r="F51" s="111">
        <f t="shared" si="10"/>
        <v>-1488.3073249273393</v>
      </c>
      <c r="G51" s="111">
        <f t="shared" si="10"/>
        <v>-729.88544411372368</v>
      </c>
      <c r="H51" s="111">
        <f t="shared" si="10"/>
        <v>-310.81903816570684</v>
      </c>
      <c r="I51" s="111">
        <f t="shared" si="10"/>
        <v>104.69707185013885</v>
      </c>
      <c r="J51" s="111">
        <f t="shared" si="10"/>
        <v>516.35206515549453</v>
      </c>
      <c r="K51" s="111">
        <f t="shared" si="10"/>
        <v>1171.8831447012954</v>
      </c>
      <c r="L51" s="111">
        <f t="shared" si="10"/>
        <v>1582.2628831604388</v>
      </c>
      <c r="M51" s="111">
        <f t="shared" si="10"/>
        <v>2251.1475043821401</v>
      </c>
      <c r="N51" s="111">
        <f t="shared" si="10"/>
        <v>2659.7211130011628</v>
      </c>
      <c r="O51" s="111">
        <f t="shared" si="10"/>
        <v>3342.3056982538328</v>
      </c>
      <c r="P51" s="111">
        <f t="shared" si="10"/>
        <v>3748.4823711424997</v>
      </c>
      <c r="Q51" s="111">
        <f t="shared" si="10"/>
        <v>4148.905246031014</v>
      </c>
      <c r="R51" s="111">
        <f t="shared" si="10"/>
        <v>4543.1428927767347</v>
      </c>
      <c r="S51" s="111">
        <f t="shared" si="10"/>
        <v>4930.7431738466539</v>
      </c>
      <c r="T51" s="111">
        <f t="shared" si="10"/>
        <v>5311.2323901611217</v>
      </c>
      <c r="U51" s="111">
        <f t="shared" si="10"/>
        <v>5684.1143943248117</v>
      </c>
      <c r="V51" s="111">
        <f t="shared" si="10"/>
        <v>6048.8696700569444</v>
      </c>
      <c r="W51" s="111">
        <f t="shared" si="10"/>
        <v>6773.087709924198</v>
      </c>
      <c r="X51" s="111">
        <f t="shared" si="10"/>
        <v>7226.4002615017434</v>
      </c>
      <c r="Y51" s="111">
        <f t="shared" ref="Y51:AG51" si="11">Y47-Y49</f>
        <v>7260.2286869409654</v>
      </c>
      <c r="Z51" s="111">
        <f t="shared" si="11"/>
        <v>7291.358333501661</v>
      </c>
      <c r="AA51" s="111">
        <f t="shared" si="11"/>
        <v>7319.70823781744</v>
      </c>
      <c r="AB51" s="111">
        <f t="shared" si="11"/>
        <v>7345.1950076209705</v>
      </c>
      <c r="AC51" s="111">
        <f t="shared" si="11"/>
        <v>7367.7327488768842</v>
      </c>
      <c r="AD51" s="111">
        <f t="shared" si="11"/>
        <v>7387.2329907287767</v>
      </c>
      <c r="AE51" s="111">
        <f t="shared" si="11"/>
        <v>7403.6046081944824</v>
      </c>
      <c r="AF51" s="111">
        <f t="shared" si="11"/>
        <v>7416.7537425424416</v>
      </c>
      <c r="AG51" s="111">
        <f t="shared" si="11"/>
        <v>12357.548719279121</v>
      </c>
    </row>
    <row r="52" spans="1:33">
      <c r="A52" s="1"/>
      <c r="C52" s="111"/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</row>
    <row r="53" spans="1:33">
      <c r="A53" s="3" t="s">
        <v>89</v>
      </c>
      <c r="B53" s="101">
        <f>Assumptions!O56</f>
        <v>0.06</v>
      </c>
      <c r="C53" s="118">
        <f>-C51*$B$53</f>
        <v>7.8747946031671283</v>
      </c>
      <c r="D53" s="118">
        <f t="shared" ref="D53:X53" si="12">-D51*$B$53</f>
        <v>186.48930509001741</v>
      </c>
      <c r="E53" s="118">
        <f t="shared" si="12"/>
        <v>513.07001908768405</v>
      </c>
      <c r="F53" s="118">
        <f t="shared" si="12"/>
        <v>89.298439495640352</v>
      </c>
      <c r="G53" s="118">
        <f t="shared" si="12"/>
        <v>43.793126646823417</v>
      </c>
      <c r="H53" s="118">
        <f t="shared" si="12"/>
        <v>18.649142289942411</v>
      </c>
      <c r="I53" s="118">
        <f t="shared" si="12"/>
        <v>-6.2818243110083314</v>
      </c>
      <c r="J53" s="118">
        <f t="shared" si="12"/>
        <v>-30.981123909329671</v>
      </c>
      <c r="K53" s="118">
        <f t="shared" si="12"/>
        <v>-70.312988682077716</v>
      </c>
      <c r="L53" s="118">
        <f t="shared" si="12"/>
        <v>-94.935772989626329</v>
      </c>
      <c r="M53" s="118">
        <f t="shared" si="12"/>
        <v>-135.06885026292841</v>
      </c>
      <c r="N53" s="118">
        <f t="shared" si="12"/>
        <v>-159.58326678006978</v>
      </c>
      <c r="O53" s="118">
        <f t="shared" si="12"/>
        <v>-200.53834189522996</v>
      </c>
      <c r="P53" s="118">
        <f t="shared" si="12"/>
        <v>-224.90894226854996</v>
      </c>
      <c r="Q53" s="118">
        <f t="shared" si="12"/>
        <v>-248.93431476186083</v>
      </c>
      <c r="R53" s="118">
        <f t="shared" si="12"/>
        <v>-272.58857356660405</v>
      </c>
      <c r="S53" s="118">
        <f t="shared" si="12"/>
        <v>-295.8445904307992</v>
      </c>
      <c r="T53" s="118">
        <f t="shared" si="12"/>
        <v>-318.67394340966729</v>
      </c>
      <c r="U53" s="118">
        <f t="shared" si="12"/>
        <v>-341.04686365948868</v>
      </c>
      <c r="V53" s="118">
        <f t="shared" si="12"/>
        <v>-362.93218020341664</v>
      </c>
      <c r="W53" s="118">
        <f t="shared" si="12"/>
        <v>-406.38526259545188</v>
      </c>
      <c r="X53" s="118">
        <f t="shared" si="12"/>
        <v>-433.58401569010459</v>
      </c>
      <c r="Y53" s="118">
        <f t="shared" ref="Y53:AG53" si="13">-Y51*$B$53</f>
        <v>-435.61372121645792</v>
      </c>
      <c r="Z53" s="118">
        <f t="shared" si="13"/>
        <v>-437.48150001009964</v>
      </c>
      <c r="AA53" s="118">
        <f t="shared" si="13"/>
        <v>-439.1824942690464</v>
      </c>
      <c r="AB53" s="118">
        <f t="shared" si="13"/>
        <v>-440.71170045725819</v>
      </c>
      <c r="AC53" s="118">
        <f t="shared" si="13"/>
        <v>-442.06396493261303</v>
      </c>
      <c r="AD53" s="118">
        <f t="shared" si="13"/>
        <v>-443.23397944372658</v>
      </c>
      <c r="AE53" s="118">
        <f t="shared" si="13"/>
        <v>-444.21627649166891</v>
      </c>
      <c r="AF53" s="118">
        <f t="shared" si="13"/>
        <v>-445.00522455254651</v>
      </c>
      <c r="AG53" s="118">
        <f t="shared" si="13"/>
        <v>-741.45292315674726</v>
      </c>
    </row>
    <row r="54" spans="1:33">
      <c r="A54" s="3" t="s">
        <v>90</v>
      </c>
      <c r="B54" s="101">
        <f>Assumptions!O55</f>
        <v>0.35</v>
      </c>
      <c r="C54" s="118">
        <f>(C51+C53)*-$B$54</f>
        <v>43.180123740699756</v>
      </c>
      <c r="D54" s="118">
        <f t="shared" ref="D54:X54" si="14">(D51+D53)*-$B$54</f>
        <v>1022.5830229102622</v>
      </c>
      <c r="E54" s="118">
        <f t="shared" si="14"/>
        <v>2813.3339379974673</v>
      </c>
      <c r="F54" s="118">
        <f t="shared" si="14"/>
        <v>489.65310990109458</v>
      </c>
      <c r="G54" s="118">
        <f t="shared" si="14"/>
        <v>240.13231111341506</v>
      </c>
      <c r="H54" s="118">
        <f t="shared" si="14"/>
        <v>102.25946355651755</v>
      </c>
      <c r="I54" s="118">
        <f t="shared" si="14"/>
        <v>-34.445336638695679</v>
      </c>
      <c r="J54" s="118">
        <f t="shared" si="14"/>
        <v>-169.87982943615771</v>
      </c>
      <c r="K54" s="118">
        <f t="shared" si="14"/>
        <v>-385.54955460672613</v>
      </c>
      <c r="L54" s="118">
        <f t="shared" si="14"/>
        <v>-520.56448855978442</v>
      </c>
      <c r="M54" s="118">
        <f t="shared" si="14"/>
        <v>-740.62752894172411</v>
      </c>
      <c r="N54" s="118">
        <f t="shared" si="14"/>
        <v>-875.04824617738257</v>
      </c>
      <c r="O54" s="118">
        <f t="shared" si="14"/>
        <v>-1099.6185747255108</v>
      </c>
      <c r="P54" s="118">
        <f t="shared" si="14"/>
        <v>-1233.2507001058823</v>
      </c>
      <c r="Q54" s="118">
        <f t="shared" si="14"/>
        <v>-1364.9898259442034</v>
      </c>
      <c r="R54" s="118">
        <f t="shared" si="14"/>
        <v>-1494.6940117235456</v>
      </c>
      <c r="S54" s="118">
        <f t="shared" si="14"/>
        <v>-1622.2145041955491</v>
      </c>
      <c r="T54" s="118">
        <f t="shared" si="14"/>
        <v>-1747.3954563630091</v>
      </c>
      <c r="U54" s="118">
        <f t="shared" si="14"/>
        <v>-1870.0736357328628</v>
      </c>
      <c r="V54" s="118">
        <f t="shared" si="14"/>
        <v>-1990.0781214487347</v>
      </c>
      <c r="W54" s="118">
        <f t="shared" si="14"/>
        <v>-2228.3458565650608</v>
      </c>
      <c r="X54" s="118">
        <f t="shared" si="14"/>
        <v>-2377.4856860340733</v>
      </c>
      <c r="Y54" s="118">
        <f t="shared" ref="Y54:AG54" si="15">(Y51+Y53)*-$B$54</f>
        <v>-2388.6152380035774</v>
      </c>
      <c r="Z54" s="118">
        <f t="shared" si="15"/>
        <v>-2398.8568917220464</v>
      </c>
      <c r="AA54" s="118">
        <f t="shared" si="15"/>
        <v>-2408.1840102419378</v>
      </c>
      <c r="AB54" s="118">
        <f t="shared" si="15"/>
        <v>-2416.5691575072992</v>
      </c>
      <c r="AC54" s="118">
        <f t="shared" si="15"/>
        <v>-2423.9840743804948</v>
      </c>
      <c r="AD54" s="118">
        <f t="shared" si="15"/>
        <v>-2430.3996539497675</v>
      </c>
      <c r="AE54" s="118">
        <f t="shared" si="15"/>
        <v>-2435.7859160959842</v>
      </c>
      <c r="AF54" s="118">
        <f t="shared" si="15"/>
        <v>-2440.111981296463</v>
      </c>
      <c r="AG54" s="118">
        <f t="shared" si="15"/>
        <v>-4065.6335286428307</v>
      </c>
    </row>
    <row r="55" spans="1:33">
      <c r="A55" s="5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</row>
    <row r="56" spans="1:33" ht="15.75">
      <c r="A56" s="78" t="s">
        <v>91</v>
      </c>
      <c r="B56" s="79"/>
      <c r="C56" s="112">
        <f>C51+C53+C54</f>
        <v>-80.191658375585263</v>
      </c>
      <c r="D56" s="112">
        <f t="shared" ref="D56:X56" si="16">D51+D53+D54</f>
        <v>-1899.0827568333443</v>
      </c>
      <c r="E56" s="112">
        <f t="shared" si="16"/>
        <v>-5224.7630277095832</v>
      </c>
      <c r="F56" s="112">
        <f t="shared" si="16"/>
        <v>-909.35577553060432</v>
      </c>
      <c r="G56" s="112">
        <f t="shared" si="16"/>
        <v>-445.96000635348514</v>
      </c>
      <c r="H56" s="112">
        <f t="shared" si="16"/>
        <v>-189.91043231924689</v>
      </c>
      <c r="I56" s="112">
        <f t="shared" si="16"/>
        <v>63.96991090043484</v>
      </c>
      <c r="J56" s="112">
        <f t="shared" si="16"/>
        <v>315.49111181000717</v>
      </c>
      <c r="K56" s="112">
        <f t="shared" si="16"/>
        <v>716.02060141249149</v>
      </c>
      <c r="L56" s="112">
        <f t="shared" si="16"/>
        <v>966.76262161102818</v>
      </c>
      <c r="M56" s="112">
        <f t="shared" si="16"/>
        <v>1375.4511251774879</v>
      </c>
      <c r="N56" s="112">
        <f t="shared" si="16"/>
        <v>1625.0896000437106</v>
      </c>
      <c r="O56" s="112">
        <f t="shared" si="16"/>
        <v>2042.1487816330919</v>
      </c>
      <c r="P56" s="112">
        <f t="shared" si="16"/>
        <v>2290.3227287680675</v>
      </c>
      <c r="Q56" s="112">
        <f t="shared" si="16"/>
        <v>2534.9811053249496</v>
      </c>
      <c r="R56" s="112">
        <f t="shared" si="16"/>
        <v>2775.860307486585</v>
      </c>
      <c r="S56" s="112">
        <f t="shared" si="16"/>
        <v>3012.6840792203056</v>
      </c>
      <c r="T56" s="112">
        <f t="shared" si="16"/>
        <v>3245.1629903884455</v>
      </c>
      <c r="U56" s="112">
        <f t="shared" si="16"/>
        <v>3472.9938949324601</v>
      </c>
      <c r="V56" s="112">
        <f t="shared" si="16"/>
        <v>3695.8593684047933</v>
      </c>
      <c r="W56" s="112">
        <f t="shared" si="16"/>
        <v>4138.3565907636848</v>
      </c>
      <c r="X56" s="112">
        <f t="shared" si="16"/>
        <v>4415.3305597775652</v>
      </c>
      <c r="Y56" s="112">
        <f t="shared" ref="Y56:AG56" si="17">Y51+Y53+Y54</f>
        <v>4435.9997277209304</v>
      </c>
      <c r="Z56" s="112">
        <f t="shared" si="17"/>
        <v>4455.0199417695148</v>
      </c>
      <c r="AA56" s="112">
        <f t="shared" si="17"/>
        <v>4472.3417333064554</v>
      </c>
      <c r="AB56" s="112">
        <f t="shared" si="17"/>
        <v>4487.9141496564134</v>
      </c>
      <c r="AC56" s="112">
        <f t="shared" si="17"/>
        <v>4501.6847095637768</v>
      </c>
      <c r="AD56" s="112">
        <f t="shared" si="17"/>
        <v>4513.5993573352825</v>
      </c>
      <c r="AE56" s="112">
        <f t="shared" si="17"/>
        <v>4523.6024156068288</v>
      </c>
      <c r="AF56" s="112">
        <f t="shared" si="17"/>
        <v>4531.6365366934315</v>
      </c>
      <c r="AG56" s="112">
        <f t="shared" si="17"/>
        <v>7550.4622674795428</v>
      </c>
    </row>
    <row r="58" spans="1:33">
      <c r="C58" s="249"/>
      <c r="D58" s="249"/>
      <c r="E58" s="249"/>
      <c r="F58" s="249"/>
      <c r="G58" s="249"/>
      <c r="H58" s="249"/>
      <c r="I58" s="249"/>
      <c r="J58" s="249"/>
      <c r="K58" s="249"/>
      <c r="L58" s="249"/>
      <c r="M58" s="249"/>
      <c r="N58" s="249"/>
      <c r="O58" s="249"/>
      <c r="P58" s="249"/>
      <c r="Q58" s="249"/>
      <c r="R58" s="249"/>
      <c r="S58" s="249"/>
      <c r="T58" s="249"/>
      <c r="U58" s="249"/>
      <c r="V58" s="249"/>
      <c r="W58" s="249"/>
      <c r="X58" s="249"/>
    </row>
    <row r="59" spans="1:33">
      <c r="C59" s="149"/>
      <c r="D59" s="149"/>
      <c r="E59" s="149"/>
      <c r="F59" s="149"/>
      <c r="G59" s="149"/>
    </row>
    <row r="60" spans="1:33">
      <c r="C60" s="149"/>
      <c r="D60" s="149"/>
      <c r="E60" s="149"/>
      <c r="F60" s="149"/>
      <c r="G60" s="149"/>
    </row>
    <row r="61" spans="1:33">
      <c r="C61" s="149"/>
      <c r="D61" s="149"/>
      <c r="E61" s="149"/>
      <c r="F61" s="149"/>
      <c r="G61" s="149"/>
    </row>
    <row r="62" spans="1:33">
      <c r="C62" s="137"/>
      <c r="D62" s="137"/>
      <c r="E62" s="137"/>
      <c r="F62" s="137"/>
      <c r="G62" s="137"/>
    </row>
    <row r="63" spans="1:33">
      <c r="C63" s="149"/>
      <c r="D63" s="149"/>
      <c r="E63" s="149"/>
      <c r="F63" s="149"/>
      <c r="G63" s="149"/>
    </row>
    <row r="64" spans="1:33">
      <c r="C64" s="149"/>
      <c r="D64" s="149"/>
      <c r="E64" s="149"/>
      <c r="F64" s="149"/>
      <c r="G64" s="149"/>
    </row>
    <row r="65" spans="3:7">
      <c r="C65" s="149"/>
      <c r="D65" s="149"/>
      <c r="E65" s="149"/>
      <c r="F65" s="149"/>
      <c r="G65" s="149"/>
    </row>
    <row r="66" spans="3:7">
      <c r="C66" s="149"/>
      <c r="D66" s="149"/>
      <c r="E66" s="149"/>
      <c r="F66" s="149"/>
      <c r="G66" s="149"/>
    </row>
    <row r="67" spans="3:7">
      <c r="C67" s="149"/>
      <c r="D67" s="149"/>
      <c r="E67" s="149"/>
      <c r="F67" s="149"/>
      <c r="G67" s="149"/>
    </row>
    <row r="68" spans="3:7">
      <c r="C68" s="137"/>
      <c r="D68" s="137"/>
      <c r="E68" s="137"/>
      <c r="F68" s="137"/>
      <c r="G68" s="137"/>
    </row>
    <row r="69" spans="3:7">
      <c r="C69" s="137"/>
      <c r="D69" s="137"/>
      <c r="E69" s="137"/>
      <c r="F69" s="137"/>
      <c r="G69" s="137"/>
    </row>
    <row r="70" spans="3:7">
      <c r="C70" s="138"/>
      <c r="D70" s="138"/>
      <c r="E70" s="138"/>
      <c r="F70" s="138"/>
      <c r="G70" s="137"/>
    </row>
    <row r="71" spans="3:7">
      <c r="C71" s="137"/>
      <c r="D71" s="137"/>
      <c r="E71" s="137"/>
      <c r="F71" s="137"/>
      <c r="G71" s="137"/>
    </row>
    <row r="72" spans="3:7">
      <c r="C72" s="138"/>
      <c r="D72" s="137"/>
      <c r="E72" s="137"/>
      <c r="F72" s="137"/>
      <c r="G72" s="137"/>
    </row>
    <row r="73" spans="3:7">
      <c r="C73" s="137"/>
      <c r="D73" s="137"/>
      <c r="E73" s="137"/>
      <c r="F73" s="137"/>
      <c r="G73" s="137"/>
    </row>
    <row r="74" spans="3:7">
      <c r="C74" s="137"/>
      <c r="D74" s="137"/>
      <c r="E74" s="137"/>
      <c r="F74" s="137"/>
      <c r="G74" s="137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7" min="1" max="54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CH80"/>
  <sheetViews>
    <sheetView zoomScale="75" zoomScaleNormal="75" workbookViewId="0">
      <selection activeCell="D23" sqref="D23"/>
    </sheetView>
  </sheetViews>
  <sheetFormatPr defaultRowHeight="12.75" outlineLevelRow="1"/>
  <cols>
    <col min="1" max="1" width="63.5703125" style="14" customWidth="1"/>
    <col min="2" max="24" width="12.85546875" style="14" customWidth="1"/>
    <col min="25" max="26" width="12.85546875" style="6" customWidth="1"/>
    <col min="27" max="33" width="12.85546875" style="14" customWidth="1"/>
    <col min="34" max="35" width="9.85546875" style="14" customWidth="1"/>
    <col min="36" max="37" width="9.140625" style="14"/>
    <col min="38" max="39" width="9.85546875" style="14" customWidth="1"/>
    <col min="40" max="81" width="9.140625" style="14"/>
    <col min="82" max="83" width="9.85546875" style="14" customWidth="1"/>
    <col min="84" max="16384" width="9.140625" style="14"/>
  </cols>
  <sheetData>
    <row r="2" spans="1:33" ht="18.75">
      <c r="A2" s="135" t="str">
        <f>Assumptions!A3</f>
        <v>PROJECT NAME: LINCOLN</v>
      </c>
    </row>
    <row r="4" spans="1:33" ht="18.75">
      <c r="A4" s="93" t="s">
        <v>156</v>
      </c>
    </row>
    <row r="7" spans="1:33" ht="18.75">
      <c r="A7" s="135" t="s">
        <v>201</v>
      </c>
    </row>
    <row r="8" spans="1:33">
      <c r="B8" s="465">
        <v>0</v>
      </c>
      <c r="C8" s="465">
        <f>'Power Price Assumption'!D9</f>
        <v>0.66666666666666663</v>
      </c>
      <c r="D8" s="465">
        <f>'Power Price Assumption'!E9</f>
        <v>1.6666666666666665</v>
      </c>
      <c r="E8" s="465">
        <f>'Power Price Assumption'!F9</f>
        <v>2.6666666666666665</v>
      </c>
      <c r="F8" s="465">
        <f>'Power Price Assumption'!G9</f>
        <v>3.6666666666666665</v>
      </c>
      <c r="G8" s="465">
        <f>'Power Price Assumption'!H9</f>
        <v>4.6666666666666661</v>
      </c>
      <c r="H8" s="465">
        <f>'Power Price Assumption'!I9</f>
        <v>5.6666666666666661</v>
      </c>
      <c r="I8" s="465">
        <f>'Power Price Assumption'!J9</f>
        <v>6.6666666666666661</v>
      </c>
      <c r="J8" s="465">
        <f>'Power Price Assumption'!K9</f>
        <v>7.6666666666666661</v>
      </c>
      <c r="K8" s="465">
        <f>'Power Price Assumption'!L9</f>
        <v>8.6666666666666661</v>
      </c>
      <c r="L8" s="465">
        <f>'Power Price Assumption'!M9</f>
        <v>9.6666666666666661</v>
      </c>
      <c r="M8" s="465">
        <f>'Power Price Assumption'!N9</f>
        <v>10.666666666666666</v>
      </c>
      <c r="N8" s="465">
        <f>'Power Price Assumption'!O9</f>
        <v>11.666666666666666</v>
      </c>
      <c r="O8" s="465">
        <f>'Power Price Assumption'!P9</f>
        <v>12.666666666666666</v>
      </c>
      <c r="P8" s="465">
        <f>'Power Price Assumption'!Q9</f>
        <v>13.666666666666666</v>
      </c>
      <c r="Q8" s="465">
        <f>'Power Price Assumption'!R9</f>
        <v>14.666666666666666</v>
      </c>
      <c r="R8" s="465">
        <f>'Power Price Assumption'!S9</f>
        <v>15.666666666666666</v>
      </c>
      <c r="S8" s="465">
        <f>'Power Price Assumption'!T9</f>
        <v>16.666666666666664</v>
      </c>
      <c r="T8" s="465">
        <f>'Power Price Assumption'!U9</f>
        <v>17.666666666666664</v>
      </c>
      <c r="U8" s="465">
        <f>'Power Price Assumption'!V9</f>
        <v>18.666666666666664</v>
      </c>
      <c r="V8" s="465">
        <f>'Power Price Assumption'!W9</f>
        <v>19.666666666666664</v>
      </c>
      <c r="W8" s="465">
        <f>'Power Price Assumption'!X9</f>
        <v>20.666666666666664</v>
      </c>
      <c r="X8" s="465">
        <f>'Power Price Assumption'!Y9</f>
        <v>21.666666666666664</v>
      </c>
      <c r="Y8" s="465">
        <f>'Power Price Assumption'!Z9</f>
        <v>22.666666666666664</v>
      </c>
      <c r="Z8" s="465">
        <f>'Power Price Assumption'!AA9</f>
        <v>23.666666666666664</v>
      </c>
      <c r="AA8" s="465">
        <f>'Power Price Assumption'!AB9</f>
        <v>24.666666666666664</v>
      </c>
      <c r="AB8" s="465">
        <f>'Power Price Assumption'!AC9</f>
        <v>25.666666666666664</v>
      </c>
      <c r="AC8" s="465">
        <f>'Power Price Assumption'!AD9</f>
        <v>26.666666666666664</v>
      </c>
      <c r="AD8" s="465">
        <f>'Power Price Assumption'!AE9</f>
        <v>27.666666666666664</v>
      </c>
      <c r="AE8" s="465">
        <f>'Power Price Assumption'!AF9</f>
        <v>28.666666666666664</v>
      </c>
      <c r="AF8" s="465">
        <f>'Power Price Assumption'!AG9</f>
        <v>29.666666666666664</v>
      </c>
      <c r="AG8" s="465">
        <f>'Power Price Assumption'!AH9</f>
        <v>30.666666666666664</v>
      </c>
    </row>
    <row r="9" spans="1:33" ht="13.5" outlineLevel="1" thickBot="1">
      <c r="A9" s="186" t="s">
        <v>73</v>
      </c>
      <c r="B9" s="7">
        <f>YEAR(Assumptions!B67)</f>
        <v>2001</v>
      </c>
      <c r="C9" s="7">
        <f>'Power Price Assumption'!D10</f>
        <v>2002</v>
      </c>
      <c r="D9" s="7">
        <f>'Power Price Assumption'!E10</f>
        <v>2003</v>
      </c>
      <c r="E9" s="7">
        <f>'Power Price Assumption'!F10</f>
        <v>2004</v>
      </c>
      <c r="F9" s="7">
        <f>'Power Price Assumption'!G10</f>
        <v>2005</v>
      </c>
      <c r="G9" s="7">
        <f>'Power Price Assumption'!H10</f>
        <v>2006</v>
      </c>
      <c r="H9" s="7">
        <f>'Power Price Assumption'!I10</f>
        <v>2007</v>
      </c>
      <c r="I9" s="7">
        <f>'Power Price Assumption'!J10</f>
        <v>2008</v>
      </c>
      <c r="J9" s="7">
        <f>'Power Price Assumption'!K10</f>
        <v>2009</v>
      </c>
      <c r="K9" s="7">
        <f>'Power Price Assumption'!L10</f>
        <v>2010</v>
      </c>
      <c r="L9" s="7">
        <f>'Power Price Assumption'!M10</f>
        <v>2011</v>
      </c>
      <c r="M9" s="7">
        <f>'Power Price Assumption'!N10</f>
        <v>2012</v>
      </c>
      <c r="N9" s="7">
        <f>'Power Price Assumption'!O10</f>
        <v>2013</v>
      </c>
      <c r="O9" s="7">
        <f>'Power Price Assumption'!P10</f>
        <v>2014</v>
      </c>
      <c r="P9" s="7">
        <f>'Power Price Assumption'!Q10</f>
        <v>2015</v>
      </c>
      <c r="Q9" s="7">
        <f>'Power Price Assumption'!R10</f>
        <v>2016</v>
      </c>
      <c r="R9" s="7">
        <f>'Power Price Assumption'!S10</f>
        <v>2017</v>
      </c>
      <c r="S9" s="7">
        <f>'Power Price Assumption'!T10</f>
        <v>2018</v>
      </c>
      <c r="T9" s="7">
        <f>'Power Price Assumption'!U10</f>
        <v>2019</v>
      </c>
      <c r="U9" s="7">
        <f>'Power Price Assumption'!V10</f>
        <v>2020</v>
      </c>
      <c r="V9" s="7">
        <f>'Power Price Assumption'!W10</f>
        <v>2021</v>
      </c>
      <c r="W9" s="7">
        <f>'Power Price Assumption'!X10</f>
        <v>2022</v>
      </c>
      <c r="X9" s="7">
        <f>'Power Price Assumption'!Y10</f>
        <v>2023</v>
      </c>
      <c r="Y9" s="7">
        <f>'Power Price Assumption'!Z10</f>
        <v>2024</v>
      </c>
      <c r="Z9" s="7">
        <f>'Power Price Assumption'!AA10</f>
        <v>2025</v>
      </c>
      <c r="AA9" s="7">
        <f>'Power Price Assumption'!AB10</f>
        <v>2026</v>
      </c>
      <c r="AB9" s="7">
        <f>'Power Price Assumption'!AC10</f>
        <v>2027</v>
      </c>
      <c r="AC9" s="7">
        <f>'Power Price Assumption'!AD10</f>
        <v>2028</v>
      </c>
      <c r="AD9" s="7">
        <f>'Power Price Assumption'!AE10</f>
        <v>2029</v>
      </c>
      <c r="AE9" s="7">
        <f>'Power Price Assumption'!AF10</f>
        <v>2030</v>
      </c>
      <c r="AF9" s="7">
        <f>'Power Price Assumption'!AG10</f>
        <v>2031</v>
      </c>
      <c r="AG9" s="7">
        <f>'Power Price Assumption'!AH10</f>
        <v>2032</v>
      </c>
    </row>
    <row r="10" spans="1:33" outlineLevel="1">
      <c r="A10" s="208"/>
      <c r="B10" s="247">
        <f>Assumptions!B67</f>
        <v>37104</v>
      </c>
      <c r="C10" s="247">
        <f>IS!C8</f>
        <v>37620.5</v>
      </c>
      <c r="D10" s="247">
        <f>IS!D8</f>
        <v>37985.75</v>
      </c>
      <c r="E10" s="247">
        <f>IS!E8</f>
        <v>38351</v>
      </c>
      <c r="F10" s="247">
        <f>IS!F8</f>
        <v>38716.25</v>
      </c>
      <c r="G10" s="247">
        <f>IS!G8</f>
        <v>39081.5</v>
      </c>
      <c r="H10" s="247">
        <f>IS!H8</f>
        <v>39446.75</v>
      </c>
      <c r="I10" s="247">
        <f>IS!I8</f>
        <v>39812</v>
      </c>
      <c r="J10" s="247">
        <f>IS!J8</f>
        <v>40177.25</v>
      </c>
      <c r="K10" s="247">
        <f>IS!K8</f>
        <v>40542.5</v>
      </c>
      <c r="L10" s="247">
        <f>IS!L8</f>
        <v>40907.75</v>
      </c>
      <c r="M10" s="247">
        <f>IS!M8</f>
        <v>41273</v>
      </c>
      <c r="N10" s="247">
        <f>IS!N8</f>
        <v>41638.25</v>
      </c>
      <c r="O10" s="247">
        <f>IS!O8</f>
        <v>42003.5</v>
      </c>
      <c r="P10" s="247">
        <f>IS!P8</f>
        <v>42368.75</v>
      </c>
      <c r="Q10" s="247">
        <f>IS!Q8</f>
        <v>42734</v>
      </c>
      <c r="R10" s="247">
        <f>IS!R8</f>
        <v>43099.25</v>
      </c>
      <c r="S10" s="247">
        <f>IS!S8</f>
        <v>43464.5</v>
      </c>
      <c r="T10" s="247">
        <f>IS!T8</f>
        <v>43829.75</v>
      </c>
      <c r="U10" s="247">
        <f>IS!U8</f>
        <v>44195</v>
      </c>
      <c r="V10" s="247">
        <f>IS!V8</f>
        <v>44560.25</v>
      </c>
      <c r="W10" s="247">
        <f>IS!W8</f>
        <v>44925.5</v>
      </c>
      <c r="X10" s="247">
        <f>IS!X8</f>
        <v>45290.75</v>
      </c>
      <c r="Y10" s="247">
        <f>IS!Y8</f>
        <v>45656</v>
      </c>
      <c r="Z10" s="247">
        <f>IS!Z8</f>
        <v>46021.25</v>
      </c>
      <c r="AA10" s="247">
        <f>IS!AA8</f>
        <v>46386.5</v>
      </c>
      <c r="AB10" s="247">
        <f>IS!AB8</f>
        <v>46751.75</v>
      </c>
      <c r="AC10" s="247">
        <f>IS!AC8</f>
        <v>47117</v>
      </c>
      <c r="AD10" s="247">
        <f>IS!AD8</f>
        <v>47482.25</v>
      </c>
      <c r="AE10" s="247">
        <f>IS!AE8</f>
        <v>47847.5</v>
      </c>
      <c r="AF10" s="247">
        <f>IS!AF8</f>
        <v>48212.75</v>
      </c>
      <c r="AG10" s="247">
        <f>IS!AG8</f>
        <v>48578</v>
      </c>
    </row>
    <row r="11" spans="1:33" outlineLevel="1">
      <c r="A11" s="2"/>
      <c r="B11" s="2"/>
      <c r="C11" s="9"/>
      <c r="D11" s="9"/>
      <c r="E11" s="9"/>
      <c r="F11" s="9"/>
      <c r="G11" s="9"/>
      <c r="H11" s="9"/>
      <c r="I11" s="283"/>
      <c r="J11" s="283"/>
      <c r="K11" s="284"/>
      <c r="L11" s="284"/>
      <c r="M11" s="283"/>
      <c r="N11" s="283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spans="1:33">
      <c r="A12" s="10" t="s">
        <v>85</v>
      </c>
      <c r="B12" s="92">
        <v>0</v>
      </c>
      <c r="C12" s="92">
        <f>IS!C43</f>
        <v>6308.381519999999</v>
      </c>
      <c r="D12" s="92">
        <f>IS!D43</f>
        <v>9746.9239655999991</v>
      </c>
      <c r="E12" s="92">
        <f>IS!E43</f>
        <v>3993.5156845679994</v>
      </c>
      <c r="F12" s="92">
        <f>IS!F43</f>
        <v>10745.978963364505</v>
      </c>
      <c r="G12" s="92">
        <f>IS!G43</f>
        <v>11194.004463107231</v>
      </c>
      <c r="H12" s="92">
        <f>IS!H43</f>
        <v>11302.674487984357</v>
      </c>
      <c r="I12" s="92">
        <f>IS!I43</f>
        <v>11407.794216929313</v>
      </c>
      <c r="J12" s="92">
        <f>IS!J43</f>
        <v>11509.052829163778</v>
      </c>
      <c r="K12" s="92">
        <f>IS!K43</f>
        <v>11854.187527638691</v>
      </c>
      <c r="L12" s="92">
        <f>IS!L43</f>
        <v>11954.170885026944</v>
      </c>
      <c r="M12" s="92">
        <f>IS!M43</f>
        <v>12312.659125177755</v>
      </c>
      <c r="N12" s="92">
        <f>IS!N43</f>
        <v>12410.836352725888</v>
      </c>
      <c r="O12" s="92">
        <f>IS!O43</f>
        <v>12783.024556907669</v>
      </c>
      <c r="P12" s="92">
        <f>IS!P43</f>
        <v>12878.804848725445</v>
      </c>
      <c r="Q12" s="92">
        <f>IS!Q43</f>
        <v>12968.83134254307</v>
      </c>
      <c r="R12" s="92">
        <f>IS!R43</f>
        <v>13052.672608217901</v>
      </c>
      <c r="S12" s="92">
        <f>IS!S43</f>
        <v>13129.87650821693</v>
      </c>
      <c r="T12" s="92">
        <f>IS!T43</f>
        <v>13199.969343460509</v>
      </c>
      <c r="U12" s="92">
        <f>IS!U43</f>
        <v>13262.454966553309</v>
      </c>
      <c r="V12" s="92">
        <f>IS!V43</f>
        <v>13316.813861214552</v>
      </c>
      <c r="W12" s="92">
        <f>IS!W43</f>
        <v>13362.502186677582</v>
      </c>
      <c r="X12" s="92">
        <f>IS!X43</f>
        <v>13398.950785785295</v>
      </c>
      <c r="Y12" s="92">
        <f>IS!Y43</f>
        <v>13432.779211224517</v>
      </c>
      <c r="Z12" s="92">
        <f>IS!Z43</f>
        <v>13463.908857785213</v>
      </c>
      <c r="AA12" s="92">
        <f>IS!AA43</f>
        <v>13492.258762100992</v>
      </c>
      <c r="AB12" s="92">
        <f>IS!AB43</f>
        <v>13517.745531904522</v>
      </c>
      <c r="AC12" s="92">
        <f>IS!AC43</f>
        <v>13540.283273160436</v>
      </c>
      <c r="AD12" s="92">
        <f>IS!AD43</f>
        <v>13559.783515012328</v>
      </c>
      <c r="AE12" s="92">
        <f>IS!AE43</f>
        <v>13576.155132478034</v>
      </c>
      <c r="AF12" s="92">
        <f>IS!AF43</f>
        <v>13589.304266825993</v>
      </c>
      <c r="AG12" s="92">
        <f>IS!AG43</f>
        <v>13599.134243562672</v>
      </c>
    </row>
    <row r="13" spans="1:33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</row>
    <row r="14" spans="1:33">
      <c r="A14" s="11" t="s">
        <v>151</v>
      </c>
      <c r="B14" s="473">
        <v>0</v>
      </c>
      <c r="C14" s="473">
        <f>Debt!B82</f>
        <v>0</v>
      </c>
      <c r="D14" s="473">
        <f>Debt!C82</f>
        <v>0</v>
      </c>
      <c r="E14" s="473">
        <f>Debt!D82</f>
        <v>0</v>
      </c>
      <c r="F14" s="473">
        <f>Debt!E82</f>
        <v>0</v>
      </c>
      <c r="G14" s="473">
        <f>Debt!F82</f>
        <v>0</v>
      </c>
      <c r="H14" s="473">
        <f>Debt!G82</f>
        <v>0</v>
      </c>
      <c r="I14" s="473">
        <f>Debt!H82</f>
        <v>0</v>
      </c>
      <c r="J14" s="473">
        <f>Debt!I82</f>
        <v>0</v>
      </c>
      <c r="K14" s="473">
        <f>Debt!J82</f>
        <v>0</v>
      </c>
      <c r="L14" s="473">
        <f>Debt!K82</f>
        <v>0</v>
      </c>
      <c r="M14" s="473">
        <f>Debt!L82</f>
        <v>0</v>
      </c>
      <c r="N14" s="473">
        <f>Debt!M82</f>
        <v>0</v>
      </c>
      <c r="O14" s="473">
        <f>Debt!N82</f>
        <v>0</v>
      </c>
      <c r="P14" s="473">
        <f>Debt!O82</f>
        <v>0</v>
      </c>
      <c r="Q14" s="473">
        <f>Debt!P82</f>
        <v>0</v>
      </c>
      <c r="R14" s="473">
        <f>Debt!Q82</f>
        <v>0</v>
      </c>
      <c r="S14" s="473">
        <f>Debt!R82</f>
        <v>0</v>
      </c>
      <c r="T14" s="473">
        <f>Debt!S82</f>
        <v>0</v>
      </c>
      <c r="U14" s="473">
        <f>Debt!T82</f>
        <v>0</v>
      </c>
      <c r="V14" s="473">
        <f>Debt!U82</f>
        <v>0</v>
      </c>
      <c r="W14" s="473">
        <f>Debt!V82</f>
        <v>0</v>
      </c>
      <c r="X14" s="473">
        <f>Debt!W82</f>
        <v>0</v>
      </c>
      <c r="Y14" s="473">
        <f>Debt!X82</f>
        <v>0</v>
      </c>
      <c r="Z14" s="473">
        <f>Debt!Y82</f>
        <v>0</v>
      </c>
      <c r="AA14" s="473">
        <f>Debt!Z82</f>
        <v>0</v>
      </c>
      <c r="AB14" s="473">
        <f>Debt!AA82</f>
        <v>0</v>
      </c>
      <c r="AC14" s="473">
        <f>Debt!AB82</f>
        <v>0</v>
      </c>
      <c r="AD14" s="473">
        <f>Debt!AC82</f>
        <v>0</v>
      </c>
      <c r="AE14" s="473">
        <f>Debt!AD82</f>
        <v>0</v>
      </c>
      <c r="AF14" s="473">
        <f>Debt!AE82</f>
        <v>0</v>
      </c>
      <c r="AG14" s="473">
        <f>Debt!AF82</f>
        <v>0</v>
      </c>
    </row>
    <row r="15" spans="1:33">
      <c r="A15" s="11" t="s">
        <v>148</v>
      </c>
      <c r="B15" s="473">
        <v>0</v>
      </c>
      <c r="C15" s="290">
        <f>-Debt!B87</f>
        <v>-4434.2340152984198</v>
      </c>
      <c r="D15" s="290">
        <f>-Debt!C87</f>
        <v>-4434.2340152984198</v>
      </c>
      <c r="E15" s="290">
        <f>-Debt!D87</f>
        <v>-4434.2340152984198</v>
      </c>
      <c r="F15" s="290">
        <f>-Debt!E87</f>
        <v>-4434.2340152984198</v>
      </c>
      <c r="G15" s="290">
        <f>-Debt!F87</f>
        <v>-4434.2340152984198</v>
      </c>
      <c r="H15" s="290">
        <f>-Debt!G87</f>
        <v>-4434.2340152984198</v>
      </c>
      <c r="I15" s="290">
        <f>-Debt!H87</f>
        <v>-4434.2340152984198</v>
      </c>
      <c r="J15" s="290">
        <f>-Debt!I87</f>
        <v>-4434.2340152984198</v>
      </c>
      <c r="K15" s="290">
        <f>-Debt!J87</f>
        <v>-4434.2340152984198</v>
      </c>
      <c r="L15" s="290">
        <f>-Debt!K87</f>
        <v>-4434.2340152984198</v>
      </c>
      <c r="M15" s="290">
        <f>-Debt!L87</f>
        <v>-4434.2340152984198</v>
      </c>
      <c r="N15" s="290">
        <f>-Debt!M87</f>
        <v>-4434.2340152984198</v>
      </c>
      <c r="O15" s="290">
        <f>-Debt!N87</f>
        <v>-4434.2340152984198</v>
      </c>
      <c r="P15" s="290">
        <f>-Debt!O87</f>
        <v>-4434.2340152984198</v>
      </c>
      <c r="Q15" s="290">
        <f>-Debt!P87</f>
        <v>-4434.2340152984198</v>
      </c>
      <c r="R15" s="290">
        <f>-Debt!Q87</f>
        <v>-4434.2340152984198</v>
      </c>
      <c r="S15" s="290">
        <f>-Debt!R87</f>
        <v>-4434.2340152984198</v>
      </c>
      <c r="T15" s="290">
        <f>-Debt!S87</f>
        <v>-4434.2340152984198</v>
      </c>
      <c r="U15" s="290">
        <f>-Debt!T87</f>
        <v>-4434.2340152984198</v>
      </c>
      <c r="V15" s="290">
        <f>-Debt!U87</f>
        <v>-4434.2340152984198</v>
      </c>
      <c r="W15" s="290">
        <f>-Debt!V87</f>
        <v>-4434.2340152984198</v>
      </c>
      <c r="X15" s="290">
        <f>-Debt!W87</f>
        <v>0</v>
      </c>
      <c r="Y15" s="290">
        <f>-Debt!X87</f>
        <v>0</v>
      </c>
      <c r="Z15" s="290">
        <f>-Debt!Y87</f>
        <v>0</v>
      </c>
      <c r="AA15" s="290">
        <f>-Debt!Z87</f>
        <v>0</v>
      </c>
      <c r="AB15" s="290">
        <f>-Debt!AA87</f>
        <v>0</v>
      </c>
      <c r="AC15" s="290">
        <f>-Debt!AB87</f>
        <v>0</v>
      </c>
      <c r="AD15" s="290">
        <f>-Debt!AC87</f>
        <v>0</v>
      </c>
      <c r="AE15" s="290">
        <f>-Debt!AD87</f>
        <v>0</v>
      </c>
      <c r="AF15" s="290">
        <f>-Debt!AE87</f>
        <v>0</v>
      </c>
      <c r="AG15" s="290">
        <f>-Debt!AF87</f>
        <v>0</v>
      </c>
    </row>
    <row r="16" spans="1:33">
      <c r="A16" s="11" t="s">
        <v>147</v>
      </c>
      <c r="B16" s="119">
        <v>0</v>
      </c>
      <c r="C16" s="119">
        <f>-Debt!B86</f>
        <v>-3879.954763386118</v>
      </c>
      <c r="D16" s="119">
        <f>-Debt!C86</f>
        <v>-7371.9140504336228</v>
      </c>
      <c r="E16" s="119">
        <f>-Debt!D86</f>
        <v>-7061.5176693627336</v>
      </c>
      <c r="F16" s="119">
        <f>-Debt!E86</f>
        <v>-6751.1212882918444</v>
      </c>
      <c r="G16" s="119">
        <f>-Debt!F86</f>
        <v>-6440.7249072209543</v>
      </c>
      <c r="H16" s="119">
        <f>-Debt!G86</f>
        <v>-6130.3285261500641</v>
      </c>
      <c r="I16" s="119">
        <f>-Debt!H86</f>
        <v>-5819.932145079174</v>
      </c>
      <c r="J16" s="119">
        <f>-Debt!I86</f>
        <v>-5509.5357640082839</v>
      </c>
      <c r="K16" s="119">
        <f>-Debt!J86</f>
        <v>-5199.1393829373956</v>
      </c>
      <c r="L16" s="119">
        <f>-Debt!K86</f>
        <v>-4888.7430018665054</v>
      </c>
      <c r="M16" s="119">
        <f>-Debt!L86</f>
        <v>-4578.3466207956153</v>
      </c>
      <c r="N16" s="119">
        <f>-Debt!M86</f>
        <v>-4267.9502397247252</v>
      </c>
      <c r="O16" s="119">
        <f>-Debt!N86</f>
        <v>-3957.553858653836</v>
      </c>
      <c r="P16" s="119">
        <f>-Debt!O86</f>
        <v>-3647.1574775829458</v>
      </c>
      <c r="Q16" s="119">
        <f>-Debt!P86</f>
        <v>-3336.7610965120562</v>
      </c>
      <c r="R16" s="119">
        <f>-Debt!Q86</f>
        <v>-3026.3647154411665</v>
      </c>
      <c r="S16" s="119">
        <f>-Debt!R86</f>
        <v>-2715.9683343702764</v>
      </c>
      <c r="T16" s="119">
        <f>-Debt!S86</f>
        <v>-2405.5719532993867</v>
      </c>
      <c r="U16" s="119">
        <f>-Debt!T86</f>
        <v>-2095.175572228497</v>
      </c>
      <c r="V16" s="119">
        <f>-Debt!U86</f>
        <v>-1784.779191157608</v>
      </c>
      <c r="W16" s="119">
        <f>-Debt!V86</f>
        <v>-1474.3828100867188</v>
      </c>
      <c r="X16" s="119">
        <f>-Debt!W86</f>
        <v>-1241.5855242835519</v>
      </c>
      <c r="Y16" s="119">
        <f>-Debt!X86</f>
        <v>-1241.5855242835519</v>
      </c>
      <c r="Z16" s="119">
        <f>-Debt!Y86</f>
        <v>-1241.5855242835519</v>
      </c>
      <c r="AA16" s="119">
        <f>-Debt!Z86</f>
        <v>-1241.5855242835519</v>
      </c>
      <c r="AB16" s="119">
        <f>-Debt!AA86</f>
        <v>-1241.5855242835519</v>
      </c>
      <c r="AC16" s="119">
        <f>-Debt!AB86</f>
        <v>-1241.5855242835519</v>
      </c>
      <c r="AD16" s="119">
        <f>-Debt!AC86</f>
        <v>-1241.5855242835519</v>
      </c>
      <c r="AE16" s="119">
        <f>-Debt!AD86</f>
        <v>-1241.5855242835519</v>
      </c>
      <c r="AF16" s="119">
        <f>-Debt!AE86</f>
        <v>-1241.5855242835519</v>
      </c>
      <c r="AG16" s="119">
        <f>-Debt!AF86</f>
        <v>-1241.5855242835519</v>
      </c>
    </row>
    <row r="17" spans="1:33">
      <c r="A17" s="11"/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</row>
    <row r="18" spans="1:33">
      <c r="A18" s="10" t="s">
        <v>92</v>
      </c>
      <c r="B18" s="474">
        <v>0</v>
      </c>
      <c r="C18" s="474">
        <f t="shared" ref="C18:X18" si="0">SUM(C12:C16)</f>
        <v>-2005.8072586845387</v>
      </c>
      <c r="D18" s="188">
        <f>SUM(D12:D16)</f>
        <v>-2059.2241001320435</v>
      </c>
      <c r="E18" s="188">
        <f t="shared" si="0"/>
        <v>-7502.236000093154</v>
      </c>
      <c r="F18" s="188">
        <f t="shared" si="0"/>
        <v>-439.37634022575912</v>
      </c>
      <c r="G18" s="188">
        <f t="shared" si="0"/>
        <v>319.04554058785652</v>
      </c>
      <c r="H18" s="188">
        <f t="shared" si="0"/>
        <v>738.11194653587336</v>
      </c>
      <c r="I18" s="188">
        <f t="shared" si="0"/>
        <v>1153.6280565517191</v>
      </c>
      <c r="J18" s="188">
        <f t="shared" si="0"/>
        <v>1565.2830498570747</v>
      </c>
      <c r="K18" s="188">
        <f t="shared" si="0"/>
        <v>2220.8141294028756</v>
      </c>
      <c r="L18" s="188">
        <f t="shared" si="0"/>
        <v>2631.193867862019</v>
      </c>
      <c r="M18" s="188">
        <f t="shared" si="0"/>
        <v>3300.0784890837203</v>
      </c>
      <c r="N18" s="188">
        <f t="shared" si="0"/>
        <v>3708.652097702743</v>
      </c>
      <c r="O18" s="188">
        <f t="shared" si="0"/>
        <v>4391.236682955413</v>
      </c>
      <c r="P18" s="188">
        <f t="shared" si="0"/>
        <v>4797.4133558440799</v>
      </c>
      <c r="Q18" s="188">
        <f t="shared" si="0"/>
        <v>5197.8362307325933</v>
      </c>
      <c r="R18" s="188">
        <f t="shared" si="0"/>
        <v>5592.0738774783149</v>
      </c>
      <c r="S18" s="188">
        <f t="shared" si="0"/>
        <v>5979.6741585482341</v>
      </c>
      <c r="T18" s="188">
        <f t="shared" si="0"/>
        <v>6360.1633748627028</v>
      </c>
      <c r="U18" s="188">
        <f t="shared" si="0"/>
        <v>6733.0453790263919</v>
      </c>
      <c r="V18" s="188">
        <f t="shared" si="0"/>
        <v>7097.8006547585246</v>
      </c>
      <c r="W18" s="188">
        <f t="shared" si="0"/>
        <v>7453.885361292444</v>
      </c>
      <c r="X18" s="188">
        <f t="shared" si="0"/>
        <v>12157.365261501744</v>
      </c>
      <c r="Y18" s="188">
        <f t="shared" ref="Y18:AG18" si="1">SUM(Y12:Y16)</f>
        <v>12191.193686940966</v>
      </c>
      <c r="Z18" s="188">
        <f t="shared" si="1"/>
        <v>12222.323333501661</v>
      </c>
      <c r="AA18" s="188">
        <f t="shared" si="1"/>
        <v>12250.67323781744</v>
      </c>
      <c r="AB18" s="188">
        <f t="shared" si="1"/>
        <v>12276.160007620971</v>
      </c>
      <c r="AC18" s="188">
        <f t="shared" si="1"/>
        <v>12298.697748876884</v>
      </c>
      <c r="AD18" s="188">
        <f t="shared" si="1"/>
        <v>12318.197990728777</v>
      </c>
      <c r="AE18" s="188">
        <f t="shared" si="1"/>
        <v>12334.569608194482</v>
      </c>
      <c r="AF18" s="188">
        <f t="shared" si="1"/>
        <v>12347.718742542442</v>
      </c>
      <c r="AG18" s="188">
        <f t="shared" si="1"/>
        <v>12357.548719279121</v>
      </c>
    </row>
    <row r="19" spans="1:33">
      <c r="A19" s="10"/>
      <c r="B19" s="92"/>
      <c r="C19" s="92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</row>
    <row r="20" spans="1:33">
      <c r="A20" s="3" t="s">
        <v>312</v>
      </c>
      <c r="B20" s="92">
        <v>0</v>
      </c>
      <c r="C20" s="103">
        <f>-Taxes!B30</f>
        <v>0</v>
      </c>
      <c r="D20" s="103">
        <f>-Taxes!C30</f>
        <v>0</v>
      </c>
      <c r="E20" s="103">
        <f>-Taxes!D30</f>
        <v>0</v>
      </c>
      <c r="F20" s="103">
        <f>-Taxes!E30</f>
        <v>0</v>
      </c>
      <c r="G20" s="103">
        <f>-Taxes!F30</f>
        <v>0</v>
      </c>
      <c r="H20" s="103">
        <f>-Taxes!G30</f>
        <v>0</v>
      </c>
      <c r="I20" s="103">
        <f>-Taxes!H30</f>
        <v>0</v>
      </c>
      <c r="J20" s="103">
        <f>-Taxes!I30</f>
        <v>0</v>
      </c>
      <c r="K20" s="103">
        <f>-Taxes!J30</f>
        <v>0</v>
      </c>
      <c r="L20" s="103">
        <f>-Taxes!K30</f>
        <v>0</v>
      </c>
      <c r="M20" s="103">
        <f>-Taxes!L30</f>
        <v>0</v>
      </c>
      <c r="N20" s="103">
        <f>-Taxes!M30</f>
        <v>0</v>
      </c>
      <c r="O20" s="103">
        <f>-Taxes!N30</f>
        <v>0</v>
      </c>
      <c r="P20" s="103">
        <f>-Taxes!O30</f>
        <v>0</v>
      </c>
      <c r="Q20" s="103">
        <f>-Taxes!P30</f>
        <v>0</v>
      </c>
      <c r="R20" s="103">
        <f>-Taxes!Q30</f>
        <v>0</v>
      </c>
      <c r="S20" s="103">
        <f>-Taxes!R30</f>
        <v>0</v>
      </c>
      <c r="T20" s="103">
        <f>-Taxes!S30</f>
        <v>0</v>
      </c>
      <c r="U20" s="103">
        <f>-Taxes!T30</f>
        <v>-636.90476365948859</v>
      </c>
      <c r="V20" s="103">
        <f>-Taxes!U30</f>
        <v>-658.79008020341655</v>
      </c>
      <c r="W20" s="103">
        <f>-Taxes!V30</f>
        <v>-702.24316259545185</v>
      </c>
      <c r="X20" s="103">
        <f>-Taxes!W30</f>
        <v>-729.44191569010457</v>
      </c>
      <c r="Y20" s="103">
        <f>-Taxes!X30</f>
        <v>-731.47162121645795</v>
      </c>
      <c r="Z20" s="103">
        <f>-Taxes!Y30</f>
        <v>-733.33940001009967</v>
      </c>
      <c r="AA20" s="103">
        <f>-Taxes!Z30</f>
        <v>-735.04039426904637</v>
      </c>
      <c r="AB20" s="103">
        <f>-Taxes!AA30</f>
        <v>-736.56960045725816</v>
      </c>
      <c r="AC20" s="103">
        <f>-Taxes!AB30</f>
        <v>-737.92186493261306</v>
      </c>
      <c r="AD20" s="103">
        <f>-Taxes!AC30</f>
        <v>-739.09187944372661</v>
      </c>
      <c r="AE20" s="103">
        <f>-Taxes!AD30</f>
        <v>-740.07417649166894</v>
      </c>
      <c r="AF20" s="103">
        <f>-Taxes!AE30</f>
        <v>-740.86312455254642</v>
      </c>
      <c r="AG20" s="103">
        <f>-Taxes!AF30</f>
        <v>-741.45292315674726</v>
      </c>
    </row>
    <row r="21" spans="1:33">
      <c r="A21" s="3" t="s">
        <v>313</v>
      </c>
      <c r="B21" s="189">
        <v>0</v>
      </c>
      <c r="C21" s="189">
        <f>-Taxes!B41</f>
        <v>1196.4948018518082</v>
      </c>
      <c r="D21" s="189">
        <f>-Taxes!C41</f>
        <v>3005.4517796917685</v>
      </c>
      <c r="E21" s="189">
        <f>-Taxes!D41</f>
        <v>4546.1624196781568</v>
      </c>
      <c r="F21" s="189">
        <f>-Taxes!E41</f>
        <v>1748.169963724569</v>
      </c>
      <c r="G21" s="189">
        <f>-Taxes!F41</f>
        <v>1187.4122904398032</v>
      </c>
      <c r="H21" s="189">
        <f>-Taxes!G41</f>
        <v>772.27539835799735</v>
      </c>
      <c r="I21" s="189">
        <f>-Taxes!H41</f>
        <v>500.28332485245119</v>
      </c>
      <c r="J21" s="189">
        <f>-Taxes!I41</f>
        <v>360.0392721955767</v>
      </c>
      <c r="K21" s="189">
        <f>-Taxes!J41</f>
        <v>126.76819935454645</v>
      </c>
      <c r="L21" s="189">
        <f>-Taxes!K41</f>
        <v>-13.029514106153783</v>
      </c>
      <c r="M21" s="189">
        <f>-Taxes!L41</f>
        <v>-250.97432653374921</v>
      </c>
      <c r="N21" s="189">
        <f>-Taxes!M41</f>
        <v>-390.13989455040718</v>
      </c>
      <c r="O21" s="189">
        <f>-Taxes!N41</f>
        <v>-632.87969438884193</v>
      </c>
      <c r="P21" s="189">
        <f>-Taxes!O41</f>
        <v>-771.20633489987472</v>
      </c>
      <c r="Q21" s="189">
        <f>-Taxes!P41</f>
        <v>-915.18953611085465</v>
      </c>
      <c r="R21" s="189">
        <f>-Taxes!Q41</f>
        <v>-2184.5552374718573</v>
      </c>
      <c r="S21" s="189">
        <f>-Taxes!R41</f>
        <v>-3451.5978608463283</v>
      </c>
      <c r="T21" s="189">
        <f>-Taxes!S41</f>
        <v>-3584.7690865563918</v>
      </c>
      <c r="U21" s="189">
        <f>-Taxes!T41</f>
        <v>-3492.3611207328627</v>
      </c>
      <c r="V21" s="189">
        <f>-Taxes!U41</f>
        <v>-3612.3656064487341</v>
      </c>
      <c r="W21" s="189">
        <f>-Taxes!V41</f>
        <v>-3850.6333415650606</v>
      </c>
      <c r="X21" s="189">
        <f>-Taxes!W41</f>
        <v>-3999.7731710340736</v>
      </c>
      <c r="Y21" s="189">
        <f>-Taxes!X41</f>
        <v>-4010.9027230035772</v>
      </c>
      <c r="Z21" s="189">
        <f>-Taxes!Y41</f>
        <v>-4021.1443767220462</v>
      </c>
      <c r="AA21" s="189">
        <f>-Taxes!Z41</f>
        <v>-4030.4714952419376</v>
      </c>
      <c r="AB21" s="189">
        <f>-Taxes!AA41</f>
        <v>-4038.8566425072991</v>
      </c>
      <c r="AC21" s="189">
        <f>-Taxes!AB41</f>
        <v>-4046.2715593804951</v>
      </c>
      <c r="AD21" s="189">
        <f>-Taxes!AC41</f>
        <v>-4052.6871389497678</v>
      </c>
      <c r="AE21" s="189">
        <f>-Taxes!AD41</f>
        <v>-4058.0734010959845</v>
      </c>
      <c r="AF21" s="189">
        <f>-Taxes!AE41</f>
        <v>-4062.3994662964628</v>
      </c>
      <c r="AG21" s="189">
        <f>-Taxes!AF41</f>
        <v>-4065.6335286428307</v>
      </c>
    </row>
    <row r="22" spans="1:33">
      <c r="A22" s="11"/>
      <c r="B22" s="476"/>
      <c r="C22" s="476"/>
      <c r="D22" s="476"/>
      <c r="E22" s="476"/>
      <c r="F22" s="476"/>
      <c r="G22" s="476"/>
      <c r="H22" s="476"/>
      <c r="I22" s="476"/>
      <c r="J22" s="476"/>
      <c r="K22" s="476"/>
      <c r="L22" s="476"/>
      <c r="M22" s="476"/>
      <c r="N22" s="476"/>
      <c r="O22" s="476"/>
      <c r="P22" s="476"/>
      <c r="Q22" s="476"/>
      <c r="R22" s="476"/>
      <c r="S22" s="476"/>
      <c r="T22" s="476"/>
      <c r="U22" s="476"/>
      <c r="V22" s="476"/>
      <c r="W22" s="476"/>
      <c r="X22" s="476"/>
      <c r="Y22" s="476"/>
      <c r="Z22" s="476"/>
      <c r="AA22" s="476"/>
      <c r="AB22" s="476"/>
      <c r="AC22" s="476"/>
      <c r="AD22" s="476"/>
      <c r="AE22" s="476"/>
      <c r="AF22" s="476"/>
      <c r="AG22" s="476"/>
    </row>
    <row r="23" spans="1:33" s="13" customFormat="1">
      <c r="A23" s="10" t="s">
        <v>93</v>
      </c>
      <c r="B23" s="474">
        <v>0</v>
      </c>
      <c r="C23" s="474">
        <f t="shared" ref="C23:X23" si="2">C18+C21+C20</f>
        <v>-809.3124568327305</v>
      </c>
      <c r="D23" s="474">
        <f t="shared" si="2"/>
        <v>946.22767955972495</v>
      </c>
      <c r="E23" s="474">
        <f t="shared" si="2"/>
        <v>-2956.0735804149972</v>
      </c>
      <c r="F23" s="474">
        <f t="shared" si="2"/>
        <v>1308.7936234988099</v>
      </c>
      <c r="G23" s="474">
        <f t="shared" si="2"/>
        <v>1506.4578310276597</v>
      </c>
      <c r="H23" s="474">
        <f t="shared" si="2"/>
        <v>1510.3873448938707</v>
      </c>
      <c r="I23" s="474">
        <f t="shared" si="2"/>
        <v>1653.9113814041702</v>
      </c>
      <c r="J23" s="474">
        <f t="shared" si="2"/>
        <v>1925.3223220526515</v>
      </c>
      <c r="K23" s="474">
        <f t="shared" si="2"/>
        <v>2347.5823287574221</v>
      </c>
      <c r="L23" s="474">
        <f t="shared" si="2"/>
        <v>2618.1643537558652</v>
      </c>
      <c r="M23" s="474">
        <f t="shared" si="2"/>
        <v>3049.1041625499711</v>
      </c>
      <c r="N23" s="474">
        <f t="shared" si="2"/>
        <v>3318.512203152336</v>
      </c>
      <c r="O23" s="474">
        <f t="shared" si="2"/>
        <v>3758.3569885665711</v>
      </c>
      <c r="P23" s="474">
        <f t="shared" si="2"/>
        <v>4026.2070209442054</v>
      </c>
      <c r="Q23" s="474">
        <f t="shared" si="2"/>
        <v>4282.6466946217388</v>
      </c>
      <c r="R23" s="474">
        <f t="shared" si="2"/>
        <v>3407.5186400064576</v>
      </c>
      <c r="S23" s="474">
        <f t="shared" si="2"/>
        <v>2528.0762977019058</v>
      </c>
      <c r="T23" s="474">
        <f t="shared" si="2"/>
        <v>2775.394288306311</v>
      </c>
      <c r="U23" s="474">
        <f t="shared" si="2"/>
        <v>2603.7794946340405</v>
      </c>
      <c r="V23" s="474">
        <f t="shared" si="2"/>
        <v>2826.6449681063741</v>
      </c>
      <c r="W23" s="474">
        <f t="shared" si="2"/>
        <v>2901.0088571319316</v>
      </c>
      <c r="X23" s="474">
        <f t="shared" si="2"/>
        <v>7428.1501747775646</v>
      </c>
      <c r="Y23" s="474">
        <f t="shared" ref="Y23:AG23" si="3">Y18+Y21+Y20</f>
        <v>7448.8193427209308</v>
      </c>
      <c r="Z23" s="474">
        <f t="shared" si="3"/>
        <v>7467.8395567695152</v>
      </c>
      <c r="AA23" s="474">
        <f t="shared" si="3"/>
        <v>7485.1613483064557</v>
      </c>
      <c r="AB23" s="474">
        <f t="shared" si="3"/>
        <v>7500.7337646564138</v>
      </c>
      <c r="AC23" s="474">
        <f t="shared" si="3"/>
        <v>7514.5043245637762</v>
      </c>
      <c r="AD23" s="474">
        <f t="shared" si="3"/>
        <v>7526.418972335282</v>
      </c>
      <c r="AE23" s="474">
        <f t="shared" si="3"/>
        <v>7536.4220306068291</v>
      </c>
      <c r="AF23" s="474">
        <f t="shared" si="3"/>
        <v>7544.4561516934318</v>
      </c>
      <c r="AG23" s="474">
        <f t="shared" si="3"/>
        <v>7550.4622674795419</v>
      </c>
    </row>
    <row r="24" spans="1:33">
      <c r="A24" s="11"/>
      <c r="B24" s="92"/>
      <c r="C24" s="92"/>
      <c r="D24" s="476"/>
      <c r="E24" s="476"/>
      <c r="F24" s="476"/>
      <c r="G24" s="476"/>
      <c r="H24" s="476"/>
      <c r="I24" s="476"/>
      <c r="J24" s="476"/>
      <c r="K24" s="476"/>
      <c r="L24" s="476"/>
      <c r="M24" s="476"/>
      <c r="N24" s="476"/>
      <c r="O24" s="476"/>
      <c r="P24" s="476"/>
      <c r="Q24" s="476"/>
      <c r="R24" s="476"/>
      <c r="S24" s="476"/>
      <c r="T24" s="476"/>
      <c r="U24" s="476"/>
      <c r="V24" s="476"/>
      <c r="W24" s="476"/>
      <c r="X24" s="476"/>
      <c r="Y24" s="476"/>
      <c r="Z24" s="476"/>
      <c r="AA24" s="476"/>
      <c r="AB24" s="476"/>
      <c r="AC24" s="476"/>
      <c r="AD24" s="476"/>
      <c r="AE24" s="476"/>
      <c r="AF24" s="476"/>
      <c r="AG24" s="476"/>
    </row>
    <row r="25" spans="1:33">
      <c r="A25" s="60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</row>
    <row r="26" spans="1:33" ht="18.75">
      <c r="A26" s="135" t="s">
        <v>94</v>
      </c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</row>
    <row r="27" spans="1:33">
      <c r="C27" s="247"/>
      <c r="D27" s="247"/>
      <c r="E27" s="247"/>
      <c r="F27" s="247"/>
      <c r="G27" s="247"/>
      <c r="H27" s="247"/>
      <c r="I27" s="247"/>
      <c r="J27" s="247"/>
      <c r="K27" s="247"/>
      <c r="L27" s="247"/>
      <c r="M27" s="247"/>
      <c r="N27" s="247"/>
      <c r="O27" s="247"/>
      <c r="P27" s="247"/>
      <c r="Q27" s="247"/>
      <c r="R27" s="247"/>
      <c r="S27" s="247"/>
      <c r="T27" s="247"/>
      <c r="U27" s="247"/>
      <c r="V27" s="247"/>
      <c r="W27" s="247"/>
      <c r="X27" s="247"/>
      <c r="Y27" s="247"/>
      <c r="Z27" s="247"/>
      <c r="AA27" s="247"/>
      <c r="AB27" s="247"/>
      <c r="AC27" s="247"/>
      <c r="AD27" s="247"/>
      <c r="AE27" s="247"/>
      <c r="AF27" s="247"/>
      <c r="AG27" s="247"/>
    </row>
    <row r="28" spans="1:33" ht="13.5" thickBot="1">
      <c r="A28" s="186" t="s">
        <v>73</v>
      </c>
      <c r="B28" s="7">
        <f>B9</f>
        <v>2001</v>
      </c>
      <c r="C28" s="7">
        <f>C9</f>
        <v>2002</v>
      </c>
      <c r="D28" s="7">
        <f t="shared" ref="D28:X28" si="4">D9</f>
        <v>2003</v>
      </c>
      <c r="E28" s="7">
        <f t="shared" si="4"/>
        <v>2004</v>
      </c>
      <c r="F28" s="7">
        <f t="shared" si="4"/>
        <v>2005</v>
      </c>
      <c r="G28" s="7">
        <f t="shared" si="4"/>
        <v>2006</v>
      </c>
      <c r="H28" s="7">
        <f t="shared" si="4"/>
        <v>2007</v>
      </c>
      <c r="I28" s="7">
        <f t="shared" si="4"/>
        <v>2008</v>
      </c>
      <c r="J28" s="7">
        <f t="shared" si="4"/>
        <v>2009</v>
      </c>
      <c r="K28" s="7">
        <f t="shared" si="4"/>
        <v>2010</v>
      </c>
      <c r="L28" s="7">
        <f t="shared" si="4"/>
        <v>2011</v>
      </c>
      <c r="M28" s="7">
        <f t="shared" si="4"/>
        <v>2012</v>
      </c>
      <c r="N28" s="7">
        <f t="shared" si="4"/>
        <v>2013</v>
      </c>
      <c r="O28" s="7">
        <f t="shared" si="4"/>
        <v>2014</v>
      </c>
      <c r="P28" s="7">
        <f t="shared" si="4"/>
        <v>2015</v>
      </c>
      <c r="Q28" s="7">
        <f t="shared" si="4"/>
        <v>2016</v>
      </c>
      <c r="R28" s="7">
        <f t="shared" si="4"/>
        <v>2017</v>
      </c>
      <c r="S28" s="7">
        <f t="shared" si="4"/>
        <v>2018</v>
      </c>
      <c r="T28" s="7">
        <f t="shared" si="4"/>
        <v>2019</v>
      </c>
      <c r="U28" s="7">
        <f t="shared" si="4"/>
        <v>2020</v>
      </c>
      <c r="V28" s="7">
        <f t="shared" si="4"/>
        <v>2021</v>
      </c>
      <c r="W28" s="7">
        <f t="shared" si="4"/>
        <v>2022</v>
      </c>
      <c r="X28" s="7">
        <f t="shared" si="4"/>
        <v>2023</v>
      </c>
      <c r="Y28" s="7">
        <f t="shared" ref="Y28:AG28" si="5">Y9</f>
        <v>2024</v>
      </c>
      <c r="Z28" s="7">
        <f t="shared" si="5"/>
        <v>2025</v>
      </c>
      <c r="AA28" s="7">
        <f t="shared" si="5"/>
        <v>2026</v>
      </c>
      <c r="AB28" s="7">
        <f t="shared" si="5"/>
        <v>2027</v>
      </c>
      <c r="AC28" s="7">
        <f t="shared" si="5"/>
        <v>2028</v>
      </c>
      <c r="AD28" s="7">
        <f t="shared" si="5"/>
        <v>2029</v>
      </c>
      <c r="AE28" s="7">
        <f t="shared" si="5"/>
        <v>2030</v>
      </c>
      <c r="AF28" s="7">
        <f t="shared" si="5"/>
        <v>2031</v>
      </c>
      <c r="AG28" s="7">
        <f t="shared" si="5"/>
        <v>2032</v>
      </c>
    </row>
    <row r="29" spans="1:33" ht="14.25" customHeight="1">
      <c r="A29" s="190"/>
      <c r="B29" s="281">
        <f>B10</f>
        <v>37104</v>
      </c>
      <c r="C29" s="437">
        <f>IS!C8</f>
        <v>37620.5</v>
      </c>
      <c r="D29" s="437">
        <f>IS!D8</f>
        <v>37985.75</v>
      </c>
      <c r="E29" s="437">
        <f>IS!E8</f>
        <v>38351</v>
      </c>
      <c r="F29" s="437">
        <f>IS!F8</f>
        <v>38716.25</v>
      </c>
      <c r="G29" s="437">
        <f>IS!G8</f>
        <v>39081.5</v>
      </c>
      <c r="H29" s="437">
        <f>IS!H8</f>
        <v>39446.75</v>
      </c>
      <c r="I29" s="437">
        <f>IS!I8</f>
        <v>39812</v>
      </c>
      <c r="J29" s="437">
        <f>IS!J8</f>
        <v>40177.25</v>
      </c>
      <c r="K29" s="437">
        <f>IS!K8</f>
        <v>40542.5</v>
      </c>
      <c r="L29" s="437">
        <f>IS!L8</f>
        <v>40907.75</v>
      </c>
      <c r="M29" s="437">
        <f>IS!M8</f>
        <v>41273</v>
      </c>
      <c r="N29" s="437">
        <f>IS!N8</f>
        <v>41638.25</v>
      </c>
      <c r="O29" s="437">
        <f>IS!O8</f>
        <v>42003.5</v>
      </c>
      <c r="P29" s="437">
        <f>IS!P8</f>
        <v>42368.75</v>
      </c>
      <c r="Q29" s="437">
        <f>IS!Q8</f>
        <v>42734</v>
      </c>
      <c r="R29" s="437">
        <f>IS!R8</f>
        <v>43099.25</v>
      </c>
      <c r="S29" s="437">
        <f>IS!S8</f>
        <v>43464.5</v>
      </c>
      <c r="T29" s="437">
        <f>IS!T8</f>
        <v>43829.75</v>
      </c>
      <c r="U29" s="437">
        <f>IS!U8</f>
        <v>44195</v>
      </c>
      <c r="V29" s="437">
        <f>IS!V8</f>
        <v>44560.25</v>
      </c>
      <c r="W29" s="437">
        <f>IS!W8</f>
        <v>44925.5</v>
      </c>
      <c r="X29" s="437">
        <f>IS!X8</f>
        <v>45290.75</v>
      </c>
      <c r="Y29" s="437">
        <f>IS!Y8</f>
        <v>45656</v>
      </c>
      <c r="Z29" s="437">
        <f>IS!Z8</f>
        <v>46021.25</v>
      </c>
      <c r="AA29" s="437">
        <f>IS!AA8</f>
        <v>46386.5</v>
      </c>
      <c r="AB29" s="437">
        <f>IS!AB8</f>
        <v>46751.75</v>
      </c>
      <c r="AC29" s="437">
        <f>IS!AC8</f>
        <v>47117</v>
      </c>
      <c r="AD29" s="437">
        <f>IS!AD8</f>
        <v>47482.25</v>
      </c>
      <c r="AE29" s="437">
        <f>IS!AE8</f>
        <v>47847.5</v>
      </c>
      <c r="AF29" s="437">
        <f>IS!AF8</f>
        <v>48212.75</v>
      </c>
      <c r="AG29" s="437">
        <f>IS!AG8</f>
        <v>48578</v>
      </c>
    </row>
    <row r="30" spans="1:33">
      <c r="A30" s="60"/>
      <c r="J30" s="48"/>
      <c r="Y30" s="14"/>
      <c r="Z30" s="14"/>
    </row>
    <row r="31" spans="1:33" s="13" customFormat="1">
      <c r="A31" s="10" t="s">
        <v>92</v>
      </c>
      <c r="B31" s="474">
        <v>0</v>
      </c>
      <c r="C31" s="474">
        <f>Assumptions!$B$68*C18</f>
        <v>-2005.8072586845387</v>
      </c>
      <c r="D31" s="474">
        <f>Assumptions!$B$68*D18</f>
        <v>-2059.2241001320435</v>
      </c>
      <c r="E31" s="474">
        <f>Assumptions!$B$68*E18</f>
        <v>-7502.236000093154</v>
      </c>
      <c r="F31" s="474">
        <f>Assumptions!$B$68*F18</f>
        <v>-439.37634022575912</v>
      </c>
      <c r="G31" s="474">
        <f>Assumptions!$B$68*G18</f>
        <v>319.04554058785652</v>
      </c>
      <c r="H31" s="474">
        <f>Assumptions!$B$68*H18</f>
        <v>738.11194653587336</v>
      </c>
      <c r="I31" s="474">
        <f>Assumptions!$B$68*I18</f>
        <v>1153.6280565517191</v>
      </c>
      <c r="J31" s="474">
        <f>Assumptions!$B$68*J18</f>
        <v>1565.2830498570747</v>
      </c>
      <c r="K31" s="474">
        <f>Assumptions!$B$68*K18</f>
        <v>2220.8141294028756</v>
      </c>
      <c r="L31" s="474">
        <f>Assumptions!$B$68*L18</f>
        <v>2631.193867862019</v>
      </c>
      <c r="M31" s="474">
        <f>Assumptions!$B$68*M18</f>
        <v>3300.0784890837203</v>
      </c>
      <c r="N31" s="474">
        <f>Assumptions!$B$68*N18</f>
        <v>3708.652097702743</v>
      </c>
      <c r="O31" s="474">
        <f>Assumptions!$B$68*O18</f>
        <v>4391.236682955413</v>
      </c>
      <c r="P31" s="474">
        <f>Assumptions!$B$68*P18</f>
        <v>4797.4133558440799</v>
      </c>
      <c r="Q31" s="474">
        <f>Assumptions!$B$68*Q18</f>
        <v>5197.8362307325933</v>
      </c>
      <c r="R31" s="474">
        <f>Assumptions!$B$68*R18</f>
        <v>5592.0738774783149</v>
      </c>
      <c r="S31" s="474">
        <f>Assumptions!$B$68*S18</f>
        <v>5979.6741585482341</v>
      </c>
      <c r="T31" s="474">
        <f>Assumptions!$B$68*T18</f>
        <v>6360.1633748627028</v>
      </c>
      <c r="U31" s="474">
        <f>Assumptions!$B$68*U18</f>
        <v>6733.0453790263919</v>
      </c>
      <c r="V31" s="474">
        <f>Assumptions!$B$68*V18</f>
        <v>7097.8006547585246</v>
      </c>
      <c r="W31" s="474">
        <f>Assumptions!$B$68*W18</f>
        <v>7453.885361292444</v>
      </c>
      <c r="X31" s="474">
        <f>Assumptions!$B$68*X18</f>
        <v>12157.365261501744</v>
      </c>
      <c r="Y31" s="474">
        <f>Assumptions!$B$68*Y18</f>
        <v>12191.193686940966</v>
      </c>
      <c r="Z31" s="474">
        <f>Assumptions!$B$68*Z18</f>
        <v>12222.323333501661</v>
      </c>
      <c r="AA31" s="474">
        <f>Assumptions!$B$68*AA18</f>
        <v>12250.67323781744</v>
      </c>
      <c r="AB31" s="474">
        <f>Assumptions!$B$68*AB18</f>
        <v>12276.160007620971</v>
      </c>
      <c r="AC31" s="474">
        <f>Assumptions!$B$68*AC18</f>
        <v>12298.697748876884</v>
      </c>
      <c r="AD31" s="474">
        <f>Assumptions!$B$68*AD18</f>
        <v>12318.197990728777</v>
      </c>
      <c r="AE31" s="474">
        <f>Assumptions!$B$68*AE18</f>
        <v>12334.569608194482</v>
      </c>
      <c r="AF31" s="474">
        <f>Assumptions!$B$68*AF18</f>
        <v>12347.718742542442</v>
      </c>
      <c r="AG31" s="474">
        <f>Assumptions!$B$68*AG18</f>
        <v>12357.548719279121</v>
      </c>
    </row>
    <row r="32" spans="1:33">
      <c r="A32" s="10"/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</row>
    <row r="33" spans="1:33">
      <c r="A33" s="11" t="s">
        <v>95</v>
      </c>
      <c r="B33" s="92">
        <v>0</v>
      </c>
      <c r="C33" s="129">
        <f>Assumptions!$B$68*C20</f>
        <v>0</v>
      </c>
      <c r="D33" s="129">
        <f>Assumptions!$B$68*D20</f>
        <v>0</v>
      </c>
      <c r="E33" s="129">
        <f>Assumptions!$B$68*E20</f>
        <v>0</v>
      </c>
      <c r="F33" s="129">
        <f>Assumptions!$B$68*F20</f>
        <v>0</v>
      </c>
      <c r="G33" s="129">
        <f>Assumptions!$B$68*G20</f>
        <v>0</v>
      </c>
      <c r="H33" s="129">
        <f>Assumptions!$B$68*H20</f>
        <v>0</v>
      </c>
      <c r="I33" s="129">
        <f>Assumptions!$B$68*I20</f>
        <v>0</v>
      </c>
      <c r="J33" s="129">
        <f>Assumptions!$B$68*J20</f>
        <v>0</v>
      </c>
      <c r="K33" s="129">
        <f>Assumptions!$B$68*K20</f>
        <v>0</v>
      </c>
      <c r="L33" s="129">
        <f>Assumptions!$B$68*L20</f>
        <v>0</v>
      </c>
      <c r="M33" s="129">
        <f>Assumptions!$B$68*M20</f>
        <v>0</v>
      </c>
      <c r="N33" s="129">
        <f>Assumptions!$B$68*N20</f>
        <v>0</v>
      </c>
      <c r="O33" s="129">
        <f>Assumptions!$B$68*O20</f>
        <v>0</v>
      </c>
      <c r="P33" s="129">
        <f>Assumptions!$B$68*P20</f>
        <v>0</v>
      </c>
      <c r="Q33" s="129">
        <f>Assumptions!$B$68*Q20</f>
        <v>0</v>
      </c>
      <c r="R33" s="129">
        <f>Assumptions!$B$68*R20</f>
        <v>0</v>
      </c>
      <c r="S33" s="129">
        <f>Assumptions!$B$68*S20</f>
        <v>0</v>
      </c>
      <c r="T33" s="129">
        <f>Assumptions!$B$68*T20</f>
        <v>0</v>
      </c>
      <c r="U33" s="129">
        <f>Assumptions!$B$68*U20</f>
        <v>-636.90476365948859</v>
      </c>
      <c r="V33" s="129">
        <f>Assumptions!$B$68*V20</f>
        <v>-658.79008020341655</v>
      </c>
      <c r="W33" s="129">
        <f>Assumptions!$B$68*W20</f>
        <v>-702.24316259545185</v>
      </c>
      <c r="X33" s="129">
        <f>Assumptions!$B$68*X20</f>
        <v>-729.44191569010457</v>
      </c>
      <c r="Y33" s="129">
        <f>Assumptions!$B$68*Y20</f>
        <v>-731.47162121645795</v>
      </c>
      <c r="Z33" s="129">
        <f>Assumptions!$B$68*Z20</f>
        <v>-733.33940001009967</v>
      </c>
      <c r="AA33" s="129">
        <f>Assumptions!$B$68*AA20</f>
        <v>-735.04039426904637</v>
      </c>
      <c r="AB33" s="129">
        <f>Assumptions!$B$68*AB20</f>
        <v>-736.56960045725816</v>
      </c>
      <c r="AC33" s="129">
        <f>Assumptions!$B$68*AC20</f>
        <v>-737.92186493261306</v>
      </c>
      <c r="AD33" s="129">
        <f>Assumptions!$B$68*AD20</f>
        <v>-739.09187944372661</v>
      </c>
      <c r="AE33" s="129">
        <f>Assumptions!$B$68*AE20</f>
        <v>-740.07417649166894</v>
      </c>
      <c r="AF33" s="129">
        <f>Assumptions!$B$68*AF20</f>
        <v>-740.86312455254642</v>
      </c>
      <c r="AG33" s="129">
        <f>Assumptions!$B$68*AG20</f>
        <v>-741.45292315674726</v>
      </c>
    </row>
    <row r="34" spans="1:33">
      <c r="A34" s="11" t="s">
        <v>96</v>
      </c>
      <c r="B34" s="189">
        <v>0</v>
      </c>
      <c r="C34" s="130">
        <f>Assumptions!$B$68*C21</f>
        <v>1196.4948018518082</v>
      </c>
      <c r="D34" s="130">
        <f>Assumptions!$B$68*D21</f>
        <v>3005.4517796917685</v>
      </c>
      <c r="E34" s="130">
        <f>Assumptions!$B$68*E21</f>
        <v>4546.1624196781568</v>
      </c>
      <c r="F34" s="130">
        <f>Assumptions!$B$68*F21</f>
        <v>1748.169963724569</v>
      </c>
      <c r="G34" s="130">
        <f>Assumptions!$B$68*G21</f>
        <v>1187.4122904398032</v>
      </c>
      <c r="H34" s="130">
        <f>Assumptions!$B$68*H21</f>
        <v>772.27539835799735</v>
      </c>
      <c r="I34" s="130">
        <f>Assumptions!$B$68*I21</f>
        <v>500.28332485245119</v>
      </c>
      <c r="J34" s="130">
        <f>Assumptions!$B$68*J21</f>
        <v>360.0392721955767</v>
      </c>
      <c r="K34" s="130">
        <f>Assumptions!$B$68*K21</f>
        <v>126.76819935454645</v>
      </c>
      <c r="L34" s="130">
        <f>Assumptions!$B$68*L21</f>
        <v>-13.029514106153783</v>
      </c>
      <c r="M34" s="130">
        <f>Assumptions!$B$68*M21</f>
        <v>-250.97432653374921</v>
      </c>
      <c r="N34" s="130">
        <f>Assumptions!$B$68*N21</f>
        <v>-390.13989455040718</v>
      </c>
      <c r="O34" s="130">
        <f>Assumptions!$B$68*O21</f>
        <v>-632.87969438884193</v>
      </c>
      <c r="P34" s="130">
        <f>Assumptions!$B$68*P21</f>
        <v>-771.20633489987472</v>
      </c>
      <c r="Q34" s="130">
        <f>Assumptions!$B$68*Q21</f>
        <v>-915.18953611085465</v>
      </c>
      <c r="R34" s="130">
        <f>Assumptions!$B$68*R21</f>
        <v>-2184.5552374718573</v>
      </c>
      <c r="S34" s="130">
        <f>Assumptions!$B$68*S21</f>
        <v>-3451.5978608463283</v>
      </c>
      <c r="T34" s="130">
        <f>Assumptions!$B$68*T21</f>
        <v>-3584.7690865563918</v>
      </c>
      <c r="U34" s="130">
        <f>Assumptions!$B$68*U21</f>
        <v>-3492.3611207328627</v>
      </c>
      <c r="V34" s="130">
        <f>Assumptions!$B$68*V21</f>
        <v>-3612.3656064487341</v>
      </c>
      <c r="W34" s="130">
        <f>Assumptions!$B$68*W21</f>
        <v>-3850.6333415650606</v>
      </c>
      <c r="X34" s="130">
        <f>Assumptions!$B$68*X21</f>
        <v>-3999.7731710340736</v>
      </c>
      <c r="Y34" s="130">
        <f>Assumptions!$B$68*Y21</f>
        <v>-4010.9027230035772</v>
      </c>
      <c r="Z34" s="130">
        <f>Assumptions!$B$68*Z21</f>
        <v>-4021.1443767220462</v>
      </c>
      <c r="AA34" s="130">
        <f>Assumptions!$B$68*AA21</f>
        <v>-4030.4714952419376</v>
      </c>
      <c r="AB34" s="130">
        <f>Assumptions!$B$68*AB21</f>
        <v>-4038.8566425072991</v>
      </c>
      <c r="AC34" s="130">
        <f>Assumptions!$B$68*AC21</f>
        <v>-4046.2715593804951</v>
      </c>
      <c r="AD34" s="130">
        <f>Assumptions!$B$68*AD21</f>
        <v>-4052.6871389497678</v>
      </c>
      <c r="AE34" s="130">
        <f>Assumptions!$B$68*AE21</f>
        <v>-4058.0734010959845</v>
      </c>
      <c r="AF34" s="130">
        <f>Assumptions!$B$68*AF21</f>
        <v>-4062.3994662964628</v>
      </c>
      <c r="AG34" s="130">
        <f>Assumptions!$B$68*AG21</f>
        <v>-4065.6335286428307</v>
      </c>
    </row>
    <row r="35" spans="1:33">
      <c r="A35" s="11"/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</row>
    <row r="36" spans="1:33" s="13" customFormat="1">
      <c r="A36" s="10" t="s">
        <v>93</v>
      </c>
      <c r="B36" s="474">
        <f>Assumptions!$B$68*B23</f>
        <v>0</v>
      </c>
      <c r="C36" s="474">
        <f>Assumptions!$B$68*C23</f>
        <v>-809.3124568327305</v>
      </c>
      <c r="D36" s="474">
        <f>Assumptions!$B$68*D23</f>
        <v>946.22767955972495</v>
      </c>
      <c r="E36" s="474">
        <f>Assumptions!$B$68*E23</f>
        <v>-2956.0735804149972</v>
      </c>
      <c r="F36" s="474">
        <f>Assumptions!$B$68*F23</f>
        <v>1308.7936234988099</v>
      </c>
      <c r="G36" s="474">
        <f>Assumptions!$B$68*G23</f>
        <v>1506.4578310276597</v>
      </c>
      <c r="H36" s="474">
        <f>Assumptions!$B$68*H23</f>
        <v>1510.3873448938707</v>
      </c>
      <c r="I36" s="474">
        <f>Assumptions!$B$68*I23</f>
        <v>1653.9113814041702</v>
      </c>
      <c r="J36" s="474">
        <f>Assumptions!$B$68*J23</f>
        <v>1925.3223220526515</v>
      </c>
      <c r="K36" s="474">
        <f>Assumptions!$B$68*K23</f>
        <v>2347.5823287574221</v>
      </c>
      <c r="L36" s="474">
        <f>Assumptions!$B$68*L23</f>
        <v>2618.1643537558652</v>
      </c>
      <c r="M36" s="474">
        <f>Assumptions!$B$68*M23</f>
        <v>3049.1041625499711</v>
      </c>
      <c r="N36" s="474">
        <f>Assumptions!$B$68*N23</f>
        <v>3318.512203152336</v>
      </c>
      <c r="O36" s="474">
        <f>Assumptions!$B$68*O23</f>
        <v>3758.3569885665711</v>
      </c>
      <c r="P36" s="474">
        <f>Assumptions!$B$68*P23</f>
        <v>4026.2070209442054</v>
      </c>
      <c r="Q36" s="474">
        <f>Assumptions!$B$68*Q23</f>
        <v>4282.6466946217388</v>
      </c>
      <c r="R36" s="474">
        <f>Assumptions!$B$68*R23</f>
        <v>3407.5186400064576</v>
      </c>
      <c r="S36" s="474">
        <f>Assumptions!$B$68*S23</f>
        <v>2528.0762977019058</v>
      </c>
      <c r="T36" s="474">
        <f>Assumptions!$B$68*T23</f>
        <v>2775.394288306311</v>
      </c>
      <c r="U36" s="474">
        <f>Assumptions!$B$68*U23</f>
        <v>2603.7794946340405</v>
      </c>
      <c r="V36" s="474">
        <f>Assumptions!$B$68*V23</f>
        <v>2826.6449681063741</v>
      </c>
      <c r="W36" s="474">
        <f>Assumptions!$B$68*W23</f>
        <v>2901.0088571319316</v>
      </c>
      <c r="X36" s="474">
        <f>Assumptions!$B$68*X23</f>
        <v>7428.1501747775646</v>
      </c>
      <c r="Y36" s="474">
        <f>Assumptions!$B$68*Y23</f>
        <v>7448.8193427209308</v>
      </c>
      <c r="Z36" s="474">
        <f>Assumptions!$B$68*Z23</f>
        <v>7467.8395567695152</v>
      </c>
      <c r="AA36" s="474">
        <f>Assumptions!$B$68*AA23</f>
        <v>7485.1613483064557</v>
      </c>
      <c r="AB36" s="474">
        <f>Assumptions!$B$68*AB23</f>
        <v>7500.7337646564138</v>
      </c>
      <c r="AC36" s="474">
        <f>Assumptions!$B$68*AC23</f>
        <v>7514.5043245637762</v>
      </c>
      <c r="AD36" s="474">
        <f>Assumptions!$B$68*AD23</f>
        <v>7526.418972335282</v>
      </c>
      <c r="AE36" s="474">
        <f>Assumptions!$B$68*AE23</f>
        <v>7536.4220306068291</v>
      </c>
      <c r="AF36" s="474">
        <f>Assumptions!$B$68*AF23</f>
        <v>7544.4561516934318</v>
      </c>
      <c r="AG36" s="474">
        <f>Assumptions!$B$68*AG23</f>
        <v>7550.4622674795419</v>
      </c>
    </row>
    <row r="37" spans="1:33">
      <c r="A37" s="10"/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</row>
    <row r="38" spans="1:33">
      <c r="A38" s="102" t="s">
        <v>97</v>
      </c>
      <c r="B38" s="474">
        <f>-Assumptions!$B$68*Assumptions!C11</f>
        <v>0</v>
      </c>
      <c r="C38" s="474">
        <v>0</v>
      </c>
      <c r="D38" s="474">
        <v>0</v>
      </c>
      <c r="E38" s="474">
        <v>0</v>
      </c>
      <c r="F38" s="474">
        <v>0</v>
      </c>
      <c r="G38" s="474">
        <v>0</v>
      </c>
      <c r="H38" s="474">
        <v>0</v>
      </c>
      <c r="I38" s="474">
        <v>0</v>
      </c>
      <c r="J38" s="474">
        <v>0</v>
      </c>
      <c r="K38" s="474">
        <v>0</v>
      </c>
      <c r="L38" s="474">
        <v>0</v>
      </c>
      <c r="M38" s="474">
        <v>0</v>
      </c>
      <c r="N38" s="474">
        <v>0</v>
      </c>
      <c r="O38" s="474">
        <v>0</v>
      </c>
      <c r="P38" s="474">
        <v>0</v>
      </c>
      <c r="Q38" s="474">
        <v>0</v>
      </c>
      <c r="R38" s="474">
        <v>0</v>
      </c>
      <c r="S38" s="474">
        <v>0</v>
      </c>
      <c r="T38" s="474">
        <v>0</v>
      </c>
      <c r="U38" s="474">
        <v>0</v>
      </c>
      <c r="V38" s="474">
        <v>0</v>
      </c>
      <c r="W38" s="474">
        <v>0</v>
      </c>
      <c r="X38" s="474">
        <v>0</v>
      </c>
      <c r="Y38" s="474">
        <v>0</v>
      </c>
      <c r="Z38" s="474">
        <v>0</v>
      </c>
      <c r="AA38" s="474">
        <v>0</v>
      </c>
      <c r="AB38" s="474">
        <v>0</v>
      </c>
      <c r="AC38" s="474">
        <v>0</v>
      </c>
      <c r="AD38" s="474">
        <v>0</v>
      </c>
      <c r="AE38" s="474">
        <v>0</v>
      </c>
      <c r="AF38" s="474">
        <v>0</v>
      </c>
      <c r="AG38" s="474">
        <v>0</v>
      </c>
    </row>
    <row r="39" spans="1:33">
      <c r="A39" s="102"/>
      <c r="B39" s="290"/>
      <c r="C39" s="290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</row>
    <row r="40" spans="1:33">
      <c r="A40" s="55"/>
      <c r="B40" s="477"/>
      <c r="C40" s="477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</row>
    <row r="41" spans="1:33">
      <c r="A41" s="60" t="s">
        <v>202</v>
      </c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</row>
    <row r="42" spans="1:33">
      <c r="A42" s="14" t="s">
        <v>309</v>
      </c>
      <c r="B42" s="103">
        <f>B38+C36</f>
        <v>-809.3124568327305</v>
      </c>
      <c r="C42" s="103">
        <f t="shared" ref="C42:X42" si="6">C38+C36</f>
        <v>-809.3124568327305</v>
      </c>
      <c r="D42" s="103">
        <f t="shared" si="6"/>
        <v>946.22767955972495</v>
      </c>
      <c r="E42" s="103">
        <f t="shared" si="6"/>
        <v>-2956.0735804149972</v>
      </c>
      <c r="F42" s="103">
        <f t="shared" si="6"/>
        <v>1308.7936234988099</v>
      </c>
      <c r="G42" s="103">
        <f t="shared" si="6"/>
        <v>1506.4578310276597</v>
      </c>
      <c r="H42" s="103">
        <f t="shared" si="6"/>
        <v>1510.3873448938707</v>
      </c>
      <c r="I42" s="103">
        <f t="shared" si="6"/>
        <v>1653.9113814041702</v>
      </c>
      <c r="J42" s="103">
        <f t="shared" si="6"/>
        <v>1925.3223220526515</v>
      </c>
      <c r="K42" s="103">
        <f t="shared" si="6"/>
        <v>2347.5823287574221</v>
      </c>
      <c r="L42" s="103">
        <f t="shared" si="6"/>
        <v>2618.1643537558652</v>
      </c>
      <c r="M42" s="103">
        <f t="shared" si="6"/>
        <v>3049.1041625499711</v>
      </c>
      <c r="N42" s="103">
        <f t="shared" si="6"/>
        <v>3318.512203152336</v>
      </c>
      <c r="O42" s="103">
        <f t="shared" si="6"/>
        <v>3758.3569885665711</v>
      </c>
      <c r="P42" s="103">
        <f t="shared" si="6"/>
        <v>4026.2070209442054</v>
      </c>
      <c r="Q42" s="103">
        <f t="shared" si="6"/>
        <v>4282.6466946217388</v>
      </c>
      <c r="R42" s="103">
        <f t="shared" si="6"/>
        <v>3407.5186400064576</v>
      </c>
      <c r="S42" s="103">
        <f t="shared" si="6"/>
        <v>2528.0762977019058</v>
      </c>
      <c r="T42" s="103">
        <f t="shared" si="6"/>
        <v>2775.394288306311</v>
      </c>
      <c r="U42" s="103">
        <f t="shared" si="6"/>
        <v>2603.7794946340405</v>
      </c>
      <c r="V42" s="103">
        <f t="shared" si="6"/>
        <v>2826.6449681063741</v>
      </c>
      <c r="W42" s="103">
        <f t="shared" si="6"/>
        <v>2901.0088571319316</v>
      </c>
      <c r="X42" s="103">
        <f t="shared" si="6"/>
        <v>7428.1501747775646</v>
      </c>
      <c r="Y42" s="103">
        <f t="shared" ref="Y42:AG42" si="7">Y38+Y36</f>
        <v>7448.8193427209308</v>
      </c>
      <c r="Z42" s="103">
        <f t="shared" si="7"/>
        <v>7467.8395567695152</v>
      </c>
      <c r="AA42" s="103">
        <f t="shared" si="7"/>
        <v>7485.1613483064557</v>
      </c>
      <c r="AB42" s="103">
        <f t="shared" si="7"/>
        <v>7500.7337646564138</v>
      </c>
      <c r="AC42" s="103">
        <f t="shared" si="7"/>
        <v>7514.5043245637762</v>
      </c>
      <c r="AD42" s="103">
        <f t="shared" si="7"/>
        <v>7526.418972335282</v>
      </c>
      <c r="AE42" s="103">
        <f t="shared" si="7"/>
        <v>7536.4220306068291</v>
      </c>
      <c r="AF42" s="103">
        <f t="shared" si="7"/>
        <v>7544.4561516934318</v>
      </c>
      <c r="AG42" s="103">
        <f t="shared" si="7"/>
        <v>7550.4622674795419</v>
      </c>
    </row>
    <row r="43" spans="1:33">
      <c r="A43" s="14" t="s">
        <v>7</v>
      </c>
      <c r="B43" s="355">
        <f>[1]!_xludf.xirr(B42:AG42,B29:AG29)</f>
        <v>0.34498941302299513</v>
      </c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  <c r="AA43" s="104"/>
      <c r="AB43" s="104"/>
      <c r="AC43" s="104"/>
      <c r="AD43" s="104"/>
      <c r="AE43" s="104"/>
      <c r="AF43" s="104"/>
      <c r="AG43" s="104"/>
    </row>
    <row r="44" spans="1:33">
      <c r="Y44" s="14"/>
      <c r="Z44" s="14"/>
    </row>
    <row r="45" spans="1:33">
      <c r="A45" s="60" t="s">
        <v>269</v>
      </c>
      <c r="Y45" s="14"/>
      <c r="Z45" s="14"/>
    </row>
    <row r="46" spans="1:33">
      <c r="A46" s="14" t="s">
        <v>309</v>
      </c>
      <c r="B46" s="103">
        <f t="shared" ref="B46:X46" si="8">B42</f>
        <v>-809.3124568327305</v>
      </c>
      <c r="C46" s="103">
        <f t="shared" si="8"/>
        <v>-809.3124568327305</v>
      </c>
      <c r="D46" s="103">
        <f t="shared" si="8"/>
        <v>946.22767955972495</v>
      </c>
      <c r="E46" s="103">
        <f t="shared" si="8"/>
        <v>-2956.0735804149972</v>
      </c>
      <c r="F46" s="103">
        <f t="shared" si="8"/>
        <v>1308.7936234988099</v>
      </c>
      <c r="G46" s="103">
        <f t="shared" si="8"/>
        <v>1506.4578310276597</v>
      </c>
      <c r="H46" s="103">
        <f t="shared" si="8"/>
        <v>1510.3873448938707</v>
      </c>
      <c r="I46" s="103">
        <f t="shared" si="8"/>
        <v>1653.9113814041702</v>
      </c>
      <c r="J46" s="103">
        <f t="shared" si="8"/>
        <v>1925.3223220526515</v>
      </c>
      <c r="K46" s="103">
        <f t="shared" si="8"/>
        <v>2347.5823287574221</v>
      </c>
      <c r="L46" s="103">
        <f t="shared" si="8"/>
        <v>2618.1643537558652</v>
      </c>
      <c r="M46" s="103">
        <f t="shared" si="8"/>
        <v>3049.1041625499711</v>
      </c>
      <c r="N46" s="103">
        <f t="shared" si="8"/>
        <v>3318.512203152336</v>
      </c>
      <c r="O46" s="103">
        <f t="shared" si="8"/>
        <v>3758.3569885665711</v>
      </c>
      <c r="P46" s="103">
        <f t="shared" si="8"/>
        <v>4026.2070209442054</v>
      </c>
      <c r="Q46" s="103">
        <f t="shared" si="8"/>
        <v>4282.6466946217388</v>
      </c>
      <c r="R46" s="103">
        <f t="shared" si="8"/>
        <v>3407.5186400064576</v>
      </c>
      <c r="S46" s="103">
        <f t="shared" si="8"/>
        <v>2528.0762977019058</v>
      </c>
      <c r="T46" s="103">
        <f t="shared" si="8"/>
        <v>2775.394288306311</v>
      </c>
      <c r="U46" s="103">
        <f t="shared" si="8"/>
        <v>2603.7794946340405</v>
      </c>
      <c r="V46" s="103">
        <f t="shared" si="8"/>
        <v>2826.6449681063741</v>
      </c>
      <c r="W46" s="103">
        <f t="shared" si="8"/>
        <v>2901.0088571319316</v>
      </c>
      <c r="X46" s="103">
        <f t="shared" si="8"/>
        <v>7428.1501747775646</v>
      </c>
      <c r="Y46" s="103">
        <f t="shared" ref="Y46:AG46" si="9">Y42</f>
        <v>7448.8193427209308</v>
      </c>
      <c r="Z46" s="103">
        <f t="shared" si="9"/>
        <v>7467.8395567695152</v>
      </c>
      <c r="AA46" s="103">
        <f t="shared" si="9"/>
        <v>7485.1613483064557</v>
      </c>
      <c r="AB46" s="103">
        <f t="shared" si="9"/>
        <v>7500.7337646564138</v>
      </c>
      <c r="AC46" s="103">
        <f t="shared" si="9"/>
        <v>7514.5043245637762</v>
      </c>
      <c r="AD46" s="103">
        <f t="shared" si="9"/>
        <v>7526.418972335282</v>
      </c>
      <c r="AE46" s="103">
        <f t="shared" si="9"/>
        <v>7536.4220306068291</v>
      </c>
      <c r="AF46" s="103">
        <f t="shared" si="9"/>
        <v>7544.4561516934318</v>
      </c>
      <c r="AG46" s="103">
        <f t="shared" si="9"/>
        <v>7550.4622674795419</v>
      </c>
    </row>
    <row r="47" spans="1:33">
      <c r="A47" s="14" t="s">
        <v>268</v>
      </c>
      <c r="B47" s="428">
        <v>0</v>
      </c>
      <c r="C47" s="428">
        <v>0</v>
      </c>
      <c r="D47" s="428">
        <v>0</v>
      </c>
      <c r="E47" s="428">
        <v>0</v>
      </c>
      <c r="F47" s="428">
        <v>0</v>
      </c>
      <c r="G47" s="428">
        <v>0</v>
      </c>
      <c r="H47" s="428">
        <v>0</v>
      </c>
      <c r="I47" s="428">
        <v>0</v>
      </c>
      <c r="J47" s="428">
        <v>0</v>
      </c>
      <c r="K47" s="428">
        <v>0</v>
      </c>
      <c r="L47" s="428">
        <v>0</v>
      </c>
      <c r="M47" s="428">
        <v>0</v>
      </c>
      <c r="N47" s="428">
        <v>0</v>
      </c>
      <c r="O47" s="428">
        <v>0</v>
      </c>
      <c r="P47" s="428">
        <v>0</v>
      </c>
      <c r="Q47" s="428">
        <v>0</v>
      </c>
      <c r="R47" s="428">
        <v>0</v>
      </c>
      <c r="S47" s="428">
        <v>0</v>
      </c>
      <c r="T47" s="428">
        <v>0</v>
      </c>
      <c r="U47" s="428">
        <v>0</v>
      </c>
      <c r="V47" s="428">
        <v>0</v>
      </c>
      <c r="W47" s="428">
        <v>0</v>
      </c>
      <c r="X47" s="429">
        <v>0</v>
      </c>
      <c r="Y47" s="428">
        <v>0</v>
      </c>
      <c r="Z47" s="429">
        <v>0</v>
      </c>
      <c r="AA47" s="428">
        <v>0</v>
      </c>
      <c r="AB47" s="429">
        <v>0</v>
      </c>
      <c r="AC47" s="428">
        <v>0</v>
      </c>
      <c r="AD47" s="429">
        <v>0</v>
      </c>
      <c r="AE47" s="428">
        <v>0</v>
      </c>
      <c r="AF47" s="429">
        <v>0</v>
      </c>
      <c r="AG47" s="428">
        <v>0</v>
      </c>
    </row>
    <row r="48" spans="1:33">
      <c r="A48" s="14" t="s">
        <v>98</v>
      </c>
      <c r="B48" s="103">
        <f t="shared" ref="B48:X48" si="10">B46+B47</f>
        <v>-809.3124568327305</v>
      </c>
      <c r="C48" s="103">
        <f t="shared" si="10"/>
        <v>-809.3124568327305</v>
      </c>
      <c r="D48" s="103">
        <f t="shared" si="10"/>
        <v>946.22767955972495</v>
      </c>
      <c r="E48" s="103">
        <f t="shared" si="10"/>
        <v>-2956.0735804149972</v>
      </c>
      <c r="F48" s="103">
        <f t="shared" si="10"/>
        <v>1308.7936234988099</v>
      </c>
      <c r="G48" s="103">
        <f t="shared" si="10"/>
        <v>1506.4578310276597</v>
      </c>
      <c r="H48" s="103">
        <f t="shared" si="10"/>
        <v>1510.3873448938707</v>
      </c>
      <c r="I48" s="103">
        <f t="shared" si="10"/>
        <v>1653.9113814041702</v>
      </c>
      <c r="J48" s="103">
        <f t="shared" si="10"/>
        <v>1925.3223220526515</v>
      </c>
      <c r="K48" s="103">
        <f t="shared" si="10"/>
        <v>2347.5823287574221</v>
      </c>
      <c r="L48" s="103">
        <f t="shared" si="10"/>
        <v>2618.1643537558652</v>
      </c>
      <c r="M48" s="103">
        <f t="shared" si="10"/>
        <v>3049.1041625499711</v>
      </c>
      <c r="N48" s="103">
        <f t="shared" si="10"/>
        <v>3318.512203152336</v>
      </c>
      <c r="O48" s="103">
        <f t="shared" si="10"/>
        <v>3758.3569885665711</v>
      </c>
      <c r="P48" s="103">
        <f t="shared" si="10"/>
        <v>4026.2070209442054</v>
      </c>
      <c r="Q48" s="103">
        <f t="shared" si="10"/>
        <v>4282.6466946217388</v>
      </c>
      <c r="R48" s="103">
        <f t="shared" si="10"/>
        <v>3407.5186400064576</v>
      </c>
      <c r="S48" s="103">
        <f t="shared" si="10"/>
        <v>2528.0762977019058</v>
      </c>
      <c r="T48" s="103">
        <f t="shared" si="10"/>
        <v>2775.394288306311</v>
      </c>
      <c r="U48" s="103">
        <f t="shared" si="10"/>
        <v>2603.7794946340405</v>
      </c>
      <c r="V48" s="103">
        <f t="shared" si="10"/>
        <v>2826.6449681063741</v>
      </c>
      <c r="W48" s="103">
        <f t="shared" si="10"/>
        <v>2901.0088571319316</v>
      </c>
      <c r="X48" s="103">
        <f t="shared" si="10"/>
        <v>7428.1501747775646</v>
      </c>
      <c r="Y48" s="103">
        <f t="shared" ref="Y48:AG48" si="11">Y46+Y47</f>
        <v>7448.8193427209308</v>
      </c>
      <c r="Z48" s="103">
        <f t="shared" si="11"/>
        <v>7467.8395567695152</v>
      </c>
      <c r="AA48" s="103">
        <f t="shared" si="11"/>
        <v>7485.1613483064557</v>
      </c>
      <c r="AB48" s="103">
        <f t="shared" si="11"/>
        <v>7500.7337646564138</v>
      </c>
      <c r="AC48" s="103">
        <f t="shared" si="11"/>
        <v>7514.5043245637762</v>
      </c>
      <c r="AD48" s="103">
        <f t="shared" si="11"/>
        <v>7526.418972335282</v>
      </c>
      <c r="AE48" s="103">
        <f t="shared" si="11"/>
        <v>7536.4220306068291</v>
      </c>
      <c r="AF48" s="103">
        <f t="shared" si="11"/>
        <v>7544.4561516934318</v>
      </c>
      <c r="AG48" s="103">
        <f t="shared" si="11"/>
        <v>7550.4622674795419</v>
      </c>
    </row>
    <row r="49" spans="1:86">
      <c r="A49" s="47" t="s">
        <v>99</v>
      </c>
      <c r="B49" s="355">
        <f>[1]!_xludf.xirr(B48:AG48,B29:AG29)</f>
        <v>0.34498941302299513</v>
      </c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Y49" s="104"/>
      <c r="Z49" s="14"/>
      <c r="AA49" s="104"/>
      <c r="AC49" s="104"/>
      <c r="AE49" s="104"/>
      <c r="AG49" s="104"/>
    </row>
    <row r="50" spans="1:86">
      <c r="A50" s="47"/>
    </row>
    <row r="52" spans="1:86" ht="18.75">
      <c r="A52" s="135" t="s">
        <v>304</v>
      </c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03"/>
      <c r="AB52" s="103"/>
      <c r="AC52" s="103"/>
      <c r="AD52" s="103"/>
      <c r="AE52" s="103"/>
      <c r="AF52" s="103"/>
      <c r="AG52" s="103"/>
    </row>
    <row r="53" spans="1:86">
      <c r="C53" s="247"/>
      <c r="D53" s="247"/>
      <c r="E53" s="247"/>
      <c r="F53" s="247"/>
      <c r="G53" s="247"/>
      <c r="H53" s="247"/>
      <c r="I53" s="247"/>
      <c r="J53" s="247"/>
      <c r="K53" s="247"/>
      <c r="L53" s="247"/>
      <c r="M53" s="247"/>
      <c r="N53" s="247"/>
      <c r="O53" s="247"/>
      <c r="P53" s="247"/>
      <c r="Q53" s="247"/>
      <c r="R53" s="247"/>
      <c r="S53" s="247"/>
      <c r="T53" s="247"/>
      <c r="U53" s="247"/>
      <c r="V53" s="247"/>
      <c r="W53" s="247"/>
      <c r="X53" s="247"/>
      <c r="Y53" s="247"/>
      <c r="Z53" s="247"/>
      <c r="AA53" s="247"/>
      <c r="AB53" s="247"/>
      <c r="AC53" s="247"/>
      <c r="AD53" s="247"/>
      <c r="AE53" s="247"/>
      <c r="AF53" s="247"/>
      <c r="AG53" s="247"/>
    </row>
    <row r="54" spans="1:86" ht="13.5" thickBot="1">
      <c r="A54" s="186" t="s">
        <v>73</v>
      </c>
      <c r="B54" s="7">
        <f>B28</f>
        <v>2001</v>
      </c>
      <c r="C54" s="7">
        <f t="shared" ref="C54:AG54" si="12">C28</f>
        <v>2002</v>
      </c>
      <c r="D54" s="7">
        <f t="shared" si="12"/>
        <v>2003</v>
      </c>
      <c r="E54" s="7">
        <f t="shared" si="12"/>
        <v>2004</v>
      </c>
      <c r="F54" s="7">
        <f t="shared" si="12"/>
        <v>2005</v>
      </c>
      <c r="G54" s="7">
        <f t="shared" si="12"/>
        <v>2006</v>
      </c>
      <c r="H54" s="7">
        <f t="shared" si="12"/>
        <v>2007</v>
      </c>
      <c r="I54" s="7">
        <f t="shared" si="12"/>
        <v>2008</v>
      </c>
      <c r="J54" s="7">
        <f t="shared" si="12"/>
        <v>2009</v>
      </c>
      <c r="K54" s="7">
        <f t="shared" si="12"/>
        <v>2010</v>
      </c>
      <c r="L54" s="7">
        <f t="shared" si="12"/>
        <v>2011</v>
      </c>
      <c r="M54" s="7">
        <f t="shared" si="12"/>
        <v>2012</v>
      </c>
      <c r="N54" s="7">
        <f t="shared" si="12"/>
        <v>2013</v>
      </c>
      <c r="O54" s="7">
        <f t="shared" si="12"/>
        <v>2014</v>
      </c>
      <c r="P54" s="7">
        <f t="shared" si="12"/>
        <v>2015</v>
      </c>
      <c r="Q54" s="7">
        <f t="shared" si="12"/>
        <v>2016</v>
      </c>
      <c r="R54" s="7">
        <f t="shared" si="12"/>
        <v>2017</v>
      </c>
      <c r="S54" s="7">
        <f t="shared" si="12"/>
        <v>2018</v>
      </c>
      <c r="T54" s="7">
        <f t="shared" si="12"/>
        <v>2019</v>
      </c>
      <c r="U54" s="7">
        <f t="shared" si="12"/>
        <v>2020</v>
      </c>
      <c r="V54" s="7">
        <f t="shared" si="12"/>
        <v>2021</v>
      </c>
      <c r="W54" s="7">
        <f t="shared" si="12"/>
        <v>2022</v>
      </c>
      <c r="X54" s="7">
        <f t="shared" si="12"/>
        <v>2023</v>
      </c>
      <c r="Y54" s="7">
        <f t="shared" si="12"/>
        <v>2024</v>
      </c>
      <c r="Z54" s="7">
        <f t="shared" si="12"/>
        <v>2025</v>
      </c>
      <c r="AA54" s="7">
        <f t="shared" si="12"/>
        <v>2026</v>
      </c>
      <c r="AB54" s="7">
        <f t="shared" si="12"/>
        <v>2027</v>
      </c>
      <c r="AC54" s="7">
        <f t="shared" si="12"/>
        <v>2028</v>
      </c>
      <c r="AD54" s="7">
        <f t="shared" si="12"/>
        <v>2029</v>
      </c>
      <c r="AE54" s="7">
        <f t="shared" si="12"/>
        <v>2030</v>
      </c>
      <c r="AF54" s="7">
        <f t="shared" si="12"/>
        <v>2031</v>
      </c>
      <c r="AG54" s="7">
        <f t="shared" si="12"/>
        <v>2032</v>
      </c>
    </row>
    <row r="55" spans="1:86" ht="18.75">
      <c r="A55" s="190"/>
      <c r="B55" s="281">
        <f>B29</f>
        <v>37104</v>
      </c>
      <c r="C55" s="281">
        <f t="shared" ref="C55:AG55" si="13">C29</f>
        <v>37620.5</v>
      </c>
      <c r="D55" s="281">
        <f t="shared" si="13"/>
        <v>37985.75</v>
      </c>
      <c r="E55" s="281">
        <f t="shared" si="13"/>
        <v>38351</v>
      </c>
      <c r="F55" s="281">
        <f t="shared" si="13"/>
        <v>38716.25</v>
      </c>
      <c r="G55" s="281">
        <f t="shared" si="13"/>
        <v>39081.5</v>
      </c>
      <c r="H55" s="281">
        <f t="shared" si="13"/>
        <v>39446.75</v>
      </c>
      <c r="I55" s="281">
        <f t="shared" si="13"/>
        <v>39812</v>
      </c>
      <c r="J55" s="281">
        <f t="shared" si="13"/>
        <v>40177.25</v>
      </c>
      <c r="K55" s="281">
        <f t="shared" si="13"/>
        <v>40542.5</v>
      </c>
      <c r="L55" s="281">
        <f t="shared" si="13"/>
        <v>40907.75</v>
      </c>
      <c r="M55" s="281">
        <f t="shared" si="13"/>
        <v>41273</v>
      </c>
      <c r="N55" s="281">
        <f t="shared" si="13"/>
        <v>41638.25</v>
      </c>
      <c r="O55" s="281">
        <f t="shared" si="13"/>
        <v>42003.5</v>
      </c>
      <c r="P55" s="281">
        <f t="shared" si="13"/>
        <v>42368.75</v>
      </c>
      <c r="Q55" s="281">
        <f t="shared" si="13"/>
        <v>42734</v>
      </c>
      <c r="R55" s="281">
        <f t="shared" si="13"/>
        <v>43099.25</v>
      </c>
      <c r="S55" s="281">
        <f t="shared" si="13"/>
        <v>43464.5</v>
      </c>
      <c r="T55" s="281">
        <f t="shared" si="13"/>
        <v>43829.75</v>
      </c>
      <c r="U55" s="281">
        <f t="shared" si="13"/>
        <v>44195</v>
      </c>
      <c r="V55" s="281">
        <f t="shared" si="13"/>
        <v>44560.25</v>
      </c>
      <c r="W55" s="281">
        <f t="shared" si="13"/>
        <v>44925.5</v>
      </c>
      <c r="X55" s="281">
        <f t="shared" si="13"/>
        <v>45290.75</v>
      </c>
      <c r="Y55" s="281">
        <f t="shared" si="13"/>
        <v>45656</v>
      </c>
      <c r="Z55" s="281">
        <f t="shared" si="13"/>
        <v>46021.25</v>
      </c>
      <c r="AA55" s="281">
        <f t="shared" si="13"/>
        <v>46386.5</v>
      </c>
      <c r="AB55" s="281">
        <f t="shared" si="13"/>
        <v>46751.75</v>
      </c>
      <c r="AC55" s="281">
        <f t="shared" si="13"/>
        <v>47117</v>
      </c>
      <c r="AD55" s="281">
        <f t="shared" si="13"/>
        <v>47482.25</v>
      </c>
      <c r="AE55" s="281">
        <f t="shared" si="13"/>
        <v>47847.5</v>
      </c>
      <c r="AF55" s="281">
        <f t="shared" si="13"/>
        <v>48212.75</v>
      </c>
      <c r="AG55" s="281">
        <f t="shared" si="13"/>
        <v>48578</v>
      </c>
    </row>
    <row r="56" spans="1:86">
      <c r="A56" s="60"/>
      <c r="J56" s="48"/>
      <c r="Y56" s="14"/>
      <c r="Z56" s="14"/>
    </row>
    <row r="57" spans="1:86">
      <c r="A57" s="10" t="s">
        <v>92</v>
      </c>
      <c r="B57" s="474">
        <v>0</v>
      </c>
      <c r="C57" s="474">
        <f>C18*Assumptions!$B$69</f>
        <v>0</v>
      </c>
      <c r="D57" s="474">
        <f>D18*Assumptions!$B$69</f>
        <v>0</v>
      </c>
      <c r="E57" s="474">
        <f>E18*Assumptions!$B$69</f>
        <v>0</v>
      </c>
      <c r="F57" s="474">
        <f>F18*Assumptions!$B$69</f>
        <v>0</v>
      </c>
      <c r="G57" s="474">
        <f>G18*Assumptions!$B$69</f>
        <v>0</v>
      </c>
      <c r="H57" s="474">
        <f>H18*Assumptions!$B$69</f>
        <v>0</v>
      </c>
      <c r="I57" s="474">
        <f>I18*Assumptions!$B$69</f>
        <v>0</v>
      </c>
      <c r="J57" s="474">
        <f>J18*Assumptions!$B$69</f>
        <v>0</v>
      </c>
      <c r="K57" s="474">
        <f>K18*Assumptions!$B$69</f>
        <v>0</v>
      </c>
      <c r="L57" s="474">
        <f>L18*Assumptions!$B$69</f>
        <v>0</v>
      </c>
      <c r="M57" s="474">
        <f>M18*Assumptions!$B$69</f>
        <v>0</v>
      </c>
      <c r="N57" s="474">
        <f>N18*Assumptions!$B$69</f>
        <v>0</v>
      </c>
      <c r="O57" s="474">
        <f>O18*Assumptions!$B$69</f>
        <v>0</v>
      </c>
      <c r="P57" s="474">
        <f>P18*Assumptions!$B$69</f>
        <v>0</v>
      </c>
      <c r="Q57" s="474">
        <f>Q18*Assumptions!$B$69</f>
        <v>0</v>
      </c>
      <c r="R57" s="474">
        <f>R18*Assumptions!$B$69</f>
        <v>0</v>
      </c>
      <c r="S57" s="474">
        <f>S18*Assumptions!$B$69</f>
        <v>0</v>
      </c>
      <c r="T57" s="474">
        <f>T18*Assumptions!$B$69</f>
        <v>0</v>
      </c>
      <c r="U57" s="474">
        <f>U18*Assumptions!$B$69</f>
        <v>0</v>
      </c>
      <c r="V57" s="474">
        <f>V18*Assumptions!$B$69</f>
        <v>0</v>
      </c>
      <c r="W57" s="474">
        <f>W18*Assumptions!$B$69</f>
        <v>0</v>
      </c>
      <c r="X57" s="474">
        <f>X18*Assumptions!$B$69</f>
        <v>0</v>
      </c>
      <c r="Y57" s="474">
        <f>Y18*Assumptions!$B$69</f>
        <v>0</v>
      </c>
      <c r="Z57" s="474">
        <f>Z18*Assumptions!$B$69</f>
        <v>0</v>
      </c>
      <c r="AA57" s="474">
        <f>AA18*Assumptions!$B$69</f>
        <v>0</v>
      </c>
      <c r="AB57" s="474">
        <f>AB18*Assumptions!$B$69</f>
        <v>0</v>
      </c>
      <c r="AC57" s="474">
        <f>AC18*Assumptions!$B$69</f>
        <v>0</v>
      </c>
      <c r="AD57" s="474">
        <f>AD18*Assumptions!$B$69</f>
        <v>0</v>
      </c>
      <c r="AE57" s="474">
        <f>AE18*Assumptions!$B$69</f>
        <v>0</v>
      </c>
      <c r="AF57" s="474">
        <f>AF18*Assumptions!$B$69</f>
        <v>0</v>
      </c>
      <c r="AG57" s="474">
        <f>AG18*Assumptions!$B$69</f>
        <v>0</v>
      </c>
    </row>
    <row r="58" spans="1:86">
      <c r="A58" s="10"/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03"/>
      <c r="AB58" s="103"/>
      <c r="AC58" s="103"/>
      <c r="AD58" s="103"/>
      <c r="AE58" s="103"/>
      <c r="AF58" s="103"/>
      <c r="AG58" s="103"/>
    </row>
    <row r="59" spans="1:86">
      <c r="A59" s="11" t="s">
        <v>305</v>
      </c>
      <c r="B59" s="474">
        <v>0</v>
      </c>
      <c r="C59" s="129">
        <f>C20*Assumptions!$B$69</f>
        <v>0</v>
      </c>
      <c r="D59" s="129">
        <f>D20*Assumptions!$B$69</f>
        <v>0</v>
      </c>
      <c r="E59" s="129">
        <f>E20*Assumptions!$B$69</f>
        <v>0</v>
      </c>
      <c r="F59" s="129">
        <f>F20*Assumptions!$B$69</f>
        <v>0</v>
      </c>
      <c r="G59" s="129">
        <f>G20*Assumptions!$B$69</f>
        <v>0</v>
      </c>
      <c r="H59" s="129">
        <f>H20*Assumptions!$B$69</f>
        <v>0</v>
      </c>
      <c r="I59" s="129">
        <f>I20*Assumptions!$B$69</f>
        <v>0</v>
      </c>
      <c r="J59" s="129">
        <f>J20*Assumptions!$B$69</f>
        <v>0</v>
      </c>
      <c r="K59" s="129">
        <f>K20*Assumptions!$B$69</f>
        <v>0</v>
      </c>
      <c r="L59" s="129">
        <f>L20*Assumptions!$B$69</f>
        <v>0</v>
      </c>
      <c r="M59" s="129">
        <f>M20*Assumptions!$B$69</f>
        <v>0</v>
      </c>
      <c r="N59" s="129">
        <f>N20*Assumptions!$B$69</f>
        <v>0</v>
      </c>
      <c r="O59" s="129">
        <f>O20*Assumptions!$B$69</f>
        <v>0</v>
      </c>
      <c r="P59" s="129">
        <f>P20*Assumptions!$B$69</f>
        <v>0</v>
      </c>
      <c r="Q59" s="129">
        <f>Q20*Assumptions!$B$69</f>
        <v>0</v>
      </c>
      <c r="R59" s="129">
        <f>R20*Assumptions!$B$69</f>
        <v>0</v>
      </c>
      <c r="S59" s="129">
        <f>S20*Assumptions!$B$69</f>
        <v>0</v>
      </c>
      <c r="T59" s="129">
        <f>T20*Assumptions!$B$69</f>
        <v>0</v>
      </c>
      <c r="U59" s="129">
        <f>U20*Assumptions!$B$69</f>
        <v>0</v>
      </c>
      <c r="V59" s="129">
        <f>V20*Assumptions!$B$69</f>
        <v>0</v>
      </c>
      <c r="W59" s="129">
        <f>W20*Assumptions!$B$69</f>
        <v>0</v>
      </c>
      <c r="X59" s="129">
        <f>X20*Assumptions!$B$69</f>
        <v>0</v>
      </c>
      <c r="Y59" s="129">
        <f>Y20*Assumptions!$B$69</f>
        <v>0</v>
      </c>
      <c r="Z59" s="129">
        <f>Z20*Assumptions!$B$69</f>
        <v>0</v>
      </c>
      <c r="AA59" s="129">
        <f>AA20*Assumptions!$B$69</f>
        <v>0</v>
      </c>
      <c r="AB59" s="129">
        <f>AB20*Assumptions!$B$69</f>
        <v>0</v>
      </c>
      <c r="AC59" s="129">
        <f>AC20*Assumptions!$B$69</f>
        <v>0</v>
      </c>
      <c r="AD59" s="129">
        <f>AD20*Assumptions!$B$69</f>
        <v>0</v>
      </c>
      <c r="AE59" s="129">
        <f>AE20*Assumptions!$B$69</f>
        <v>0</v>
      </c>
      <c r="AF59" s="129">
        <f>AF20*Assumptions!$B$69</f>
        <v>0</v>
      </c>
      <c r="AG59" s="129">
        <f>AG20*Assumptions!$B$69</f>
        <v>0</v>
      </c>
    </row>
    <row r="60" spans="1:86">
      <c r="A60" s="11" t="s">
        <v>306</v>
      </c>
      <c r="B60" s="475">
        <v>0</v>
      </c>
      <c r="C60" s="130">
        <f>C21*Assumptions!$B$69</f>
        <v>0</v>
      </c>
      <c r="D60" s="130">
        <f>D21*Assumptions!$B$69</f>
        <v>0</v>
      </c>
      <c r="E60" s="130">
        <f>E21*Assumptions!$B$69</f>
        <v>0</v>
      </c>
      <c r="F60" s="130">
        <f>F21*Assumptions!$B$69</f>
        <v>0</v>
      </c>
      <c r="G60" s="130">
        <f>G21*Assumptions!$B$69</f>
        <v>0</v>
      </c>
      <c r="H60" s="130">
        <f>H21*Assumptions!$B$69</f>
        <v>0</v>
      </c>
      <c r="I60" s="130">
        <f>I21*Assumptions!$B$69</f>
        <v>0</v>
      </c>
      <c r="J60" s="130">
        <f>J21*Assumptions!$B$69</f>
        <v>0</v>
      </c>
      <c r="K60" s="130">
        <f>K21*Assumptions!$B$69</f>
        <v>0</v>
      </c>
      <c r="L60" s="130">
        <f>L21*Assumptions!$B$69</f>
        <v>0</v>
      </c>
      <c r="M60" s="130">
        <f>M21*Assumptions!$B$69</f>
        <v>0</v>
      </c>
      <c r="N60" s="130">
        <f>N21*Assumptions!$B$69</f>
        <v>0</v>
      </c>
      <c r="O60" s="130">
        <f>O21*Assumptions!$B$69</f>
        <v>0</v>
      </c>
      <c r="P60" s="130">
        <f>P21*Assumptions!$B$69</f>
        <v>0</v>
      </c>
      <c r="Q60" s="130">
        <f>Q21*Assumptions!$B$69</f>
        <v>0</v>
      </c>
      <c r="R60" s="130">
        <f>R21*Assumptions!$B$69</f>
        <v>0</v>
      </c>
      <c r="S60" s="130">
        <f>S21*Assumptions!$B$69</f>
        <v>0</v>
      </c>
      <c r="T60" s="130">
        <f>T21*Assumptions!$B$69</f>
        <v>0</v>
      </c>
      <c r="U60" s="130">
        <f>U21*Assumptions!$B$69</f>
        <v>0</v>
      </c>
      <c r="V60" s="130">
        <f>V21*Assumptions!$B$69</f>
        <v>0</v>
      </c>
      <c r="W60" s="130">
        <f>W21*Assumptions!$B$69</f>
        <v>0</v>
      </c>
      <c r="X60" s="130">
        <f>X21*Assumptions!$B$69</f>
        <v>0</v>
      </c>
      <c r="Y60" s="130">
        <f>Y21*Assumptions!$B$69</f>
        <v>0</v>
      </c>
      <c r="Z60" s="130">
        <f>Z21*Assumptions!$B$69</f>
        <v>0</v>
      </c>
      <c r="AA60" s="130">
        <f>AA21*Assumptions!$B$69</f>
        <v>0</v>
      </c>
      <c r="AB60" s="130">
        <f>AB21*Assumptions!$B$69</f>
        <v>0</v>
      </c>
      <c r="AC60" s="130">
        <f>AC21*Assumptions!$B$69</f>
        <v>0</v>
      </c>
      <c r="AD60" s="130">
        <f>AD21*Assumptions!$B$69</f>
        <v>0</v>
      </c>
      <c r="AE60" s="130">
        <f>AE21*Assumptions!$B$69</f>
        <v>0</v>
      </c>
      <c r="AF60" s="130">
        <f>AF21*Assumptions!$B$69</f>
        <v>0</v>
      </c>
      <c r="AG60" s="130">
        <f>AG21*Assumptions!$B$69</f>
        <v>0</v>
      </c>
    </row>
    <row r="61" spans="1:86">
      <c r="A61" s="11"/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03"/>
      <c r="AB61" s="103"/>
      <c r="AC61" s="103"/>
      <c r="AD61" s="103"/>
      <c r="AE61" s="103"/>
      <c r="AF61" s="103"/>
      <c r="AG61" s="103"/>
    </row>
    <row r="62" spans="1:86">
      <c r="A62" s="10" t="s">
        <v>93</v>
      </c>
      <c r="B62" s="474">
        <v>0</v>
      </c>
      <c r="C62" s="474">
        <f>SUM(C57:C60)</f>
        <v>0</v>
      </c>
      <c r="D62" s="474">
        <f t="shared" ref="D62:AG62" si="14">SUM(D57:D60)</f>
        <v>0</v>
      </c>
      <c r="E62" s="474">
        <f t="shared" si="14"/>
        <v>0</v>
      </c>
      <c r="F62" s="474">
        <f t="shared" si="14"/>
        <v>0</v>
      </c>
      <c r="G62" s="474">
        <f t="shared" si="14"/>
        <v>0</v>
      </c>
      <c r="H62" s="474">
        <f t="shared" si="14"/>
        <v>0</v>
      </c>
      <c r="I62" s="474">
        <f t="shared" si="14"/>
        <v>0</v>
      </c>
      <c r="J62" s="474">
        <f t="shared" si="14"/>
        <v>0</v>
      </c>
      <c r="K62" s="474">
        <f t="shared" si="14"/>
        <v>0</v>
      </c>
      <c r="L62" s="474">
        <f t="shared" si="14"/>
        <v>0</v>
      </c>
      <c r="M62" s="474">
        <f t="shared" si="14"/>
        <v>0</v>
      </c>
      <c r="N62" s="474">
        <f t="shared" si="14"/>
        <v>0</v>
      </c>
      <c r="O62" s="474">
        <f t="shared" si="14"/>
        <v>0</v>
      </c>
      <c r="P62" s="474">
        <f t="shared" si="14"/>
        <v>0</v>
      </c>
      <c r="Q62" s="474">
        <f t="shared" si="14"/>
        <v>0</v>
      </c>
      <c r="R62" s="474">
        <f t="shared" si="14"/>
        <v>0</v>
      </c>
      <c r="S62" s="474">
        <f t="shared" si="14"/>
        <v>0</v>
      </c>
      <c r="T62" s="474">
        <f t="shared" si="14"/>
        <v>0</v>
      </c>
      <c r="U62" s="474">
        <f t="shared" si="14"/>
        <v>0</v>
      </c>
      <c r="V62" s="474">
        <f t="shared" si="14"/>
        <v>0</v>
      </c>
      <c r="W62" s="474">
        <f t="shared" si="14"/>
        <v>0</v>
      </c>
      <c r="X62" s="474">
        <f t="shared" si="14"/>
        <v>0</v>
      </c>
      <c r="Y62" s="474">
        <f t="shared" si="14"/>
        <v>0</v>
      </c>
      <c r="Z62" s="474">
        <f t="shared" si="14"/>
        <v>0</v>
      </c>
      <c r="AA62" s="474">
        <f t="shared" si="14"/>
        <v>0</v>
      </c>
      <c r="AB62" s="474">
        <f t="shared" si="14"/>
        <v>0</v>
      </c>
      <c r="AC62" s="474">
        <f t="shared" si="14"/>
        <v>0</v>
      </c>
      <c r="AD62" s="474">
        <f t="shared" si="14"/>
        <v>0</v>
      </c>
      <c r="AE62" s="474">
        <f t="shared" si="14"/>
        <v>0</v>
      </c>
      <c r="AF62" s="474">
        <f t="shared" si="14"/>
        <v>0</v>
      </c>
      <c r="AG62" s="474">
        <f t="shared" si="14"/>
        <v>0</v>
      </c>
    </row>
    <row r="63" spans="1:86">
      <c r="A63" s="10"/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03"/>
      <c r="AB63" s="103"/>
      <c r="AC63" s="103"/>
      <c r="AD63" s="103"/>
      <c r="AE63" s="103"/>
      <c r="AF63" s="103"/>
      <c r="AG63" s="10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</row>
    <row r="64" spans="1:86">
      <c r="A64" s="102" t="s">
        <v>307</v>
      </c>
      <c r="B64" s="474">
        <f>-Assumptions!$B$69*Assumptions!C11</f>
        <v>0</v>
      </c>
      <c r="C64" s="474">
        <v>0</v>
      </c>
      <c r="D64" s="474">
        <v>0</v>
      </c>
      <c r="E64" s="474">
        <v>0</v>
      </c>
      <c r="F64" s="474">
        <v>0</v>
      </c>
      <c r="G64" s="474">
        <v>0</v>
      </c>
      <c r="H64" s="474">
        <v>0</v>
      </c>
      <c r="I64" s="474">
        <v>0</v>
      </c>
      <c r="J64" s="474">
        <v>0</v>
      </c>
      <c r="K64" s="474">
        <v>0</v>
      </c>
      <c r="L64" s="474">
        <v>0</v>
      </c>
      <c r="M64" s="474">
        <v>0</v>
      </c>
      <c r="N64" s="474">
        <v>0</v>
      </c>
      <c r="O64" s="474">
        <v>0</v>
      </c>
      <c r="P64" s="474">
        <v>0</v>
      </c>
      <c r="Q64" s="474">
        <v>0</v>
      </c>
      <c r="R64" s="474">
        <v>0</v>
      </c>
      <c r="S64" s="474">
        <v>0</v>
      </c>
      <c r="T64" s="474">
        <v>0</v>
      </c>
      <c r="U64" s="474">
        <v>0</v>
      </c>
      <c r="V64" s="474">
        <v>0</v>
      </c>
      <c r="W64" s="474">
        <v>0</v>
      </c>
      <c r="X64" s="474">
        <v>0</v>
      </c>
      <c r="Y64" s="474">
        <v>0</v>
      </c>
      <c r="Z64" s="474">
        <v>0</v>
      </c>
      <c r="AA64" s="474">
        <v>0</v>
      </c>
      <c r="AB64" s="474">
        <v>0</v>
      </c>
      <c r="AC64" s="474">
        <v>0</v>
      </c>
      <c r="AD64" s="474">
        <v>0</v>
      </c>
      <c r="AE64" s="474">
        <v>0</v>
      </c>
      <c r="AF64" s="474">
        <v>0</v>
      </c>
      <c r="AG64" s="474">
        <v>0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</row>
    <row r="65" spans="1:86">
      <c r="A65" s="102"/>
      <c r="B65" s="290"/>
      <c r="C65" s="290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03"/>
      <c r="AB65" s="103"/>
      <c r="AC65" s="103"/>
      <c r="AD65" s="103"/>
      <c r="AE65" s="103"/>
      <c r="AF65" s="103"/>
      <c r="AG65" s="103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</row>
    <row r="66" spans="1:86">
      <c r="A66" s="55"/>
      <c r="B66" s="477"/>
      <c r="C66" s="477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03"/>
      <c r="AB66" s="103"/>
      <c r="AC66" s="103"/>
      <c r="AD66" s="103"/>
      <c r="AE66" s="103"/>
      <c r="AF66" s="103"/>
      <c r="AG66" s="103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</row>
    <row r="67" spans="1:86">
      <c r="A67" s="60" t="s">
        <v>308</v>
      </c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03"/>
      <c r="AB67" s="103"/>
      <c r="AC67" s="103"/>
      <c r="AD67" s="103"/>
      <c r="AE67" s="103"/>
      <c r="AF67" s="103"/>
      <c r="AG67" s="103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</row>
    <row r="68" spans="1:86">
      <c r="A68" s="14" t="s">
        <v>309</v>
      </c>
      <c r="B68" s="103">
        <f>B64+C62</f>
        <v>0</v>
      </c>
      <c r="C68" s="103">
        <f t="shared" ref="C68:AG68" si="15">C64+C62</f>
        <v>0</v>
      </c>
      <c r="D68" s="103">
        <f t="shared" si="15"/>
        <v>0</v>
      </c>
      <c r="E68" s="103">
        <f t="shared" si="15"/>
        <v>0</v>
      </c>
      <c r="F68" s="103">
        <f t="shared" si="15"/>
        <v>0</v>
      </c>
      <c r="G68" s="103">
        <f t="shared" si="15"/>
        <v>0</v>
      </c>
      <c r="H68" s="103">
        <f t="shared" si="15"/>
        <v>0</v>
      </c>
      <c r="I68" s="103">
        <f t="shared" si="15"/>
        <v>0</v>
      </c>
      <c r="J68" s="103">
        <f t="shared" si="15"/>
        <v>0</v>
      </c>
      <c r="K68" s="103">
        <f t="shared" si="15"/>
        <v>0</v>
      </c>
      <c r="L68" s="103">
        <f t="shared" si="15"/>
        <v>0</v>
      </c>
      <c r="M68" s="103">
        <f t="shared" si="15"/>
        <v>0</v>
      </c>
      <c r="N68" s="103">
        <f t="shared" si="15"/>
        <v>0</v>
      </c>
      <c r="O68" s="103">
        <f t="shared" si="15"/>
        <v>0</v>
      </c>
      <c r="P68" s="103">
        <f t="shared" si="15"/>
        <v>0</v>
      </c>
      <c r="Q68" s="103">
        <f t="shared" si="15"/>
        <v>0</v>
      </c>
      <c r="R68" s="103">
        <f t="shared" si="15"/>
        <v>0</v>
      </c>
      <c r="S68" s="103">
        <f t="shared" si="15"/>
        <v>0</v>
      </c>
      <c r="T68" s="103">
        <f t="shared" si="15"/>
        <v>0</v>
      </c>
      <c r="U68" s="103">
        <f t="shared" si="15"/>
        <v>0</v>
      </c>
      <c r="V68" s="103">
        <f t="shared" si="15"/>
        <v>0</v>
      </c>
      <c r="W68" s="103">
        <f t="shared" si="15"/>
        <v>0</v>
      </c>
      <c r="X68" s="103">
        <f t="shared" si="15"/>
        <v>0</v>
      </c>
      <c r="Y68" s="103">
        <f t="shared" si="15"/>
        <v>0</v>
      </c>
      <c r="Z68" s="103">
        <f t="shared" si="15"/>
        <v>0</v>
      </c>
      <c r="AA68" s="103">
        <f t="shared" si="15"/>
        <v>0</v>
      </c>
      <c r="AB68" s="103">
        <f t="shared" si="15"/>
        <v>0</v>
      </c>
      <c r="AC68" s="103">
        <f t="shared" si="15"/>
        <v>0</v>
      </c>
      <c r="AD68" s="103">
        <f t="shared" si="15"/>
        <v>0</v>
      </c>
      <c r="AE68" s="103">
        <f t="shared" si="15"/>
        <v>0</v>
      </c>
      <c r="AF68" s="103">
        <f t="shared" si="15"/>
        <v>0</v>
      </c>
      <c r="AG68" s="103">
        <f t="shared" si="15"/>
        <v>0</v>
      </c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</row>
    <row r="69" spans="1:86">
      <c r="A69" s="14" t="s">
        <v>310</v>
      </c>
      <c r="B69" s="404">
        <v>0</v>
      </c>
      <c r="C69" s="404">
        <v>0</v>
      </c>
      <c r="D69" s="404">
        <v>0</v>
      </c>
      <c r="E69" s="404">
        <v>0</v>
      </c>
      <c r="F69" s="404">
        <v>0</v>
      </c>
      <c r="G69" s="404">
        <v>0</v>
      </c>
      <c r="H69" s="404">
        <v>0</v>
      </c>
      <c r="I69" s="404">
        <v>0</v>
      </c>
      <c r="J69" s="404">
        <v>0</v>
      </c>
      <c r="K69" s="404">
        <v>0</v>
      </c>
      <c r="L69" s="404">
        <v>0</v>
      </c>
      <c r="M69" s="404">
        <v>0</v>
      </c>
      <c r="N69" s="404">
        <v>0</v>
      </c>
      <c r="O69" s="404">
        <v>0</v>
      </c>
      <c r="P69" s="404">
        <v>0</v>
      </c>
      <c r="Q69" s="404">
        <v>0</v>
      </c>
      <c r="R69" s="404">
        <v>0</v>
      </c>
      <c r="S69" s="404">
        <v>0</v>
      </c>
      <c r="T69" s="404">
        <v>0</v>
      </c>
      <c r="U69" s="404">
        <v>0</v>
      </c>
      <c r="V69" s="404">
        <v>0</v>
      </c>
      <c r="W69" s="404">
        <v>0</v>
      </c>
      <c r="X69" s="404">
        <v>0</v>
      </c>
      <c r="Y69" s="404">
        <v>0</v>
      </c>
      <c r="Z69" s="404">
        <v>0</v>
      </c>
      <c r="AA69" s="404">
        <v>0</v>
      </c>
      <c r="AB69" s="404">
        <v>0</v>
      </c>
      <c r="AC69" s="404">
        <v>0</v>
      </c>
      <c r="AD69" s="404">
        <v>0</v>
      </c>
      <c r="AE69" s="404">
        <v>0</v>
      </c>
      <c r="AF69" s="404">
        <v>0</v>
      </c>
      <c r="AG69" s="404">
        <v>0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</row>
    <row r="70" spans="1:86">
      <c r="A70" s="14" t="s">
        <v>311</v>
      </c>
      <c r="B70" s="118">
        <f>SUM(B68:B69)</f>
        <v>0</v>
      </c>
      <c r="C70" s="118">
        <f t="shared" ref="C70:AG70" si="16">SUM(C68:C69)</f>
        <v>0</v>
      </c>
      <c r="D70" s="118">
        <f t="shared" si="16"/>
        <v>0</v>
      </c>
      <c r="E70" s="118">
        <f t="shared" si="16"/>
        <v>0</v>
      </c>
      <c r="F70" s="118">
        <f t="shared" si="16"/>
        <v>0</v>
      </c>
      <c r="G70" s="118">
        <f t="shared" si="16"/>
        <v>0</v>
      </c>
      <c r="H70" s="118">
        <f t="shared" si="16"/>
        <v>0</v>
      </c>
      <c r="I70" s="118">
        <f t="shared" si="16"/>
        <v>0</v>
      </c>
      <c r="J70" s="118">
        <f t="shared" si="16"/>
        <v>0</v>
      </c>
      <c r="K70" s="118">
        <f t="shared" si="16"/>
        <v>0</v>
      </c>
      <c r="L70" s="118">
        <f t="shared" si="16"/>
        <v>0</v>
      </c>
      <c r="M70" s="118">
        <f t="shared" si="16"/>
        <v>0</v>
      </c>
      <c r="N70" s="118">
        <f t="shared" si="16"/>
        <v>0</v>
      </c>
      <c r="O70" s="118">
        <f t="shared" si="16"/>
        <v>0</v>
      </c>
      <c r="P70" s="118">
        <f t="shared" si="16"/>
        <v>0</v>
      </c>
      <c r="Q70" s="118">
        <f t="shared" si="16"/>
        <v>0</v>
      </c>
      <c r="R70" s="118">
        <f t="shared" si="16"/>
        <v>0</v>
      </c>
      <c r="S70" s="118">
        <f t="shared" si="16"/>
        <v>0</v>
      </c>
      <c r="T70" s="118">
        <f t="shared" si="16"/>
        <v>0</v>
      </c>
      <c r="U70" s="118">
        <f t="shared" si="16"/>
        <v>0</v>
      </c>
      <c r="V70" s="118">
        <f t="shared" si="16"/>
        <v>0</v>
      </c>
      <c r="W70" s="118">
        <f t="shared" si="16"/>
        <v>0</v>
      </c>
      <c r="X70" s="118">
        <f t="shared" si="16"/>
        <v>0</v>
      </c>
      <c r="Y70" s="118">
        <f t="shared" si="16"/>
        <v>0</v>
      </c>
      <c r="Z70" s="118">
        <f t="shared" si="16"/>
        <v>0</v>
      </c>
      <c r="AA70" s="118">
        <f t="shared" si="16"/>
        <v>0</v>
      </c>
      <c r="AB70" s="118">
        <f t="shared" si="16"/>
        <v>0</v>
      </c>
      <c r="AC70" s="118">
        <f t="shared" si="16"/>
        <v>0</v>
      </c>
      <c r="AD70" s="118">
        <f t="shared" si="16"/>
        <v>0</v>
      </c>
      <c r="AE70" s="118">
        <f t="shared" si="16"/>
        <v>0</v>
      </c>
      <c r="AF70" s="118">
        <f t="shared" si="16"/>
        <v>0</v>
      </c>
      <c r="AG70" s="118">
        <f t="shared" si="16"/>
        <v>0</v>
      </c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</row>
    <row r="71" spans="1:86">
      <c r="A71" s="14" t="s">
        <v>7</v>
      </c>
      <c r="B71" s="355" t="e">
        <f>[1]!_xludf.xirr(B68:AG68,B55:AG55)</f>
        <v>#NUM!</v>
      </c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  <c r="AA71" s="104"/>
      <c r="AB71" s="104"/>
      <c r="AC71" s="104"/>
      <c r="AD71" s="104"/>
      <c r="AE71" s="104"/>
      <c r="AF71" s="104"/>
      <c r="AG71" s="104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</row>
    <row r="72" spans="1:86">
      <c r="Y72" s="14"/>
      <c r="Z72" s="14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</row>
    <row r="73" spans="1:86" s="103" customFormat="1">
      <c r="A73" s="60" t="s">
        <v>269</v>
      </c>
      <c r="AH73" s="109"/>
      <c r="AI73" s="109"/>
      <c r="AJ73" s="109"/>
      <c r="AK73" s="109"/>
      <c r="AL73" s="109"/>
      <c r="AM73" s="109"/>
      <c r="AN73" s="109"/>
      <c r="AO73" s="109"/>
      <c r="AP73" s="109"/>
      <c r="AQ73" s="109"/>
      <c r="AR73" s="109"/>
      <c r="AS73" s="109"/>
      <c r="AT73" s="109"/>
      <c r="AU73" s="109"/>
      <c r="AV73" s="109"/>
      <c r="AW73" s="109"/>
      <c r="AX73" s="109"/>
      <c r="AY73" s="109"/>
      <c r="AZ73" s="109"/>
      <c r="BA73" s="109"/>
      <c r="BB73" s="109"/>
      <c r="BC73" s="109"/>
      <c r="BD73" s="109"/>
      <c r="BE73" s="109"/>
      <c r="BF73" s="109"/>
      <c r="BG73" s="109"/>
      <c r="BH73" s="109"/>
      <c r="BI73" s="109"/>
      <c r="BJ73" s="109"/>
      <c r="BK73" s="109"/>
      <c r="BL73" s="109"/>
      <c r="BM73" s="109"/>
      <c r="BN73" s="109"/>
      <c r="BO73" s="109"/>
      <c r="BP73" s="109"/>
      <c r="BQ73" s="109"/>
      <c r="BR73" s="109"/>
      <c r="BS73" s="109"/>
      <c r="BT73" s="109"/>
      <c r="BU73" s="109"/>
      <c r="BV73" s="109"/>
      <c r="BW73" s="109"/>
      <c r="BX73" s="109"/>
      <c r="BY73" s="109"/>
      <c r="BZ73" s="109"/>
      <c r="CA73" s="109"/>
      <c r="CB73" s="109"/>
      <c r="CC73" s="109"/>
      <c r="CD73" s="109"/>
      <c r="CE73" s="109"/>
      <c r="CF73" s="109"/>
      <c r="CG73" s="109"/>
      <c r="CH73" s="109"/>
    </row>
    <row r="74" spans="1:86" s="103" customFormat="1">
      <c r="A74" s="14" t="s">
        <v>309</v>
      </c>
      <c r="B74" s="103">
        <f t="shared" ref="B74:AG74" si="17">B68</f>
        <v>0</v>
      </c>
      <c r="C74" s="103">
        <f t="shared" si="17"/>
        <v>0</v>
      </c>
      <c r="D74" s="103">
        <f t="shared" si="17"/>
        <v>0</v>
      </c>
      <c r="E74" s="103">
        <f t="shared" si="17"/>
        <v>0</v>
      </c>
      <c r="F74" s="103">
        <f t="shared" si="17"/>
        <v>0</v>
      </c>
      <c r="G74" s="103">
        <f t="shared" si="17"/>
        <v>0</v>
      </c>
      <c r="H74" s="103">
        <f t="shared" si="17"/>
        <v>0</v>
      </c>
      <c r="I74" s="103">
        <f t="shared" si="17"/>
        <v>0</v>
      </c>
      <c r="J74" s="103">
        <f t="shared" si="17"/>
        <v>0</v>
      </c>
      <c r="K74" s="103">
        <f t="shared" si="17"/>
        <v>0</v>
      </c>
      <c r="L74" s="103">
        <f t="shared" si="17"/>
        <v>0</v>
      </c>
      <c r="M74" s="103">
        <f t="shared" si="17"/>
        <v>0</v>
      </c>
      <c r="N74" s="103">
        <f t="shared" si="17"/>
        <v>0</v>
      </c>
      <c r="O74" s="103">
        <f t="shared" si="17"/>
        <v>0</v>
      </c>
      <c r="P74" s="103">
        <f t="shared" si="17"/>
        <v>0</v>
      </c>
      <c r="Q74" s="103">
        <f t="shared" si="17"/>
        <v>0</v>
      </c>
      <c r="R74" s="103">
        <f t="shared" si="17"/>
        <v>0</v>
      </c>
      <c r="S74" s="103">
        <f t="shared" si="17"/>
        <v>0</v>
      </c>
      <c r="T74" s="103">
        <f t="shared" si="17"/>
        <v>0</v>
      </c>
      <c r="U74" s="103">
        <f t="shared" si="17"/>
        <v>0</v>
      </c>
      <c r="V74" s="103">
        <f t="shared" si="17"/>
        <v>0</v>
      </c>
      <c r="W74" s="103">
        <f t="shared" si="17"/>
        <v>0</v>
      </c>
      <c r="X74" s="103">
        <f t="shared" si="17"/>
        <v>0</v>
      </c>
      <c r="Y74" s="103">
        <f t="shared" si="17"/>
        <v>0</v>
      </c>
      <c r="Z74" s="103">
        <f t="shared" si="17"/>
        <v>0</v>
      </c>
      <c r="AA74" s="103">
        <f t="shared" si="17"/>
        <v>0</v>
      </c>
      <c r="AB74" s="103">
        <f t="shared" si="17"/>
        <v>0</v>
      </c>
      <c r="AC74" s="103">
        <f t="shared" si="17"/>
        <v>0</v>
      </c>
      <c r="AD74" s="103">
        <f t="shared" si="17"/>
        <v>0</v>
      </c>
      <c r="AE74" s="103">
        <f t="shared" si="17"/>
        <v>0</v>
      </c>
      <c r="AF74" s="103">
        <f t="shared" si="17"/>
        <v>0</v>
      </c>
      <c r="AG74" s="103">
        <f t="shared" si="17"/>
        <v>0</v>
      </c>
      <c r="AH74" s="109"/>
      <c r="AI74" s="109"/>
      <c r="AJ74" s="109"/>
      <c r="AK74" s="109"/>
      <c r="AL74" s="109"/>
      <c r="AM74" s="109"/>
      <c r="AN74" s="109"/>
      <c r="AO74" s="109"/>
      <c r="AP74" s="109"/>
      <c r="AQ74" s="109"/>
      <c r="AR74" s="109"/>
      <c r="AS74" s="109"/>
      <c r="AT74" s="109"/>
      <c r="AU74" s="109"/>
      <c r="AV74" s="109"/>
      <c r="AW74" s="109"/>
      <c r="AX74" s="109"/>
      <c r="AY74" s="109"/>
      <c r="AZ74" s="109"/>
      <c r="BA74" s="109"/>
      <c r="BB74" s="109"/>
      <c r="BC74" s="109"/>
      <c r="BD74" s="109"/>
      <c r="BE74" s="109"/>
      <c r="BF74" s="109"/>
      <c r="BG74" s="109"/>
      <c r="BH74" s="109"/>
      <c r="BI74" s="109"/>
      <c r="BJ74" s="109"/>
      <c r="BK74" s="109"/>
      <c r="BL74" s="109"/>
      <c r="BM74" s="109"/>
      <c r="BN74" s="109"/>
      <c r="BO74" s="109"/>
      <c r="BP74" s="109"/>
      <c r="BQ74" s="109"/>
      <c r="BR74" s="109"/>
      <c r="BS74" s="109"/>
      <c r="BT74" s="109"/>
      <c r="BU74" s="109"/>
      <c r="BV74" s="109"/>
      <c r="BW74" s="109"/>
      <c r="BX74" s="109"/>
      <c r="BY74" s="109"/>
      <c r="BZ74" s="109"/>
      <c r="CA74" s="109"/>
      <c r="CB74" s="109"/>
      <c r="CC74" s="109"/>
      <c r="CD74" s="109"/>
      <c r="CE74" s="109"/>
      <c r="CF74" s="109"/>
      <c r="CG74" s="109"/>
      <c r="CH74" s="109"/>
    </row>
    <row r="75" spans="1:86" s="103" customFormat="1">
      <c r="A75" s="14" t="s">
        <v>268</v>
      </c>
      <c r="B75" s="404">
        <v>0</v>
      </c>
      <c r="C75" s="404">
        <v>0</v>
      </c>
      <c r="D75" s="404">
        <v>0</v>
      </c>
      <c r="E75" s="404">
        <v>0</v>
      </c>
      <c r="F75" s="404">
        <v>0</v>
      </c>
      <c r="G75" s="404">
        <v>0</v>
      </c>
      <c r="H75" s="404">
        <v>0</v>
      </c>
      <c r="I75" s="404">
        <v>0</v>
      </c>
      <c r="J75" s="404">
        <v>0</v>
      </c>
      <c r="K75" s="404">
        <v>0</v>
      </c>
      <c r="L75" s="404">
        <v>0</v>
      </c>
      <c r="M75" s="404">
        <v>0</v>
      </c>
      <c r="N75" s="404">
        <v>0</v>
      </c>
      <c r="O75" s="404">
        <v>0</v>
      </c>
      <c r="P75" s="404">
        <v>0</v>
      </c>
      <c r="Q75" s="404">
        <v>0</v>
      </c>
      <c r="R75" s="404">
        <v>0</v>
      </c>
      <c r="S75" s="404">
        <v>0</v>
      </c>
      <c r="T75" s="404">
        <v>0</v>
      </c>
      <c r="U75" s="404">
        <v>0</v>
      </c>
      <c r="V75" s="404">
        <v>0</v>
      </c>
      <c r="W75" s="404">
        <v>0</v>
      </c>
      <c r="X75" s="478">
        <v>0</v>
      </c>
      <c r="Y75" s="404">
        <v>0</v>
      </c>
      <c r="Z75" s="478">
        <v>0</v>
      </c>
      <c r="AA75" s="404">
        <v>0</v>
      </c>
      <c r="AB75" s="478">
        <v>0</v>
      </c>
      <c r="AC75" s="404">
        <v>0</v>
      </c>
      <c r="AD75" s="478">
        <v>0</v>
      </c>
      <c r="AE75" s="404">
        <v>0</v>
      </c>
      <c r="AF75" s="478">
        <v>0</v>
      </c>
      <c r="AG75" s="404">
        <v>0</v>
      </c>
      <c r="AH75" s="109"/>
      <c r="AI75" s="109"/>
      <c r="AJ75" s="109"/>
      <c r="AK75" s="109"/>
      <c r="AL75" s="109"/>
      <c r="AM75" s="109"/>
      <c r="AN75" s="109"/>
      <c r="AO75" s="109"/>
      <c r="AP75" s="109"/>
      <c r="AQ75" s="109"/>
      <c r="AR75" s="109"/>
      <c r="AS75" s="109"/>
      <c r="AT75" s="109"/>
      <c r="AU75" s="109"/>
      <c r="AV75" s="109"/>
      <c r="AW75" s="109"/>
      <c r="AX75" s="109"/>
      <c r="AY75" s="109"/>
      <c r="AZ75" s="109"/>
      <c r="BA75" s="109"/>
      <c r="BB75" s="109"/>
      <c r="BC75" s="109"/>
      <c r="BD75" s="109"/>
      <c r="BE75" s="109"/>
      <c r="BF75" s="109"/>
      <c r="BG75" s="109"/>
      <c r="BH75" s="109"/>
      <c r="BI75" s="109"/>
      <c r="BJ75" s="109"/>
      <c r="BK75" s="109"/>
      <c r="BL75" s="109"/>
      <c r="BM75" s="109"/>
      <c r="BN75" s="109"/>
      <c r="BO75" s="109"/>
      <c r="BP75" s="109"/>
      <c r="BQ75" s="109"/>
      <c r="BR75" s="109"/>
      <c r="BS75" s="109"/>
      <c r="BT75" s="109"/>
      <c r="BU75" s="109"/>
      <c r="BV75" s="109"/>
      <c r="BW75" s="109"/>
      <c r="BX75" s="109"/>
      <c r="BY75" s="109"/>
      <c r="BZ75" s="109"/>
      <c r="CA75" s="109"/>
      <c r="CB75" s="109"/>
      <c r="CC75" s="109"/>
      <c r="CD75" s="109"/>
      <c r="CE75" s="109"/>
      <c r="CF75" s="109"/>
      <c r="CG75" s="109"/>
      <c r="CH75" s="109"/>
    </row>
    <row r="76" spans="1:86" s="103" customFormat="1">
      <c r="A76" s="14" t="s">
        <v>314</v>
      </c>
      <c r="B76" s="404">
        <v>0</v>
      </c>
      <c r="C76" s="404">
        <v>0</v>
      </c>
      <c r="D76" s="404">
        <v>0</v>
      </c>
      <c r="E76" s="404">
        <v>0</v>
      </c>
      <c r="F76" s="404">
        <v>0</v>
      </c>
      <c r="G76" s="404">
        <v>0</v>
      </c>
      <c r="H76" s="404">
        <v>0</v>
      </c>
      <c r="I76" s="404">
        <v>0</v>
      </c>
      <c r="J76" s="404">
        <v>0</v>
      </c>
      <c r="K76" s="404">
        <v>0</v>
      </c>
      <c r="L76" s="404">
        <v>0</v>
      </c>
      <c r="M76" s="404">
        <v>0</v>
      </c>
      <c r="N76" s="404">
        <v>0</v>
      </c>
      <c r="O76" s="404">
        <v>0</v>
      </c>
      <c r="P76" s="404">
        <v>0</v>
      </c>
      <c r="Q76" s="404">
        <v>0</v>
      </c>
      <c r="R76" s="404">
        <v>0</v>
      </c>
      <c r="S76" s="404">
        <v>0</v>
      </c>
      <c r="T76" s="404">
        <v>0</v>
      </c>
      <c r="U76" s="404">
        <v>0</v>
      </c>
      <c r="V76" s="404">
        <v>0</v>
      </c>
      <c r="W76" s="404">
        <v>0</v>
      </c>
      <c r="X76" s="478">
        <v>0</v>
      </c>
      <c r="Y76" s="404">
        <v>0</v>
      </c>
      <c r="Z76" s="478">
        <v>0</v>
      </c>
      <c r="AA76" s="404">
        <v>0</v>
      </c>
      <c r="AB76" s="478">
        <v>0</v>
      </c>
      <c r="AC76" s="404">
        <v>0</v>
      </c>
      <c r="AD76" s="478">
        <v>0</v>
      </c>
      <c r="AE76" s="404">
        <v>0</v>
      </c>
      <c r="AF76" s="478">
        <v>0</v>
      </c>
      <c r="AG76" s="404">
        <v>0</v>
      </c>
      <c r="AH76" s="109"/>
      <c r="AI76" s="109"/>
      <c r="AJ76" s="109"/>
      <c r="AK76" s="109"/>
      <c r="AL76" s="109"/>
      <c r="AM76" s="109"/>
      <c r="AN76" s="109"/>
      <c r="AO76" s="109"/>
      <c r="AP76" s="109"/>
      <c r="AQ76" s="109"/>
      <c r="AR76" s="109"/>
      <c r="AS76" s="109"/>
      <c r="AT76" s="109"/>
      <c r="AU76" s="109"/>
      <c r="AV76" s="109"/>
      <c r="AW76" s="109"/>
      <c r="AX76" s="109"/>
      <c r="AY76" s="109"/>
      <c r="AZ76" s="109"/>
      <c r="BA76" s="109"/>
      <c r="BB76" s="109"/>
      <c r="BC76" s="109"/>
      <c r="BD76" s="109"/>
      <c r="BE76" s="109"/>
      <c r="BF76" s="109"/>
      <c r="BG76" s="109"/>
      <c r="BH76" s="109"/>
      <c r="BI76" s="109"/>
      <c r="BJ76" s="109"/>
      <c r="BK76" s="109"/>
      <c r="BL76" s="109"/>
      <c r="BM76" s="109"/>
      <c r="BN76" s="109"/>
      <c r="BO76" s="109"/>
      <c r="BP76" s="109"/>
      <c r="BQ76" s="109"/>
      <c r="BR76" s="109"/>
      <c r="BS76" s="109"/>
      <c r="BT76" s="109"/>
      <c r="BU76" s="109"/>
      <c r="BV76" s="109"/>
      <c r="BW76" s="109"/>
      <c r="BX76" s="109"/>
      <c r="BY76" s="109"/>
      <c r="BZ76" s="109"/>
      <c r="CA76" s="109"/>
      <c r="CB76" s="109"/>
      <c r="CC76" s="109"/>
      <c r="CD76" s="109"/>
      <c r="CE76" s="109"/>
      <c r="CF76" s="109"/>
      <c r="CG76" s="109"/>
      <c r="CH76" s="109"/>
    </row>
    <row r="77" spans="1:86" s="103" customFormat="1">
      <c r="A77" s="14" t="s">
        <v>311</v>
      </c>
      <c r="B77" s="103">
        <f>SUM(B74:B76)</f>
        <v>0</v>
      </c>
      <c r="C77" s="103">
        <f t="shared" ref="C77:AG77" si="18">SUM(C74:C76)</f>
        <v>0</v>
      </c>
      <c r="D77" s="103">
        <f t="shared" si="18"/>
        <v>0</v>
      </c>
      <c r="E77" s="103">
        <f t="shared" si="18"/>
        <v>0</v>
      </c>
      <c r="F77" s="103">
        <f t="shared" si="18"/>
        <v>0</v>
      </c>
      <c r="G77" s="103">
        <f t="shared" si="18"/>
        <v>0</v>
      </c>
      <c r="H77" s="103">
        <f t="shared" si="18"/>
        <v>0</v>
      </c>
      <c r="I77" s="103">
        <f t="shared" si="18"/>
        <v>0</v>
      </c>
      <c r="J77" s="103">
        <f t="shared" si="18"/>
        <v>0</v>
      </c>
      <c r="K77" s="103">
        <f t="shared" si="18"/>
        <v>0</v>
      </c>
      <c r="L77" s="103">
        <f t="shared" si="18"/>
        <v>0</v>
      </c>
      <c r="M77" s="103">
        <f t="shared" si="18"/>
        <v>0</v>
      </c>
      <c r="N77" s="103">
        <f t="shared" si="18"/>
        <v>0</v>
      </c>
      <c r="O77" s="103">
        <f t="shared" si="18"/>
        <v>0</v>
      </c>
      <c r="P77" s="103">
        <f t="shared" si="18"/>
        <v>0</v>
      </c>
      <c r="Q77" s="103">
        <f t="shared" si="18"/>
        <v>0</v>
      </c>
      <c r="R77" s="103">
        <f t="shared" si="18"/>
        <v>0</v>
      </c>
      <c r="S77" s="103">
        <f t="shared" si="18"/>
        <v>0</v>
      </c>
      <c r="T77" s="103">
        <f t="shared" si="18"/>
        <v>0</v>
      </c>
      <c r="U77" s="103">
        <f t="shared" si="18"/>
        <v>0</v>
      </c>
      <c r="V77" s="103">
        <f t="shared" si="18"/>
        <v>0</v>
      </c>
      <c r="W77" s="103">
        <f t="shared" si="18"/>
        <v>0</v>
      </c>
      <c r="X77" s="103">
        <f t="shared" si="18"/>
        <v>0</v>
      </c>
      <c r="Y77" s="103">
        <f t="shared" si="18"/>
        <v>0</v>
      </c>
      <c r="Z77" s="103">
        <f t="shared" si="18"/>
        <v>0</v>
      </c>
      <c r="AA77" s="103">
        <f t="shared" si="18"/>
        <v>0</v>
      </c>
      <c r="AB77" s="103">
        <f t="shared" si="18"/>
        <v>0</v>
      </c>
      <c r="AC77" s="103">
        <f t="shared" si="18"/>
        <v>0</v>
      </c>
      <c r="AD77" s="103">
        <f t="shared" si="18"/>
        <v>0</v>
      </c>
      <c r="AE77" s="103">
        <f t="shared" si="18"/>
        <v>0</v>
      </c>
      <c r="AF77" s="103">
        <f t="shared" si="18"/>
        <v>0</v>
      </c>
      <c r="AG77" s="103">
        <f t="shared" si="18"/>
        <v>0</v>
      </c>
      <c r="AH77" s="109"/>
      <c r="AI77" s="109"/>
      <c r="AJ77" s="109"/>
      <c r="AK77" s="109"/>
      <c r="AL77" s="109"/>
      <c r="AM77" s="109"/>
      <c r="AN77" s="109"/>
      <c r="AO77" s="109"/>
      <c r="AP77" s="109"/>
      <c r="AQ77" s="109"/>
      <c r="AR77" s="109"/>
      <c r="AS77" s="109"/>
      <c r="AT77" s="109"/>
      <c r="AU77" s="109"/>
      <c r="AV77" s="109"/>
      <c r="AW77" s="109"/>
      <c r="AX77" s="109"/>
      <c r="AY77" s="109"/>
      <c r="AZ77" s="109"/>
      <c r="BA77" s="109"/>
      <c r="BB77" s="109"/>
      <c r="BC77" s="109"/>
      <c r="BD77" s="109"/>
      <c r="BE77" s="109"/>
      <c r="BF77" s="109"/>
      <c r="BG77" s="109"/>
      <c r="BH77" s="109"/>
      <c r="BI77" s="109"/>
      <c r="BJ77" s="109"/>
      <c r="BK77" s="109"/>
      <c r="BL77" s="109"/>
      <c r="BM77" s="109"/>
      <c r="BN77" s="109"/>
      <c r="BO77" s="109"/>
      <c r="BP77" s="109"/>
      <c r="BQ77" s="109"/>
      <c r="BR77" s="109"/>
      <c r="BS77" s="109"/>
      <c r="BT77" s="109"/>
      <c r="BU77" s="109"/>
      <c r="BV77" s="109"/>
      <c r="BW77" s="109"/>
      <c r="BX77" s="109"/>
      <c r="BY77" s="109"/>
      <c r="BZ77" s="109"/>
      <c r="CA77" s="109"/>
      <c r="CB77" s="109"/>
      <c r="CC77" s="109"/>
      <c r="CD77" s="109"/>
      <c r="CE77" s="109"/>
      <c r="CF77" s="109"/>
      <c r="CG77" s="109"/>
      <c r="CH77" s="109"/>
    </row>
    <row r="78" spans="1:86">
      <c r="A78" s="47" t="s">
        <v>99</v>
      </c>
      <c r="B78" s="355" t="e">
        <f>[1]!_xludf.xirr(B77:AG77,B55:AG55)</f>
        <v>#NUM!</v>
      </c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Y78" s="104"/>
      <c r="Z78" s="14"/>
      <c r="AA78" s="104"/>
      <c r="AC78" s="104"/>
      <c r="AE78" s="104"/>
      <c r="AG78" s="104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</row>
    <row r="79" spans="1:86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</row>
    <row r="80" spans="1:86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</row>
  </sheetData>
  <pageMargins left="0.45" right="0.45" top="0.5" bottom="0.5" header="0.25" footer="0.25"/>
  <pageSetup scale="46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48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J42"/>
  <sheetViews>
    <sheetView showGridLines="0" zoomScale="75" zoomScaleNormal="75" zoomScaleSheetLayoutView="100" workbookViewId="0">
      <selection activeCell="X28" sqref="X28"/>
    </sheetView>
  </sheetViews>
  <sheetFormatPr defaultRowHeight="12.75"/>
  <cols>
    <col min="4" max="4" width="16.28515625" customWidth="1"/>
    <col min="5" max="5" width="14.42578125" customWidth="1"/>
    <col min="6" max="21" width="16.7109375" bestFit="1" customWidth="1"/>
    <col min="22" max="25" width="17.7109375" bestFit="1" customWidth="1"/>
    <col min="26" max="26" width="24.5703125" customWidth="1"/>
    <col min="27" max="30" width="17.7109375" bestFit="1" customWidth="1"/>
    <col min="31" max="36" width="17.28515625" bestFit="1" customWidth="1"/>
  </cols>
  <sheetData>
    <row r="3" spans="4:36" ht="13.5" thickBot="1">
      <c r="D3" s="592" t="s">
        <v>410</v>
      </c>
      <c r="F3" s="614">
        <v>37256</v>
      </c>
      <c r="G3" s="593">
        <v>37621</v>
      </c>
      <c r="H3" s="593">
        <v>37986</v>
      </c>
      <c r="I3" s="593">
        <v>38352</v>
      </c>
      <c r="J3" s="593">
        <v>38717</v>
      </c>
      <c r="K3" s="593">
        <v>39082</v>
      </c>
      <c r="L3" s="593">
        <v>39447</v>
      </c>
      <c r="M3" s="593">
        <v>39813</v>
      </c>
      <c r="N3" s="593">
        <v>40178</v>
      </c>
      <c r="O3" s="593">
        <v>40543</v>
      </c>
      <c r="P3" s="593">
        <v>40908</v>
      </c>
      <c r="Q3" s="593">
        <v>41274</v>
      </c>
      <c r="R3" s="593">
        <v>41639</v>
      </c>
      <c r="S3" s="593">
        <v>42004</v>
      </c>
      <c r="T3" s="593">
        <v>42369</v>
      </c>
      <c r="U3" s="593">
        <v>42735</v>
      </c>
      <c r="V3" s="593">
        <v>43100</v>
      </c>
      <c r="W3" s="593">
        <v>43465</v>
      </c>
      <c r="X3" s="593">
        <v>43830</v>
      </c>
      <c r="Y3" s="593">
        <v>44196</v>
      </c>
      <c r="Z3" s="593">
        <v>44561</v>
      </c>
      <c r="AA3" s="593">
        <v>44926</v>
      </c>
      <c r="AB3" s="593">
        <v>45291</v>
      </c>
      <c r="AC3" s="593">
        <v>45657</v>
      </c>
      <c r="AD3" s="593">
        <v>46022</v>
      </c>
      <c r="AE3" s="593">
        <v>46387</v>
      </c>
      <c r="AF3" s="593">
        <v>46752</v>
      </c>
      <c r="AG3" s="593">
        <v>47118</v>
      </c>
      <c r="AH3" s="593">
        <v>47483</v>
      </c>
      <c r="AI3" s="593">
        <v>47848</v>
      </c>
      <c r="AJ3" s="593">
        <v>48213</v>
      </c>
    </row>
    <row r="5" spans="4:36">
      <c r="D5" s="594" t="s">
        <v>85</v>
      </c>
      <c r="F5" s="109">
        <f>IS!C43</f>
        <v>6308.381519999999</v>
      </c>
      <c r="G5" s="109">
        <f>IS!D43</f>
        <v>9746.9239655999991</v>
      </c>
      <c r="H5" s="109">
        <f>IS!E43</f>
        <v>3993.5156845679994</v>
      </c>
      <c r="I5" s="109">
        <f>IS!F43</f>
        <v>10745.978963364505</v>
      </c>
      <c r="J5" s="109">
        <f>IS!G43</f>
        <v>11194.004463107231</v>
      </c>
      <c r="K5" s="109">
        <f>IS!H43</f>
        <v>11302.674487984357</v>
      </c>
      <c r="L5" s="109">
        <f>IS!I43</f>
        <v>11407.794216929313</v>
      </c>
      <c r="M5" s="109">
        <f>IS!J43</f>
        <v>11509.052829163778</v>
      </c>
      <c r="N5" s="109">
        <f>IS!K43</f>
        <v>11854.187527638691</v>
      </c>
      <c r="O5" s="109">
        <f>IS!L43</f>
        <v>11954.170885026944</v>
      </c>
      <c r="P5" s="109">
        <f>IS!M43</f>
        <v>12312.659125177755</v>
      </c>
      <c r="Q5" s="109">
        <f>IS!N43</f>
        <v>12410.836352725888</v>
      </c>
      <c r="R5" s="109">
        <f>IS!O43</f>
        <v>12783.024556907669</v>
      </c>
      <c r="S5" s="109">
        <f>IS!P43</f>
        <v>12878.804848725445</v>
      </c>
      <c r="T5" s="109">
        <f>IS!Q43</f>
        <v>12968.83134254307</v>
      </c>
      <c r="U5" s="109">
        <f>IS!R43</f>
        <v>13052.672608217901</v>
      </c>
      <c r="V5" s="109">
        <f>IS!S43</f>
        <v>13129.87650821693</v>
      </c>
      <c r="W5" s="109">
        <f>IS!T43</f>
        <v>13199.969343460509</v>
      </c>
      <c r="X5" s="109">
        <f>IS!U43</f>
        <v>13262.454966553309</v>
      </c>
      <c r="Y5" s="109">
        <f>IS!V43</f>
        <v>13316.813861214552</v>
      </c>
      <c r="Z5" s="109">
        <f>IS!W43</f>
        <v>13362.502186677582</v>
      </c>
      <c r="AA5" s="109">
        <f>IS!X43</f>
        <v>13398.950785785295</v>
      </c>
      <c r="AB5" s="109">
        <f>IS!Y43</f>
        <v>13432.779211224517</v>
      </c>
      <c r="AC5" s="109">
        <f>IS!Z43</f>
        <v>13463.908857785213</v>
      </c>
      <c r="AD5" s="109">
        <f>IS!AA43</f>
        <v>13492.258762100992</v>
      </c>
      <c r="AE5" s="109">
        <f>IS!AB43</f>
        <v>13517.745531904522</v>
      </c>
      <c r="AF5" s="109">
        <f>IS!AC43</f>
        <v>13540.283273160436</v>
      </c>
      <c r="AG5" s="109">
        <f>IS!AD43</f>
        <v>13559.783515012328</v>
      </c>
      <c r="AH5" s="109">
        <f>IS!AE43</f>
        <v>13576.155132478034</v>
      </c>
      <c r="AI5" s="109">
        <f>IS!AF43</f>
        <v>13589.304266825993</v>
      </c>
      <c r="AJ5" s="109">
        <f>IS!AG43</f>
        <v>13599.134243562672</v>
      </c>
    </row>
    <row r="6" spans="4:36">
      <c r="D6" s="594" t="s">
        <v>321</v>
      </c>
      <c r="F6" s="595">
        <f>IS!C49</f>
        <v>3879.954763386118</v>
      </c>
      <c r="G6" s="595">
        <f>IS!D49</f>
        <v>7371.9140504336228</v>
      </c>
      <c r="H6" s="595">
        <f>IS!E49</f>
        <v>7061.5176693627336</v>
      </c>
      <c r="I6" s="595">
        <f>IS!F49</f>
        <v>6751.1212882918444</v>
      </c>
      <c r="J6" s="595">
        <f>IS!G49</f>
        <v>6440.7249072209543</v>
      </c>
      <c r="K6" s="595">
        <f>IS!H49</f>
        <v>6130.3285261500641</v>
      </c>
      <c r="L6" s="595">
        <f>IS!I49</f>
        <v>5819.932145079174</v>
      </c>
      <c r="M6" s="595">
        <f>IS!J49</f>
        <v>5509.5357640082839</v>
      </c>
      <c r="N6" s="595">
        <f>IS!K49</f>
        <v>5199.1393829373956</v>
      </c>
      <c r="O6" s="595">
        <f>IS!L49</f>
        <v>4888.7430018665054</v>
      </c>
      <c r="P6" s="595">
        <f>IS!M49</f>
        <v>4578.3466207956153</v>
      </c>
      <c r="Q6" s="595">
        <f>IS!N49</f>
        <v>4267.9502397247252</v>
      </c>
      <c r="R6" s="595">
        <f>IS!O49</f>
        <v>3957.553858653836</v>
      </c>
      <c r="S6" s="595">
        <f>IS!P49</f>
        <v>3647.1574775829458</v>
      </c>
      <c r="T6" s="595">
        <f>IS!Q49</f>
        <v>3336.7610965120562</v>
      </c>
      <c r="U6" s="595">
        <f>IS!R49</f>
        <v>3026.3647154411665</v>
      </c>
      <c r="V6" s="595">
        <f>IS!S49</f>
        <v>2715.9683343702764</v>
      </c>
      <c r="W6" s="595">
        <f>IS!T49</f>
        <v>2405.5719532993867</v>
      </c>
      <c r="X6" s="595">
        <f>IS!U49</f>
        <v>2095.175572228497</v>
      </c>
      <c r="Y6" s="595">
        <f>IS!V49</f>
        <v>1784.779191157608</v>
      </c>
      <c r="Z6" s="595">
        <f>IS!W49</f>
        <v>1474.3828100867188</v>
      </c>
      <c r="AA6" s="595">
        <f>IS!X49</f>
        <v>1241.5855242835519</v>
      </c>
      <c r="AB6" s="595">
        <f>IS!Y49</f>
        <v>1241.5855242835519</v>
      </c>
      <c r="AC6" s="595">
        <f>IS!Z49</f>
        <v>1241.5855242835519</v>
      </c>
      <c r="AD6" s="595">
        <f>IS!AA49</f>
        <v>1241.5855242835519</v>
      </c>
      <c r="AE6" s="595">
        <f>IS!AB49</f>
        <v>1241.5855242835519</v>
      </c>
      <c r="AF6" s="595">
        <f>IS!AC49</f>
        <v>1241.5855242835519</v>
      </c>
      <c r="AG6" s="595">
        <f>IS!AD49</f>
        <v>1241.5855242835519</v>
      </c>
      <c r="AH6" s="595">
        <f>IS!AE49</f>
        <v>1241.5855242835519</v>
      </c>
      <c r="AI6" s="595">
        <f>IS!AF49</f>
        <v>1241.5855242835519</v>
      </c>
      <c r="AJ6" s="595">
        <f>IS!AG49</f>
        <v>1241.5855242835519</v>
      </c>
    </row>
    <row r="7" spans="4:36">
      <c r="D7" s="594" t="s">
        <v>92</v>
      </c>
      <c r="F7" s="109">
        <f>+F5-F6</f>
        <v>2428.426756613881</v>
      </c>
      <c r="G7" s="109">
        <f t="shared" ref="G7:AJ7" si="0">+G5-G6</f>
        <v>2375.0099151663762</v>
      </c>
      <c r="H7" s="109">
        <f t="shared" si="0"/>
        <v>-3068.0019847947342</v>
      </c>
      <c r="I7" s="109">
        <f t="shared" si="0"/>
        <v>3994.8576750726606</v>
      </c>
      <c r="J7" s="109">
        <f t="shared" si="0"/>
        <v>4753.2795558862763</v>
      </c>
      <c r="K7" s="109">
        <f t="shared" si="0"/>
        <v>5172.3459618342931</v>
      </c>
      <c r="L7" s="109">
        <f t="shared" si="0"/>
        <v>5587.8620718501388</v>
      </c>
      <c r="M7" s="109">
        <f t="shared" si="0"/>
        <v>5999.5170651554945</v>
      </c>
      <c r="N7" s="109">
        <f t="shared" si="0"/>
        <v>6655.0481447012953</v>
      </c>
      <c r="O7" s="109">
        <f t="shared" si="0"/>
        <v>7065.4278831604388</v>
      </c>
      <c r="P7" s="109">
        <f t="shared" si="0"/>
        <v>7734.3125043821401</v>
      </c>
      <c r="Q7" s="109">
        <f t="shared" si="0"/>
        <v>8142.8861130011628</v>
      </c>
      <c r="R7" s="109">
        <f t="shared" si="0"/>
        <v>8825.4706982538337</v>
      </c>
      <c r="S7" s="109">
        <f t="shared" si="0"/>
        <v>9231.6473711424987</v>
      </c>
      <c r="T7" s="109">
        <f t="shared" si="0"/>
        <v>9632.0702460310131</v>
      </c>
      <c r="U7" s="109">
        <f t="shared" si="0"/>
        <v>10026.307892776735</v>
      </c>
      <c r="V7" s="109">
        <f t="shared" si="0"/>
        <v>10413.908173846654</v>
      </c>
      <c r="W7" s="109">
        <f t="shared" si="0"/>
        <v>10794.397390161123</v>
      </c>
      <c r="X7" s="109">
        <f t="shared" si="0"/>
        <v>11167.279394324811</v>
      </c>
      <c r="Y7" s="109">
        <f t="shared" si="0"/>
        <v>11532.034670056944</v>
      </c>
      <c r="Z7" s="109">
        <f t="shared" si="0"/>
        <v>11888.119376590863</v>
      </c>
      <c r="AA7" s="109">
        <f t="shared" si="0"/>
        <v>12157.365261501744</v>
      </c>
      <c r="AB7" s="109">
        <f t="shared" si="0"/>
        <v>12191.193686940966</v>
      </c>
      <c r="AC7" s="109">
        <f t="shared" si="0"/>
        <v>12222.323333501661</v>
      </c>
      <c r="AD7" s="109">
        <f t="shared" si="0"/>
        <v>12250.67323781744</v>
      </c>
      <c r="AE7" s="109">
        <f t="shared" si="0"/>
        <v>12276.160007620971</v>
      </c>
      <c r="AF7" s="109">
        <f t="shared" si="0"/>
        <v>12298.697748876884</v>
      </c>
      <c r="AG7" s="109">
        <f t="shared" si="0"/>
        <v>12318.197990728777</v>
      </c>
      <c r="AH7" s="109">
        <f t="shared" si="0"/>
        <v>12334.569608194482</v>
      </c>
      <c r="AI7" s="109">
        <f t="shared" si="0"/>
        <v>12347.718742542442</v>
      </c>
      <c r="AJ7" s="109">
        <f t="shared" si="0"/>
        <v>12357.548719279121</v>
      </c>
    </row>
    <row r="8" spans="4:36">
      <c r="D8" s="594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</row>
    <row r="9" spans="4:36">
      <c r="D9" s="594" t="s">
        <v>392</v>
      </c>
      <c r="F9" s="109">
        <f>+-[3]Tax!B46+-[3]Tax!B30</f>
        <v>0</v>
      </c>
      <c r="G9" s="109">
        <f>+-[3]Tax!C46+-[3]Tax!C30</f>
        <v>0</v>
      </c>
      <c r="H9" s="109">
        <f>+-[3]Tax!D46+-[3]Tax!D30</f>
        <v>0</v>
      </c>
      <c r="I9" s="109">
        <f>+-[3]Tax!E46+-[3]Tax!E30</f>
        <v>0</v>
      </c>
      <c r="J9" s="109">
        <f>+-[3]Tax!F46+-[3]Tax!F30</f>
        <v>0</v>
      </c>
      <c r="K9" s="109">
        <f>+-[3]Tax!G46+-[3]Tax!G30</f>
        <v>0</v>
      </c>
      <c r="L9" s="109">
        <f>+-[3]Tax!H46+-[3]Tax!H30</f>
        <v>0</v>
      </c>
      <c r="M9" s="109">
        <f>+-[3]Tax!I46+-[3]Tax!I30</f>
        <v>0</v>
      </c>
      <c r="N9" s="109">
        <f>+-[3]Tax!J46+-[3]Tax!J30</f>
        <v>0</v>
      </c>
      <c r="O9" s="109">
        <f>+-[3]Tax!K46+-[3]Tax!K30</f>
        <v>0</v>
      </c>
      <c r="P9" s="109">
        <f>+-[3]Tax!L46+-[3]Tax!L30</f>
        <v>0</v>
      </c>
      <c r="Q9" s="109">
        <f>+-[3]Tax!M46+-[3]Tax!M30</f>
        <v>0</v>
      </c>
      <c r="R9" s="109">
        <f>+-[3]Tax!N46+-[3]Tax!N30</f>
        <v>0</v>
      </c>
      <c r="S9" s="109">
        <f>+-[3]Tax!O46+-[3]Tax!O30</f>
        <v>0</v>
      </c>
      <c r="T9" s="109">
        <f>+-[3]Tax!P46+-[3]Tax!P30</f>
        <v>0</v>
      </c>
      <c r="U9" s="109">
        <f>+-[3]Tax!Q46+-[3]Tax!Q30</f>
        <v>0</v>
      </c>
      <c r="V9" s="109">
        <f>+-[3]Tax!R46+-[3]Tax!R30</f>
        <v>0</v>
      </c>
      <c r="W9" s="109">
        <f>+-[3]Tax!S46+-[3]Tax!S30</f>
        <v>0</v>
      </c>
      <c r="X9" s="109">
        <f>+-[3]Tax!T46+-[3]Tax!T30</f>
        <v>-3158.6971418979492</v>
      </c>
      <c r="Y9" s="109">
        <f>+-[3]Tax!U46+-[3]Tax!U30</f>
        <v>-4127.7019726752833</v>
      </c>
      <c r="Z9" s="109">
        <f>+-[3]Tax!V46+-[3]Tax!V30</f>
        <v>-4145.2069726752834</v>
      </c>
      <c r="AA9" s="109">
        <f>+-[3]Tax!W46+-[3]Tax!W30</f>
        <v>-4145.2069726752834</v>
      </c>
      <c r="AB9" s="109">
        <f>+-[3]Tax!X46+-[3]Tax!X30</f>
        <v>-4145.2069726752834</v>
      </c>
      <c r="AC9" s="109">
        <f>+-[3]Tax!Y46+-[3]Tax!Y30</f>
        <v>-4145.2069726752834</v>
      </c>
      <c r="AD9" s="109">
        <f>+-[3]Tax!Z46+-[3]Tax!Z30</f>
        <v>-4145.2069726752834</v>
      </c>
      <c r="AE9" s="109">
        <f>+-[3]Tax!AA46+-[3]Tax!AA30</f>
        <v>0</v>
      </c>
      <c r="AF9" s="109">
        <f>+-[3]Tax!AB46+-[3]Tax!AB30</f>
        <v>0</v>
      </c>
      <c r="AG9" s="109">
        <f>+-[3]Tax!AC46+-[3]Tax!AC30</f>
        <v>0</v>
      </c>
      <c r="AH9" s="109">
        <f>+-[3]Tax!AD46+-[3]Tax!AD30</f>
        <v>0</v>
      </c>
      <c r="AI9" s="109">
        <f>+-[3]Tax!AE46+-[3]Tax!AE30</f>
        <v>0</v>
      </c>
      <c r="AJ9" s="109">
        <f>+-[3]Tax!AF46+-[3]Tax!AF30</f>
        <v>0</v>
      </c>
    </row>
    <row r="10" spans="4:36">
      <c r="D10" s="594" t="s">
        <v>322</v>
      </c>
      <c r="E10" s="596"/>
      <c r="F10" s="597">
        <f>Debt!B87</f>
        <v>4434.2340152984198</v>
      </c>
      <c r="G10" s="597">
        <f>Debt!C87</f>
        <v>4434.2340152984198</v>
      </c>
      <c r="H10" s="597">
        <f>Debt!D87</f>
        <v>4434.2340152984198</v>
      </c>
      <c r="I10" s="597">
        <f>Debt!E87</f>
        <v>4434.2340152984198</v>
      </c>
      <c r="J10" s="597">
        <f>Debt!F87</f>
        <v>4434.2340152984198</v>
      </c>
      <c r="K10" s="597">
        <f>Debt!G87</f>
        <v>4434.2340152984198</v>
      </c>
      <c r="L10" s="597">
        <f>Debt!H87</f>
        <v>4434.2340152984198</v>
      </c>
      <c r="M10" s="597">
        <f>Debt!I87</f>
        <v>4434.2340152984198</v>
      </c>
      <c r="N10" s="597">
        <f>Debt!J87</f>
        <v>4434.2340152984198</v>
      </c>
      <c r="O10" s="597">
        <f>Debt!K87</f>
        <v>4434.2340152984198</v>
      </c>
      <c r="P10" s="597">
        <f>Debt!L87</f>
        <v>4434.2340152984198</v>
      </c>
      <c r="Q10" s="597">
        <f>Debt!M87</f>
        <v>4434.2340152984198</v>
      </c>
      <c r="R10" s="597">
        <f>Debt!N87</f>
        <v>4434.2340152984198</v>
      </c>
      <c r="S10" s="597">
        <f>Debt!O87</f>
        <v>4434.2340152984198</v>
      </c>
      <c r="T10" s="597">
        <f>Debt!P87</f>
        <v>4434.2340152984198</v>
      </c>
      <c r="U10" s="597">
        <f>Debt!Q87</f>
        <v>4434.2340152984198</v>
      </c>
      <c r="V10" s="597">
        <f>Debt!R87</f>
        <v>4434.2340152984198</v>
      </c>
      <c r="W10" s="597">
        <f>Debt!S87</f>
        <v>4434.2340152984198</v>
      </c>
      <c r="X10" s="597">
        <f>Debt!T87</f>
        <v>4434.2340152984198</v>
      </c>
      <c r="Y10" s="597">
        <f>Debt!U87</f>
        <v>4434.2340152984198</v>
      </c>
      <c r="Z10" s="597">
        <f>Debt!V87</f>
        <v>4434.2340152984198</v>
      </c>
      <c r="AA10" s="597">
        <f>Debt!W87</f>
        <v>0</v>
      </c>
      <c r="AB10" s="597">
        <f>Debt!X87</f>
        <v>0</v>
      </c>
      <c r="AC10" s="597">
        <f>Debt!Y87</f>
        <v>0</v>
      </c>
      <c r="AD10" s="597">
        <f>Debt!Z87</f>
        <v>0</v>
      </c>
      <c r="AE10" s="597">
        <f>Debt!AA87</f>
        <v>0</v>
      </c>
      <c r="AF10" s="597">
        <f>Debt!AB87</f>
        <v>0</v>
      </c>
      <c r="AG10" s="597">
        <f>Debt!AC87</f>
        <v>0</v>
      </c>
      <c r="AH10" s="597">
        <f>Debt!AD87</f>
        <v>0</v>
      </c>
      <c r="AI10" s="597">
        <f>Debt!AE87</f>
        <v>0</v>
      </c>
      <c r="AJ10" s="597">
        <f>Debt!AF87</f>
        <v>0</v>
      </c>
    </row>
    <row r="11" spans="4:36">
      <c r="D11" s="594" t="s">
        <v>393</v>
      </c>
      <c r="F11" s="598">
        <v>0</v>
      </c>
      <c r="G11" s="599">
        <f>+F11</f>
        <v>0</v>
      </c>
      <c r="H11" s="599">
        <f t="shared" ref="H11:AJ11" si="1">+G11</f>
        <v>0</v>
      </c>
      <c r="I11" s="599">
        <f t="shared" si="1"/>
        <v>0</v>
      </c>
      <c r="J11" s="599">
        <f t="shared" si="1"/>
        <v>0</v>
      </c>
      <c r="K11" s="599">
        <f t="shared" si="1"/>
        <v>0</v>
      </c>
      <c r="L11" s="599">
        <f t="shared" si="1"/>
        <v>0</v>
      </c>
      <c r="M11" s="599">
        <f t="shared" si="1"/>
        <v>0</v>
      </c>
      <c r="N11" s="599">
        <f t="shared" si="1"/>
        <v>0</v>
      </c>
      <c r="O11" s="599">
        <f t="shared" si="1"/>
        <v>0</v>
      </c>
      <c r="P11" s="599">
        <f t="shared" si="1"/>
        <v>0</v>
      </c>
      <c r="Q11" s="599">
        <f t="shared" si="1"/>
        <v>0</v>
      </c>
      <c r="R11" s="599">
        <f t="shared" si="1"/>
        <v>0</v>
      </c>
      <c r="S11" s="599">
        <f t="shared" si="1"/>
        <v>0</v>
      </c>
      <c r="T11" s="599">
        <f t="shared" si="1"/>
        <v>0</v>
      </c>
      <c r="U11" s="599">
        <f t="shared" si="1"/>
        <v>0</v>
      </c>
      <c r="V11" s="599">
        <f t="shared" si="1"/>
        <v>0</v>
      </c>
      <c r="W11" s="599">
        <f t="shared" si="1"/>
        <v>0</v>
      </c>
      <c r="X11" s="599">
        <f t="shared" si="1"/>
        <v>0</v>
      </c>
      <c r="Y11" s="599">
        <f t="shared" si="1"/>
        <v>0</v>
      </c>
      <c r="Z11" s="599">
        <f t="shared" si="1"/>
        <v>0</v>
      </c>
      <c r="AA11" s="599">
        <f t="shared" si="1"/>
        <v>0</v>
      </c>
      <c r="AB11" s="599">
        <f t="shared" si="1"/>
        <v>0</v>
      </c>
      <c r="AC11" s="599">
        <f t="shared" si="1"/>
        <v>0</v>
      </c>
      <c r="AD11" s="599">
        <f t="shared" si="1"/>
        <v>0</v>
      </c>
      <c r="AE11" s="599">
        <f t="shared" si="1"/>
        <v>0</v>
      </c>
      <c r="AF11" s="599">
        <f t="shared" si="1"/>
        <v>0</v>
      </c>
      <c r="AG11" s="599">
        <f t="shared" si="1"/>
        <v>0</v>
      </c>
      <c r="AH11" s="599">
        <f t="shared" si="1"/>
        <v>0</v>
      </c>
      <c r="AI11" s="599">
        <f t="shared" si="1"/>
        <v>0</v>
      </c>
      <c r="AJ11" s="599">
        <f t="shared" si="1"/>
        <v>0</v>
      </c>
    </row>
    <row r="12" spans="4:36">
      <c r="D12" s="594" t="s">
        <v>394</v>
      </c>
      <c r="F12" s="109">
        <f>+F7+F9-F10-F11</f>
        <v>-2005.8072586845387</v>
      </c>
      <c r="G12" s="109">
        <f t="shared" ref="G12:AJ12" si="2">+G7+G9-G10-G11</f>
        <v>-2059.2241001320435</v>
      </c>
      <c r="H12" s="109">
        <f t="shared" si="2"/>
        <v>-7502.236000093154</v>
      </c>
      <c r="I12" s="109">
        <f t="shared" si="2"/>
        <v>-439.37634022575912</v>
      </c>
      <c r="J12" s="109">
        <f t="shared" si="2"/>
        <v>319.04554058785652</v>
      </c>
      <c r="K12" s="109">
        <f t="shared" si="2"/>
        <v>738.11194653587336</v>
      </c>
      <c r="L12" s="109">
        <f t="shared" si="2"/>
        <v>1153.6280565517191</v>
      </c>
      <c r="M12" s="109">
        <f t="shared" si="2"/>
        <v>1565.2830498570747</v>
      </c>
      <c r="N12" s="109">
        <f t="shared" si="2"/>
        <v>2220.8141294028756</v>
      </c>
      <c r="O12" s="109">
        <f t="shared" si="2"/>
        <v>2631.193867862019</v>
      </c>
      <c r="P12" s="109">
        <f t="shared" si="2"/>
        <v>3300.0784890837203</v>
      </c>
      <c r="Q12" s="109">
        <f t="shared" si="2"/>
        <v>3708.652097702743</v>
      </c>
      <c r="R12" s="109">
        <f t="shared" si="2"/>
        <v>4391.2366829554139</v>
      </c>
      <c r="S12" s="109">
        <f t="shared" si="2"/>
        <v>4797.413355844079</v>
      </c>
      <c r="T12" s="109">
        <f t="shared" si="2"/>
        <v>5197.8362307325933</v>
      </c>
      <c r="U12" s="109">
        <f t="shared" si="2"/>
        <v>5592.0738774783149</v>
      </c>
      <c r="V12" s="109">
        <f t="shared" si="2"/>
        <v>5979.6741585482341</v>
      </c>
      <c r="W12" s="109">
        <f t="shared" si="2"/>
        <v>6360.1633748627028</v>
      </c>
      <c r="X12" s="109">
        <f t="shared" si="2"/>
        <v>3574.3482371284417</v>
      </c>
      <c r="Y12" s="109">
        <f t="shared" si="2"/>
        <v>2970.0986820832413</v>
      </c>
      <c r="Z12" s="109">
        <f t="shared" si="2"/>
        <v>3308.6783886171597</v>
      </c>
      <c r="AA12" s="109">
        <f t="shared" si="2"/>
        <v>8012.1582888264602</v>
      </c>
      <c r="AB12" s="109">
        <f t="shared" si="2"/>
        <v>8045.9867142656822</v>
      </c>
      <c r="AC12" s="109">
        <f t="shared" si="2"/>
        <v>8077.1163608263778</v>
      </c>
      <c r="AD12" s="109">
        <f t="shared" si="2"/>
        <v>8105.4662651421568</v>
      </c>
      <c r="AE12" s="109">
        <f t="shared" si="2"/>
        <v>12276.160007620971</v>
      </c>
      <c r="AF12" s="109">
        <f t="shared" si="2"/>
        <v>12298.697748876884</v>
      </c>
      <c r="AG12" s="109">
        <f t="shared" si="2"/>
        <v>12318.197990728777</v>
      </c>
      <c r="AH12" s="109">
        <f t="shared" si="2"/>
        <v>12334.569608194482</v>
      </c>
      <c r="AI12" s="109">
        <f t="shared" si="2"/>
        <v>12347.718742542442</v>
      </c>
      <c r="AJ12" s="109">
        <f t="shared" si="2"/>
        <v>12357.548719279121</v>
      </c>
    </row>
    <row r="13" spans="4:36">
      <c r="D13" s="594"/>
    </row>
    <row r="14" spans="4:36">
      <c r="D14" s="594"/>
    </row>
    <row r="15" spans="4:36" ht="13.5" thickBot="1">
      <c r="D15" s="600"/>
      <c r="E15" s="614">
        <v>37104</v>
      </c>
      <c r="F15" s="593">
        <f>+F3</f>
        <v>37256</v>
      </c>
      <c r="G15" s="593">
        <f t="shared" ref="G15:W15" si="3">+G3</f>
        <v>37621</v>
      </c>
      <c r="H15" s="593">
        <f t="shared" si="3"/>
        <v>37986</v>
      </c>
      <c r="I15" s="593">
        <f t="shared" si="3"/>
        <v>38352</v>
      </c>
      <c r="J15" s="593">
        <f t="shared" si="3"/>
        <v>38717</v>
      </c>
      <c r="K15" s="593">
        <f t="shared" si="3"/>
        <v>39082</v>
      </c>
      <c r="L15" s="593">
        <f t="shared" si="3"/>
        <v>39447</v>
      </c>
      <c r="M15" s="593">
        <f t="shared" si="3"/>
        <v>39813</v>
      </c>
      <c r="N15" s="593">
        <f t="shared" si="3"/>
        <v>40178</v>
      </c>
      <c r="O15" s="593">
        <f t="shared" si="3"/>
        <v>40543</v>
      </c>
      <c r="P15" s="593">
        <f t="shared" si="3"/>
        <v>40908</v>
      </c>
      <c r="Q15" s="593">
        <f t="shared" si="3"/>
        <v>41274</v>
      </c>
      <c r="R15" s="593">
        <f t="shared" si="3"/>
        <v>41639</v>
      </c>
      <c r="S15" s="593">
        <f t="shared" si="3"/>
        <v>42004</v>
      </c>
      <c r="T15" s="593">
        <f t="shared" si="3"/>
        <v>42369</v>
      </c>
      <c r="U15" s="593">
        <f t="shared" si="3"/>
        <v>42735</v>
      </c>
      <c r="V15" s="593">
        <f t="shared" si="3"/>
        <v>43100</v>
      </c>
      <c r="W15" s="593">
        <f t="shared" si="3"/>
        <v>43465</v>
      </c>
      <c r="X15" s="601">
        <v>43466</v>
      </c>
      <c r="Z15" s="602" t="s">
        <v>395</v>
      </c>
      <c r="AA15" s="603"/>
      <c r="AB15" s="604"/>
      <c r="AC15" s="604"/>
      <c r="AD15" s="604"/>
      <c r="AE15" s="604"/>
      <c r="AF15" s="604"/>
      <c r="AG15" s="604"/>
      <c r="AH15" s="604"/>
      <c r="AI15" s="604"/>
      <c r="AJ15" s="604"/>
    </row>
    <row r="16" spans="4:36">
      <c r="D16" s="594"/>
      <c r="Z16" s="605"/>
      <c r="AA16" s="606"/>
    </row>
    <row r="17" spans="1:27">
      <c r="D17" s="594" t="s">
        <v>396</v>
      </c>
      <c r="E17" s="607">
        <v>0.15</v>
      </c>
      <c r="Z17" s="605" t="s">
        <v>397</v>
      </c>
      <c r="AA17" s="608">
        <f>Assumptions!C44</f>
        <v>110855.8503824605</v>
      </c>
    </row>
    <row r="18" spans="1:27">
      <c r="D18" s="594" t="s">
        <v>107</v>
      </c>
      <c r="E18" s="109">
        <f>-Assumptions!C11</f>
        <v>0</v>
      </c>
      <c r="F18" s="109">
        <f>+E22</f>
        <v>0</v>
      </c>
      <c r="G18" s="109">
        <f>+F22</f>
        <v>0</v>
      </c>
      <c r="H18" s="109">
        <f t="shared" ref="H18:W18" si="4">+G22</f>
        <v>0</v>
      </c>
      <c r="I18" s="109">
        <f t="shared" si="4"/>
        <v>0</v>
      </c>
      <c r="J18" s="109">
        <f t="shared" si="4"/>
        <v>0</v>
      </c>
      <c r="K18" s="109">
        <f t="shared" si="4"/>
        <v>319.04554058785652</v>
      </c>
      <c r="L18" s="109">
        <f t="shared" si="4"/>
        <v>1105.0143182119084</v>
      </c>
      <c r="M18" s="109">
        <f t="shared" si="4"/>
        <v>2424.3945224954136</v>
      </c>
      <c r="N18" s="109">
        <f t="shared" si="4"/>
        <v>4353.3367507268003</v>
      </c>
      <c r="O18" s="109">
        <f t="shared" si="4"/>
        <v>7227.1513927386959</v>
      </c>
      <c r="P18" s="109">
        <f t="shared" si="4"/>
        <v>10942.41796951152</v>
      </c>
      <c r="Q18" s="109">
        <f t="shared" si="4"/>
        <v>15883.859154021968</v>
      </c>
      <c r="R18" s="109">
        <f t="shared" si="4"/>
        <v>21975.090124828006</v>
      </c>
      <c r="S18" s="109">
        <f t="shared" si="4"/>
        <v>29662.590326507619</v>
      </c>
      <c r="T18" s="109">
        <f t="shared" si="4"/>
        <v>38909.392231327845</v>
      </c>
      <c r="U18" s="109">
        <f t="shared" si="4"/>
        <v>49943.637296759611</v>
      </c>
      <c r="V18" s="109">
        <f t="shared" si="4"/>
        <v>63027.256768751868</v>
      </c>
      <c r="W18" s="109">
        <f t="shared" si="4"/>
        <v>78461.019442612887</v>
      </c>
      <c r="Z18" s="605" t="s">
        <v>398</v>
      </c>
      <c r="AA18" s="608">
        <f>Assumptions!C11</f>
        <v>0</v>
      </c>
    </row>
    <row r="19" spans="1:27">
      <c r="D19" s="594" t="s">
        <v>399</v>
      </c>
      <c r="F19" s="597">
        <f>+-E18*$E$17</f>
        <v>0</v>
      </c>
      <c r="G19" s="597">
        <f t="shared" ref="G19:W19" si="5">+-G18*$E$17</f>
        <v>0</v>
      </c>
      <c r="H19" s="597">
        <f t="shared" si="5"/>
        <v>0</v>
      </c>
      <c r="I19" s="597">
        <f t="shared" si="5"/>
        <v>0</v>
      </c>
      <c r="J19" s="597">
        <f t="shared" si="5"/>
        <v>0</v>
      </c>
      <c r="K19" s="597">
        <f t="shared" si="5"/>
        <v>-47.856831088178474</v>
      </c>
      <c r="L19" s="597">
        <f t="shared" si="5"/>
        <v>-165.75214773178627</v>
      </c>
      <c r="M19" s="597">
        <f t="shared" si="5"/>
        <v>-363.65917837431203</v>
      </c>
      <c r="N19" s="597">
        <f t="shared" si="5"/>
        <v>-653.00051260902001</v>
      </c>
      <c r="O19" s="597">
        <f t="shared" si="5"/>
        <v>-1084.0727089108043</v>
      </c>
      <c r="P19" s="597">
        <f t="shared" si="5"/>
        <v>-1641.3626954267279</v>
      </c>
      <c r="Q19" s="597">
        <f t="shared" si="5"/>
        <v>-2382.5788731032949</v>
      </c>
      <c r="R19" s="597">
        <f t="shared" si="5"/>
        <v>-3296.2635187242008</v>
      </c>
      <c r="S19" s="597">
        <f t="shared" si="5"/>
        <v>-4449.3885489761424</v>
      </c>
      <c r="T19" s="597">
        <f t="shared" si="5"/>
        <v>-5836.4088346991766</v>
      </c>
      <c r="U19" s="597">
        <f t="shared" si="5"/>
        <v>-7491.5455945139411</v>
      </c>
      <c r="V19" s="597">
        <f t="shared" si="5"/>
        <v>-9454.0885153127801</v>
      </c>
      <c r="W19" s="597">
        <f t="shared" si="5"/>
        <v>-11769.152916391933</v>
      </c>
      <c r="Z19" s="605" t="s">
        <v>400</v>
      </c>
      <c r="AA19" s="608">
        <f>W22</f>
        <v>96590.335733867527</v>
      </c>
    </row>
    <row r="20" spans="1:27">
      <c r="D20" s="594" t="s">
        <v>401</v>
      </c>
      <c r="F20" s="109">
        <f>+F12</f>
        <v>-2005.8072586845387</v>
      </c>
      <c r="G20" s="109">
        <f t="shared" ref="G20:W20" si="6">+G12</f>
        <v>-2059.2241001320435</v>
      </c>
      <c r="H20" s="109">
        <f t="shared" si="6"/>
        <v>-7502.236000093154</v>
      </c>
      <c r="I20" s="109">
        <f t="shared" si="6"/>
        <v>-439.37634022575912</v>
      </c>
      <c r="J20" s="109">
        <f t="shared" si="6"/>
        <v>319.04554058785652</v>
      </c>
      <c r="K20" s="109">
        <f t="shared" si="6"/>
        <v>738.11194653587336</v>
      </c>
      <c r="L20" s="109">
        <f t="shared" si="6"/>
        <v>1153.6280565517191</v>
      </c>
      <c r="M20" s="109">
        <f t="shared" si="6"/>
        <v>1565.2830498570747</v>
      </c>
      <c r="N20" s="109">
        <f t="shared" si="6"/>
        <v>2220.8141294028756</v>
      </c>
      <c r="O20" s="109">
        <f t="shared" si="6"/>
        <v>2631.193867862019</v>
      </c>
      <c r="P20" s="109">
        <f t="shared" si="6"/>
        <v>3300.0784890837203</v>
      </c>
      <c r="Q20" s="109">
        <f t="shared" si="6"/>
        <v>3708.652097702743</v>
      </c>
      <c r="R20" s="109">
        <f t="shared" si="6"/>
        <v>4391.2366829554139</v>
      </c>
      <c r="S20" s="109">
        <f t="shared" si="6"/>
        <v>4797.413355844079</v>
      </c>
      <c r="T20" s="109">
        <f t="shared" si="6"/>
        <v>5197.8362307325933</v>
      </c>
      <c r="U20" s="109">
        <f t="shared" si="6"/>
        <v>5592.0738774783149</v>
      </c>
      <c r="V20" s="109">
        <f t="shared" si="6"/>
        <v>5979.6741585482341</v>
      </c>
      <c r="W20" s="109">
        <f t="shared" si="6"/>
        <v>6360.1633748627028</v>
      </c>
      <c r="Z20" s="605" t="s">
        <v>402</v>
      </c>
      <c r="AA20" s="606"/>
    </row>
    <row r="21" spans="1:27">
      <c r="D21" s="594" t="s">
        <v>403</v>
      </c>
      <c r="F21" s="564">
        <f>+IF(F20&gt;F19,F20-F19,0)</f>
        <v>0</v>
      </c>
      <c r="G21" s="564">
        <f t="shared" ref="G21:W21" si="7">+IF(G20&gt;G19,G20-G19,0)</f>
        <v>0</v>
      </c>
      <c r="H21" s="564">
        <f t="shared" si="7"/>
        <v>0</v>
      </c>
      <c r="I21" s="564">
        <f t="shared" si="7"/>
        <v>0</v>
      </c>
      <c r="J21" s="564">
        <f t="shared" si="7"/>
        <v>319.04554058785652</v>
      </c>
      <c r="K21" s="564">
        <f t="shared" si="7"/>
        <v>785.96877762405188</v>
      </c>
      <c r="L21" s="564">
        <f t="shared" si="7"/>
        <v>1319.3802042835052</v>
      </c>
      <c r="M21" s="564">
        <f t="shared" si="7"/>
        <v>1928.9422282313867</v>
      </c>
      <c r="N21" s="564">
        <f t="shared" si="7"/>
        <v>2873.8146420118956</v>
      </c>
      <c r="O21" s="564">
        <f t="shared" si="7"/>
        <v>3715.2665767728231</v>
      </c>
      <c r="P21" s="564">
        <f t="shared" si="7"/>
        <v>4941.4411845104478</v>
      </c>
      <c r="Q21" s="564">
        <f t="shared" si="7"/>
        <v>6091.2309708060384</v>
      </c>
      <c r="R21" s="564">
        <f t="shared" si="7"/>
        <v>7687.5002016796152</v>
      </c>
      <c r="S21" s="564">
        <f t="shared" si="7"/>
        <v>9246.8019048202223</v>
      </c>
      <c r="T21" s="564">
        <f t="shared" si="7"/>
        <v>11034.245065431769</v>
      </c>
      <c r="U21" s="564">
        <f t="shared" si="7"/>
        <v>13083.619471992257</v>
      </c>
      <c r="V21" s="564">
        <f t="shared" si="7"/>
        <v>15433.762673861014</v>
      </c>
      <c r="W21" s="564">
        <f t="shared" si="7"/>
        <v>18129.316291254636</v>
      </c>
      <c r="Z21" s="609" t="s">
        <v>404</v>
      </c>
      <c r="AA21" s="610">
        <f>+AA19/AA17</f>
        <v>0.87131473350864264</v>
      </c>
    </row>
    <row r="22" spans="1:27">
      <c r="D22" s="594" t="s">
        <v>110</v>
      </c>
      <c r="E22" s="109">
        <f>+E18+E21</f>
        <v>0</v>
      </c>
      <c r="F22" s="109">
        <f>+F18+F21</f>
        <v>0</v>
      </c>
      <c r="G22" s="109">
        <f t="shared" ref="G22:W22" si="8">+G18+G21</f>
        <v>0</v>
      </c>
      <c r="H22" s="109">
        <f t="shared" si="8"/>
        <v>0</v>
      </c>
      <c r="I22" s="109">
        <f t="shared" si="8"/>
        <v>0</v>
      </c>
      <c r="J22" s="109">
        <f t="shared" si="8"/>
        <v>319.04554058785652</v>
      </c>
      <c r="K22" s="109">
        <f t="shared" si="8"/>
        <v>1105.0143182119084</v>
      </c>
      <c r="L22" s="109">
        <f t="shared" si="8"/>
        <v>2424.3945224954136</v>
      </c>
      <c r="M22" s="109">
        <f t="shared" si="8"/>
        <v>4353.3367507268003</v>
      </c>
      <c r="N22" s="109">
        <f t="shared" si="8"/>
        <v>7227.1513927386959</v>
      </c>
      <c r="O22" s="109">
        <f t="shared" si="8"/>
        <v>10942.41796951152</v>
      </c>
      <c r="P22" s="109">
        <f t="shared" si="8"/>
        <v>15883.859154021968</v>
      </c>
      <c r="Q22" s="109">
        <f t="shared" si="8"/>
        <v>21975.090124828006</v>
      </c>
      <c r="R22" s="109">
        <f t="shared" si="8"/>
        <v>29662.590326507619</v>
      </c>
      <c r="S22" s="109">
        <f t="shared" si="8"/>
        <v>38909.392231327845</v>
      </c>
      <c r="T22" s="109">
        <f t="shared" si="8"/>
        <v>49943.637296759611</v>
      </c>
      <c r="U22" s="109">
        <f t="shared" si="8"/>
        <v>63027.256768751868</v>
      </c>
      <c r="V22" s="109">
        <f t="shared" si="8"/>
        <v>78461.019442612887</v>
      </c>
      <c r="W22" s="109">
        <f t="shared" si="8"/>
        <v>96590.335733867527</v>
      </c>
      <c r="Z22" s="341"/>
      <c r="AA22" s="611"/>
    </row>
    <row r="23" spans="1:27">
      <c r="Z23" s="341"/>
      <c r="AA23" s="612"/>
    </row>
    <row r="24" spans="1:27">
      <c r="Z24" s="341"/>
      <c r="AA24" s="612"/>
    </row>
    <row r="25" spans="1:27">
      <c r="Z25" s="341"/>
      <c r="AA25" s="341"/>
    </row>
    <row r="26" spans="1:27">
      <c r="A26" s="592" t="s">
        <v>405</v>
      </c>
      <c r="D26" s="594" t="s">
        <v>406</v>
      </c>
      <c r="E26" s="109">
        <f>-Assumptions!C11</f>
        <v>0</v>
      </c>
      <c r="Z26" s="341"/>
      <c r="AA26" s="341"/>
    </row>
    <row r="27" spans="1:27">
      <c r="D27" s="594" t="s">
        <v>401</v>
      </c>
      <c r="E27">
        <v>0</v>
      </c>
      <c r="F27" s="109">
        <f>+F20</f>
        <v>-2005.8072586845387</v>
      </c>
      <c r="G27" s="109">
        <f t="shared" ref="G27:W27" si="9">+G20</f>
        <v>-2059.2241001320435</v>
      </c>
      <c r="H27" s="109">
        <f t="shared" si="9"/>
        <v>-7502.236000093154</v>
      </c>
      <c r="I27" s="109">
        <f t="shared" si="9"/>
        <v>-439.37634022575912</v>
      </c>
      <c r="J27" s="109">
        <f t="shared" si="9"/>
        <v>319.04554058785652</v>
      </c>
      <c r="K27" s="109">
        <f t="shared" si="9"/>
        <v>738.11194653587336</v>
      </c>
      <c r="L27" s="109">
        <f t="shared" si="9"/>
        <v>1153.6280565517191</v>
      </c>
      <c r="M27" s="109">
        <f t="shared" si="9"/>
        <v>1565.2830498570747</v>
      </c>
      <c r="N27" s="109">
        <f t="shared" si="9"/>
        <v>2220.8141294028756</v>
      </c>
      <c r="O27" s="109">
        <f t="shared" si="9"/>
        <v>2631.193867862019</v>
      </c>
      <c r="P27" s="109">
        <f t="shared" si="9"/>
        <v>3300.0784890837203</v>
      </c>
      <c r="Q27" s="109">
        <f t="shared" si="9"/>
        <v>3708.652097702743</v>
      </c>
      <c r="R27" s="109">
        <f t="shared" si="9"/>
        <v>4391.2366829554139</v>
      </c>
      <c r="S27" s="109">
        <f t="shared" si="9"/>
        <v>4797.413355844079</v>
      </c>
      <c r="T27" s="109">
        <f t="shared" si="9"/>
        <v>5197.8362307325933</v>
      </c>
      <c r="U27" s="109">
        <f t="shared" si="9"/>
        <v>5592.0738774783149</v>
      </c>
      <c r="V27" s="109">
        <f t="shared" si="9"/>
        <v>5979.6741585482341</v>
      </c>
      <c r="W27" s="109">
        <f t="shared" si="9"/>
        <v>6360.1633748627028</v>
      </c>
      <c r="Z27" s="341"/>
      <c r="AA27" s="341"/>
    </row>
    <row r="28" spans="1:27">
      <c r="D28" s="594" t="s">
        <v>407</v>
      </c>
      <c r="E28" s="109">
        <f>+SUM(E26:E27)</f>
        <v>0</v>
      </c>
      <c r="F28" s="597">
        <f t="shared" ref="F28:W28" si="10">+SUM(F27:F27)</f>
        <v>-2005.8072586845387</v>
      </c>
      <c r="G28" s="597">
        <f t="shared" si="10"/>
        <v>-2059.2241001320435</v>
      </c>
      <c r="H28" s="597">
        <f t="shared" si="10"/>
        <v>-7502.236000093154</v>
      </c>
      <c r="I28" s="597">
        <f t="shared" si="10"/>
        <v>-439.37634022575912</v>
      </c>
      <c r="J28" s="597">
        <f t="shared" si="10"/>
        <v>319.04554058785652</v>
      </c>
      <c r="K28" s="597">
        <f t="shared" si="10"/>
        <v>738.11194653587336</v>
      </c>
      <c r="L28" s="597">
        <f t="shared" si="10"/>
        <v>1153.6280565517191</v>
      </c>
      <c r="M28" s="597">
        <f t="shared" si="10"/>
        <v>1565.2830498570747</v>
      </c>
      <c r="N28" s="597">
        <f t="shared" si="10"/>
        <v>2220.8141294028756</v>
      </c>
      <c r="O28" s="597">
        <f t="shared" si="10"/>
        <v>2631.193867862019</v>
      </c>
      <c r="P28" s="597">
        <f t="shared" si="10"/>
        <v>3300.0784890837203</v>
      </c>
      <c r="Q28" s="597">
        <f t="shared" si="10"/>
        <v>3708.652097702743</v>
      </c>
      <c r="R28" s="597">
        <f t="shared" si="10"/>
        <v>4391.2366829554139</v>
      </c>
      <c r="S28" s="597">
        <f t="shared" si="10"/>
        <v>4797.413355844079</v>
      </c>
      <c r="T28" s="597">
        <f t="shared" si="10"/>
        <v>5197.8362307325933</v>
      </c>
      <c r="U28" s="597">
        <f t="shared" si="10"/>
        <v>5592.0738774783149</v>
      </c>
      <c r="V28" s="597">
        <f t="shared" si="10"/>
        <v>5979.6741585482341</v>
      </c>
      <c r="W28" s="597">
        <f t="shared" si="10"/>
        <v>6360.1633748627028</v>
      </c>
      <c r="X28" s="597">
        <f>+AA17*Assumptions!I22</f>
        <v>33256.755114738145</v>
      </c>
      <c r="Z28" s="341"/>
      <c r="AA28" s="341"/>
    </row>
    <row r="30" spans="1:27">
      <c r="D30" s="594" t="s">
        <v>7</v>
      </c>
      <c r="E30" s="613">
        <f>+XIRR(E28:X28,E15:X15)</f>
        <v>2.9802322387695314E-9</v>
      </c>
    </row>
    <row r="32" spans="1:27">
      <c r="A32" s="592" t="s">
        <v>408</v>
      </c>
      <c r="D32" s="594" t="s">
        <v>406</v>
      </c>
      <c r="E32" s="109">
        <f>+E26</f>
        <v>0</v>
      </c>
    </row>
    <row r="33" spans="1:24">
      <c r="D33" s="594" t="s">
        <v>401</v>
      </c>
      <c r="E33">
        <v>0</v>
      </c>
      <c r="F33" s="109">
        <f>+F28</f>
        <v>-2005.8072586845387</v>
      </c>
      <c r="G33" s="109">
        <f t="shared" ref="G33:W33" si="11">+G28</f>
        <v>-2059.2241001320435</v>
      </c>
      <c r="H33" s="109">
        <f t="shared" si="11"/>
        <v>-7502.236000093154</v>
      </c>
      <c r="I33" s="109">
        <f t="shared" si="11"/>
        <v>-439.37634022575912</v>
      </c>
      <c r="J33" s="109">
        <f t="shared" si="11"/>
        <v>319.04554058785652</v>
      </c>
      <c r="K33" s="109">
        <f t="shared" si="11"/>
        <v>738.11194653587336</v>
      </c>
      <c r="L33" s="109">
        <f t="shared" si="11"/>
        <v>1153.6280565517191</v>
      </c>
      <c r="M33" s="109">
        <f t="shared" si="11"/>
        <v>1565.2830498570747</v>
      </c>
      <c r="N33" s="109">
        <f t="shared" si="11"/>
        <v>2220.8141294028756</v>
      </c>
      <c r="O33" s="109">
        <f t="shared" si="11"/>
        <v>2631.193867862019</v>
      </c>
      <c r="P33" s="109">
        <f t="shared" si="11"/>
        <v>3300.0784890837203</v>
      </c>
      <c r="Q33" s="109">
        <f t="shared" si="11"/>
        <v>3708.652097702743</v>
      </c>
      <c r="R33" s="109">
        <f t="shared" si="11"/>
        <v>4391.2366829554139</v>
      </c>
      <c r="S33" s="109">
        <f t="shared" si="11"/>
        <v>4797.413355844079</v>
      </c>
      <c r="T33" s="109">
        <f t="shared" si="11"/>
        <v>5197.8362307325933</v>
      </c>
      <c r="U33" s="109">
        <f t="shared" si="11"/>
        <v>5592.0738774783149</v>
      </c>
      <c r="V33" s="109">
        <f t="shared" si="11"/>
        <v>5979.6741585482341</v>
      </c>
      <c r="W33" s="109">
        <f t="shared" si="11"/>
        <v>6360.1633748627028</v>
      </c>
    </row>
    <row r="34" spans="1:24">
      <c r="D34" s="594" t="s">
        <v>407</v>
      </c>
      <c r="E34" s="109">
        <f>+SUM(E32:E33)</f>
        <v>0</v>
      </c>
      <c r="F34" s="597">
        <f t="shared" ref="F34:W34" si="12">+SUM(F33:F33)</f>
        <v>-2005.8072586845387</v>
      </c>
      <c r="G34" s="597">
        <f t="shared" si="12"/>
        <v>-2059.2241001320435</v>
      </c>
      <c r="H34" s="597">
        <f t="shared" si="12"/>
        <v>-7502.236000093154</v>
      </c>
      <c r="I34" s="597">
        <f t="shared" si="12"/>
        <v>-439.37634022575912</v>
      </c>
      <c r="J34" s="597">
        <f t="shared" si="12"/>
        <v>319.04554058785652</v>
      </c>
      <c r="K34" s="597">
        <f t="shared" si="12"/>
        <v>738.11194653587336</v>
      </c>
      <c r="L34" s="597">
        <f t="shared" si="12"/>
        <v>1153.6280565517191</v>
      </c>
      <c r="M34" s="597">
        <f t="shared" si="12"/>
        <v>1565.2830498570747</v>
      </c>
      <c r="N34" s="597">
        <f t="shared" si="12"/>
        <v>2220.8141294028756</v>
      </c>
      <c r="O34" s="597">
        <f t="shared" si="12"/>
        <v>2631.193867862019</v>
      </c>
      <c r="P34" s="597">
        <f t="shared" si="12"/>
        <v>3300.0784890837203</v>
      </c>
      <c r="Q34" s="597">
        <f t="shared" si="12"/>
        <v>3708.652097702743</v>
      </c>
      <c r="R34" s="597">
        <f t="shared" si="12"/>
        <v>4391.2366829554139</v>
      </c>
      <c r="S34" s="597">
        <f t="shared" si="12"/>
        <v>4797.413355844079</v>
      </c>
      <c r="T34" s="597">
        <f t="shared" si="12"/>
        <v>5197.8362307325933</v>
      </c>
      <c r="U34" s="597">
        <f t="shared" si="12"/>
        <v>5592.0738774783149</v>
      </c>
      <c r="V34" s="597">
        <f t="shared" si="12"/>
        <v>5979.6741585482341</v>
      </c>
      <c r="W34" s="597">
        <f t="shared" si="12"/>
        <v>6360.1633748627028</v>
      </c>
      <c r="X34" s="597">
        <f>+X5*Assumptions!I23</f>
        <v>66312.274832766547</v>
      </c>
    </row>
    <row r="36" spans="1:24">
      <c r="D36" s="594" t="s">
        <v>7</v>
      </c>
      <c r="E36" s="613">
        <f>+XIRR(E34:X34,E15:X15)</f>
        <v>2.9802322387695314E-9</v>
      </c>
    </row>
    <row r="38" spans="1:24">
      <c r="A38" s="592" t="s">
        <v>409</v>
      </c>
      <c r="D38" s="594" t="s">
        <v>406</v>
      </c>
      <c r="E38" s="109">
        <f>+E26</f>
        <v>0</v>
      </c>
    </row>
    <row r="39" spans="1:24">
      <c r="D39" s="594" t="s">
        <v>401</v>
      </c>
      <c r="E39">
        <v>0</v>
      </c>
      <c r="F39" s="109">
        <f>+F27</f>
        <v>-2005.8072586845387</v>
      </c>
      <c r="G39" s="109">
        <f t="shared" ref="G39:W39" si="13">+G27</f>
        <v>-2059.2241001320435</v>
      </c>
      <c r="H39" s="109">
        <f t="shared" si="13"/>
        <v>-7502.236000093154</v>
      </c>
      <c r="I39" s="109">
        <f t="shared" si="13"/>
        <v>-439.37634022575912</v>
      </c>
      <c r="J39" s="109">
        <f t="shared" si="13"/>
        <v>319.04554058785652</v>
      </c>
      <c r="K39" s="109">
        <f t="shared" si="13"/>
        <v>738.11194653587336</v>
      </c>
      <c r="L39" s="109">
        <f t="shared" si="13"/>
        <v>1153.6280565517191</v>
      </c>
      <c r="M39" s="109">
        <f t="shared" si="13"/>
        <v>1565.2830498570747</v>
      </c>
      <c r="N39" s="109">
        <f t="shared" si="13"/>
        <v>2220.8141294028756</v>
      </c>
      <c r="O39" s="109">
        <f t="shared" si="13"/>
        <v>2631.193867862019</v>
      </c>
      <c r="P39" s="109">
        <f t="shared" si="13"/>
        <v>3300.0784890837203</v>
      </c>
      <c r="Q39" s="109">
        <f t="shared" si="13"/>
        <v>3708.652097702743</v>
      </c>
      <c r="R39" s="109">
        <f t="shared" si="13"/>
        <v>4391.2366829554139</v>
      </c>
      <c r="S39" s="109">
        <f t="shared" si="13"/>
        <v>4797.413355844079</v>
      </c>
      <c r="T39" s="109">
        <f t="shared" si="13"/>
        <v>5197.8362307325933</v>
      </c>
      <c r="U39" s="109">
        <f t="shared" si="13"/>
        <v>5592.0738774783149</v>
      </c>
      <c r="V39" s="109">
        <f t="shared" si="13"/>
        <v>5979.6741585482341</v>
      </c>
      <c r="W39" s="109">
        <f t="shared" si="13"/>
        <v>6360.1633748627028</v>
      </c>
    </row>
    <row r="40" spans="1:24">
      <c r="D40" s="594" t="s">
        <v>407</v>
      </c>
      <c r="E40" s="109">
        <f>+SUM(E38:E39)</f>
        <v>0</v>
      </c>
      <c r="F40" s="597">
        <f t="shared" ref="F40:W40" si="14">+SUM(F39:F39)</f>
        <v>-2005.8072586845387</v>
      </c>
      <c r="G40" s="597">
        <f t="shared" si="14"/>
        <v>-2059.2241001320435</v>
      </c>
      <c r="H40" s="597">
        <f t="shared" si="14"/>
        <v>-7502.236000093154</v>
      </c>
      <c r="I40" s="597">
        <f t="shared" si="14"/>
        <v>-439.37634022575912</v>
      </c>
      <c r="J40" s="597">
        <f t="shared" si="14"/>
        <v>319.04554058785652</v>
      </c>
      <c r="K40" s="597">
        <f t="shared" si="14"/>
        <v>738.11194653587336</v>
      </c>
      <c r="L40" s="597">
        <f t="shared" si="14"/>
        <v>1153.6280565517191</v>
      </c>
      <c r="M40" s="597">
        <f t="shared" si="14"/>
        <v>1565.2830498570747</v>
      </c>
      <c r="N40" s="597">
        <f t="shared" si="14"/>
        <v>2220.8141294028756</v>
      </c>
      <c r="O40" s="597">
        <f t="shared" si="14"/>
        <v>2631.193867862019</v>
      </c>
      <c r="P40" s="597">
        <f t="shared" si="14"/>
        <v>3300.0784890837203</v>
      </c>
      <c r="Q40" s="597">
        <f t="shared" si="14"/>
        <v>3708.652097702743</v>
      </c>
      <c r="R40" s="597">
        <f t="shared" si="14"/>
        <v>4391.2366829554139</v>
      </c>
      <c r="S40" s="597">
        <f t="shared" si="14"/>
        <v>4797.413355844079</v>
      </c>
      <c r="T40" s="597">
        <f t="shared" si="14"/>
        <v>5197.8362307325933</v>
      </c>
      <c r="U40" s="597">
        <f t="shared" si="14"/>
        <v>5592.0738774783149</v>
      </c>
      <c r="V40" s="597">
        <f t="shared" si="14"/>
        <v>5979.6741585482341</v>
      </c>
      <c r="W40" s="597">
        <f t="shared" si="14"/>
        <v>6360.1633748627028</v>
      </c>
      <c r="X40" s="597">
        <v>0</v>
      </c>
    </row>
    <row r="42" spans="1:24">
      <c r="D42" s="594" t="s">
        <v>7</v>
      </c>
      <c r="E42" s="613">
        <f>+XIRR(E40:X40,E15:X15)</f>
        <v>2.9802322387695314E-9</v>
      </c>
    </row>
  </sheetData>
  <pageMargins left="0.75" right="0.75" top="1" bottom="1" header="0.5" footer="0.5"/>
  <pageSetup scale="27" orientation="landscape" r:id="rId1"/>
  <headerFooter alignWithMargins="0"/>
  <colBreaks count="1" manualBreakCount="1">
    <brk id="28" max="44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2:AG61"/>
  <sheetViews>
    <sheetView zoomScale="75" zoomScaleNormal="75" workbookViewId="0">
      <selection activeCell="C22" sqref="C22"/>
    </sheetView>
  </sheetViews>
  <sheetFormatPr defaultRowHeight="12.75"/>
  <cols>
    <col min="1" max="1" width="34.42578125" customWidth="1"/>
    <col min="2" max="2" width="11.28515625" bestFit="1" customWidth="1"/>
    <col min="3" max="23" width="12.5703125" customWidth="1"/>
    <col min="24" max="24" width="13.28515625" bestFit="1" customWidth="1"/>
    <col min="25" max="26" width="13.28515625" style="137" customWidth="1"/>
    <col min="27" max="33" width="13.28515625" customWidth="1"/>
  </cols>
  <sheetData>
    <row r="2" spans="1:33" ht="18.75">
      <c r="A2" s="135" t="str">
        <f>Assumptions!A3</f>
        <v>PROJECT NAME: LINCOLN</v>
      </c>
    </row>
    <row r="4" spans="1:33" ht="18.75">
      <c r="A4" s="93" t="s">
        <v>329</v>
      </c>
      <c r="B4" s="8"/>
    </row>
    <row r="6" spans="1:33">
      <c r="C6" s="462">
        <f>'Power Price Assumption'!D9</f>
        <v>0.66666666666666663</v>
      </c>
      <c r="D6" s="462">
        <f>'Power Price Assumption'!E9</f>
        <v>1.6666666666666665</v>
      </c>
      <c r="E6" s="462">
        <f>'Power Price Assumption'!F9</f>
        <v>2.6666666666666665</v>
      </c>
      <c r="F6" s="462">
        <f>'Power Price Assumption'!G9</f>
        <v>3.6666666666666665</v>
      </c>
      <c r="G6" s="462">
        <f>'Power Price Assumption'!H9</f>
        <v>4.6666666666666661</v>
      </c>
      <c r="H6" s="462">
        <f>'Power Price Assumption'!I9</f>
        <v>5.6666666666666661</v>
      </c>
      <c r="I6" s="462">
        <f>'Power Price Assumption'!J9</f>
        <v>6.6666666666666661</v>
      </c>
      <c r="J6" s="462">
        <f>'Power Price Assumption'!K9</f>
        <v>7.6666666666666661</v>
      </c>
      <c r="K6" s="462">
        <f>'Power Price Assumption'!L9</f>
        <v>8.6666666666666661</v>
      </c>
      <c r="L6" s="462">
        <f>'Power Price Assumption'!M9</f>
        <v>9.6666666666666661</v>
      </c>
      <c r="M6" s="462">
        <f>'Power Price Assumption'!N9</f>
        <v>10.666666666666666</v>
      </c>
      <c r="N6" s="462">
        <f>'Power Price Assumption'!O9</f>
        <v>11.666666666666666</v>
      </c>
      <c r="O6" s="462">
        <f>'Power Price Assumption'!P9</f>
        <v>12.666666666666666</v>
      </c>
      <c r="P6" s="462">
        <f>'Power Price Assumption'!Q9</f>
        <v>13.666666666666666</v>
      </c>
      <c r="Q6" s="462">
        <f>'Power Price Assumption'!R9</f>
        <v>14.666666666666666</v>
      </c>
      <c r="R6" s="462">
        <f>'Power Price Assumption'!S9</f>
        <v>15.666666666666666</v>
      </c>
      <c r="S6" s="462">
        <f>'Power Price Assumption'!T9</f>
        <v>16.666666666666664</v>
      </c>
      <c r="T6" s="462">
        <f>'Power Price Assumption'!U9</f>
        <v>17.666666666666664</v>
      </c>
      <c r="U6" s="462">
        <f>'Power Price Assumption'!V9</f>
        <v>18.666666666666664</v>
      </c>
      <c r="V6" s="462">
        <f>'Power Price Assumption'!W9</f>
        <v>19.666666666666664</v>
      </c>
      <c r="W6" s="462">
        <f>'Power Price Assumption'!X9</f>
        <v>20.666666666666664</v>
      </c>
      <c r="X6" s="462">
        <f>'Power Price Assumption'!Y9</f>
        <v>21.666666666666664</v>
      </c>
      <c r="Y6" s="462">
        <f>'Power Price Assumption'!Z9</f>
        <v>22.666666666666664</v>
      </c>
      <c r="Z6" s="462">
        <f>'Power Price Assumption'!AA9</f>
        <v>23.666666666666664</v>
      </c>
      <c r="AA6" s="462">
        <f>'Power Price Assumption'!AB9</f>
        <v>24.666666666666664</v>
      </c>
      <c r="AB6" s="462">
        <f>'Power Price Assumption'!AC9</f>
        <v>25.666666666666664</v>
      </c>
      <c r="AC6" s="462">
        <f>'Power Price Assumption'!AD9</f>
        <v>26.666666666666664</v>
      </c>
      <c r="AD6" s="462">
        <f>'Power Price Assumption'!AE9</f>
        <v>27.666666666666664</v>
      </c>
      <c r="AE6" s="462">
        <f>'Power Price Assumption'!AF9</f>
        <v>28.666666666666664</v>
      </c>
      <c r="AF6" s="462">
        <f>'Power Price Assumption'!AG9</f>
        <v>29.666666666666664</v>
      </c>
      <c r="AG6" s="462">
        <f>'Power Price Assumption'!AH9</f>
        <v>30.666666666666664</v>
      </c>
    </row>
    <row r="7" spans="1:33" s="6" customFormat="1" ht="13.5" thickBot="1">
      <c r="A7" s="186" t="s">
        <v>73</v>
      </c>
      <c r="B7" s="7"/>
      <c r="C7" s="7">
        <f>'Power Price Assumption'!D10</f>
        <v>2002</v>
      </c>
      <c r="D7" s="7">
        <f>'Power Price Assumption'!E10</f>
        <v>2003</v>
      </c>
      <c r="E7" s="7">
        <f>'Power Price Assumption'!F10</f>
        <v>2004</v>
      </c>
      <c r="F7" s="7">
        <f>'Power Price Assumption'!G10</f>
        <v>2005</v>
      </c>
      <c r="G7" s="7">
        <f>'Power Price Assumption'!H10</f>
        <v>2006</v>
      </c>
      <c r="H7" s="7">
        <f>'Power Price Assumption'!I10</f>
        <v>2007</v>
      </c>
      <c r="I7" s="7">
        <f>'Power Price Assumption'!J10</f>
        <v>2008</v>
      </c>
      <c r="J7" s="7">
        <f>'Power Price Assumption'!K10</f>
        <v>2009</v>
      </c>
      <c r="K7" s="7">
        <f>'Power Price Assumption'!L10</f>
        <v>2010</v>
      </c>
      <c r="L7" s="7">
        <f>'Power Price Assumption'!M10</f>
        <v>2011</v>
      </c>
      <c r="M7" s="7">
        <f>'Power Price Assumption'!N10</f>
        <v>2012</v>
      </c>
      <c r="N7" s="7">
        <f>'Power Price Assumption'!O10</f>
        <v>2013</v>
      </c>
      <c r="O7" s="7">
        <f>'Power Price Assumption'!P10</f>
        <v>2014</v>
      </c>
      <c r="P7" s="7">
        <f>'Power Price Assumption'!Q10</f>
        <v>2015</v>
      </c>
      <c r="Q7" s="7">
        <f>'Power Price Assumption'!R10</f>
        <v>2016</v>
      </c>
      <c r="R7" s="7">
        <f>'Power Price Assumption'!S10</f>
        <v>2017</v>
      </c>
      <c r="S7" s="7">
        <f>'Power Price Assumption'!T10</f>
        <v>2018</v>
      </c>
      <c r="T7" s="7">
        <f>'Power Price Assumption'!U10</f>
        <v>2019</v>
      </c>
      <c r="U7" s="7">
        <f>'Power Price Assumption'!V10</f>
        <v>2020</v>
      </c>
      <c r="V7" s="7">
        <f>'Power Price Assumption'!W10</f>
        <v>2021</v>
      </c>
      <c r="W7" s="7">
        <f>'Power Price Assumption'!X10</f>
        <v>2022</v>
      </c>
      <c r="X7" s="7">
        <f>'Power Price Assumption'!Y10</f>
        <v>2023</v>
      </c>
      <c r="Y7" s="7">
        <f>'Power Price Assumption'!Z10</f>
        <v>2024</v>
      </c>
      <c r="Z7" s="7">
        <f>'Power Price Assumption'!AA10</f>
        <v>2025</v>
      </c>
      <c r="AA7" s="7">
        <f>'Power Price Assumption'!AB10</f>
        <v>2026</v>
      </c>
      <c r="AB7" s="7">
        <f>'Power Price Assumption'!AC10</f>
        <v>2027</v>
      </c>
      <c r="AC7" s="7">
        <f>'Power Price Assumption'!AD10</f>
        <v>2028</v>
      </c>
      <c r="AD7" s="7">
        <f>'Power Price Assumption'!AE10</f>
        <v>2029</v>
      </c>
      <c r="AE7" s="7">
        <f>'Power Price Assumption'!AF10</f>
        <v>2030</v>
      </c>
      <c r="AF7" s="7">
        <f>'Power Price Assumption'!AG10</f>
        <v>2031</v>
      </c>
      <c r="AG7" s="7">
        <f>'Power Price Assumption'!AH10</f>
        <v>2032</v>
      </c>
    </row>
    <row r="8" spans="1:33">
      <c r="A8" s="2"/>
      <c r="C8" s="464">
        <f>Assumptions!I18+365.25*Assumptions!I19/12</f>
        <v>37620.5</v>
      </c>
      <c r="D8" s="464">
        <f t="shared" ref="D8:AG8" si="0">C8+365.25</f>
        <v>37985.75</v>
      </c>
      <c r="E8" s="464">
        <f t="shared" si="0"/>
        <v>38351</v>
      </c>
      <c r="F8" s="464">
        <f t="shared" si="0"/>
        <v>38716.25</v>
      </c>
      <c r="G8" s="464">
        <f t="shared" si="0"/>
        <v>39081.5</v>
      </c>
      <c r="H8" s="464">
        <f t="shared" si="0"/>
        <v>39446.75</v>
      </c>
      <c r="I8" s="464">
        <f t="shared" si="0"/>
        <v>39812</v>
      </c>
      <c r="J8" s="464">
        <f t="shared" si="0"/>
        <v>40177.25</v>
      </c>
      <c r="K8" s="464">
        <f t="shared" si="0"/>
        <v>40542.5</v>
      </c>
      <c r="L8" s="464">
        <f t="shared" si="0"/>
        <v>40907.75</v>
      </c>
      <c r="M8" s="464">
        <f t="shared" si="0"/>
        <v>41273</v>
      </c>
      <c r="N8" s="464">
        <f t="shared" si="0"/>
        <v>41638.25</v>
      </c>
      <c r="O8" s="464">
        <f t="shared" si="0"/>
        <v>42003.5</v>
      </c>
      <c r="P8" s="464">
        <f t="shared" si="0"/>
        <v>42368.75</v>
      </c>
      <c r="Q8" s="464">
        <f t="shared" si="0"/>
        <v>42734</v>
      </c>
      <c r="R8" s="464">
        <f t="shared" si="0"/>
        <v>43099.25</v>
      </c>
      <c r="S8" s="464">
        <f t="shared" si="0"/>
        <v>43464.5</v>
      </c>
      <c r="T8" s="464">
        <f t="shared" si="0"/>
        <v>43829.75</v>
      </c>
      <c r="U8" s="464">
        <f t="shared" si="0"/>
        <v>44195</v>
      </c>
      <c r="V8" s="464">
        <f t="shared" si="0"/>
        <v>44560.25</v>
      </c>
      <c r="W8" s="464">
        <f t="shared" si="0"/>
        <v>44925.5</v>
      </c>
      <c r="X8" s="464">
        <f t="shared" si="0"/>
        <v>45290.75</v>
      </c>
      <c r="Y8" s="464">
        <f t="shared" si="0"/>
        <v>45656</v>
      </c>
      <c r="Z8" s="464">
        <f t="shared" si="0"/>
        <v>46021.25</v>
      </c>
      <c r="AA8" s="464">
        <f t="shared" si="0"/>
        <v>46386.5</v>
      </c>
      <c r="AB8" s="464">
        <f t="shared" si="0"/>
        <v>46751.75</v>
      </c>
      <c r="AC8" s="464">
        <f t="shared" si="0"/>
        <v>47117</v>
      </c>
      <c r="AD8" s="464">
        <f t="shared" si="0"/>
        <v>47482.25</v>
      </c>
      <c r="AE8" s="464">
        <f t="shared" si="0"/>
        <v>47847.5</v>
      </c>
      <c r="AF8" s="464">
        <f t="shared" si="0"/>
        <v>48212.75</v>
      </c>
      <c r="AG8" s="464">
        <f t="shared" si="0"/>
        <v>48578</v>
      </c>
    </row>
    <row r="9" spans="1:33">
      <c r="A9" s="1" t="s">
        <v>330</v>
      </c>
      <c r="B9" s="14"/>
      <c r="C9" s="103"/>
      <c r="D9" s="103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</row>
    <row r="10" spans="1:33">
      <c r="A10" s="1"/>
      <c r="B10" s="14"/>
      <c r="C10" s="103"/>
      <c r="D10" s="103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</row>
    <row r="11" spans="1:33">
      <c r="A11" s="26" t="s">
        <v>331</v>
      </c>
      <c r="B11" s="14"/>
      <c r="C11" s="481"/>
      <c r="D11" s="481"/>
      <c r="E11" s="138"/>
      <c r="F11" s="138"/>
      <c r="G11" s="137"/>
    </row>
    <row r="12" spans="1:33">
      <c r="A12" s="26" t="s">
        <v>332</v>
      </c>
      <c r="B12" s="14"/>
      <c r="C12" s="6"/>
      <c r="D12" s="6"/>
      <c r="E12" s="137"/>
      <c r="F12" s="137"/>
      <c r="G12" s="137"/>
    </row>
    <row r="13" spans="1:33">
      <c r="A13" s="26" t="s">
        <v>333</v>
      </c>
      <c r="B13" s="14"/>
      <c r="C13" s="481"/>
      <c r="D13" s="6"/>
      <c r="E13" s="137"/>
      <c r="F13" s="137"/>
      <c r="G13" s="137"/>
    </row>
    <row r="14" spans="1:33">
      <c r="A14" s="26" t="s">
        <v>334</v>
      </c>
      <c r="B14" s="14"/>
      <c r="C14" s="6"/>
      <c r="D14" s="6"/>
      <c r="E14" s="137"/>
      <c r="F14" s="137"/>
      <c r="G14" s="137"/>
    </row>
    <row r="15" spans="1:33">
      <c r="A15" s="26" t="s">
        <v>335</v>
      </c>
      <c r="B15" s="14"/>
      <c r="C15" s="6"/>
      <c r="D15" s="6"/>
      <c r="E15" s="137"/>
      <c r="F15" s="137"/>
      <c r="G15" s="137"/>
    </row>
    <row r="16" spans="1:33">
      <c r="A16" s="26" t="s">
        <v>336</v>
      </c>
      <c r="B16" s="14"/>
      <c r="C16" s="90"/>
      <c r="D16" s="90"/>
      <c r="E16" s="482"/>
      <c r="F16" s="482"/>
      <c r="G16" s="482"/>
      <c r="H16" s="482"/>
      <c r="I16" s="482"/>
      <c r="J16" s="482"/>
      <c r="K16" s="482"/>
      <c r="L16" s="482"/>
      <c r="M16" s="482"/>
      <c r="N16" s="482"/>
      <c r="O16" s="482"/>
      <c r="P16" s="482"/>
      <c r="Q16" s="482"/>
      <c r="R16" s="482"/>
      <c r="S16" s="482"/>
      <c r="T16" s="482"/>
      <c r="U16" s="482"/>
      <c r="V16" s="482"/>
      <c r="W16" s="482"/>
      <c r="X16" s="482"/>
      <c r="Y16" s="483"/>
      <c r="Z16" s="483"/>
      <c r="AA16" s="482"/>
      <c r="AB16" s="482"/>
      <c r="AC16" s="482"/>
      <c r="AD16" s="482"/>
      <c r="AE16" s="482"/>
      <c r="AF16" s="482"/>
      <c r="AG16" s="482"/>
    </row>
    <row r="17" spans="1:33">
      <c r="A17" s="26" t="s">
        <v>337</v>
      </c>
      <c r="B17" s="14"/>
      <c r="C17" s="14"/>
      <c r="D17" s="14"/>
    </row>
    <row r="18" spans="1:33">
      <c r="A18" s="15"/>
      <c r="B18" s="14"/>
      <c r="C18" s="14"/>
      <c r="D18" s="14"/>
    </row>
    <row r="19" spans="1:33">
      <c r="A19" s="26" t="s">
        <v>338</v>
      </c>
      <c r="B19" s="14"/>
      <c r="C19" s="103">
        <f>Depreciation!$B$43</f>
        <v>120621</v>
      </c>
      <c r="D19" s="103">
        <f>Depreciation!$B$43</f>
        <v>120621</v>
      </c>
      <c r="E19" s="103">
        <f>Depreciation!$B$43</f>
        <v>120621</v>
      </c>
      <c r="F19" s="103">
        <f>Depreciation!$B$43</f>
        <v>120621</v>
      </c>
      <c r="G19" s="103">
        <f>Depreciation!$B$43</f>
        <v>120621</v>
      </c>
      <c r="H19" s="103">
        <f>Depreciation!$B$43</f>
        <v>120621</v>
      </c>
      <c r="I19" s="103">
        <f>Depreciation!$B$43</f>
        <v>120621</v>
      </c>
      <c r="J19" s="103">
        <f>Depreciation!$B$43</f>
        <v>120621</v>
      </c>
      <c r="K19" s="103">
        <f>Depreciation!$B$43</f>
        <v>120621</v>
      </c>
      <c r="L19" s="103">
        <f>Depreciation!$B$43</f>
        <v>120621</v>
      </c>
      <c r="M19" s="103">
        <f>Depreciation!$B$43</f>
        <v>120621</v>
      </c>
      <c r="N19" s="103">
        <f>Depreciation!$B$43</f>
        <v>120621</v>
      </c>
      <c r="O19" s="103">
        <f>Depreciation!$B$43</f>
        <v>120621</v>
      </c>
      <c r="P19" s="103">
        <f>Depreciation!$B$43</f>
        <v>120621</v>
      </c>
      <c r="Q19" s="103">
        <f>Depreciation!$B$43</f>
        <v>120621</v>
      </c>
      <c r="R19" s="103">
        <f>Depreciation!$B$43</f>
        <v>120621</v>
      </c>
      <c r="S19" s="103">
        <f>Depreciation!$B$43</f>
        <v>120621</v>
      </c>
      <c r="T19" s="103">
        <f>Depreciation!$B$43</f>
        <v>120621</v>
      </c>
      <c r="U19" s="103">
        <f>Depreciation!$B$43</f>
        <v>120621</v>
      </c>
      <c r="V19" s="103">
        <f>Depreciation!$B$43</f>
        <v>120621</v>
      </c>
      <c r="W19" s="103">
        <f>Depreciation!$B$43</f>
        <v>120621</v>
      </c>
      <c r="X19" s="103">
        <f>Depreciation!$B$43</f>
        <v>120621</v>
      </c>
      <c r="Y19" s="103">
        <f>Depreciation!$B$43</f>
        <v>120621</v>
      </c>
      <c r="Z19" s="103">
        <f>Depreciation!$B$43</f>
        <v>120621</v>
      </c>
      <c r="AA19" s="103">
        <f>Depreciation!$B$43</f>
        <v>120621</v>
      </c>
      <c r="AB19" s="103">
        <f>Depreciation!$B$43</f>
        <v>120621</v>
      </c>
      <c r="AC19" s="103">
        <f>Depreciation!$B$43</f>
        <v>120621</v>
      </c>
      <c r="AD19" s="103">
        <f>Depreciation!$B$43</f>
        <v>120621</v>
      </c>
      <c r="AE19" s="103">
        <f>Depreciation!$B$43</f>
        <v>120621</v>
      </c>
      <c r="AF19" s="103">
        <f>Depreciation!$B$43</f>
        <v>120621</v>
      </c>
      <c r="AG19" s="103">
        <f>Depreciation!$B$43</f>
        <v>120621</v>
      </c>
    </row>
    <row r="20" spans="1:33">
      <c r="A20" s="26" t="s">
        <v>339</v>
      </c>
      <c r="B20" s="15"/>
      <c r="C20" s="484">
        <f>Depreciation!D43</f>
        <v>2559.6733333333332</v>
      </c>
      <c r="D20" s="484">
        <f>Depreciation!E43</f>
        <v>5483.165</v>
      </c>
      <c r="E20" s="484">
        <f>Depreciation!F43</f>
        <v>5483.165</v>
      </c>
      <c r="F20" s="484">
        <f>Depreciation!G43</f>
        <v>5483.165</v>
      </c>
      <c r="G20" s="484">
        <f>Depreciation!H43</f>
        <v>5483.165</v>
      </c>
      <c r="H20" s="484">
        <f>Depreciation!I43</f>
        <v>5483.165</v>
      </c>
      <c r="I20" s="484">
        <f>Depreciation!J43</f>
        <v>5483.165</v>
      </c>
      <c r="J20" s="484">
        <f>Depreciation!K43</f>
        <v>5483.165</v>
      </c>
      <c r="K20" s="484">
        <f>Depreciation!L43</f>
        <v>5483.165</v>
      </c>
      <c r="L20" s="484">
        <f>Depreciation!M43</f>
        <v>5483.165</v>
      </c>
      <c r="M20" s="484">
        <f>Depreciation!N43</f>
        <v>5483.165</v>
      </c>
      <c r="N20" s="484">
        <f>Depreciation!O43</f>
        <v>5483.165</v>
      </c>
      <c r="O20" s="484">
        <f>Depreciation!P43</f>
        <v>5483.165</v>
      </c>
      <c r="P20" s="484">
        <f>Depreciation!Q43</f>
        <v>5483.165</v>
      </c>
      <c r="Q20" s="484">
        <f>Depreciation!R43</f>
        <v>5483.165</v>
      </c>
      <c r="R20" s="484">
        <f>Depreciation!S43</f>
        <v>5483.165</v>
      </c>
      <c r="S20" s="484">
        <f>Depreciation!T43</f>
        <v>5483.165</v>
      </c>
      <c r="T20" s="484">
        <f>Depreciation!U43</f>
        <v>5483.165</v>
      </c>
      <c r="U20" s="484">
        <f>Depreciation!V43</f>
        <v>5483.165</v>
      </c>
      <c r="V20" s="484">
        <f>Depreciation!W43</f>
        <v>5483.165</v>
      </c>
      <c r="W20" s="484">
        <f>Depreciation!X43</f>
        <v>5115.0316666666668</v>
      </c>
      <c r="X20" s="484">
        <f>Depreciation!Y43</f>
        <v>4930.9650000000001</v>
      </c>
      <c r="Y20" s="484">
        <f>Depreciation!Z43</f>
        <v>4930.9650000000001</v>
      </c>
      <c r="Z20" s="484">
        <f>Depreciation!AA43</f>
        <v>4930.9650000000001</v>
      </c>
      <c r="AA20" s="484">
        <f>Depreciation!AB43</f>
        <v>4930.9650000000001</v>
      </c>
      <c r="AB20" s="484">
        <f>Depreciation!AC43</f>
        <v>4930.9650000000001</v>
      </c>
      <c r="AC20" s="484">
        <f>Depreciation!AD43</f>
        <v>4930.9650000000001</v>
      </c>
      <c r="AD20" s="484">
        <f>Depreciation!AE43</f>
        <v>4930.9650000000001</v>
      </c>
      <c r="AE20" s="484">
        <f>Depreciation!AF43</f>
        <v>4930.9650000000001</v>
      </c>
      <c r="AF20" s="484">
        <f>Depreciation!AG43</f>
        <v>4930.9650000000001</v>
      </c>
      <c r="AG20" s="484">
        <f>Depreciation!AH43</f>
        <v>0</v>
      </c>
    </row>
    <row r="21" spans="1:33">
      <c r="A21" s="26" t="s">
        <v>340</v>
      </c>
      <c r="B21" s="15"/>
      <c r="C21" s="129">
        <f>C19-C20</f>
        <v>118061.32666666666</v>
      </c>
      <c r="D21" s="129">
        <f t="shared" ref="D21:AG21" si="1">D19-D20</f>
        <v>115137.83500000001</v>
      </c>
      <c r="E21" s="129">
        <f t="shared" si="1"/>
        <v>115137.83500000001</v>
      </c>
      <c r="F21" s="129">
        <f t="shared" si="1"/>
        <v>115137.83500000001</v>
      </c>
      <c r="G21" s="129">
        <f t="shared" si="1"/>
        <v>115137.83500000001</v>
      </c>
      <c r="H21" s="129">
        <f t="shared" si="1"/>
        <v>115137.83500000001</v>
      </c>
      <c r="I21" s="129">
        <f t="shared" si="1"/>
        <v>115137.83500000001</v>
      </c>
      <c r="J21" s="129">
        <f t="shared" si="1"/>
        <v>115137.83500000001</v>
      </c>
      <c r="K21" s="129">
        <f t="shared" si="1"/>
        <v>115137.83500000001</v>
      </c>
      <c r="L21" s="129">
        <f t="shared" si="1"/>
        <v>115137.83500000001</v>
      </c>
      <c r="M21" s="129">
        <f t="shared" si="1"/>
        <v>115137.83500000001</v>
      </c>
      <c r="N21" s="129">
        <f t="shared" si="1"/>
        <v>115137.83500000001</v>
      </c>
      <c r="O21" s="129">
        <f t="shared" si="1"/>
        <v>115137.83500000001</v>
      </c>
      <c r="P21" s="129">
        <f t="shared" si="1"/>
        <v>115137.83500000001</v>
      </c>
      <c r="Q21" s="129">
        <f t="shared" si="1"/>
        <v>115137.83500000001</v>
      </c>
      <c r="R21" s="129">
        <f t="shared" si="1"/>
        <v>115137.83500000001</v>
      </c>
      <c r="S21" s="129">
        <f t="shared" si="1"/>
        <v>115137.83500000001</v>
      </c>
      <c r="T21" s="129">
        <f t="shared" si="1"/>
        <v>115137.83500000001</v>
      </c>
      <c r="U21" s="129">
        <f t="shared" si="1"/>
        <v>115137.83500000001</v>
      </c>
      <c r="V21" s="129">
        <f t="shared" si="1"/>
        <v>115137.83500000001</v>
      </c>
      <c r="W21" s="129">
        <f t="shared" si="1"/>
        <v>115505.96833333334</v>
      </c>
      <c r="X21" s="129">
        <f t="shared" si="1"/>
        <v>115690.035</v>
      </c>
      <c r="Y21" s="129">
        <f t="shared" si="1"/>
        <v>115690.035</v>
      </c>
      <c r="Z21" s="129">
        <f t="shared" si="1"/>
        <v>115690.035</v>
      </c>
      <c r="AA21" s="129">
        <f t="shared" si="1"/>
        <v>115690.035</v>
      </c>
      <c r="AB21" s="129">
        <f t="shared" si="1"/>
        <v>115690.035</v>
      </c>
      <c r="AC21" s="129">
        <f t="shared" si="1"/>
        <v>115690.035</v>
      </c>
      <c r="AD21" s="129">
        <f t="shared" si="1"/>
        <v>115690.035</v>
      </c>
      <c r="AE21" s="129">
        <f t="shared" si="1"/>
        <v>115690.035</v>
      </c>
      <c r="AF21" s="129">
        <f t="shared" si="1"/>
        <v>115690.035</v>
      </c>
      <c r="AG21" s="129">
        <f t="shared" si="1"/>
        <v>120621</v>
      </c>
    </row>
    <row r="22" spans="1:33">
      <c r="A22" s="26" t="s">
        <v>341</v>
      </c>
      <c r="B22" s="15"/>
      <c r="C22" s="129">
        <f>Assumptions!$C$40</f>
        <v>461.44</v>
      </c>
      <c r="D22" s="129">
        <f>Assumptions!$C$40</f>
        <v>461.44</v>
      </c>
      <c r="E22" s="129">
        <f>Assumptions!$C$40</f>
        <v>461.44</v>
      </c>
      <c r="F22" s="129">
        <f>Assumptions!$C$40</f>
        <v>461.44</v>
      </c>
      <c r="G22" s="129">
        <f>Assumptions!$C$40</f>
        <v>461.44</v>
      </c>
      <c r="H22" s="129">
        <f>Assumptions!$C$40</f>
        <v>461.44</v>
      </c>
      <c r="I22" s="129">
        <f>Assumptions!$C$40</f>
        <v>461.44</v>
      </c>
      <c r="J22" s="129">
        <f>Assumptions!$C$40</f>
        <v>461.44</v>
      </c>
      <c r="K22" s="129">
        <f>Assumptions!$C$40</f>
        <v>461.44</v>
      </c>
      <c r="L22" s="129">
        <f>Assumptions!$C$40</f>
        <v>461.44</v>
      </c>
      <c r="M22" s="129">
        <f>Assumptions!$C$40</f>
        <v>461.44</v>
      </c>
      <c r="N22" s="129">
        <f>Assumptions!$C$40</f>
        <v>461.44</v>
      </c>
      <c r="O22" s="129">
        <f>Assumptions!$C$40</f>
        <v>461.44</v>
      </c>
      <c r="P22" s="129">
        <f>Assumptions!$C$40</f>
        <v>461.44</v>
      </c>
      <c r="Q22" s="129">
        <f>Assumptions!$C$40</f>
        <v>461.44</v>
      </c>
      <c r="R22" s="129">
        <f>Assumptions!$C$40</f>
        <v>461.44</v>
      </c>
      <c r="S22" s="129">
        <f>Assumptions!$C$40</f>
        <v>461.44</v>
      </c>
      <c r="T22" s="129">
        <f>Assumptions!$C$40</f>
        <v>461.44</v>
      </c>
      <c r="U22" s="129">
        <f>Assumptions!$C$40</f>
        <v>461.44</v>
      </c>
      <c r="V22" s="129">
        <f>Assumptions!$C$40</f>
        <v>461.44</v>
      </c>
      <c r="W22" s="129">
        <f>Assumptions!$C$40</f>
        <v>461.44</v>
      </c>
      <c r="X22" s="129">
        <f>Assumptions!$C$40</f>
        <v>461.44</v>
      </c>
      <c r="Y22" s="129">
        <f>Assumptions!$C$40</f>
        <v>461.44</v>
      </c>
      <c r="Z22" s="129">
        <f>Assumptions!$C$40</f>
        <v>461.44</v>
      </c>
      <c r="AA22" s="129">
        <f>Assumptions!$C$40</f>
        <v>461.44</v>
      </c>
      <c r="AB22" s="129">
        <f>Assumptions!$C$40</f>
        <v>461.44</v>
      </c>
      <c r="AC22" s="129">
        <f>Assumptions!$C$40</f>
        <v>461.44</v>
      </c>
      <c r="AD22" s="129">
        <f>Assumptions!$C$40</f>
        <v>461.44</v>
      </c>
      <c r="AE22" s="129">
        <f>Assumptions!$C$40</f>
        <v>461.44</v>
      </c>
      <c r="AF22" s="129">
        <f>Assumptions!$C$40</f>
        <v>461.44</v>
      </c>
      <c r="AG22" s="129">
        <f>Assumptions!$C$40</f>
        <v>461.44</v>
      </c>
    </row>
    <row r="23" spans="1:33">
      <c r="A23" s="26" t="s">
        <v>342</v>
      </c>
      <c r="B23" s="15"/>
      <c r="C23" s="485">
        <v>0</v>
      </c>
      <c r="D23" s="485">
        <v>0</v>
      </c>
      <c r="E23" s="486">
        <v>0</v>
      </c>
      <c r="F23" s="487">
        <v>0</v>
      </c>
      <c r="G23" s="487">
        <v>0</v>
      </c>
      <c r="H23" s="487">
        <v>0</v>
      </c>
      <c r="I23" s="487">
        <v>0</v>
      </c>
      <c r="J23" s="487">
        <v>0</v>
      </c>
      <c r="K23" s="487">
        <v>0</v>
      </c>
      <c r="L23" s="487">
        <v>0</v>
      </c>
      <c r="M23" s="487">
        <v>0</v>
      </c>
      <c r="N23" s="487">
        <v>0</v>
      </c>
      <c r="O23" s="487">
        <v>0</v>
      </c>
      <c r="P23" s="487">
        <v>0</v>
      </c>
      <c r="Q23" s="487">
        <v>0</v>
      </c>
      <c r="R23" s="487">
        <v>0</v>
      </c>
      <c r="S23" s="487">
        <v>0</v>
      </c>
      <c r="T23" s="487">
        <v>0</v>
      </c>
      <c r="U23" s="487">
        <v>0</v>
      </c>
      <c r="V23" s="487">
        <v>0</v>
      </c>
      <c r="W23" s="487">
        <v>0</v>
      </c>
      <c r="X23" s="487">
        <v>0</v>
      </c>
      <c r="Y23" s="488">
        <v>0</v>
      </c>
      <c r="Z23" s="488">
        <v>0</v>
      </c>
      <c r="AA23" s="487">
        <v>0</v>
      </c>
      <c r="AB23" s="487">
        <v>0</v>
      </c>
      <c r="AC23" s="487">
        <v>0</v>
      </c>
      <c r="AD23" s="487">
        <v>0</v>
      </c>
      <c r="AE23" s="487">
        <v>0</v>
      </c>
      <c r="AF23" s="487">
        <v>0</v>
      </c>
      <c r="AG23" s="487">
        <v>0</v>
      </c>
    </row>
    <row r="24" spans="1:33">
      <c r="A24" s="15"/>
      <c r="B24" s="15"/>
      <c r="C24" s="15"/>
      <c r="D24" s="15"/>
      <c r="E24" s="341"/>
    </row>
    <row r="25" spans="1:33">
      <c r="A25" s="216" t="s">
        <v>343</v>
      </c>
      <c r="B25" s="15"/>
      <c r="C25" s="129">
        <f>SUM(C17,C21,C22,C23)</f>
        <v>118522.76666666666</v>
      </c>
      <c r="D25" s="129">
        <f t="shared" ref="D25:AG25" si="2">SUM(D17,D21,D22,D23)</f>
        <v>115599.27500000001</v>
      </c>
      <c r="E25" s="129">
        <f t="shared" si="2"/>
        <v>115599.27500000001</v>
      </c>
      <c r="F25" s="129">
        <f t="shared" si="2"/>
        <v>115599.27500000001</v>
      </c>
      <c r="G25" s="129">
        <f t="shared" si="2"/>
        <v>115599.27500000001</v>
      </c>
      <c r="H25" s="129">
        <f t="shared" si="2"/>
        <v>115599.27500000001</v>
      </c>
      <c r="I25" s="129">
        <f t="shared" si="2"/>
        <v>115599.27500000001</v>
      </c>
      <c r="J25" s="129">
        <f t="shared" si="2"/>
        <v>115599.27500000001</v>
      </c>
      <c r="K25" s="129">
        <f t="shared" si="2"/>
        <v>115599.27500000001</v>
      </c>
      <c r="L25" s="129">
        <f t="shared" si="2"/>
        <v>115599.27500000001</v>
      </c>
      <c r="M25" s="129">
        <f t="shared" si="2"/>
        <v>115599.27500000001</v>
      </c>
      <c r="N25" s="129">
        <f t="shared" si="2"/>
        <v>115599.27500000001</v>
      </c>
      <c r="O25" s="129">
        <f t="shared" si="2"/>
        <v>115599.27500000001</v>
      </c>
      <c r="P25" s="129">
        <f t="shared" si="2"/>
        <v>115599.27500000001</v>
      </c>
      <c r="Q25" s="129">
        <f t="shared" si="2"/>
        <v>115599.27500000001</v>
      </c>
      <c r="R25" s="129">
        <f t="shared" si="2"/>
        <v>115599.27500000001</v>
      </c>
      <c r="S25" s="129">
        <f t="shared" si="2"/>
        <v>115599.27500000001</v>
      </c>
      <c r="T25" s="129">
        <f t="shared" si="2"/>
        <v>115599.27500000001</v>
      </c>
      <c r="U25" s="129">
        <f t="shared" si="2"/>
        <v>115599.27500000001</v>
      </c>
      <c r="V25" s="129">
        <f t="shared" si="2"/>
        <v>115599.27500000001</v>
      </c>
      <c r="W25" s="129">
        <f t="shared" si="2"/>
        <v>115967.40833333334</v>
      </c>
      <c r="X25" s="129">
        <f t="shared" si="2"/>
        <v>116151.47500000001</v>
      </c>
      <c r="Y25" s="129">
        <f t="shared" si="2"/>
        <v>116151.47500000001</v>
      </c>
      <c r="Z25" s="129">
        <f t="shared" si="2"/>
        <v>116151.47500000001</v>
      </c>
      <c r="AA25" s="129">
        <f t="shared" si="2"/>
        <v>116151.47500000001</v>
      </c>
      <c r="AB25" s="129">
        <f t="shared" si="2"/>
        <v>116151.47500000001</v>
      </c>
      <c r="AC25" s="129">
        <f t="shared" si="2"/>
        <v>116151.47500000001</v>
      </c>
      <c r="AD25" s="129">
        <f t="shared" si="2"/>
        <v>116151.47500000001</v>
      </c>
      <c r="AE25" s="129">
        <f t="shared" si="2"/>
        <v>116151.47500000001</v>
      </c>
      <c r="AF25" s="129">
        <f t="shared" si="2"/>
        <v>116151.47500000001</v>
      </c>
      <c r="AG25" s="129">
        <f t="shared" si="2"/>
        <v>121082.44</v>
      </c>
    </row>
    <row r="26" spans="1:33">
      <c r="A26" s="15"/>
      <c r="B26" s="15"/>
      <c r="C26" s="15"/>
      <c r="D26" s="15"/>
      <c r="E26" s="341"/>
    </row>
    <row r="27" spans="1:33">
      <c r="A27" s="15"/>
      <c r="B27" s="15"/>
      <c r="C27" s="15"/>
      <c r="D27" s="15"/>
      <c r="E27" s="341"/>
    </row>
    <row r="28" spans="1:33">
      <c r="A28" s="216" t="s">
        <v>344</v>
      </c>
      <c r="B28" s="15"/>
      <c r="C28" s="15"/>
      <c r="D28" s="15"/>
      <c r="E28" s="341"/>
    </row>
    <row r="29" spans="1:33">
      <c r="A29" s="216"/>
      <c r="B29" s="15"/>
      <c r="C29" s="15"/>
      <c r="D29" s="15"/>
      <c r="E29" s="341"/>
    </row>
    <row r="30" spans="1:33">
      <c r="A30" s="26" t="s">
        <v>345</v>
      </c>
      <c r="C30" s="15"/>
      <c r="D30" s="15"/>
      <c r="E30" s="341"/>
    </row>
    <row r="31" spans="1:33">
      <c r="A31" s="26" t="s">
        <v>346</v>
      </c>
      <c r="C31" s="15"/>
      <c r="D31" s="15"/>
      <c r="E31" s="341"/>
    </row>
    <row r="32" spans="1:33">
      <c r="A32" s="26" t="s">
        <v>347</v>
      </c>
      <c r="C32" s="15"/>
      <c r="D32" s="15"/>
      <c r="E32" s="341"/>
    </row>
    <row r="33" spans="1:5">
      <c r="A33" s="26" t="s">
        <v>348</v>
      </c>
      <c r="C33" s="15"/>
      <c r="D33" s="15"/>
      <c r="E33" s="341"/>
    </row>
    <row r="34" spans="1:5">
      <c r="A34" s="26" t="s">
        <v>349</v>
      </c>
      <c r="C34" s="15"/>
      <c r="D34" s="15"/>
      <c r="E34" s="341"/>
    </row>
    <row r="35" spans="1:5">
      <c r="A35" s="26" t="s">
        <v>350</v>
      </c>
      <c r="C35" s="15"/>
      <c r="D35" s="15"/>
      <c r="E35" s="341"/>
    </row>
    <row r="36" spans="1:5">
      <c r="A36" s="26"/>
      <c r="C36" s="15"/>
      <c r="D36" s="15"/>
      <c r="E36" s="341"/>
    </row>
    <row r="37" spans="1:5">
      <c r="A37" s="216" t="s">
        <v>351</v>
      </c>
      <c r="B37" s="15"/>
      <c r="C37" s="15"/>
      <c r="D37" s="15"/>
      <c r="E37" s="341"/>
    </row>
    <row r="38" spans="1:5">
      <c r="A38" s="26"/>
      <c r="B38" s="15"/>
      <c r="C38" s="15"/>
      <c r="D38" s="15"/>
      <c r="E38" s="341"/>
    </row>
    <row r="39" spans="1:5">
      <c r="A39" s="216" t="s">
        <v>352</v>
      </c>
      <c r="B39" s="15"/>
      <c r="C39" s="15"/>
      <c r="D39" s="15"/>
      <c r="E39" s="341"/>
    </row>
    <row r="40" spans="1:5">
      <c r="A40" s="216"/>
      <c r="B40" s="15"/>
      <c r="C40" s="15"/>
      <c r="D40" s="15"/>
      <c r="E40" s="341"/>
    </row>
    <row r="41" spans="1:5">
      <c r="A41" s="26" t="s">
        <v>353</v>
      </c>
      <c r="C41" s="15"/>
      <c r="D41" s="15"/>
      <c r="E41" s="341"/>
    </row>
    <row r="42" spans="1:5">
      <c r="A42" s="26" t="s">
        <v>354</v>
      </c>
      <c r="C42" s="15"/>
      <c r="D42" s="15"/>
      <c r="E42" s="341"/>
    </row>
    <row r="43" spans="1:5">
      <c r="A43" s="26" t="s">
        <v>355</v>
      </c>
      <c r="C43" s="15"/>
      <c r="D43" s="15"/>
      <c r="E43" s="341"/>
    </row>
    <row r="44" spans="1:5">
      <c r="A44" s="15"/>
      <c r="B44" s="15"/>
      <c r="C44" s="15"/>
      <c r="D44" s="15"/>
      <c r="E44" s="341"/>
    </row>
    <row r="45" spans="1:5">
      <c r="A45" s="216" t="s">
        <v>356</v>
      </c>
      <c r="B45" s="15"/>
      <c r="C45" s="15"/>
      <c r="D45" s="15"/>
      <c r="E45" s="341"/>
    </row>
    <row r="46" spans="1:5">
      <c r="A46" s="26"/>
      <c r="B46" s="15"/>
      <c r="C46" s="15"/>
      <c r="D46" s="15"/>
      <c r="E46" s="341"/>
    </row>
    <row r="47" spans="1:5">
      <c r="A47" s="216" t="s">
        <v>357</v>
      </c>
      <c r="B47" s="15"/>
      <c r="C47" s="15"/>
      <c r="D47" s="15"/>
      <c r="E47" s="341"/>
    </row>
    <row r="48" spans="1:5">
      <c r="A48" s="15"/>
      <c r="B48" s="15"/>
      <c r="C48" s="15"/>
      <c r="D48" s="15"/>
      <c r="E48" s="341"/>
    </row>
    <row r="49" spans="1:5">
      <c r="A49" s="15"/>
      <c r="B49" s="15"/>
      <c r="C49" s="15"/>
      <c r="D49" s="15"/>
      <c r="E49" s="341"/>
    </row>
    <row r="50" spans="1:5">
      <c r="A50" s="15"/>
      <c r="B50" s="15"/>
      <c r="C50" s="15"/>
      <c r="D50" s="15"/>
      <c r="E50" s="341"/>
    </row>
    <row r="51" spans="1:5">
      <c r="A51" s="15"/>
      <c r="B51" s="15"/>
      <c r="C51" s="15"/>
      <c r="D51" s="15"/>
      <c r="E51" s="341"/>
    </row>
    <row r="52" spans="1:5">
      <c r="A52" s="15"/>
      <c r="B52" s="15"/>
      <c r="C52" s="15"/>
      <c r="D52" s="15"/>
      <c r="E52" s="341"/>
    </row>
    <row r="53" spans="1:5">
      <c r="A53" s="15"/>
      <c r="B53" s="15"/>
      <c r="C53" s="15"/>
      <c r="D53" s="15"/>
      <c r="E53" s="341"/>
    </row>
    <row r="54" spans="1:5">
      <c r="A54" s="15"/>
      <c r="B54" s="15"/>
      <c r="C54" s="15"/>
      <c r="D54" s="15"/>
      <c r="E54" s="341"/>
    </row>
    <row r="55" spans="1:5">
      <c r="A55" s="15"/>
      <c r="B55" s="341"/>
      <c r="C55" s="341"/>
      <c r="D55" s="341"/>
      <c r="E55" s="341"/>
    </row>
    <row r="56" spans="1:5">
      <c r="A56" s="15"/>
      <c r="B56" s="341"/>
      <c r="C56" s="341"/>
      <c r="D56" s="341"/>
      <c r="E56" s="341"/>
    </row>
    <row r="57" spans="1:5">
      <c r="A57" s="15"/>
      <c r="B57" s="341"/>
      <c r="C57" s="341"/>
      <c r="D57" s="341"/>
      <c r="E57" s="341"/>
    </row>
    <row r="58" spans="1:5">
      <c r="A58" s="15"/>
      <c r="B58" s="341"/>
      <c r="C58" s="341"/>
      <c r="D58" s="341"/>
      <c r="E58" s="341"/>
    </row>
    <row r="59" spans="1:5">
      <c r="A59" s="15"/>
      <c r="B59" s="341"/>
      <c r="C59" s="341"/>
      <c r="D59" s="341"/>
      <c r="E59" s="341"/>
    </row>
    <row r="60" spans="1:5">
      <c r="A60" s="15"/>
      <c r="B60" s="341"/>
      <c r="C60" s="341"/>
      <c r="D60" s="341"/>
      <c r="E60" s="341"/>
    </row>
    <row r="61" spans="1:5">
      <c r="A61" s="341"/>
      <c r="B61" s="341"/>
      <c r="C61" s="341"/>
      <c r="D61" s="341"/>
      <c r="E61" s="341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7" min="1" max="54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V135"/>
  <sheetViews>
    <sheetView zoomScale="75" zoomScaleNormal="75" workbookViewId="0">
      <selection activeCell="B86" sqref="B86"/>
    </sheetView>
  </sheetViews>
  <sheetFormatPr defaultRowHeight="12.75"/>
  <cols>
    <col min="1" max="1" width="36" style="14" customWidth="1"/>
    <col min="2" max="2" width="18.42578125" style="14" customWidth="1"/>
    <col min="3" max="6" width="14.5703125" style="14" customWidth="1"/>
    <col min="7" max="7" width="17.5703125" style="14" customWidth="1"/>
    <col min="8" max="8" width="16.140625" style="14" customWidth="1"/>
    <col min="9" max="9" width="16.28515625" style="14" customWidth="1"/>
    <col min="10" max="22" width="14.5703125" style="14" customWidth="1"/>
    <col min="23" max="26" width="14.42578125" style="14" customWidth="1"/>
    <col min="27" max="28" width="14.42578125" style="6" customWidth="1"/>
    <col min="29" max="42" width="14.42578125" style="14" customWidth="1"/>
    <col min="43" max="16384" width="9.140625" style="14"/>
  </cols>
  <sheetData>
    <row r="1" spans="1:24" ht="18.75">
      <c r="A1" s="98"/>
    </row>
    <row r="2" spans="1:24" ht="18.75">
      <c r="A2" s="98"/>
    </row>
    <row r="4" spans="1:24" ht="15.75">
      <c r="A4" s="52"/>
      <c r="C4" s="80" t="s">
        <v>31</v>
      </c>
      <c r="D4" s="81"/>
      <c r="E4" s="81"/>
      <c r="F4" s="82"/>
      <c r="I4" s="80" t="s">
        <v>32</v>
      </c>
      <c r="J4" s="81"/>
      <c r="K4" s="81"/>
      <c r="L4" s="82"/>
      <c r="O4" s="80" t="s">
        <v>33</v>
      </c>
      <c r="P4" s="81"/>
      <c r="Q4" s="81"/>
      <c r="R4" s="82"/>
    </row>
    <row r="5" spans="1:24">
      <c r="A5" s="52"/>
      <c r="C5" s="83" t="s">
        <v>318</v>
      </c>
      <c r="D5" s="84"/>
      <c r="E5" s="84"/>
      <c r="F5" s="318">
        <f>Assumptions!B58</f>
        <v>0.04</v>
      </c>
      <c r="G5" s="319"/>
      <c r="H5" s="5"/>
      <c r="I5" s="83" t="s">
        <v>318</v>
      </c>
      <c r="J5" s="321"/>
      <c r="K5" s="321"/>
      <c r="L5" s="318">
        <f>Assumptions!C58</f>
        <v>0.04</v>
      </c>
      <c r="M5" s="5"/>
      <c r="N5" s="5"/>
      <c r="O5" s="83" t="s">
        <v>318</v>
      </c>
      <c r="P5" s="321"/>
      <c r="Q5" s="321"/>
      <c r="R5" s="318">
        <f>Assumptions!D58</f>
        <v>0.04</v>
      </c>
      <c r="S5" s="5"/>
      <c r="T5" s="5"/>
      <c r="U5" s="5"/>
      <c r="V5" s="5"/>
      <c r="W5" s="5"/>
    </row>
    <row r="6" spans="1:24">
      <c r="A6" s="52"/>
      <c r="C6" s="83" t="s">
        <v>100</v>
      </c>
      <c r="D6" s="84"/>
      <c r="E6" s="84"/>
      <c r="F6" s="318">
        <f>Assumptions!B59</f>
        <v>0.03</v>
      </c>
      <c r="G6" s="5"/>
      <c r="H6" s="5"/>
      <c r="I6" s="320" t="s">
        <v>101</v>
      </c>
      <c r="J6" s="321"/>
      <c r="K6" s="321"/>
      <c r="L6" s="318">
        <f>Assumptions!C59</f>
        <v>0.04</v>
      </c>
      <c r="M6" s="5"/>
      <c r="N6" s="5"/>
      <c r="O6" s="320" t="s">
        <v>101</v>
      </c>
      <c r="P6" s="321"/>
      <c r="Q6" s="321"/>
      <c r="R6" s="318">
        <f>Assumptions!D59</f>
        <v>0.04</v>
      </c>
      <c r="S6" s="5"/>
      <c r="T6" s="5"/>
      <c r="U6" s="5"/>
      <c r="V6" s="5"/>
      <c r="W6" s="5"/>
    </row>
    <row r="7" spans="1:24">
      <c r="A7" s="52"/>
      <c r="C7" s="85" t="s">
        <v>102</v>
      </c>
      <c r="D7" s="86"/>
      <c r="E7" s="86"/>
      <c r="F7" s="87">
        <f>F6+F5</f>
        <v>7.0000000000000007E-2</v>
      </c>
      <c r="I7" s="85" t="s">
        <v>102</v>
      </c>
      <c r="J7" s="86"/>
      <c r="K7" s="86"/>
      <c r="L7" s="87">
        <f>L5+L6</f>
        <v>0.08</v>
      </c>
      <c r="O7" s="85" t="s">
        <v>102</v>
      </c>
      <c r="P7" s="86"/>
      <c r="Q7" s="86"/>
      <c r="R7" s="87">
        <f>R5+R6</f>
        <v>0.08</v>
      </c>
    </row>
    <row r="8" spans="1:24" ht="15.75">
      <c r="A8" s="52"/>
      <c r="C8" s="67" t="s">
        <v>316</v>
      </c>
      <c r="D8" s="88"/>
      <c r="E8" s="89"/>
      <c r="F8" s="71">
        <f>Assumptions!B53</f>
        <v>25</v>
      </c>
      <c r="I8" s="67" t="s">
        <v>316</v>
      </c>
      <c r="J8" s="72"/>
      <c r="K8" s="72"/>
      <c r="L8" s="71">
        <f>Assumptions!C53</f>
        <v>10</v>
      </c>
      <c r="O8" s="67" t="s">
        <v>316</v>
      </c>
      <c r="P8" s="72"/>
      <c r="Q8" s="72"/>
      <c r="R8" s="71">
        <f>Assumptions!D53</f>
        <v>20</v>
      </c>
    </row>
    <row r="9" spans="1:24" ht="15.75">
      <c r="A9" s="52"/>
      <c r="C9" s="73" t="s">
        <v>317</v>
      </c>
      <c r="D9" s="90"/>
      <c r="E9" s="90"/>
      <c r="F9" s="74">
        <f>B119</f>
        <v>8.620000000000001</v>
      </c>
      <c r="I9" s="73" t="s">
        <v>317</v>
      </c>
      <c r="J9" s="75"/>
      <c r="K9" s="75"/>
      <c r="L9" s="74" t="e">
        <f>B120</f>
        <v>#DIV/0!</v>
      </c>
      <c r="O9" s="73" t="s">
        <v>317</v>
      </c>
      <c r="P9" s="75"/>
      <c r="Q9" s="75"/>
      <c r="R9" s="74" t="e">
        <f>B121</f>
        <v>#DIV/0!</v>
      </c>
    </row>
    <row r="10" spans="1:24">
      <c r="A10" s="52"/>
      <c r="C10" s="95" t="s">
        <v>103</v>
      </c>
      <c r="D10" s="96"/>
      <c r="E10" s="96"/>
      <c r="F10" s="313">
        <f>Assumptions!B52</f>
        <v>110855.8503824605</v>
      </c>
      <c r="G10" s="5"/>
      <c r="H10" s="5"/>
      <c r="I10" s="314" t="s">
        <v>103</v>
      </c>
      <c r="J10" s="315"/>
      <c r="K10" s="315"/>
      <c r="L10" s="313">
        <f>Assumptions!C52</f>
        <v>0</v>
      </c>
      <c r="M10" s="5"/>
      <c r="N10" s="5"/>
      <c r="O10" s="314" t="s">
        <v>103</v>
      </c>
      <c r="P10" s="315"/>
      <c r="Q10" s="315"/>
      <c r="R10" s="313">
        <f>Assumptions!D52</f>
        <v>0</v>
      </c>
      <c r="S10" s="5"/>
      <c r="T10" s="5"/>
    </row>
    <row r="11" spans="1:24">
      <c r="A11" s="52"/>
      <c r="C11" s="97"/>
      <c r="D11" s="84"/>
      <c r="E11" s="84"/>
      <c r="F11" s="144"/>
      <c r="I11" s="97"/>
      <c r="J11" s="97"/>
      <c r="K11" s="97"/>
      <c r="L11" s="144"/>
      <c r="O11" s="97"/>
      <c r="P11" s="97"/>
      <c r="Q11" s="97"/>
      <c r="R11"/>
    </row>
    <row r="12" spans="1:24">
      <c r="A12" s="52"/>
      <c r="C12" s="97"/>
      <c r="D12" s="84"/>
      <c r="E12" s="84"/>
      <c r="F12" s="144"/>
      <c r="I12" s="97"/>
      <c r="J12" s="97"/>
      <c r="K12" s="97"/>
      <c r="L12" s="144"/>
      <c r="O12" s="97"/>
      <c r="P12" s="97"/>
      <c r="Q12" s="97"/>
      <c r="R12" s="144"/>
    </row>
    <row r="13" spans="1:24">
      <c r="A13" s="52"/>
      <c r="C13" s="97"/>
      <c r="D13" s="84"/>
      <c r="E13" s="84"/>
      <c r="F13"/>
      <c r="I13" s="97"/>
      <c r="J13" s="97"/>
      <c r="K13" s="97"/>
      <c r="L13" s="144"/>
      <c r="O13" s="97"/>
      <c r="P13" s="97"/>
      <c r="Q13" s="97"/>
      <c r="R13"/>
    </row>
    <row r="14" spans="1:24" ht="18.75">
      <c r="A14" s="334" t="str">
        <f>Assumptions!A3</f>
        <v>PROJECT NAME: LINCOLN</v>
      </c>
      <c r="C14" s="97"/>
      <c r="D14" s="84"/>
      <c r="E14" s="84"/>
      <c r="F14" s="144"/>
      <c r="G14" s="5"/>
      <c r="H14" s="5"/>
      <c r="I14" s="2"/>
      <c r="J14" s="2"/>
      <c r="K14" s="2"/>
      <c r="L14" s="144"/>
      <c r="M14" s="5"/>
      <c r="N14" s="5"/>
      <c r="O14" s="2"/>
      <c r="P14" s="2"/>
      <c r="Q14" s="2"/>
      <c r="R14" s="144"/>
      <c r="S14" s="5"/>
      <c r="T14" s="5"/>
      <c r="U14" s="5"/>
      <c r="V14" s="5"/>
      <c r="W14" s="5"/>
      <c r="X14" s="5"/>
    </row>
    <row r="15" spans="1:24">
      <c r="A15" s="52"/>
      <c r="C15" s="97"/>
      <c r="D15" s="84"/>
      <c r="E15" s="84"/>
      <c r="F15" s="144"/>
      <c r="G15" s="5"/>
      <c r="H15" s="5"/>
      <c r="I15" s="2"/>
      <c r="J15" s="2"/>
      <c r="K15" s="2"/>
      <c r="L15" s="144"/>
      <c r="M15" s="5"/>
      <c r="N15" s="5"/>
      <c r="O15" s="2"/>
      <c r="P15" s="2"/>
      <c r="Q15" s="2"/>
      <c r="R15" s="144"/>
      <c r="S15" s="5"/>
      <c r="T15" s="5"/>
      <c r="U15" s="5"/>
      <c r="V15" s="5"/>
      <c r="W15" s="5"/>
      <c r="X15" s="5"/>
    </row>
    <row r="16" spans="1:24" ht="18.75">
      <c r="A16" s="93" t="s">
        <v>193</v>
      </c>
      <c r="C16" s="97"/>
      <c r="D16" s="84"/>
      <c r="E16" s="84"/>
      <c r="F16" s="144"/>
      <c r="I16" s="97"/>
      <c r="J16" s="97"/>
      <c r="K16" s="97"/>
      <c r="L16" s="144"/>
      <c r="O16" s="97"/>
      <c r="P16" s="97"/>
      <c r="Q16" s="97"/>
      <c r="R16" s="144"/>
    </row>
    <row r="17" spans="1:34" s="15" customFormat="1">
      <c r="A17" s="2"/>
      <c r="P17" s="233"/>
      <c r="Q17" s="233"/>
      <c r="R17" s="233"/>
      <c r="S17" s="233"/>
      <c r="T17" s="233"/>
      <c r="U17" s="233"/>
      <c r="V17" s="233"/>
      <c r="W17" s="233"/>
      <c r="X17" s="233"/>
      <c r="Y17" s="233"/>
      <c r="Z17" s="233"/>
      <c r="AA17" s="6"/>
      <c r="AB17" s="6"/>
    </row>
    <row r="18" spans="1:34" s="234" customFormat="1" ht="13.5">
      <c r="A18" s="54"/>
      <c r="B18" s="466"/>
      <c r="C18" s="466"/>
      <c r="D18" s="466"/>
      <c r="E18" s="466"/>
      <c r="F18" s="466"/>
      <c r="G18" s="466"/>
      <c r="H18" s="466"/>
      <c r="I18" s="466"/>
      <c r="J18" s="466"/>
      <c r="K18" s="466"/>
      <c r="L18" s="466"/>
      <c r="M18" s="466"/>
      <c r="N18" s="466"/>
      <c r="O18" s="466"/>
      <c r="P18" s="466"/>
      <c r="Q18" s="466"/>
      <c r="R18" s="466"/>
      <c r="S18" s="466"/>
      <c r="T18" s="466"/>
      <c r="U18" s="466"/>
      <c r="V18" s="466"/>
      <c r="W18" s="466"/>
      <c r="X18" s="466"/>
      <c r="Y18" s="466"/>
      <c r="Z18" s="466"/>
      <c r="AA18" s="466"/>
      <c r="AB18" s="466"/>
      <c r="AC18" s="466"/>
      <c r="AD18" s="466"/>
      <c r="AE18" s="466"/>
      <c r="AF18" s="466"/>
    </row>
    <row r="19" spans="1:34" ht="13.5" thickBot="1">
      <c r="A19" s="186" t="s">
        <v>73</v>
      </c>
      <c r="B19" s="467">
        <f>YEAR(MIN(Assumptions!B48,Assumptions!C48,Assumptions!D48))</f>
        <v>2001</v>
      </c>
      <c r="C19" s="467">
        <f>B19+1</f>
        <v>2002</v>
      </c>
      <c r="D19" s="467">
        <f t="shared" ref="D19:AF19" si="0">C19+1</f>
        <v>2003</v>
      </c>
      <c r="E19" s="467">
        <f t="shared" si="0"/>
        <v>2004</v>
      </c>
      <c r="F19" s="467">
        <f t="shared" si="0"/>
        <v>2005</v>
      </c>
      <c r="G19" s="467">
        <f t="shared" si="0"/>
        <v>2006</v>
      </c>
      <c r="H19" s="467">
        <f t="shared" si="0"/>
        <v>2007</v>
      </c>
      <c r="I19" s="467">
        <f t="shared" si="0"/>
        <v>2008</v>
      </c>
      <c r="J19" s="467">
        <f t="shared" si="0"/>
        <v>2009</v>
      </c>
      <c r="K19" s="467">
        <f t="shared" si="0"/>
        <v>2010</v>
      </c>
      <c r="L19" s="467">
        <f t="shared" si="0"/>
        <v>2011</v>
      </c>
      <c r="M19" s="467">
        <f t="shared" si="0"/>
        <v>2012</v>
      </c>
      <c r="N19" s="467">
        <f t="shared" si="0"/>
        <v>2013</v>
      </c>
      <c r="O19" s="467">
        <f t="shared" si="0"/>
        <v>2014</v>
      </c>
      <c r="P19" s="467">
        <f t="shared" si="0"/>
        <v>2015</v>
      </c>
      <c r="Q19" s="467">
        <f t="shared" si="0"/>
        <v>2016</v>
      </c>
      <c r="R19" s="467">
        <f t="shared" si="0"/>
        <v>2017</v>
      </c>
      <c r="S19" s="467">
        <f t="shared" si="0"/>
        <v>2018</v>
      </c>
      <c r="T19" s="467">
        <f t="shared" si="0"/>
        <v>2019</v>
      </c>
      <c r="U19" s="467">
        <f t="shared" si="0"/>
        <v>2020</v>
      </c>
      <c r="V19" s="467">
        <f t="shared" si="0"/>
        <v>2021</v>
      </c>
      <c r="W19" s="467">
        <f t="shared" si="0"/>
        <v>2022</v>
      </c>
      <c r="X19" s="467">
        <f t="shared" si="0"/>
        <v>2023</v>
      </c>
      <c r="Y19" s="467">
        <f t="shared" si="0"/>
        <v>2024</v>
      </c>
      <c r="Z19" s="467">
        <f t="shared" si="0"/>
        <v>2025</v>
      </c>
      <c r="AA19" s="467">
        <f t="shared" si="0"/>
        <v>2026</v>
      </c>
      <c r="AB19" s="467">
        <f t="shared" si="0"/>
        <v>2027</v>
      </c>
      <c r="AC19" s="467">
        <f t="shared" si="0"/>
        <v>2028</v>
      </c>
      <c r="AD19" s="467">
        <f t="shared" si="0"/>
        <v>2029</v>
      </c>
      <c r="AE19" s="467">
        <f t="shared" si="0"/>
        <v>2030</v>
      </c>
      <c r="AF19" s="467">
        <f t="shared" si="0"/>
        <v>2031</v>
      </c>
      <c r="AG19" s="13"/>
      <c r="AH19" s="13"/>
    </row>
    <row r="20" spans="1:34" s="64" customFormat="1">
      <c r="A20" s="235"/>
      <c r="B20" s="615">
        <v>36891</v>
      </c>
      <c r="C20" s="479">
        <v>37256</v>
      </c>
      <c r="D20" s="479">
        <v>37621</v>
      </c>
      <c r="E20" s="479">
        <v>37986</v>
      </c>
      <c r="F20" s="479">
        <v>38352</v>
      </c>
      <c r="G20" s="479">
        <v>38717</v>
      </c>
      <c r="H20" s="479">
        <v>39082</v>
      </c>
      <c r="I20" s="479">
        <v>39447</v>
      </c>
      <c r="J20" s="479">
        <v>39813</v>
      </c>
      <c r="K20" s="479">
        <v>40178</v>
      </c>
      <c r="L20" s="479">
        <v>40543</v>
      </c>
      <c r="M20" s="479">
        <v>40908</v>
      </c>
      <c r="N20" s="479">
        <v>41274</v>
      </c>
      <c r="O20" s="479">
        <v>41639</v>
      </c>
      <c r="P20" s="479">
        <v>42004</v>
      </c>
      <c r="Q20" s="479">
        <v>42369</v>
      </c>
      <c r="R20" s="479">
        <v>42735</v>
      </c>
      <c r="S20" s="479">
        <v>43100</v>
      </c>
      <c r="T20" s="479">
        <v>43465</v>
      </c>
      <c r="U20" s="479">
        <v>43830</v>
      </c>
      <c r="V20" s="479">
        <v>44196</v>
      </c>
      <c r="W20" s="479">
        <v>44561</v>
      </c>
      <c r="X20" s="479">
        <v>44926</v>
      </c>
      <c r="Y20" s="479">
        <v>45291</v>
      </c>
      <c r="Z20" s="479">
        <v>45657</v>
      </c>
      <c r="AA20" s="479">
        <v>46022</v>
      </c>
      <c r="AB20" s="479">
        <v>46387</v>
      </c>
      <c r="AC20" s="479">
        <v>46752</v>
      </c>
      <c r="AD20" s="479">
        <v>47118</v>
      </c>
      <c r="AE20" s="479">
        <v>47483</v>
      </c>
      <c r="AF20" s="479">
        <v>47848</v>
      </c>
      <c r="AG20"/>
      <c r="AH20" s="13"/>
    </row>
    <row r="21" spans="1:34"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</row>
    <row r="22" spans="1:34">
      <c r="A22" s="52" t="s">
        <v>104</v>
      </c>
      <c r="B22" s="339">
        <f>B102</f>
        <v>0.04</v>
      </c>
      <c r="C22" s="339">
        <f t="shared" ref="C22:W22" si="1">C102</f>
        <v>0.04</v>
      </c>
      <c r="D22" s="339">
        <f t="shared" si="1"/>
        <v>0.04</v>
      </c>
      <c r="E22" s="339">
        <f t="shared" si="1"/>
        <v>0.04</v>
      </c>
      <c r="F22" s="339">
        <f t="shared" si="1"/>
        <v>0.04</v>
      </c>
      <c r="G22" s="339">
        <f t="shared" si="1"/>
        <v>0.04</v>
      </c>
      <c r="H22" s="339">
        <f t="shared" si="1"/>
        <v>0.04</v>
      </c>
      <c r="I22" s="339">
        <f t="shared" si="1"/>
        <v>0.04</v>
      </c>
      <c r="J22" s="339">
        <f t="shared" si="1"/>
        <v>0.04</v>
      </c>
      <c r="K22" s="339">
        <f t="shared" si="1"/>
        <v>0.04</v>
      </c>
      <c r="L22" s="339">
        <f t="shared" si="1"/>
        <v>0.04</v>
      </c>
      <c r="M22" s="339">
        <f t="shared" si="1"/>
        <v>0.04</v>
      </c>
      <c r="N22" s="339">
        <f t="shared" si="1"/>
        <v>0.04</v>
      </c>
      <c r="O22" s="339">
        <f t="shared" si="1"/>
        <v>0.04</v>
      </c>
      <c r="P22" s="339">
        <f t="shared" si="1"/>
        <v>0.04</v>
      </c>
      <c r="Q22" s="339">
        <f t="shared" si="1"/>
        <v>0.04</v>
      </c>
      <c r="R22" s="339">
        <f t="shared" si="1"/>
        <v>0.04</v>
      </c>
      <c r="S22" s="339">
        <f t="shared" si="1"/>
        <v>0.04</v>
      </c>
      <c r="T22" s="339">
        <f t="shared" si="1"/>
        <v>0.04</v>
      </c>
      <c r="U22" s="339">
        <f t="shared" si="1"/>
        <v>0.04</v>
      </c>
      <c r="V22" s="339">
        <f t="shared" si="1"/>
        <v>0.04</v>
      </c>
      <c r="W22" s="339">
        <f t="shared" si="1"/>
        <v>0</v>
      </c>
      <c r="X22" s="339">
        <f t="shared" ref="X22:AF22" si="2">X102</f>
        <v>0</v>
      </c>
      <c r="Y22" s="339">
        <f t="shared" si="2"/>
        <v>0</v>
      </c>
      <c r="Z22" s="339">
        <f t="shared" si="2"/>
        <v>0</v>
      </c>
      <c r="AA22" s="339">
        <f t="shared" si="2"/>
        <v>0</v>
      </c>
      <c r="AB22" s="339">
        <f t="shared" si="2"/>
        <v>0</v>
      </c>
      <c r="AC22" s="339">
        <f t="shared" si="2"/>
        <v>0</v>
      </c>
      <c r="AD22" s="339">
        <f t="shared" si="2"/>
        <v>0</v>
      </c>
      <c r="AE22" s="339">
        <f t="shared" si="2"/>
        <v>0</v>
      </c>
      <c r="AF22" s="339">
        <f t="shared" si="2"/>
        <v>0</v>
      </c>
      <c r="AG22" s="56"/>
      <c r="AH22" s="56"/>
    </row>
    <row r="23" spans="1:34">
      <c r="A23" s="57" t="str">
        <f>IF(SUM(B22:W22)&lt;&gt;1,"CHECK!","")</f>
        <v>CHECK!</v>
      </c>
      <c r="B23" s="243"/>
      <c r="C23" s="243"/>
      <c r="D23" s="243"/>
      <c r="E23" s="243"/>
      <c r="F23" s="243"/>
      <c r="G23" s="243"/>
      <c r="H23" s="243"/>
      <c r="I23" s="243"/>
      <c r="J23" s="243"/>
      <c r="K23" s="243"/>
      <c r="L23" s="243"/>
      <c r="M23" s="243"/>
      <c r="N23" s="243"/>
      <c r="O23" s="243"/>
      <c r="P23" s="243"/>
      <c r="Q23" s="243"/>
      <c r="R23" s="243"/>
      <c r="S23" s="243"/>
      <c r="T23" s="243"/>
      <c r="U23" s="243"/>
      <c r="V23" s="243"/>
      <c r="W23" s="243"/>
      <c r="X23" s="243"/>
      <c r="Y23" s="243"/>
      <c r="Z23" s="243"/>
      <c r="AA23" s="243"/>
      <c r="AB23" s="243"/>
      <c r="AC23" s="243"/>
      <c r="AD23" s="243"/>
      <c r="AE23" s="243"/>
      <c r="AF23" s="243"/>
    </row>
    <row r="24" spans="1:34">
      <c r="A24" s="52" t="s">
        <v>105</v>
      </c>
      <c r="B24" s="340">
        <f>B107</f>
        <v>0.1</v>
      </c>
      <c r="C24" s="340">
        <f t="shared" ref="C24:W24" si="3">C107</f>
        <v>0.1</v>
      </c>
      <c r="D24" s="340">
        <f t="shared" si="3"/>
        <v>0.1</v>
      </c>
      <c r="E24" s="340">
        <f t="shared" si="3"/>
        <v>0.1</v>
      </c>
      <c r="F24" s="340">
        <f t="shared" si="3"/>
        <v>0.1</v>
      </c>
      <c r="G24" s="340">
        <f t="shared" si="3"/>
        <v>0.1</v>
      </c>
      <c r="H24" s="340">
        <f t="shared" si="3"/>
        <v>0.1</v>
      </c>
      <c r="I24" s="340">
        <f t="shared" si="3"/>
        <v>0.1</v>
      </c>
      <c r="J24" s="340">
        <f t="shared" si="3"/>
        <v>0.1</v>
      </c>
      <c r="K24" s="340">
        <f t="shared" si="3"/>
        <v>0.1</v>
      </c>
      <c r="L24" s="340">
        <f t="shared" si="3"/>
        <v>0</v>
      </c>
      <c r="M24" s="340">
        <f t="shared" si="3"/>
        <v>0</v>
      </c>
      <c r="N24" s="340">
        <f t="shared" si="3"/>
        <v>0</v>
      </c>
      <c r="O24" s="340">
        <f t="shared" si="3"/>
        <v>0</v>
      </c>
      <c r="P24" s="340">
        <f t="shared" si="3"/>
        <v>0</v>
      </c>
      <c r="Q24" s="340">
        <f t="shared" si="3"/>
        <v>0</v>
      </c>
      <c r="R24" s="340">
        <f t="shared" si="3"/>
        <v>0</v>
      </c>
      <c r="S24" s="340">
        <f t="shared" si="3"/>
        <v>0</v>
      </c>
      <c r="T24" s="340">
        <f t="shared" si="3"/>
        <v>0</v>
      </c>
      <c r="U24" s="340">
        <f t="shared" si="3"/>
        <v>0</v>
      </c>
      <c r="V24" s="340">
        <f t="shared" si="3"/>
        <v>0</v>
      </c>
      <c r="W24" s="340">
        <f t="shared" si="3"/>
        <v>0</v>
      </c>
      <c r="X24" s="340">
        <f t="shared" ref="X24:AF24" si="4">X107</f>
        <v>0</v>
      </c>
      <c r="Y24" s="340">
        <f t="shared" si="4"/>
        <v>0</v>
      </c>
      <c r="Z24" s="340">
        <f t="shared" si="4"/>
        <v>0</v>
      </c>
      <c r="AA24" s="340">
        <f t="shared" si="4"/>
        <v>0</v>
      </c>
      <c r="AB24" s="340">
        <f t="shared" si="4"/>
        <v>0</v>
      </c>
      <c r="AC24" s="340">
        <f t="shared" si="4"/>
        <v>0</v>
      </c>
      <c r="AD24" s="340">
        <f t="shared" si="4"/>
        <v>0</v>
      </c>
      <c r="AE24" s="340">
        <f t="shared" si="4"/>
        <v>0</v>
      </c>
      <c r="AF24" s="340">
        <f t="shared" si="4"/>
        <v>0</v>
      </c>
    </row>
    <row r="25" spans="1:34">
      <c r="A25" s="57" t="str">
        <f>IF(SUM(B24:W24)&lt;&gt;1,"CHECK!","")</f>
        <v/>
      </c>
      <c r="B25" s="243"/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3"/>
      <c r="X25" s="243"/>
      <c r="Y25" s="243"/>
      <c r="Z25" s="243"/>
      <c r="AA25" s="243"/>
      <c r="AB25" s="243"/>
      <c r="AC25" s="243"/>
      <c r="AD25" s="243"/>
      <c r="AE25" s="243"/>
      <c r="AF25" s="243"/>
    </row>
    <row r="26" spans="1:34">
      <c r="A26" s="52" t="s">
        <v>106</v>
      </c>
      <c r="B26" s="340">
        <f>B112</f>
        <v>0.05</v>
      </c>
      <c r="C26" s="340">
        <f t="shared" ref="C26:W26" si="5">C112</f>
        <v>0.05</v>
      </c>
      <c r="D26" s="340">
        <f t="shared" si="5"/>
        <v>0.05</v>
      </c>
      <c r="E26" s="340">
        <f t="shared" si="5"/>
        <v>0.05</v>
      </c>
      <c r="F26" s="340">
        <f t="shared" si="5"/>
        <v>0.05</v>
      </c>
      <c r="G26" s="340">
        <f t="shared" si="5"/>
        <v>0.05</v>
      </c>
      <c r="H26" s="340">
        <f t="shared" si="5"/>
        <v>0.05</v>
      </c>
      <c r="I26" s="340">
        <f t="shared" si="5"/>
        <v>0.05</v>
      </c>
      <c r="J26" s="340">
        <f t="shared" si="5"/>
        <v>0.05</v>
      </c>
      <c r="K26" s="340">
        <f t="shared" si="5"/>
        <v>0.05</v>
      </c>
      <c r="L26" s="340">
        <f t="shared" si="5"/>
        <v>0.05</v>
      </c>
      <c r="M26" s="340">
        <f t="shared" si="5"/>
        <v>0.05</v>
      </c>
      <c r="N26" s="340">
        <f t="shared" si="5"/>
        <v>0.05</v>
      </c>
      <c r="O26" s="340">
        <f t="shared" si="5"/>
        <v>0.05</v>
      </c>
      <c r="P26" s="340">
        <f t="shared" si="5"/>
        <v>0.05</v>
      </c>
      <c r="Q26" s="340">
        <f t="shared" si="5"/>
        <v>0.05</v>
      </c>
      <c r="R26" s="340">
        <f t="shared" si="5"/>
        <v>0.05</v>
      </c>
      <c r="S26" s="340">
        <f t="shared" si="5"/>
        <v>0.05</v>
      </c>
      <c r="T26" s="340">
        <f t="shared" si="5"/>
        <v>0.05</v>
      </c>
      <c r="U26" s="340">
        <f t="shared" si="5"/>
        <v>0.05</v>
      </c>
      <c r="V26" s="340">
        <f t="shared" si="5"/>
        <v>0</v>
      </c>
      <c r="W26" s="340">
        <f t="shared" si="5"/>
        <v>0</v>
      </c>
      <c r="X26" s="340">
        <f t="shared" ref="X26:AF26" si="6">X112</f>
        <v>0</v>
      </c>
      <c r="Y26" s="340">
        <f t="shared" si="6"/>
        <v>0</v>
      </c>
      <c r="Z26" s="340">
        <f t="shared" si="6"/>
        <v>0</v>
      </c>
      <c r="AA26" s="340">
        <f t="shared" si="6"/>
        <v>0</v>
      </c>
      <c r="AB26" s="340">
        <f t="shared" si="6"/>
        <v>0</v>
      </c>
      <c r="AC26" s="340">
        <f t="shared" si="6"/>
        <v>0</v>
      </c>
      <c r="AD26" s="340">
        <f t="shared" si="6"/>
        <v>0</v>
      </c>
      <c r="AE26" s="340">
        <f t="shared" si="6"/>
        <v>0</v>
      </c>
      <c r="AF26" s="340">
        <f t="shared" si="6"/>
        <v>0</v>
      </c>
      <c r="AG26" s="5"/>
      <c r="AH26" s="5"/>
    </row>
    <row r="27" spans="1:34">
      <c r="A27" s="57" t="str">
        <f>IF(SUM(B26:W26)&lt;&gt;1,"CHECK!","")</f>
        <v/>
      </c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7"/>
      <c r="X27" s="127"/>
      <c r="Y27" s="127"/>
      <c r="Z27" s="127"/>
      <c r="AA27" s="127"/>
      <c r="AB27" s="127"/>
      <c r="AC27" s="127"/>
      <c r="AD27" s="127"/>
      <c r="AE27" s="127"/>
      <c r="AF27" s="127"/>
    </row>
    <row r="28" spans="1:34">
      <c r="A28" s="57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</row>
    <row r="29" spans="1:34">
      <c r="A29" s="58" t="str">
        <f>CONCATENATE("Tranche 1 @ ",F7*100,"%")</f>
        <v>Tranche 1 @ 7%</v>
      </c>
      <c r="C29" s="59"/>
      <c r="AA29" s="14"/>
      <c r="AB29" s="14"/>
    </row>
    <row r="30" spans="1:34">
      <c r="A30" s="338" t="s">
        <v>319</v>
      </c>
      <c r="B30" s="61"/>
      <c r="AA30" s="14"/>
      <c r="AB30" s="14"/>
    </row>
    <row r="31" spans="1:34">
      <c r="A31" s="61" t="s">
        <v>107</v>
      </c>
      <c r="B31" s="279">
        <f>F10</f>
        <v>110855.8503824605</v>
      </c>
      <c r="C31" s="61">
        <f>B39</f>
        <v>106421.61636716207</v>
      </c>
      <c r="D31" s="61">
        <f t="shared" ref="D31:W31" si="7">C39</f>
        <v>101987.38235186365</v>
      </c>
      <c r="E31" s="61">
        <f t="shared" si="7"/>
        <v>97553.148336565224</v>
      </c>
      <c r="F31" s="61">
        <f t="shared" si="7"/>
        <v>93118.914321266799</v>
      </c>
      <c r="G31" s="61">
        <f t="shared" si="7"/>
        <v>88684.680305968373</v>
      </c>
      <c r="H31" s="61">
        <f t="shared" si="7"/>
        <v>84250.446290669948</v>
      </c>
      <c r="I31" s="61">
        <f t="shared" si="7"/>
        <v>79816.212275371523</v>
      </c>
      <c r="J31" s="61">
        <f t="shared" si="7"/>
        <v>75381.978260073098</v>
      </c>
      <c r="K31" s="61">
        <f t="shared" si="7"/>
        <v>70947.744244774673</v>
      </c>
      <c r="L31" s="61">
        <f t="shared" si="7"/>
        <v>66513.510229476247</v>
      </c>
      <c r="M31" s="61">
        <f t="shared" si="7"/>
        <v>62079.276214177822</v>
      </c>
      <c r="N31" s="61">
        <f t="shared" si="7"/>
        <v>57645.042198879397</v>
      </c>
      <c r="O31" s="61">
        <f t="shared" si="7"/>
        <v>53210.808183580972</v>
      </c>
      <c r="P31" s="61">
        <f t="shared" si="7"/>
        <v>48776.574168282546</v>
      </c>
      <c r="Q31" s="61">
        <f t="shared" si="7"/>
        <v>44342.340152984121</v>
      </c>
      <c r="R31" s="61">
        <f t="shared" si="7"/>
        <v>39908.106137685696</v>
      </c>
      <c r="S31" s="61">
        <f t="shared" si="7"/>
        <v>35473.872122387271</v>
      </c>
      <c r="T31" s="61">
        <f t="shared" si="7"/>
        <v>31039.638107088849</v>
      </c>
      <c r="U31" s="61">
        <f t="shared" si="7"/>
        <v>26605.404091790431</v>
      </c>
      <c r="V31" s="61">
        <f t="shared" si="7"/>
        <v>22171.170076492013</v>
      </c>
      <c r="W31" s="61">
        <f t="shared" si="7"/>
        <v>17736.936061193595</v>
      </c>
      <c r="X31" s="61">
        <f t="shared" ref="X31:AF31" si="8">W39</f>
        <v>17736.936061193595</v>
      </c>
      <c r="Y31" s="61">
        <f t="shared" si="8"/>
        <v>17736.936061193595</v>
      </c>
      <c r="Z31" s="61">
        <f t="shared" si="8"/>
        <v>17736.936061193595</v>
      </c>
      <c r="AA31" s="61">
        <f t="shared" si="8"/>
        <v>17736.936061193595</v>
      </c>
      <c r="AB31" s="61">
        <f t="shared" si="8"/>
        <v>17736.936061193595</v>
      </c>
      <c r="AC31" s="61">
        <f t="shared" si="8"/>
        <v>17736.936061193595</v>
      </c>
      <c r="AD31" s="61">
        <f t="shared" si="8"/>
        <v>17736.936061193595</v>
      </c>
      <c r="AE31" s="61">
        <f t="shared" si="8"/>
        <v>17736.936061193595</v>
      </c>
      <c r="AF31" s="61">
        <f t="shared" si="8"/>
        <v>17736.936061193595</v>
      </c>
      <c r="AG31" s="61"/>
      <c r="AH31" s="61"/>
    </row>
    <row r="32" spans="1:34">
      <c r="A32" s="61" t="s">
        <v>108</v>
      </c>
      <c r="B32" s="61">
        <v>0</v>
      </c>
      <c r="C32" s="61">
        <f>$B$31*C22/2</f>
        <v>2217.1170076492099</v>
      </c>
      <c r="D32" s="61">
        <f t="shared" ref="D32:W32" si="9">$B$31*D22/2</f>
        <v>2217.1170076492099</v>
      </c>
      <c r="E32" s="61">
        <f t="shared" si="9"/>
        <v>2217.1170076492099</v>
      </c>
      <c r="F32" s="61">
        <f t="shared" si="9"/>
        <v>2217.1170076492099</v>
      </c>
      <c r="G32" s="61">
        <f t="shared" si="9"/>
        <v>2217.1170076492099</v>
      </c>
      <c r="H32" s="61">
        <f t="shared" si="9"/>
        <v>2217.1170076492099</v>
      </c>
      <c r="I32" s="61">
        <f t="shared" si="9"/>
        <v>2217.1170076492099</v>
      </c>
      <c r="J32" s="61">
        <f t="shared" si="9"/>
        <v>2217.1170076492099</v>
      </c>
      <c r="K32" s="61">
        <f t="shared" si="9"/>
        <v>2217.1170076492099</v>
      </c>
      <c r="L32" s="61">
        <f t="shared" si="9"/>
        <v>2217.1170076492099</v>
      </c>
      <c r="M32" s="61">
        <f t="shared" si="9"/>
        <v>2217.1170076492099</v>
      </c>
      <c r="N32" s="61">
        <f t="shared" si="9"/>
        <v>2217.1170076492099</v>
      </c>
      <c r="O32" s="61">
        <f t="shared" si="9"/>
        <v>2217.1170076492099</v>
      </c>
      <c r="P32" s="61">
        <f t="shared" si="9"/>
        <v>2217.1170076492099</v>
      </c>
      <c r="Q32" s="61">
        <f t="shared" si="9"/>
        <v>2217.1170076492099</v>
      </c>
      <c r="R32" s="61">
        <f t="shared" si="9"/>
        <v>2217.1170076492099</v>
      </c>
      <c r="S32" s="61">
        <f t="shared" si="9"/>
        <v>2217.1170076492099</v>
      </c>
      <c r="T32" s="61">
        <f t="shared" si="9"/>
        <v>2217.1170076492099</v>
      </c>
      <c r="U32" s="61">
        <f t="shared" si="9"/>
        <v>2217.1170076492099</v>
      </c>
      <c r="V32" s="61">
        <f t="shared" si="9"/>
        <v>2217.1170076492099</v>
      </c>
      <c r="W32" s="61">
        <f t="shared" si="9"/>
        <v>0</v>
      </c>
      <c r="X32" s="61">
        <f t="shared" ref="X32:AF32" si="10">$B$31*X22/2</f>
        <v>0</v>
      </c>
      <c r="Y32" s="61">
        <f t="shared" si="10"/>
        <v>0</v>
      </c>
      <c r="Z32" s="61">
        <f t="shared" si="10"/>
        <v>0</v>
      </c>
      <c r="AA32" s="61">
        <f t="shared" si="10"/>
        <v>0</v>
      </c>
      <c r="AB32" s="61">
        <f t="shared" si="10"/>
        <v>0</v>
      </c>
      <c r="AC32" s="61">
        <f t="shared" si="10"/>
        <v>0</v>
      </c>
      <c r="AD32" s="61">
        <f t="shared" si="10"/>
        <v>0</v>
      </c>
      <c r="AE32" s="61">
        <f t="shared" si="10"/>
        <v>0</v>
      </c>
      <c r="AF32" s="61">
        <f t="shared" si="10"/>
        <v>0</v>
      </c>
      <c r="AG32" s="61"/>
      <c r="AH32" s="61"/>
    </row>
    <row r="33" spans="1:34">
      <c r="A33" s="61" t="s">
        <v>109</v>
      </c>
      <c r="B33" s="282">
        <v>0</v>
      </c>
      <c r="C33" s="61">
        <f>C31*$F$7/2</f>
        <v>3724.7565728506729</v>
      </c>
      <c r="D33" s="61">
        <f t="shared" ref="D33:W33" si="11">D31*$F$7/2</f>
        <v>3569.5583823152278</v>
      </c>
      <c r="E33" s="61">
        <f t="shared" si="11"/>
        <v>3414.3601917797832</v>
      </c>
      <c r="F33" s="61">
        <f t="shared" si="11"/>
        <v>3259.1620012443382</v>
      </c>
      <c r="G33" s="61">
        <f t="shared" si="11"/>
        <v>3103.9638107088936</v>
      </c>
      <c r="H33" s="61">
        <f t="shared" si="11"/>
        <v>2948.7656201734485</v>
      </c>
      <c r="I33" s="61">
        <f t="shared" si="11"/>
        <v>2793.5674296380034</v>
      </c>
      <c r="J33" s="61">
        <f t="shared" si="11"/>
        <v>2638.3692391025588</v>
      </c>
      <c r="K33" s="61">
        <f t="shared" si="11"/>
        <v>2483.1710485671138</v>
      </c>
      <c r="L33" s="61">
        <f t="shared" si="11"/>
        <v>2327.9728580316687</v>
      </c>
      <c r="M33" s="61">
        <f t="shared" si="11"/>
        <v>2172.7746674962241</v>
      </c>
      <c r="N33" s="61">
        <f t="shared" si="11"/>
        <v>2017.576476960779</v>
      </c>
      <c r="O33" s="61">
        <f t="shared" si="11"/>
        <v>1862.3782864253342</v>
      </c>
      <c r="P33" s="61">
        <f t="shared" si="11"/>
        <v>1707.1800958898893</v>
      </c>
      <c r="Q33" s="61">
        <f t="shared" si="11"/>
        <v>1551.9819053544443</v>
      </c>
      <c r="R33" s="61">
        <f t="shared" si="11"/>
        <v>1396.7837148189994</v>
      </c>
      <c r="S33" s="61">
        <f t="shared" si="11"/>
        <v>1241.5855242835546</v>
      </c>
      <c r="T33" s="61">
        <f t="shared" si="11"/>
        <v>1086.3873337481098</v>
      </c>
      <c r="U33" s="61">
        <f t="shared" si="11"/>
        <v>931.18914321266516</v>
      </c>
      <c r="V33" s="61">
        <f t="shared" si="11"/>
        <v>775.99095267722055</v>
      </c>
      <c r="W33" s="61">
        <f t="shared" si="11"/>
        <v>620.79276214177594</v>
      </c>
      <c r="X33" s="61">
        <f t="shared" ref="X33:AF33" si="12">X31*$F$7/2</f>
        <v>620.79276214177594</v>
      </c>
      <c r="Y33" s="61">
        <f t="shared" si="12"/>
        <v>620.79276214177594</v>
      </c>
      <c r="Z33" s="61">
        <f t="shared" si="12"/>
        <v>620.79276214177594</v>
      </c>
      <c r="AA33" s="61">
        <f t="shared" si="12"/>
        <v>620.79276214177594</v>
      </c>
      <c r="AB33" s="61">
        <f t="shared" si="12"/>
        <v>620.79276214177594</v>
      </c>
      <c r="AC33" s="61">
        <f t="shared" si="12"/>
        <v>620.79276214177594</v>
      </c>
      <c r="AD33" s="61">
        <f t="shared" si="12"/>
        <v>620.79276214177594</v>
      </c>
      <c r="AE33" s="61">
        <f t="shared" si="12"/>
        <v>620.79276214177594</v>
      </c>
      <c r="AF33" s="61">
        <f t="shared" si="12"/>
        <v>620.79276214177594</v>
      </c>
      <c r="AG33" s="61"/>
      <c r="AH33" s="61"/>
    </row>
    <row r="34" spans="1:34">
      <c r="A34" s="61" t="s">
        <v>110</v>
      </c>
      <c r="B34" s="282">
        <f>B31-B32</f>
        <v>110855.8503824605</v>
      </c>
      <c r="C34" s="61">
        <f>C31-C32</f>
        <v>104204.49935951286</v>
      </c>
      <c r="D34" s="61">
        <f t="shared" ref="D34:W34" si="13">D31-D32</f>
        <v>99770.265344214436</v>
      </c>
      <c r="E34" s="61">
        <f t="shared" si="13"/>
        <v>95336.031328916011</v>
      </c>
      <c r="F34" s="61">
        <f t="shared" si="13"/>
        <v>90901.797313617586</v>
      </c>
      <c r="G34" s="61">
        <f t="shared" si="13"/>
        <v>86467.563298319161</v>
      </c>
      <c r="H34" s="61">
        <f t="shared" si="13"/>
        <v>82033.329283020736</v>
      </c>
      <c r="I34" s="61">
        <f t="shared" si="13"/>
        <v>77599.09526772231</v>
      </c>
      <c r="J34" s="61">
        <f t="shared" si="13"/>
        <v>73164.861252423885</v>
      </c>
      <c r="K34" s="61">
        <f t="shared" si="13"/>
        <v>68730.62723712546</v>
      </c>
      <c r="L34" s="61">
        <f t="shared" si="13"/>
        <v>64296.393221827035</v>
      </c>
      <c r="M34" s="61">
        <f t="shared" si="13"/>
        <v>59862.15920652861</v>
      </c>
      <c r="N34" s="61">
        <f t="shared" si="13"/>
        <v>55427.925191230184</v>
      </c>
      <c r="O34" s="61">
        <f t="shared" si="13"/>
        <v>50993.691175931759</v>
      </c>
      <c r="P34" s="61">
        <f t="shared" si="13"/>
        <v>46559.457160633334</v>
      </c>
      <c r="Q34" s="61">
        <f t="shared" si="13"/>
        <v>42125.223145334909</v>
      </c>
      <c r="R34" s="61">
        <f t="shared" si="13"/>
        <v>37690.989130036483</v>
      </c>
      <c r="S34" s="61">
        <f t="shared" si="13"/>
        <v>33256.755114738058</v>
      </c>
      <c r="T34" s="61">
        <f t="shared" si="13"/>
        <v>28822.52109943964</v>
      </c>
      <c r="U34" s="61">
        <f t="shared" si="13"/>
        <v>24388.287084141222</v>
      </c>
      <c r="V34" s="61">
        <f t="shared" si="13"/>
        <v>19954.053068842804</v>
      </c>
      <c r="W34" s="61">
        <f t="shared" si="13"/>
        <v>17736.936061193595</v>
      </c>
      <c r="X34" s="61">
        <f t="shared" ref="X34:AF34" si="14">X31-X32</f>
        <v>17736.936061193595</v>
      </c>
      <c r="Y34" s="61">
        <f t="shared" si="14"/>
        <v>17736.936061193595</v>
      </c>
      <c r="Z34" s="61">
        <f t="shared" si="14"/>
        <v>17736.936061193595</v>
      </c>
      <c r="AA34" s="61">
        <f t="shared" si="14"/>
        <v>17736.936061193595</v>
      </c>
      <c r="AB34" s="61">
        <f t="shared" si="14"/>
        <v>17736.936061193595</v>
      </c>
      <c r="AC34" s="61">
        <f t="shared" si="14"/>
        <v>17736.936061193595</v>
      </c>
      <c r="AD34" s="61">
        <f t="shared" si="14"/>
        <v>17736.936061193595</v>
      </c>
      <c r="AE34" s="61">
        <f t="shared" si="14"/>
        <v>17736.936061193595</v>
      </c>
      <c r="AF34" s="61">
        <f t="shared" si="14"/>
        <v>17736.936061193595</v>
      </c>
      <c r="AG34" s="61"/>
      <c r="AH34" s="61"/>
    </row>
    <row r="35" spans="1:34">
      <c r="A35" s="338" t="s">
        <v>320</v>
      </c>
      <c r="B35" s="282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</row>
    <row r="36" spans="1:34">
      <c r="A36" s="61" t="s">
        <v>107</v>
      </c>
      <c r="B36" s="282">
        <f>B34</f>
        <v>110855.8503824605</v>
      </c>
      <c r="C36" s="61">
        <f t="shared" ref="C36:V36" si="15">C34</f>
        <v>104204.49935951286</v>
      </c>
      <c r="D36" s="61">
        <f t="shared" si="15"/>
        <v>99770.265344214436</v>
      </c>
      <c r="E36" s="61">
        <f t="shared" si="15"/>
        <v>95336.031328916011</v>
      </c>
      <c r="F36" s="61">
        <f t="shared" si="15"/>
        <v>90901.797313617586</v>
      </c>
      <c r="G36" s="61">
        <f t="shared" si="15"/>
        <v>86467.563298319161</v>
      </c>
      <c r="H36" s="61">
        <f t="shared" si="15"/>
        <v>82033.329283020736</v>
      </c>
      <c r="I36" s="61">
        <f t="shared" si="15"/>
        <v>77599.09526772231</v>
      </c>
      <c r="J36" s="61">
        <f t="shared" si="15"/>
        <v>73164.861252423885</v>
      </c>
      <c r="K36" s="61">
        <f t="shared" si="15"/>
        <v>68730.62723712546</v>
      </c>
      <c r="L36" s="61">
        <f t="shared" si="15"/>
        <v>64296.393221827035</v>
      </c>
      <c r="M36" s="61">
        <f t="shared" si="15"/>
        <v>59862.15920652861</v>
      </c>
      <c r="N36" s="61">
        <f t="shared" si="15"/>
        <v>55427.925191230184</v>
      </c>
      <c r="O36" s="61">
        <f t="shared" si="15"/>
        <v>50993.691175931759</v>
      </c>
      <c r="P36" s="61">
        <f t="shared" si="15"/>
        <v>46559.457160633334</v>
      </c>
      <c r="Q36" s="61">
        <f t="shared" si="15"/>
        <v>42125.223145334909</v>
      </c>
      <c r="R36" s="61">
        <f t="shared" si="15"/>
        <v>37690.989130036483</v>
      </c>
      <c r="S36" s="61">
        <f t="shared" si="15"/>
        <v>33256.755114738058</v>
      </c>
      <c r="T36" s="61">
        <f t="shared" si="15"/>
        <v>28822.52109943964</v>
      </c>
      <c r="U36" s="61">
        <f t="shared" si="15"/>
        <v>24388.287084141222</v>
      </c>
      <c r="V36" s="61">
        <f t="shared" si="15"/>
        <v>19954.053068842804</v>
      </c>
      <c r="W36" s="61">
        <f>W34</f>
        <v>17736.936061193595</v>
      </c>
      <c r="X36" s="61">
        <f t="shared" ref="X36:AF36" si="16">X34</f>
        <v>17736.936061193595</v>
      </c>
      <c r="Y36" s="61">
        <f t="shared" si="16"/>
        <v>17736.936061193595</v>
      </c>
      <c r="Z36" s="61">
        <f t="shared" si="16"/>
        <v>17736.936061193595</v>
      </c>
      <c r="AA36" s="61">
        <f t="shared" si="16"/>
        <v>17736.936061193595</v>
      </c>
      <c r="AB36" s="61">
        <f t="shared" si="16"/>
        <v>17736.936061193595</v>
      </c>
      <c r="AC36" s="61">
        <f t="shared" si="16"/>
        <v>17736.936061193595</v>
      </c>
      <c r="AD36" s="61">
        <f t="shared" si="16"/>
        <v>17736.936061193595</v>
      </c>
      <c r="AE36" s="61">
        <f t="shared" si="16"/>
        <v>17736.936061193595</v>
      </c>
      <c r="AF36" s="61">
        <f t="shared" si="16"/>
        <v>17736.936061193595</v>
      </c>
      <c r="AG36" s="61"/>
      <c r="AH36" s="61"/>
    </row>
    <row r="37" spans="1:34">
      <c r="A37" s="61" t="s">
        <v>108</v>
      </c>
      <c r="B37" s="282">
        <f>$B$31*B22</f>
        <v>4434.2340152984198</v>
      </c>
      <c r="C37" s="61">
        <f>$B$31*C22/2</f>
        <v>2217.1170076492099</v>
      </c>
      <c r="D37" s="61">
        <f t="shared" ref="D37:W37" si="17">$B$31*D22/2</f>
        <v>2217.1170076492099</v>
      </c>
      <c r="E37" s="61">
        <f t="shared" si="17"/>
        <v>2217.1170076492099</v>
      </c>
      <c r="F37" s="61">
        <f t="shared" si="17"/>
        <v>2217.1170076492099</v>
      </c>
      <c r="G37" s="61">
        <f t="shared" si="17"/>
        <v>2217.1170076492099</v>
      </c>
      <c r="H37" s="61">
        <f t="shared" si="17"/>
        <v>2217.1170076492099</v>
      </c>
      <c r="I37" s="61">
        <f t="shared" si="17"/>
        <v>2217.1170076492099</v>
      </c>
      <c r="J37" s="61">
        <f t="shared" si="17"/>
        <v>2217.1170076492099</v>
      </c>
      <c r="K37" s="61">
        <f t="shared" si="17"/>
        <v>2217.1170076492099</v>
      </c>
      <c r="L37" s="61">
        <f t="shared" si="17"/>
        <v>2217.1170076492099</v>
      </c>
      <c r="M37" s="61">
        <f t="shared" si="17"/>
        <v>2217.1170076492099</v>
      </c>
      <c r="N37" s="61">
        <f t="shared" si="17"/>
        <v>2217.1170076492099</v>
      </c>
      <c r="O37" s="61">
        <f t="shared" si="17"/>
        <v>2217.1170076492099</v>
      </c>
      <c r="P37" s="61">
        <f t="shared" si="17"/>
        <v>2217.1170076492099</v>
      </c>
      <c r="Q37" s="61">
        <f t="shared" si="17"/>
        <v>2217.1170076492099</v>
      </c>
      <c r="R37" s="61">
        <f t="shared" si="17"/>
        <v>2217.1170076492099</v>
      </c>
      <c r="S37" s="61">
        <f t="shared" si="17"/>
        <v>2217.1170076492099</v>
      </c>
      <c r="T37" s="61">
        <f t="shared" si="17"/>
        <v>2217.1170076492099</v>
      </c>
      <c r="U37" s="61">
        <f t="shared" si="17"/>
        <v>2217.1170076492099</v>
      </c>
      <c r="V37" s="61">
        <f t="shared" si="17"/>
        <v>2217.1170076492099</v>
      </c>
      <c r="W37" s="61">
        <f t="shared" si="17"/>
        <v>0</v>
      </c>
      <c r="X37" s="61">
        <f t="shared" ref="X37:AF37" si="18">$B$31*X22/2</f>
        <v>0</v>
      </c>
      <c r="Y37" s="61">
        <f t="shared" si="18"/>
        <v>0</v>
      </c>
      <c r="Z37" s="61">
        <f t="shared" si="18"/>
        <v>0</v>
      </c>
      <c r="AA37" s="61">
        <f t="shared" si="18"/>
        <v>0</v>
      </c>
      <c r="AB37" s="61">
        <f t="shared" si="18"/>
        <v>0</v>
      </c>
      <c r="AC37" s="61">
        <f t="shared" si="18"/>
        <v>0</v>
      </c>
      <c r="AD37" s="61">
        <f t="shared" si="18"/>
        <v>0</v>
      </c>
      <c r="AE37" s="61">
        <f t="shared" si="18"/>
        <v>0</v>
      </c>
      <c r="AF37" s="61">
        <f t="shared" si="18"/>
        <v>0</v>
      </c>
      <c r="AG37" s="61"/>
      <c r="AH37" s="61"/>
    </row>
    <row r="38" spans="1:34">
      <c r="A38" s="61" t="s">
        <v>109</v>
      </c>
      <c r="B38" s="282">
        <f>B36*$F$7/2</f>
        <v>3879.954763386118</v>
      </c>
      <c r="C38" s="282">
        <f t="shared" ref="C38:W38" si="19">C36*$F$7/2</f>
        <v>3647.1574775829504</v>
      </c>
      <c r="D38" s="282">
        <f t="shared" si="19"/>
        <v>3491.9592870475058</v>
      </c>
      <c r="E38" s="282">
        <f t="shared" si="19"/>
        <v>3336.7610965120607</v>
      </c>
      <c r="F38" s="282">
        <f t="shared" si="19"/>
        <v>3181.5629059766156</v>
      </c>
      <c r="G38" s="282">
        <f t="shared" si="19"/>
        <v>3026.364715441171</v>
      </c>
      <c r="H38" s="282">
        <f t="shared" si="19"/>
        <v>2871.166524905726</v>
      </c>
      <c r="I38" s="282">
        <f t="shared" si="19"/>
        <v>2715.9683343702809</v>
      </c>
      <c r="J38" s="282">
        <f t="shared" si="19"/>
        <v>2560.7701438348363</v>
      </c>
      <c r="K38" s="282">
        <f t="shared" si="19"/>
        <v>2405.5719532993912</v>
      </c>
      <c r="L38" s="282">
        <f t="shared" si="19"/>
        <v>2250.3737627639466</v>
      </c>
      <c r="M38" s="282">
        <f t="shared" si="19"/>
        <v>2095.1755722285016</v>
      </c>
      <c r="N38" s="282">
        <f t="shared" si="19"/>
        <v>1939.9773816930567</v>
      </c>
      <c r="O38" s="282">
        <f t="shared" si="19"/>
        <v>1784.7791911576116</v>
      </c>
      <c r="P38" s="282">
        <f t="shared" si="19"/>
        <v>1629.5810006221668</v>
      </c>
      <c r="Q38" s="282">
        <f t="shared" si="19"/>
        <v>1474.382810086722</v>
      </c>
      <c r="R38" s="282">
        <f t="shared" si="19"/>
        <v>1319.1846195512771</v>
      </c>
      <c r="S38" s="282">
        <f t="shared" si="19"/>
        <v>1163.9864290158321</v>
      </c>
      <c r="T38" s="282">
        <f t="shared" si="19"/>
        <v>1008.7882384803875</v>
      </c>
      <c r="U38" s="282">
        <f t="shared" si="19"/>
        <v>853.59004794494285</v>
      </c>
      <c r="V38" s="282">
        <f t="shared" si="19"/>
        <v>698.39185740949824</v>
      </c>
      <c r="W38" s="282">
        <f t="shared" si="19"/>
        <v>620.79276214177594</v>
      </c>
      <c r="X38" s="282">
        <f t="shared" ref="X38:AF38" si="20">X36*$F$7/2</f>
        <v>620.79276214177594</v>
      </c>
      <c r="Y38" s="282">
        <f t="shared" si="20"/>
        <v>620.79276214177594</v>
      </c>
      <c r="Z38" s="282">
        <f t="shared" si="20"/>
        <v>620.79276214177594</v>
      </c>
      <c r="AA38" s="282">
        <f t="shared" si="20"/>
        <v>620.79276214177594</v>
      </c>
      <c r="AB38" s="282">
        <f t="shared" si="20"/>
        <v>620.79276214177594</v>
      </c>
      <c r="AC38" s="282">
        <f t="shared" si="20"/>
        <v>620.79276214177594</v>
      </c>
      <c r="AD38" s="282">
        <f t="shared" si="20"/>
        <v>620.79276214177594</v>
      </c>
      <c r="AE38" s="282">
        <f t="shared" si="20"/>
        <v>620.79276214177594</v>
      </c>
      <c r="AF38" s="282">
        <f t="shared" si="20"/>
        <v>620.79276214177594</v>
      </c>
      <c r="AG38" s="61"/>
      <c r="AH38" s="61"/>
    </row>
    <row r="39" spans="1:34">
      <c r="A39" s="61" t="s">
        <v>110</v>
      </c>
      <c r="B39" s="282">
        <f>B36-B37</f>
        <v>106421.61636716207</v>
      </c>
      <c r="C39" s="61">
        <f t="shared" ref="C39:R39" si="21">C36-C37</f>
        <v>101987.38235186365</v>
      </c>
      <c r="D39" s="61">
        <f t="shared" si="21"/>
        <v>97553.148336565224</v>
      </c>
      <c r="E39" s="61">
        <f t="shared" si="21"/>
        <v>93118.914321266799</v>
      </c>
      <c r="F39" s="61">
        <f t="shared" si="21"/>
        <v>88684.680305968373</v>
      </c>
      <c r="G39" s="61">
        <f t="shared" si="21"/>
        <v>84250.446290669948</v>
      </c>
      <c r="H39" s="61">
        <f t="shared" si="21"/>
        <v>79816.212275371523</v>
      </c>
      <c r="I39" s="61">
        <f t="shared" si="21"/>
        <v>75381.978260073098</v>
      </c>
      <c r="J39" s="61">
        <f t="shared" si="21"/>
        <v>70947.744244774673</v>
      </c>
      <c r="K39" s="61">
        <f t="shared" si="21"/>
        <v>66513.510229476247</v>
      </c>
      <c r="L39" s="61">
        <f t="shared" si="21"/>
        <v>62079.276214177822</v>
      </c>
      <c r="M39" s="61">
        <f t="shared" si="21"/>
        <v>57645.042198879397</v>
      </c>
      <c r="N39" s="61">
        <f t="shared" si="21"/>
        <v>53210.808183580972</v>
      </c>
      <c r="O39" s="61">
        <f t="shared" si="21"/>
        <v>48776.574168282546</v>
      </c>
      <c r="P39" s="61">
        <f t="shared" si="21"/>
        <v>44342.340152984121</v>
      </c>
      <c r="Q39" s="61">
        <f t="shared" si="21"/>
        <v>39908.106137685696</v>
      </c>
      <c r="R39" s="61">
        <f t="shared" si="21"/>
        <v>35473.872122387271</v>
      </c>
      <c r="S39" s="61">
        <f>S36-S37</f>
        <v>31039.638107088849</v>
      </c>
      <c r="T39" s="61">
        <f>T36-T37</f>
        <v>26605.404091790431</v>
      </c>
      <c r="U39" s="61">
        <f>U36-U37</f>
        <v>22171.170076492013</v>
      </c>
      <c r="V39" s="61">
        <f>V36-V37</f>
        <v>17736.936061193595</v>
      </c>
      <c r="W39" s="61">
        <f>W36-W37</f>
        <v>17736.936061193595</v>
      </c>
      <c r="X39" s="61">
        <f t="shared" ref="X39:AE39" si="22">X36-X37</f>
        <v>17736.936061193595</v>
      </c>
      <c r="Y39" s="61">
        <f t="shared" si="22"/>
        <v>17736.936061193595</v>
      </c>
      <c r="Z39" s="61">
        <f t="shared" si="22"/>
        <v>17736.936061193595</v>
      </c>
      <c r="AA39" s="61">
        <f t="shared" si="22"/>
        <v>17736.936061193595</v>
      </c>
      <c r="AB39" s="61">
        <f t="shared" si="22"/>
        <v>17736.936061193595</v>
      </c>
      <c r="AC39" s="61">
        <f t="shared" si="22"/>
        <v>17736.936061193595</v>
      </c>
      <c r="AD39" s="61">
        <f t="shared" si="22"/>
        <v>17736.936061193595</v>
      </c>
      <c r="AE39" s="61">
        <f t="shared" si="22"/>
        <v>17736.936061193595</v>
      </c>
      <c r="AF39" s="61">
        <f>AF36-AF37</f>
        <v>17736.936061193595</v>
      </c>
      <c r="AG39" s="61"/>
      <c r="AH39" s="61"/>
    </row>
    <row r="40" spans="1:34">
      <c r="A40" s="61"/>
      <c r="B40" s="282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</row>
    <row r="41" spans="1:34">
      <c r="A41" s="63" t="s">
        <v>321</v>
      </c>
      <c r="B41" s="282">
        <f>B33+B38</f>
        <v>3879.954763386118</v>
      </c>
      <c r="C41" s="282">
        <f t="shared" ref="C41:W41" si="23">C33+C38</f>
        <v>7371.9140504336228</v>
      </c>
      <c r="D41" s="282">
        <f t="shared" si="23"/>
        <v>7061.5176693627336</v>
      </c>
      <c r="E41" s="282">
        <f t="shared" si="23"/>
        <v>6751.1212882918444</v>
      </c>
      <c r="F41" s="282">
        <f t="shared" si="23"/>
        <v>6440.7249072209543</v>
      </c>
      <c r="G41" s="282">
        <f t="shared" si="23"/>
        <v>6130.3285261500641</v>
      </c>
      <c r="H41" s="282">
        <f t="shared" si="23"/>
        <v>5819.932145079174</v>
      </c>
      <c r="I41" s="282">
        <f t="shared" si="23"/>
        <v>5509.5357640082839</v>
      </c>
      <c r="J41" s="282">
        <f t="shared" si="23"/>
        <v>5199.1393829373956</v>
      </c>
      <c r="K41" s="282">
        <f t="shared" si="23"/>
        <v>4888.7430018665054</v>
      </c>
      <c r="L41" s="282">
        <f t="shared" si="23"/>
        <v>4578.3466207956153</v>
      </c>
      <c r="M41" s="282">
        <f t="shared" si="23"/>
        <v>4267.9502397247252</v>
      </c>
      <c r="N41" s="282">
        <f t="shared" si="23"/>
        <v>3957.553858653836</v>
      </c>
      <c r="O41" s="282">
        <f t="shared" si="23"/>
        <v>3647.1574775829458</v>
      </c>
      <c r="P41" s="282">
        <f t="shared" si="23"/>
        <v>3336.7610965120562</v>
      </c>
      <c r="Q41" s="282">
        <f t="shared" si="23"/>
        <v>3026.3647154411665</v>
      </c>
      <c r="R41" s="282">
        <f t="shared" si="23"/>
        <v>2715.9683343702764</v>
      </c>
      <c r="S41" s="282">
        <f t="shared" si="23"/>
        <v>2405.5719532993867</v>
      </c>
      <c r="T41" s="282">
        <f t="shared" si="23"/>
        <v>2095.175572228497</v>
      </c>
      <c r="U41" s="282">
        <f t="shared" si="23"/>
        <v>1784.779191157608</v>
      </c>
      <c r="V41" s="282">
        <f t="shared" si="23"/>
        <v>1474.3828100867188</v>
      </c>
      <c r="W41" s="282">
        <f t="shared" si="23"/>
        <v>1241.5855242835519</v>
      </c>
      <c r="X41" s="282">
        <f t="shared" ref="X41:AF41" si="24">X33+X38</f>
        <v>1241.5855242835519</v>
      </c>
      <c r="Y41" s="282">
        <f t="shared" si="24"/>
        <v>1241.5855242835519</v>
      </c>
      <c r="Z41" s="282">
        <f t="shared" si="24"/>
        <v>1241.5855242835519</v>
      </c>
      <c r="AA41" s="282">
        <f t="shared" si="24"/>
        <v>1241.5855242835519</v>
      </c>
      <c r="AB41" s="282">
        <f t="shared" si="24"/>
        <v>1241.5855242835519</v>
      </c>
      <c r="AC41" s="282">
        <f t="shared" si="24"/>
        <v>1241.5855242835519</v>
      </c>
      <c r="AD41" s="282">
        <f t="shared" si="24"/>
        <v>1241.5855242835519</v>
      </c>
      <c r="AE41" s="282">
        <f t="shared" si="24"/>
        <v>1241.5855242835519</v>
      </c>
      <c r="AF41" s="282">
        <f t="shared" si="24"/>
        <v>1241.5855242835519</v>
      </c>
      <c r="AG41" s="61"/>
      <c r="AH41" s="61"/>
    </row>
    <row r="42" spans="1:34">
      <c r="A42" s="63" t="s">
        <v>322</v>
      </c>
      <c r="B42" s="282">
        <f>B32+B37</f>
        <v>4434.2340152984198</v>
      </c>
      <c r="C42" s="282">
        <f t="shared" ref="C42:W42" si="25">C32+C37</f>
        <v>4434.2340152984198</v>
      </c>
      <c r="D42" s="282">
        <f t="shared" si="25"/>
        <v>4434.2340152984198</v>
      </c>
      <c r="E42" s="282">
        <f t="shared" si="25"/>
        <v>4434.2340152984198</v>
      </c>
      <c r="F42" s="282">
        <f t="shared" si="25"/>
        <v>4434.2340152984198</v>
      </c>
      <c r="G42" s="282">
        <f t="shared" si="25"/>
        <v>4434.2340152984198</v>
      </c>
      <c r="H42" s="282">
        <f t="shared" si="25"/>
        <v>4434.2340152984198</v>
      </c>
      <c r="I42" s="282">
        <f t="shared" si="25"/>
        <v>4434.2340152984198</v>
      </c>
      <c r="J42" s="282">
        <f t="shared" si="25"/>
        <v>4434.2340152984198</v>
      </c>
      <c r="K42" s="282">
        <f t="shared" si="25"/>
        <v>4434.2340152984198</v>
      </c>
      <c r="L42" s="282">
        <f t="shared" si="25"/>
        <v>4434.2340152984198</v>
      </c>
      <c r="M42" s="282">
        <f t="shared" si="25"/>
        <v>4434.2340152984198</v>
      </c>
      <c r="N42" s="282">
        <f t="shared" si="25"/>
        <v>4434.2340152984198</v>
      </c>
      <c r="O42" s="282">
        <f t="shared" si="25"/>
        <v>4434.2340152984198</v>
      </c>
      <c r="P42" s="282">
        <f t="shared" si="25"/>
        <v>4434.2340152984198</v>
      </c>
      <c r="Q42" s="282">
        <f t="shared" si="25"/>
        <v>4434.2340152984198</v>
      </c>
      <c r="R42" s="282">
        <f t="shared" si="25"/>
        <v>4434.2340152984198</v>
      </c>
      <c r="S42" s="282">
        <f t="shared" si="25"/>
        <v>4434.2340152984198</v>
      </c>
      <c r="T42" s="282">
        <f t="shared" si="25"/>
        <v>4434.2340152984198</v>
      </c>
      <c r="U42" s="282">
        <f t="shared" si="25"/>
        <v>4434.2340152984198</v>
      </c>
      <c r="V42" s="282">
        <f t="shared" si="25"/>
        <v>4434.2340152984198</v>
      </c>
      <c r="W42" s="282">
        <f t="shared" si="25"/>
        <v>0</v>
      </c>
      <c r="X42" s="282">
        <f t="shared" ref="X42:AF42" si="26">X32+X37</f>
        <v>0</v>
      </c>
      <c r="Y42" s="282">
        <f t="shared" si="26"/>
        <v>0</v>
      </c>
      <c r="Z42" s="282">
        <f t="shared" si="26"/>
        <v>0</v>
      </c>
      <c r="AA42" s="282">
        <f t="shared" si="26"/>
        <v>0</v>
      </c>
      <c r="AB42" s="282">
        <f t="shared" si="26"/>
        <v>0</v>
      </c>
      <c r="AC42" s="282">
        <f t="shared" si="26"/>
        <v>0</v>
      </c>
      <c r="AD42" s="282">
        <f t="shared" si="26"/>
        <v>0</v>
      </c>
      <c r="AE42" s="282">
        <f t="shared" si="26"/>
        <v>0</v>
      </c>
      <c r="AF42" s="282">
        <f t="shared" si="26"/>
        <v>0</v>
      </c>
    </row>
    <row r="43" spans="1:34">
      <c r="B43" s="15"/>
      <c r="AA43" s="14"/>
      <c r="AB43" s="14"/>
    </row>
    <row r="44" spans="1:34">
      <c r="B44" s="15"/>
      <c r="AA44" s="14"/>
      <c r="AB44" s="14"/>
    </row>
    <row r="45" spans="1:34">
      <c r="A45" s="58" t="str">
        <f>CONCATENATE("Tranche 2 @ ",L7*100,"%")</f>
        <v>Tranche 2 @ 8%</v>
      </c>
      <c r="B45" s="15"/>
      <c r="C45" s="59"/>
      <c r="AA45" s="14"/>
      <c r="AB45" s="14"/>
    </row>
    <row r="46" spans="1:34">
      <c r="A46" s="337" t="str">
        <f>A30</f>
        <v>Period 1</v>
      </c>
      <c r="B46" s="282"/>
      <c r="AA46" s="14"/>
      <c r="AB46" s="14"/>
    </row>
    <row r="47" spans="1:34">
      <c r="A47" s="61" t="s">
        <v>107</v>
      </c>
      <c r="B47" s="140">
        <f>L10</f>
        <v>0</v>
      </c>
      <c r="C47" s="61">
        <f>B55</f>
        <v>0</v>
      </c>
      <c r="D47" s="61">
        <f t="shared" ref="D47:W47" si="27">C55</f>
        <v>0</v>
      </c>
      <c r="E47" s="61">
        <f t="shared" si="27"/>
        <v>0</v>
      </c>
      <c r="F47" s="61">
        <f t="shared" si="27"/>
        <v>0</v>
      </c>
      <c r="G47" s="61">
        <f t="shared" si="27"/>
        <v>0</v>
      </c>
      <c r="H47" s="61">
        <f t="shared" si="27"/>
        <v>0</v>
      </c>
      <c r="I47" s="61">
        <f t="shared" si="27"/>
        <v>0</v>
      </c>
      <c r="J47" s="61">
        <f t="shared" si="27"/>
        <v>0</v>
      </c>
      <c r="K47" s="61">
        <f t="shared" si="27"/>
        <v>0</v>
      </c>
      <c r="L47" s="61">
        <f t="shared" si="27"/>
        <v>0</v>
      </c>
      <c r="M47" s="61">
        <f t="shared" si="27"/>
        <v>0</v>
      </c>
      <c r="N47" s="61">
        <f t="shared" si="27"/>
        <v>0</v>
      </c>
      <c r="O47" s="61">
        <f t="shared" si="27"/>
        <v>0</v>
      </c>
      <c r="P47" s="61">
        <f t="shared" si="27"/>
        <v>0</v>
      </c>
      <c r="Q47" s="61">
        <f t="shared" si="27"/>
        <v>0</v>
      </c>
      <c r="R47" s="61">
        <f t="shared" si="27"/>
        <v>0</v>
      </c>
      <c r="S47" s="61">
        <f t="shared" si="27"/>
        <v>0</v>
      </c>
      <c r="T47" s="61">
        <f t="shared" si="27"/>
        <v>0</v>
      </c>
      <c r="U47" s="61">
        <f t="shared" si="27"/>
        <v>0</v>
      </c>
      <c r="V47" s="61">
        <f t="shared" si="27"/>
        <v>0</v>
      </c>
      <c r="W47" s="61">
        <f t="shared" si="27"/>
        <v>0</v>
      </c>
      <c r="X47" s="61">
        <f t="shared" ref="X47:AF47" si="28">W55</f>
        <v>0</v>
      </c>
      <c r="Y47" s="61">
        <f t="shared" si="28"/>
        <v>0</v>
      </c>
      <c r="Z47" s="61">
        <f t="shared" si="28"/>
        <v>0</v>
      </c>
      <c r="AA47" s="61">
        <f t="shared" si="28"/>
        <v>0</v>
      </c>
      <c r="AB47" s="61">
        <f t="shared" si="28"/>
        <v>0</v>
      </c>
      <c r="AC47" s="61">
        <f t="shared" si="28"/>
        <v>0</v>
      </c>
      <c r="AD47" s="61">
        <f t="shared" si="28"/>
        <v>0</v>
      </c>
      <c r="AE47" s="61">
        <f t="shared" si="28"/>
        <v>0</v>
      </c>
      <c r="AF47" s="61">
        <f t="shared" si="28"/>
        <v>0</v>
      </c>
      <c r="AG47" s="61"/>
      <c r="AH47" s="20"/>
    </row>
    <row r="48" spans="1:34">
      <c r="A48" s="61" t="s">
        <v>108</v>
      </c>
      <c r="B48" s="282">
        <v>0</v>
      </c>
      <c r="C48" s="61">
        <f>$B$47*C24/2</f>
        <v>0</v>
      </c>
      <c r="D48" s="61">
        <f t="shared" ref="D48:W48" si="29">$B$47*D24/2</f>
        <v>0</v>
      </c>
      <c r="E48" s="61">
        <f t="shared" si="29"/>
        <v>0</v>
      </c>
      <c r="F48" s="61">
        <f t="shared" si="29"/>
        <v>0</v>
      </c>
      <c r="G48" s="61">
        <f t="shared" si="29"/>
        <v>0</v>
      </c>
      <c r="H48" s="61">
        <f t="shared" si="29"/>
        <v>0</v>
      </c>
      <c r="I48" s="61">
        <f t="shared" si="29"/>
        <v>0</v>
      </c>
      <c r="J48" s="61">
        <f t="shared" si="29"/>
        <v>0</v>
      </c>
      <c r="K48" s="61">
        <f t="shared" si="29"/>
        <v>0</v>
      </c>
      <c r="L48" s="61">
        <f t="shared" si="29"/>
        <v>0</v>
      </c>
      <c r="M48" s="61">
        <f t="shared" si="29"/>
        <v>0</v>
      </c>
      <c r="N48" s="61">
        <f t="shared" si="29"/>
        <v>0</v>
      </c>
      <c r="O48" s="61">
        <f t="shared" si="29"/>
        <v>0</v>
      </c>
      <c r="P48" s="61">
        <f t="shared" si="29"/>
        <v>0</v>
      </c>
      <c r="Q48" s="61">
        <f t="shared" si="29"/>
        <v>0</v>
      </c>
      <c r="R48" s="61">
        <f t="shared" si="29"/>
        <v>0</v>
      </c>
      <c r="S48" s="61">
        <f t="shared" si="29"/>
        <v>0</v>
      </c>
      <c r="T48" s="61">
        <f t="shared" si="29"/>
        <v>0</v>
      </c>
      <c r="U48" s="61">
        <f t="shared" si="29"/>
        <v>0</v>
      </c>
      <c r="V48" s="61">
        <f t="shared" si="29"/>
        <v>0</v>
      </c>
      <c r="W48" s="61">
        <f t="shared" si="29"/>
        <v>0</v>
      </c>
      <c r="X48" s="61">
        <f t="shared" ref="X48:AF48" si="30">$B$47*X24/2</f>
        <v>0</v>
      </c>
      <c r="Y48" s="61">
        <f t="shared" si="30"/>
        <v>0</v>
      </c>
      <c r="Z48" s="61">
        <f t="shared" si="30"/>
        <v>0</v>
      </c>
      <c r="AA48" s="61">
        <f t="shared" si="30"/>
        <v>0</v>
      </c>
      <c r="AB48" s="61">
        <f t="shared" si="30"/>
        <v>0</v>
      </c>
      <c r="AC48" s="61">
        <f t="shared" si="30"/>
        <v>0</v>
      </c>
      <c r="AD48" s="61">
        <f t="shared" si="30"/>
        <v>0</v>
      </c>
      <c r="AE48" s="61">
        <f t="shared" si="30"/>
        <v>0</v>
      </c>
      <c r="AF48" s="61">
        <f t="shared" si="30"/>
        <v>0</v>
      </c>
      <c r="AG48" s="61"/>
      <c r="AH48" s="20"/>
    </row>
    <row r="49" spans="1:34">
      <c r="A49" s="61" t="s">
        <v>109</v>
      </c>
      <c r="B49" s="282">
        <v>0</v>
      </c>
      <c r="C49" s="61">
        <f>C47*$L$7/2</f>
        <v>0</v>
      </c>
      <c r="D49" s="61">
        <f t="shared" ref="D49:W49" si="31">D47*$L$7/2</f>
        <v>0</v>
      </c>
      <c r="E49" s="61">
        <f t="shared" si="31"/>
        <v>0</v>
      </c>
      <c r="F49" s="61">
        <f t="shared" si="31"/>
        <v>0</v>
      </c>
      <c r="G49" s="61">
        <f t="shared" si="31"/>
        <v>0</v>
      </c>
      <c r="H49" s="61">
        <f t="shared" si="31"/>
        <v>0</v>
      </c>
      <c r="I49" s="61">
        <f t="shared" si="31"/>
        <v>0</v>
      </c>
      <c r="J49" s="61">
        <f t="shared" si="31"/>
        <v>0</v>
      </c>
      <c r="K49" s="61">
        <f t="shared" si="31"/>
        <v>0</v>
      </c>
      <c r="L49" s="61">
        <f t="shared" si="31"/>
        <v>0</v>
      </c>
      <c r="M49" s="61">
        <f t="shared" si="31"/>
        <v>0</v>
      </c>
      <c r="N49" s="61">
        <f t="shared" si="31"/>
        <v>0</v>
      </c>
      <c r="O49" s="61">
        <f t="shared" si="31"/>
        <v>0</v>
      </c>
      <c r="P49" s="61">
        <f t="shared" si="31"/>
        <v>0</v>
      </c>
      <c r="Q49" s="61">
        <f t="shared" si="31"/>
        <v>0</v>
      </c>
      <c r="R49" s="61">
        <f t="shared" si="31"/>
        <v>0</v>
      </c>
      <c r="S49" s="61">
        <f t="shared" si="31"/>
        <v>0</v>
      </c>
      <c r="T49" s="61">
        <f t="shared" si="31"/>
        <v>0</v>
      </c>
      <c r="U49" s="61">
        <f t="shared" si="31"/>
        <v>0</v>
      </c>
      <c r="V49" s="61">
        <f t="shared" si="31"/>
        <v>0</v>
      </c>
      <c r="W49" s="61">
        <f t="shared" si="31"/>
        <v>0</v>
      </c>
      <c r="X49" s="61">
        <f t="shared" ref="X49:AF49" si="32">X47*$L$7/2</f>
        <v>0</v>
      </c>
      <c r="Y49" s="61">
        <f t="shared" si="32"/>
        <v>0</v>
      </c>
      <c r="Z49" s="61">
        <f t="shared" si="32"/>
        <v>0</v>
      </c>
      <c r="AA49" s="61">
        <f t="shared" si="32"/>
        <v>0</v>
      </c>
      <c r="AB49" s="61">
        <f t="shared" si="32"/>
        <v>0</v>
      </c>
      <c r="AC49" s="61">
        <f t="shared" si="32"/>
        <v>0</v>
      </c>
      <c r="AD49" s="61">
        <f t="shared" si="32"/>
        <v>0</v>
      </c>
      <c r="AE49" s="61">
        <f t="shared" si="32"/>
        <v>0</v>
      </c>
      <c r="AF49" s="61">
        <f t="shared" si="32"/>
        <v>0</v>
      </c>
      <c r="AG49" s="61"/>
      <c r="AH49" s="20"/>
    </row>
    <row r="50" spans="1:34">
      <c r="A50" s="61" t="s">
        <v>110</v>
      </c>
      <c r="B50" s="282">
        <f>B47-B48</f>
        <v>0</v>
      </c>
      <c r="C50" s="61">
        <f t="shared" ref="C50:R50" si="33">C47-C48</f>
        <v>0</v>
      </c>
      <c r="D50" s="61">
        <f t="shared" si="33"/>
        <v>0</v>
      </c>
      <c r="E50" s="61">
        <f t="shared" si="33"/>
        <v>0</v>
      </c>
      <c r="F50" s="61">
        <f t="shared" si="33"/>
        <v>0</v>
      </c>
      <c r="G50" s="61">
        <f t="shared" si="33"/>
        <v>0</v>
      </c>
      <c r="H50" s="61">
        <f t="shared" si="33"/>
        <v>0</v>
      </c>
      <c r="I50" s="61">
        <f t="shared" si="33"/>
        <v>0</v>
      </c>
      <c r="J50" s="61">
        <f t="shared" si="33"/>
        <v>0</v>
      </c>
      <c r="K50" s="61">
        <f t="shared" si="33"/>
        <v>0</v>
      </c>
      <c r="L50" s="61">
        <f t="shared" si="33"/>
        <v>0</v>
      </c>
      <c r="M50" s="61">
        <f t="shared" si="33"/>
        <v>0</v>
      </c>
      <c r="N50" s="61">
        <f t="shared" si="33"/>
        <v>0</v>
      </c>
      <c r="O50" s="61">
        <f t="shared" si="33"/>
        <v>0</v>
      </c>
      <c r="P50" s="61">
        <f t="shared" si="33"/>
        <v>0</v>
      </c>
      <c r="Q50" s="61">
        <f t="shared" si="33"/>
        <v>0</v>
      </c>
      <c r="R50" s="61">
        <f t="shared" si="33"/>
        <v>0</v>
      </c>
      <c r="S50" s="61">
        <f>S47-S48</f>
        <v>0</v>
      </c>
      <c r="T50" s="61">
        <f>T47-T48</f>
        <v>0</v>
      </c>
      <c r="U50" s="61">
        <f>U47-U48</f>
        <v>0</v>
      </c>
      <c r="V50" s="61">
        <f>V47-V48</f>
        <v>0</v>
      </c>
      <c r="W50" s="61">
        <f>W47-W48</f>
        <v>0</v>
      </c>
      <c r="X50" s="61">
        <f t="shared" ref="X50:AE50" si="34">X47-X48</f>
        <v>0</v>
      </c>
      <c r="Y50" s="61">
        <f t="shared" si="34"/>
        <v>0</v>
      </c>
      <c r="Z50" s="61">
        <f t="shared" si="34"/>
        <v>0</v>
      </c>
      <c r="AA50" s="61">
        <f t="shared" si="34"/>
        <v>0</v>
      </c>
      <c r="AB50" s="61">
        <f t="shared" si="34"/>
        <v>0</v>
      </c>
      <c r="AC50" s="61">
        <f t="shared" si="34"/>
        <v>0</v>
      </c>
      <c r="AD50" s="61">
        <f t="shared" si="34"/>
        <v>0</v>
      </c>
      <c r="AE50" s="61">
        <f t="shared" si="34"/>
        <v>0</v>
      </c>
      <c r="AF50" s="61">
        <f>AF47-AF48</f>
        <v>0</v>
      </c>
      <c r="AG50" s="61"/>
      <c r="AH50" s="20"/>
    </row>
    <row r="51" spans="1:34">
      <c r="A51" s="337" t="str">
        <f>A35</f>
        <v>Period 2</v>
      </c>
      <c r="B51" s="282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20"/>
    </row>
    <row r="52" spans="1:34">
      <c r="A52" s="61" t="s">
        <v>107</v>
      </c>
      <c r="B52" s="282">
        <f>B50</f>
        <v>0</v>
      </c>
      <c r="C52" s="282">
        <f t="shared" ref="C52:W52" si="35">C50</f>
        <v>0</v>
      </c>
      <c r="D52" s="282">
        <f t="shared" si="35"/>
        <v>0</v>
      </c>
      <c r="E52" s="282">
        <f t="shared" si="35"/>
        <v>0</v>
      </c>
      <c r="F52" s="282">
        <f t="shared" si="35"/>
        <v>0</v>
      </c>
      <c r="G52" s="282">
        <f t="shared" si="35"/>
        <v>0</v>
      </c>
      <c r="H52" s="282">
        <f t="shared" si="35"/>
        <v>0</v>
      </c>
      <c r="I52" s="282">
        <f t="shared" si="35"/>
        <v>0</v>
      </c>
      <c r="J52" s="282">
        <f t="shared" si="35"/>
        <v>0</v>
      </c>
      <c r="K52" s="282">
        <f t="shared" si="35"/>
        <v>0</v>
      </c>
      <c r="L52" s="282">
        <f t="shared" si="35"/>
        <v>0</v>
      </c>
      <c r="M52" s="282">
        <f t="shared" si="35"/>
        <v>0</v>
      </c>
      <c r="N52" s="282">
        <f t="shared" si="35"/>
        <v>0</v>
      </c>
      <c r="O52" s="282">
        <f t="shared" si="35"/>
        <v>0</v>
      </c>
      <c r="P52" s="282">
        <f t="shared" si="35"/>
        <v>0</v>
      </c>
      <c r="Q52" s="282">
        <f t="shared" si="35"/>
        <v>0</v>
      </c>
      <c r="R52" s="282">
        <f t="shared" si="35"/>
        <v>0</v>
      </c>
      <c r="S52" s="282">
        <f t="shared" si="35"/>
        <v>0</v>
      </c>
      <c r="T52" s="282">
        <f t="shared" si="35"/>
        <v>0</v>
      </c>
      <c r="U52" s="282">
        <f t="shared" si="35"/>
        <v>0</v>
      </c>
      <c r="V52" s="282">
        <f t="shared" si="35"/>
        <v>0</v>
      </c>
      <c r="W52" s="282">
        <f t="shared" si="35"/>
        <v>0</v>
      </c>
      <c r="X52" s="282">
        <f t="shared" ref="X52:AF52" si="36">X50</f>
        <v>0</v>
      </c>
      <c r="Y52" s="282">
        <f t="shared" si="36"/>
        <v>0</v>
      </c>
      <c r="Z52" s="282">
        <f t="shared" si="36"/>
        <v>0</v>
      </c>
      <c r="AA52" s="282">
        <f t="shared" si="36"/>
        <v>0</v>
      </c>
      <c r="AB52" s="282">
        <f t="shared" si="36"/>
        <v>0</v>
      </c>
      <c r="AC52" s="282">
        <f t="shared" si="36"/>
        <v>0</v>
      </c>
      <c r="AD52" s="282">
        <f t="shared" si="36"/>
        <v>0</v>
      </c>
      <c r="AE52" s="282">
        <f t="shared" si="36"/>
        <v>0</v>
      </c>
      <c r="AF52" s="282">
        <f t="shared" si="36"/>
        <v>0</v>
      </c>
      <c r="AG52" s="61"/>
      <c r="AH52" s="20"/>
    </row>
    <row r="53" spans="1:34">
      <c r="A53" s="61" t="s">
        <v>108</v>
      </c>
      <c r="B53" s="282">
        <f>B24*$B$47</f>
        <v>0</v>
      </c>
      <c r="C53" s="282">
        <f>C24*$B$47/2</f>
        <v>0</v>
      </c>
      <c r="D53" s="282">
        <f t="shared" ref="D53:W53" si="37">D24*$B$47/2</f>
        <v>0</v>
      </c>
      <c r="E53" s="282">
        <f t="shared" si="37"/>
        <v>0</v>
      </c>
      <c r="F53" s="282">
        <f t="shared" si="37"/>
        <v>0</v>
      </c>
      <c r="G53" s="282">
        <f t="shared" si="37"/>
        <v>0</v>
      </c>
      <c r="H53" s="282">
        <f t="shared" si="37"/>
        <v>0</v>
      </c>
      <c r="I53" s="282">
        <f t="shared" si="37"/>
        <v>0</v>
      </c>
      <c r="J53" s="282">
        <f t="shared" si="37"/>
        <v>0</v>
      </c>
      <c r="K53" s="282">
        <f t="shared" si="37"/>
        <v>0</v>
      </c>
      <c r="L53" s="282">
        <f t="shared" si="37"/>
        <v>0</v>
      </c>
      <c r="M53" s="282">
        <f t="shared" si="37"/>
        <v>0</v>
      </c>
      <c r="N53" s="282">
        <f t="shared" si="37"/>
        <v>0</v>
      </c>
      <c r="O53" s="282">
        <f t="shared" si="37"/>
        <v>0</v>
      </c>
      <c r="P53" s="282">
        <f t="shared" si="37"/>
        <v>0</v>
      </c>
      <c r="Q53" s="282">
        <f t="shared" si="37"/>
        <v>0</v>
      </c>
      <c r="R53" s="282">
        <f t="shared" si="37"/>
        <v>0</v>
      </c>
      <c r="S53" s="282">
        <f t="shared" si="37"/>
        <v>0</v>
      </c>
      <c r="T53" s="282">
        <f t="shared" si="37"/>
        <v>0</v>
      </c>
      <c r="U53" s="282">
        <f t="shared" si="37"/>
        <v>0</v>
      </c>
      <c r="V53" s="282">
        <f t="shared" si="37"/>
        <v>0</v>
      </c>
      <c r="W53" s="282">
        <f t="shared" si="37"/>
        <v>0</v>
      </c>
      <c r="X53" s="282">
        <f t="shared" ref="X53:AF53" si="38">X24*$B$47/2</f>
        <v>0</v>
      </c>
      <c r="Y53" s="282">
        <f t="shared" si="38"/>
        <v>0</v>
      </c>
      <c r="Z53" s="282">
        <f t="shared" si="38"/>
        <v>0</v>
      </c>
      <c r="AA53" s="282">
        <f t="shared" si="38"/>
        <v>0</v>
      </c>
      <c r="AB53" s="282">
        <f t="shared" si="38"/>
        <v>0</v>
      </c>
      <c r="AC53" s="282">
        <f t="shared" si="38"/>
        <v>0</v>
      </c>
      <c r="AD53" s="282">
        <f t="shared" si="38"/>
        <v>0</v>
      </c>
      <c r="AE53" s="282">
        <f t="shared" si="38"/>
        <v>0</v>
      </c>
      <c r="AF53" s="282">
        <f t="shared" si="38"/>
        <v>0</v>
      </c>
      <c r="AG53" s="61"/>
      <c r="AH53" s="20"/>
    </row>
    <row r="54" spans="1:34">
      <c r="A54" s="61" t="s">
        <v>109</v>
      </c>
      <c r="B54" s="282">
        <f>B52*$L$7/2</f>
        <v>0</v>
      </c>
      <c r="C54" s="282">
        <f t="shared" ref="C54:W54" si="39">C52*$L$7/2</f>
        <v>0</v>
      </c>
      <c r="D54" s="282">
        <f t="shared" si="39"/>
        <v>0</v>
      </c>
      <c r="E54" s="282">
        <f t="shared" si="39"/>
        <v>0</v>
      </c>
      <c r="F54" s="282">
        <f t="shared" si="39"/>
        <v>0</v>
      </c>
      <c r="G54" s="282">
        <f t="shared" si="39"/>
        <v>0</v>
      </c>
      <c r="H54" s="282">
        <f t="shared" si="39"/>
        <v>0</v>
      </c>
      <c r="I54" s="282">
        <f t="shared" si="39"/>
        <v>0</v>
      </c>
      <c r="J54" s="282">
        <f t="shared" si="39"/>
        <v>0</v>
      </c>
      <c r="K54" s="282">
        <f t="shared" si="39"/>
        <v>0</v>
      </c>
      <c r="L54" s="282">
        <f t="shared" si="39"/>
        <v>0</v>
      </c>
      <c r="M54" s="282">
        <f t="shared" si="39"/>
        <v>0</v>
      </c>
      <c r="N54" s="282">
        <f t="shared" si="39"/>
        <v>0</v>
      </c>
      <c r="O54" s="282">
        <f t="shared" si="39"/>
        <v>0</v>
      </c>
      <c r="P54" s="282">
        <f t="shared" si="39"/>
        <v>0</v>
      </c>
      <c r="Q54" s="282">
        <f t="shared" si="39"/>
        <v>0</v>
      </c>
      <c r="R54" s="282">
        <f t="shared" si="39"/>
        <v>0</v>
      </c>
      <c r="S54" s="282">
        <f t="shared" si="39"/>
        <v>0</v>
      </c>
      <c r="T54" s="282">
        <f t="shared" si="39"/>
        <v>0</v>
      </c>
      <c r="U54" s="282">
        <f t="shared" si="39"/>
        <v>0</v>
      </c>
      <c r="V54" s="282">
        <f t="shared" si="39"/>
        <v>0</v>
      </c>
      <c r="W54" s="282">
        <f t="shared" si="39"/>
        <v>0</v>
      </c>
      <c r="X54" s="282">
        <f t="shared" ref="X54:AF54" si="40">X52*$L$7/2</f>
        <v>0</v>
      </c>
      <c r="Y54" s="282">
        <f t="shared" si="40"/>
        <v>0</v>
      </c>
      <c r="Z54" s="282">
        <f t="shared" si="40"/>
        <v>0</v>
      </c>
      <c r="AA54" s="282">
        <f t="shared" si="40"/>
        <v>0</v>
      </c>
      <c r="AB54" s="282">
        <f t="shared" si="40"/>
        <v>0</v>
      </c>
      <c r="AC54" s="282">
        <f t="shared" si="40"/>
        <v>0</v>
      </c>
      <c r="AD54" s="282">
        <f t="shared" si="40"/>
        <v>0</v>
      </c>
      <c r="AE54" s="282">
        <f t="shared" si="40"/>
        <v>0</v>
      </c>
      <c r="AF54" s="282">
        <f t="shared" si="40"/>
        <v>0</v>
      </c>
      <c r="AG54" s="61"/>
      <c r="AH54" s="20"/>
    </row>
    <row r="55" spans="1:34">
      <c r="A55" s="61" t="s">
        <v>110</v>
      </c>
      <c r="B55" s="282">
        <f>B52-B53</f>
        <v>0</v>
      </c>
      <c r="C55" s="61">
        <f t="shared" ref="C55:R55" si="41">C52-C53</f>
        <v>0</v>
      </c>
      <c r="D55" s="61">
        <f t="shared" si="41"/>
        <v>0</v>
      </c>
      <c r="E55" s="61">
        <f t="shared" si="41"/>
        <v>0</v>
      </c>
      <c r="F55" s="61">
        <f t="shared" si="41"/>
        <v>0</v>
      </c>
      <c r="G55" s="61">
        <f t="shared" si="41"/>
        <v>0</v>
      </c>
      <c r="H55" s="61">
        <f t="shared" si="41"/>
        <v>0</v>
      </c>
      <c r="I55" s="61">
        <f t="shared" si="41"/>
        <v>0</v>
      </c>
      <c r="J55" s="61">
        <f t="shared" si="41"/>
        <v>0</v>
      </c>
      <c r="K55" s="61">
        <f t="shared" si="41"/>
        <v>0</v>
      </c>
      <c r="L55" s="61">
        <f t="shared" si="41"/>
        <v>0</v>
      </c>
      <c r="M55" s="61">
        <f t="shared" si="41"/>
        <v>0</v>
      </c>
      <c r="N55" s="61">
        <f t="shared" si="41"/>
        <v>0</v>
      </c>
      <c r="O55" s="61">
        <f t="shared" si="41"/>
        <v>0</v>
      </c>
      <c r="P55" s="61">
        <f t="shared" si="41"/>
        <v>0</v>
      </c>
      <c r="Q55" s="61">
        <f t="shared" si="41"/>
        <v>0</v>
      </c>
      <c r="R55" s="61">
        <f t="shared" si="41"/>
        <v>0</v>
      </c>
      <c r="S55" s="61">
        <f>S52-S53</f>
        <v>0</v>
      </c>
      <c r="T55" s="61">
        <f>T52-T53</f>
        <v>0</v>
      </c>
      <c r="U55" s="61">
        <f>U52-U53</f>
        <v>0</v>
      </c>
      <c r="V55" s="61">
        <f>V52-V53</f>
        <v>0</v>
      </c>
      <c r="W55" s="61">
        <f>W52-W53</f>
        <v>0</v>
      </c>
      <c r="X55" s="61">
        <f t="shared" ref="X55:AE55" si="42">X52-X53</f>
        <v>0</v>
      </c>
      <c r="Y55" s="61">
        <f t="shared" si="42"/>
        <v>0</v>
      </c>
      <c r="Z55" s="61">
        <f t="shared" si="42"/>
        <v>0</v>
      </c>
      <c r="AA55" s="61">
        <f t="shared" si="42"/>
        <v>0</v>
      </c>
      <c r="AB55" s="61">
        <f t="shared" si="42"/>
        <v>0</v>
      </c>
      <c r="AC55" s="61">
        <f t="shared" si="42"/>
        <v>0</v>
      </c>
      <c r="AD55" s="61">
        <f t="shared" si="42"/>
        <v>0</v>
      </c>
      <c r="AE55" s="61">
        <f t="shared" si="42"/>
        <v>0</v>
      </c>
      <c r="AF55" s="61">
        <f>AF52-AF53</f>
        <v>0</v>
      </c>
      <c r="AG55" s="61"/>
      <c r="AH55" s="20"/>
    </row>
    <row r="56" spans="1:34">
      <c r="A56" s="61"/>
      <c r="B56" s="282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20"/>
    </row>
    <row r="57" spans="1:34">
      <c r="A57" s="63" t="s">
        <v>321</v>
      </c>
      <c r="B57" s="282">
        <f>B54+B49</f>
        <v>0</v>
      </c>
      <c r="C57" s="282">
        <f t="shared" ref="C57:W57" si="43">C54+C49</f>
        <v>0</v>
      </c>
      <c r="D57" s="282">
        <f t="shared" si="43"/>
        <v>0</v>
      </c>
      <c r="E57" s="282">
        <f t="shared" si="43"/>
        <v>0</v>
      </c>
      <c r="F57" s="282">
        <f t="shared" si="43"/>
        <v>0</v>
      </c>
      <c r="G57" s="282">
        <f t="shared" si="43"/>
        <v>0</v>
      </c>
      <c r="H57" s="282">
        <f t="shared" si="43"/>
        <v>0</v>
      </c>
      <c r="I57" s="282">
        <f t="shared" si="43"/>
        <v>0</v>
      </c>
      <c r="J57" s="282">
        <f t="shared" si="43"/>
        <v>0</v>
      </c>
      <c r="K57" s="282">
        <f t="shared" si="43"/>
        <v>0</v>
      </c>
      <c r="L57" s="282">
        <f t="shared" si="43"/>
        <v>0</v>
      </c>
      <c r="M57" s="282">
        <f t="shared" si="43"/>
        <v>0</v>
      </c>
      <c r="N57" s="282">
        <f t="shared" si="43"/>
        <v>0</v>
      </c>
      <c r="O57" s="282">
        <f t="shared" si="43"/>
        <v>0</v>
      </c>
      <c r="P57" s="282">
        <f t="shared" si="43"/>
        <v>0</v>
      </c>
      <c r="Q57" s="282">
        <f t="shared" si="43"/>
        <v>0</v>
      </c>
      <c r="R57" s="282">
        <f t="shared" si="43"/>
        <v>0</v>
      </c>
      <c r="S57" s="282">
        <f t="shared" si="43"/>
        <v>0</v>
      </c>
      <c r="T57" s="282">
        <f t="shared" si="43"/>
        <v>0</v>
      </c>
      <c r="U57" s="282">
        <f t="shared" si="43"/>
        <v>0</v>
      </c>
      <c r="V57" s="282">
        <f t="shared" si="43"/>
        <v>0</v>
      </c>
      <c r="W57" s="282">
        <f t="shared" si="43"/>
        <v>0</v>
      </c>
      <c r="X57" s="282">
        <f t="shared" ref="X57:AF57" si="44">X54+X49</f>
        <v>0</v>
      </c>
      <c r="Y57" s="282">
        <f t="shared" si="44"/>
        <v>0</v>
      </c>
      <c r="Z57" s="282">
        <f t="shared" si="44"/>
        <v>0</v>
      </c>
      <c r="AA57" s="282">
        <f t="shared" si="44"/>
        <v>0</v>
      </c>
      <c r="AB57" s="282">
        <f t="shared" si="44"/>
        <v>0</v>
      </c>
      <c r="AC57" s="282">
        <f t="shared" si="44"/>
        <v>0</v>
      </c>
      <c r="AD57" s="282">
        <f t="shared" si="44"/>
        <v>0</v>
      </c>
      <c r="AE57" s="282">
        <f t="shared" si="44"/>
        <v>0</v>
      </c>
      <c r="AF57" s="282">
        <f t="shared" si="44"/>
        <v>0</v>
      </c>
      <c r="AG57" s="61"/>
      <c r="AH57" s="20"/>
    </row>
    <row r="58" spans="1:34">
      <c r="A58" s="63" t="s">
        <v>322</v>
      </c>
      <c r="B58" s="282">
        <f>B53+B48</f>
        <v>0</v>
      </c>
      <c r="C58" s="282">
        <f t="shared" ref="C58:W58" si="45">C53+C48</f>
        <v>0</v>
      </c>
      <c r="D58" s="282">
        <f t="shared" si="45"/>
        <v>0</v>
      </c>
      <c r="E58" s="282">
        <f t="shared" si="45"/>
        <v>0</v>
      </c>
      <c r="F58" s="282">
        <f t="shared" si="45"/>
        <v>0</v>
      </c>
      <c r="G58" s="282">
        <f t="shared" si="45"/>
        <v>0</v>
      </c>
      <c r="H58" s="282">
        <f t="shared" si="45"/>
        <v>0</v>
      </c>
      <c r="I58" s="282">
        <f t="shared" si="45"/>
        <v>0</v>
      </c>
      <c r="J58" s="282">
        <f t="shared" si="45"/>
        <v>0</v>
      </c>
      <c r="K58" s="282">
        <f t="shared" si="45"/>
        <v>0</v>
      </c>
      <c r="L58" s="282">
        <f t="shared" si="45"/>
        <v>0</v>
      </c>
      <c r="M58" s="282">
        <f t="shared" si="45"/>
        <v>0</v>
      </c>
      <c r="N58" s="282">
        <f t="shared" si="45"/>
        <v>0</v>
      </c>
      <c r="O58" s="282">
        <f t="shared" si="45"/>
        <v>0</v>
      </c>
      <c r="P58" s="282">
        <f t="shared" si="45"/>
        <v>0</v>
      </c>
      <c r="Q58" s="282">
        <f t="shared" si="45"/>
        <v>0</v>
      </c>
      <c r="R58" s="282">
        <f t="shared" si="45"/>
        <v>0</v>
      </c>
      <c r="S58" s="282">
        <f t="shared" si="45"/>
        <v>0</v>
      </c>
      <c r="T58" s="282">
        <f t="shared" si="45"/>
        <v>0</v>
      </c>
      <c r="U58" s="282">
        <f t="shared" si="45"/>
        <v>0</v>
      </c>
      <c r="V58" s="282">
        <f t="shared" si="45"/>
        <v>0</v>
      </c>
      <c r="W58" s="282">
        <f t="shared" si="45"/>
        <v>0</v>
      </c>
      <c r="X58" s="282">
        <f t="shared" ref="X58:AF58" si="46">X53+X48</f>
        <v>0</v>
      </c>
      <c r="Y58" s="282">
        <f t="shared" si="46"/>
        <v>0</v>
      </c>
      <c r="Z58" s="282">
        <f t="shared" si="46"/>
        <v>0</v>
      </c>
      <c r="AA58" s="282">
        <f t="shared" si="46"/>
        <v>0</v>
      </c>
      <c r="AB58" s="282">
        <f t="shared" si="46"/>
        <v>0</v>
      </c>
      <c r="AC58" s="282">
        <f t="shared" si="46"/>
        <v>0</v>
      </c>
      <c r="AD58" s="282">
        <f t="shared" si="46"/>
        <v>0</v>
      </c>
      <c r="AE58" s="282">
        <f t="shared" si="46"/>
        <v>0</v>
      </c>
      <c r="AF58" s="282">
        <f t="shared" si="46"/>
        <v>0</v>
      </c>
      <c r="AG58" s="61"/>
      <c r="AH58" s="20"/>
    </row>
    <row r="59" spans="1:34">
      <c r="B59" s="140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20"/>
    </row>
    <row r="60" spans="1:34">
      <c r="B60" s="282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20"/>
    </row>
    <row r="61" spans="1:34">
      <c r="A61" s="58" t="str">
        <f>CONCATENATE("Tranche 3 @ ",R7*100,"%")</f>
        <v>Tranche 3 @ 8%</v>
      </c>
      <c r="B61" s="15"/>
      <c r="C61" s="59"/>
      <c r="AA61" s="14"/>
      <c r="AB61" s="14"/>
    </row>
    <row r="62" spans="1:34">
      <c r="A62" s="337" t="str">
        <f>A30</f>
        <v>Period 1</v>
      </c>
      <c r="B62" s="282"/>
      <c r="AA62" s="14"/>
      <c r="AB62" s="14"/>
    </row>
    <row r="63" spans="1:34">
      <c r="A63" s="61" t="s">
        <v>107</v>
      </c>
      <c r="B63" s="140">
        <f>R10</f>
        <v>0</v>
      </c>
      <c r="C63" s="61">
        <f>B71</f>
        <v>0</v>
      </c>
      <c r="D63" s="61">
        <f t="shared" ref="D63:W63" si="47">C71</f>
        <v>0</v>
      </c>
      <c r="E63" s="61">
        <f t="shared" si="47"/>
        <v>0</v>
      </c>
      <c r="F63" s="61">
        <f t="shared" si="47"/>
        <v>0</v>
      </c>
      <c r="G63" s="61">
        <f t="shared" si="47"/>
        <v>0</v>
      </c>
      <c r="H63" s="61">
        <f t="shared" si="47"/>
        <v>0</v>
      </c>
      <c r="I63" s="61">
        <f t="shared" si="47"/>
        <v>0</v>
      </c>
      <c r="J63" s="61">
        <f t="shared" si="47"/>
        <v>0</v>
      </c>
      <c r="K63" s="61">
        <f t="shared" si="47"/>
        <v>0</v>
      </c>
      <c r="L63" s="61">
        <f t="shared" si="47"/>
        <v>0</v>
      </c>
      <c r="M63" s="61">
        <f t="shared" si="47"/>
        <v>0</v>
      </c>
      <c r="N63" s="61">
        <f t="shared" si="47"/>
        <v>0</v>
      </c>
      <c r="O63" s="61">
        <f t="shared" si="47"/>
        <v>0</v>
      </c>
      <c r="P63" s="61">
        <f t="shared" si="47"/>
        <v>0</v>
      </c>
      <c r="Q63" s="61">
        <f t="shared" si="47"/>
        <v>0</v>
      </c>
      <c r="R63" s="61">
        <f t="shared" si="47"/>
        <v>0</v>
      </c>
      <c r="S63" s="61">
        <f t="shared" si="47"/>
        <v>0</v>
      </c>
      <c r="T63" s="61">
        <f t="shared" si="47"/>
        <v>0</v>
      </c>
      <c r="U63" s="61">
        <f t="shared" si="47"/>
        <v>0</v>
      </c>
      <c r="V63" s="61">
        <f t="shared" si="47"/>
        <v>0</v>
      </c>
      <c r="W63" s="61">
        <f t="shared" si="47"/>
        <v>0</v>
      </c>
      <c r="X63" s="61">
        <f t="shared" ref="X63:AF63" si="48">W71</f>
        <v>0</v>
      </c>
      <c r="Y63" s="61">
        <f t="shared" si="48"/>
        <v>0</v>
      </c>
      <c r="Z63" s="61">
        <f t="shared" si="48"/>
        <v>0</v>
      </c>
      <c r="AA63" s="61">
        <f t="shared" si="48"/>
        <v>0</v>
      </c>
      <c r="AB63" s="61">
        <f t="shared" si="48"/>
        <v>0</v>
      </c>
      <c r="AC63" s="61">
        <f t="shared" si="48"/>
        <v>0</v>
      </c>
      <c r="AD63" s="61">
        <f t="shared" si="48"/>
        <v>0</v>
      </c>
      <c r="AE63" s="61">
        <f t="shared" si="48"/>
        <v>0</v>
      </c>
      <c r="AF63" s="61">
        <f t="shared" si="48"/>
        <v>0</v>
      </c>
      <c r="AG63" s="61"/>
      <c r="AH63" s="20"/>
    </row>
    <row r="64" spans="1:34">
      <c r="A64" s="61" t="s">
        <v>108</v>
      </c>
      <c r="B64" s="282">
        <v>0</v>
      </c>
      <c r="C64" s="61">
        <f>$B$63*C26/2</f>
        <v>0</v>
      </c>
      <c r="D64" s="61">
        <f t="shared" ref="D64:W64" si="49">$B$63*D26/2</f>
        <v>0</v>
      </c>
      <c r="E64" s="61">
        <f t="shared" si="49"/>
        <v>0</v>
      </c>
      <c r="F64" s="61">
        <f t="shared" si="49"/>
        <v>0</v>
      </c>
      <c r="G64" s="61">
        <f t="shared" si="49"/>
        <v>0</v>
      </c>
      <c r="H64" s="61">
        <f t="shared" si="49"/>
        <v>0</v>
      </c>
      <c r="I64" s="61">
        <f t="shared" si="49"/>
        <v>0</v>
      </c>
      <c r="J64" s="61">
        <f t="shared" si="49"/>
        <v>0</v>
      </c>
      <c r="K64" s="61">
        <f t="shared" si="49"/>
        <v>0</v>
      </c>
      <c r="L64" s="61">
        <f t="shared" si="49"/>
        <v>0</v>
      </c>
      <c r="M64" s="61">
        <f t="shared" si="49"/>
        <v>0</v>
      </c>
      <c r="N64" s="61">
        <f t="shared" si="49"/>
        <v>0</v>
      </c>
      <c r="O64" s="61">
        <f t="shared" si="49"/>
        <v>0</v>
      </c>
      <c r="P64" s="61">
        <f t="shared" si="49"/>
        <v>0</v>
      </c>
      <c r="Q64" s="61">
        <f t="shared" si="49"/>
        <v>0</v>
      </c>
      <c r="R64" s="61">
        <f t="shared" si="49"/>
        <v>0</v>
      </c>
      <c r="S64" s="61">
        <f t="shared" si="49"/>
        <v>0</v>
      </c>
      <c r="T64" s="61">
        <f t="shared" si="49"/>
        <v>0</v>
      </c>
      <c r="U64" s="61">
        <f t="shared" si="49"/>
        <v>0</v>
      </c>
      <c r="V64" s="61">
        <f t="shared" si="49"/>
        <v>0</v>
      </c>
      <c r="W64" s="61">
        <f t="shared" si="49"/>
        <v>0</v>
      </c>
      <c r="X64" s="61">
        <f t="shared" ref="X64:AF64" si="50">$B$63*X26/2</f>
        <v>0</v>
      </c>
      <c r="Y64" s="61">
        <f t="shared" si="50"/>
        <v>0</v>
      </c>
      <c r="Z64" s="61">
        <f t="shared" si="50"/>
        <v>0</v>
      </c>
      <c r="AA64" s="61">
        <f t="shared" si="50"/>
        <v>0</v>
      </c>
      <c r="AB64" s="61">
        <f t="shared" si="50"/>
        <v>0</v>
      </c>
      <c r="AC64" s="61">
        <f t="shared" si="50"/>
        <v>0</v>
      </c>
      <c r="AD64" s="61">
        <f t="shared" si="50"/>
        <v>0</v>
      </c>
      <c r="AE64" s="61">
        <f t="shared" si="50"/>
        <v>0</v>
      </c>
      <c r="AF64" s="61">
        <f t="shared" si="50"/>
        <v>0</v>
      </c>
      <c r="AG64" s="280"/>
      <c r="AH64" s="20"/>
    </row>
    <row r="65" spans="1:39">
      <c r="A65" s="61" t="s">
        <v>109</v>
      </c>
      <c r="B65" s="282">
        <v>0</v>
      </c>
      <c r="C65" s="61">
        <f>C63*$R$7/2</f>
        <v>0</v>
      </c>
      <c r="D65" s="61">
        <f t="shared" ref="D65:W65" si="51">D63*$R$7/2</f>
        <v>0</v>
      </c>
      <c r="E65" s="61">
        <f t="shared" si="51"/>
        <v>0</v>
      </c>
      <c r="F65" s="61">
        <f t="shared" si="51"/>
        <v>0</v>
      </c>
      <c r="G65" s="61">
        <f t="shared" si="51"/>
        <v>0</v>
      </c>
      <c r="H65" s="61">
        <f t="shared" si="51"/>
        <v>0</v>
      </c>
      <c r="I65" s="61">
        <f t="shared" si="51"/>
        <v>0</v>
      </c>
      <c r="J65" s="61">
        <f t="shared" si="51"/>
        <v>0</v>
      </c>
      <c r="K65" s="61">
        <f t="shared" si="51"/>
        <v>0</v>
      </c>
      <c r="L65" s="61">
        <f t="shared" si="51"/>
        <v>0</v>
      </c>
      <c r="M65" s="61">
        <f t="shared" si="51"/>
        <v>0</v>
      </c>
      <c r="N65" s="61">
        <f t="shared" si="51"/>
        <v>0</v>
      </c>
      <c r="O65" s="61">
        <f t="shared" si="51"/>
        <v>0</v>
      </c>
      <c r="P65" s="61">
        <f t="shared" si="51"/>
        <v>0</v>
      </c>
      <c r="Q65" s="61">
        <f t="shared" si="51"/>
        <v>0</v>
      </c>
      <c r="R65" s="61">
        <f t="shared" si="51"/>
        <v>0</v>
      </c>
      <c r="S65" s="61">
        <f t="shared" si="51"/>
        <v>0</v>
      </c>
      <c r="T65" s="61">
        <f t="shared" si="51"/>
        <v>0</v>
      </c>
      <c r="U65" s="61">
        <f t="shared" si="51"/>
        <v>0</v>
      </c>
      <c r="V65" s="61">
        <f t="shared" si="51"/>
        <v>0</v>
      </c>
      <c r="W65" s="61">
        <f t="shared" si="51"/>
        <v>0</v>
      </c>
      <c r="X65" s="61">
        <f t="shared" ref="X65:AF65" si="52">X63*$R$7/2</f>
        <v>0</v>
      </c>
      <c r="Y65" s="61">
        <f t="shared" si="52"/>
        <v>0</v>
      </c>
      <c r="Z65" s="61">
        <f t="shared" si="52"/>
        <v>0</v>
      </c>
      <c r="AA65" s="61">
        <f t="shared" si="52"/>
        <v>0</v>
      </c>
      <c r="AB65" s="61">
        <f t="shared" si="52"/>
        <v>0</v>
      </c>
      <c r="AC65" s="61">
        <f t="shared" si="52"/>
        <v>0</v>
      </c>
      <c r="AD65" s="61">
        <f t="shared" si="52"/>
        <v>0</v>
      </c>
      <c r="AE65" s="61">
        <f t="shared" si="52"/>
        <v>0</v>
      </c>
      <c r="AF65" s="61">
        <f t="shared" si="52"/>
        <v>0</v>
      </c>
      <c r="AG65" s="280"/>
      <c r="AH65" s="20"/>
    </row>
    <row r="66" spans="1:39">
      <c r="A66" s="61" t="s">
        <v>110</v>
      </c>
      <c r="B66" s="282">
        <f>B63-B64</f>
        <v>0</v>
      </c>
      <c r="C66" s="61">
        <f t="shared" ref="C66:R66" si="53">C63-C64</f>
        <v>0</v>
      </c>
      <c r="D66" s="61">
        <f t="shared" si="53"/>
        <v>0</v>
      </c>
      <c r="E66" s="61">
        <f t="shared" si="53"/>
        <v>0</v>
      </c>
      <c r="F66" s="61">
        <f t="shared" si="53"/>
        <v>0</v>
      </c>
      <c r="G66" s="61">
        <f t="shared" si="53"/>
        <v>0</v>
      </c>
      <c r="H66" s="61">
        <f t="shared" si="53"/>
        <v>0</v>
      </c>
      <c r="I66" s="61">
        <f t="shared" si="53"/>
        <v>0</v>
      </c>
      <c r="J66" s="61">
        <f t="shared" si="53"/>
        <v>0</v>
      </c>
      <c r="K66" s="61">
        <f t="shared" si="53"/>
        <v>0</v>
      </c>
      <c r="L66" s="61">
        <f t="shared" si="53"/>
        <v>0</v>
      </c>
      <c r="M66" s="280">
        <f t="shared" si="53"/>
        <v>0</v>
      </c>
      <c r="N66" s="280">
        <f t="shared" si="53"/>
        <v>0</v>
      </c>
      <c r="O66" s="280">
        <f t="shared" si="53"/>
        <v>0</v>
      </c>
      <c r="P66" s="280">
        <f t="shared" si="53"/>
        <v>0</v>
      </c>
      <c r="Q66" s="280">
        <f t="shared" si="53"/>
        <v>0</v>
      </c>
      <c r="R66" s="280">
        <f t="shared" si="53"/>
        <v>0</v>
      </c>
      <c r="S66" s="280">
        <f>S63-S64</f>
        <v>0</v>
      </c>
      <c r="T66" s="280">
        <f>T63-T64</f>
        <v>0</v>
      </c>
      <c r="U66" s="280">
        <f>U63-U64</f>
        <v>0</v>
      </c>
      <c r="V66" s="280">
        <f>V63-V64</f>
        <v>0</v>
      </c>
      <c r="W66" s="280">
        <f>W63-W64</f>
        <v>0</v>
      </c>
      <c r="X66" s="280">
        <f t="shared" ref="X66:AE66" si="54">X63-X64</f>
        <v>0</v>
      </c>
      <c r="Y66" s="280">
        <f t="shared" si="54"/>
        <v>0</v>
      </c>
      <c r="Z66" s="280">
        <f t="shared" si="54"/>
        <v>0</v>
      </c>
      <c r="AA66" s="280">
        <f t="shared" si="54"/>
        <v>0</v>
      </c>
      <c r="AB66" s="280">
        <f t="shared" si="54"/>
        <v>0</v>
      </c>
      <c r="AC66" s="280">
        <f t="shared" si="54"/>
        <v>0</v>
      </c>
      <c r="AD66" s="280">
        <f t="shared" si="54"/>
        <v>0</v>
      </c>
      <c r="AE66" s="280">
        <f t="shared" si="54"/>
        <v>0</v>
      </c>
      <c r="AF66" s="280">
        <f>AF63-AF64</f>
        <v>0</v>
      </c>
      <c r="AG66" s="280"/>
      <c r="AH66" s="20"/>
    </row>
    <row r="67" spans="1:39">
      <c r="A67" s="337" t="str">
        <f>A35</f>
        <v>Period 2</v>
      </c>
      <c r="B67" s="282"/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280"/>
      <c r="U67" s="280"/>
      <c r="V67" s="280"/>
      <c r="W67" s="280"/>
      <c r="X67" s="280"/>
      <c r="Y67" s="280"/>
      <c r="Z67" s="280"/>
      <c r="AA67" s="280"/>
      <c r="AB67" s="280"/>
      <c r="AC67" s="280"/>
      <c r="AD67" s="280"/>
      <c r="AE67" s="280"/>
      <c r="AF67" s="280"/>
      <c r="AG67" s="61"/>
      <c r="AH67" s="20"/>
    </row>
    <row r="68" spans="1:39">
      <c r="A68" s="61" t="s">
        <v>107</v>
      </c>
      <c r="B68" s="282">
        <f>B66</f>
        <v>0</v>
      </c>
      <c r="C68" s="61">
        <f>C66</f>
        <v>0</v>
      </c>
      <c r="D68" s="61">
        <f t="shared" ref="D68:W68" si="55">D66</f>
        <v>0</v>
      </c>
      <c r="E68" s="61">
        <f t="shared" si="55"/>
        <v>0</v>
      </c>
      <c r="F68" s="61">
        <f t="shared" si="55"/>
        <v>0</v>
      </c>
      <c r="G68" s="61">
        <f t="shared" si="55"/>
        <v>0</v>
      </c>
      <c r="H68" s="61">
        <f t="shared" si="55"/>
        <v>0</v>
      </c>
      <c r="I68" s="61">
        <f t="shared" si="55"/>
        <v>0</v>
      </c>
      <c r="J68" s="61">
        <f t="shared" si="55"/>
        <v>0</v>
      </c>
      <c r="K68" s="61">
        <f t="shared" si="55"/>
        <v>0</v>
      </c>
      <c r="L68" s="61">
        <f t="shared" si="55"/>
        <v>0</v>
      </c>
      <c r="M68" s="61">
        <f t="shared" si="55"/>
        <v>0</v>
      </c>
      <c r="N68" s="61">
        <f t="shared" si="55"/>
        <v>0</v>
      </c>
      <c r="O68" s="61">
        <f t="shared" si="55"/>
        <v>0</v>
      </c>
      <c r="P68" s="61">
        <f t="shared" si="55"/>
        <v>0</v>
      </c>
      <c r="Q68" s="61">
        <f t="shared" si="55"/>
        <v>0</v>
      </c>
      <c r="R68" s="61">
        <f t="shared" si="55"/>
        <v>0</v>
      </c>
      <c r="S68" s="61">
        <f t="shared" si="55"/>
        <v>0</v>
      </c>
      <c r="T68" s="61">
        <f t="shared" si="55"/>
        <v>0</v>
      </c>
      <c r="U68" s="61">
        <f t="shared" si="55"/>
        <v>0</v>
      </c>
      <c r="V68" s="61">
        <f t="shared" si="55"/>
        <v>0</v>
      </c>
      <c r="W68" s="61">
        <f t="shared" si="55"/>
        <v>0</v>
      </c>
      <c r="X68" s="61">
        <f t="shared" ref="X68:AF68" si="56">X66</f>
        <v>0</v>
      </c>
      <c r="Y68" s="61">
        <f t="shared" si="56"/>
        <v>0</v>
      </c>
      <c r="Z68" s="61">
        <f t="shared" si="56"/>
        <v>0</v>
      </c>
      <c r="AA68" s="61">
        <f t="shared" si="56"/>
        <v>0</v>
      </c>
      <c r="AB68" s="61">
        <f t="shared" si="56"/>
        <v>0</v>
      </c>
      <c r="AC68" s="61">
        <f t="shared" si="56"/>
        <v>0</v>
      </c>
      <c r="AD68" s="61">
        <f t="shared" si="56"/>
        <v>0</v>
      </c>
      <c r="AE68" s="61">
        <f t="shared" si="56"/>
        <v>0</v>
      </c>
      <c r="AF68" s="61">
        <f t="shared" si="56"/>
        <v>0</v>
      </c>
      <c r="AG68" s="61"/>
      <c r="AH68" s="20"/>
    </row>
    <row r="69" spans="1:39">
      <c r="A69" s="61" t="s">
        <v>108</v>
      </c>
      <c r="B69" s="282">
        <f>B63*B26</f>
        <v>0</v>
      </c>
      <c r="C69" s="61">
        <f>$B$63*C26/2</f>
        <v>0</v>
      </c>
      <c r="D69" s="61">
        <f t="shared" ref="D69:W69" si="57">$B$63*D26/2</f>
        <v>0</v>
      </c>
      <c r="E69" s="61">
        <f t="shared" si="57"/>
        <v>0</v>
      </c>
      <c r="F69" s="61">
        <f t="shared" si="57"/>
        <v>0</v>
      </c>
      <c r="G69" s="61">
        <f t="shared" si="57"/>
        <v>0</v>
      </c>
      <c r="H69" s="61">
        <f t="shared" si="57"/>
        <v>0</v>
      </c>
      <c r="I69" s="61">
        <f t="shared" si="57"/>
        <v>0</v>
      </c>
      <c r="J69" s="61">
        <f t="shared" si="57"/>
        <v>0</v>
      </c>
      <c r="K69" s="61">
        <f t="shared" si="57"/>
        <v>0</v>
      </c>
      <c r="L69" s="61">
        <f t="shared" si="57"/>
        <v>0</v>
      </c>
      <c r="M69" s="61">
        <f t="shared" si="57"/>
        <v>0</v>
      </c>
      <c r="N69" s="61">
        <f t="shared" si="57"/>
        <v>0</v>
      </c>
      <c r="O69" s="61">
        <f t="shared" si="57"/>
        <v>0</v>
      </c>
      <c r="P69" s="61">
        <f t="shared" si="57"/>
        <v>0</v>
      </c>
      <c r="Q69" s="61">
        <f t="shared" si="57"/>
        <v>0</v>
      </c>
      <c r="R69" s="61">
        <f t="shared" si="57"/>
        <v>0</v>
      </c>
      <c r="S69" s="61">
        <f t="shared" si="57"/>
        <v>0</v>
      </c>
      <c r="T69" s="61">
        <f t="shared" si="57"/>
        <v>0</v>
      </c>
      <c r="U69" s="61">
        <f t="shared" si="57"/>
        <v>0</v>
      </c>
      <c r="V69" s="61">
        <f t="shared" si="57"/>
        <v>0</v>
      </c>
      <c r="W69" s="61">
        <f t="shared" si="57"/>
        <v>0</v>
      </c>
      <c r="X69" s="61">
        <f t="shared" ref="X69:AF69" si="58">$B$63*X26/2</f>
        <v>0</v>
      </c>
      <c r="Y69" s="61">
        <f t="shared" si="58"/>
        <v>0</v>
      </c>
      <c r="Z69" s="61">
        <f t="shared" si="58"/>
        <v>0</v>
      </c>
      <c r="AA69" s="61">
        <f t="shared" si="58"/>
        <v>0</v>
      </c>
      <c r="AB69" s="61">
        <f t="shared" si="58"/>
        <v>0</v>
      </c>
      <c r="AC69" s="61">
        <f t="shared" si="58"/>
        <v>0</v>
      </c>
      <c r="AD69" s="61">
        <f t="shared" si="58"/>
        <v>0</v>
      </c>
      <c r="AE69" s="61">
        <f t="shared" si="58"/>
        <v>0</v>
      </c>
      <c r="AF69" s="61">
        <f t="shared" si="58"/>
        <v>0</v>
      </c>
      <c r="AG69" s="61"/>
      <c r="AH69" s="20"/>
    </row>
    <row r="70" spans="1:39">
      <c r="A70" s="61" t="s">
        <v>109</v>
      </c>
      <c r="B70" s="282">
        <f>B68*$R$7/2</f>
        <v>0</v>
      </c>
      <c r="C70" s="282">
        <f t="shared" ref="C70:W70" si="59">C68*$R$7/2</f>
        <v>0</v>
      </c>
      <c r="D70" s="282">
        <f t="shared" si="59"/>
        <v>0</v>
      </c>
      <c r="E70" s="282">
        <f t="shared" si="59"/>
        <v>0</v>
      </c>
      <c r="F70" s="282">
        <f t="shared" si="59"/>
        <v>0</v>
      </c>
      <c r="G70" s="282">
        <f t="shared" si="59"/>
        <v>0</v>
      </c>
      <c r="H70" s="282">
        <f t="shared" si="59"/>
        <v>0</v>
      </c>
      <c r="I70" s="282">
        <f t="shared" si="59"/>
        <v>0</v>
      </c>
      <c r="J70" s="282">
        <f t="shared" si="59"/>
        <v>0</v>
      </c>
      <c r="K70" s="282">
        <f t="shared" si="59"/>
        <v>0</v>
      </c>
      <c r="L70" s="282">
        <f t="shared" si="59"/>
        <v>0</v>
      </c>
      <c r="M70" s="282">
        <f t="shared" si="59"/>
        <v>0</v>
      </c>
      <c r="N70" s="282">
        <f t="shared" si="59"/>
        <v>0</v>
      </c>
      <c r="O70" s="282">
        <f t="shared" si="59"/>
        <v>0</v>
      </c>
      <c r="P70" s="282">
        <f t="shared" si="59"/>
        <v>0</v>
      </c>
      <c r="Q70" s="282">
        <f t="shared" si="59"/>
        <v>0</v>
      </c>
      <c r="R70" s="282">
        <f t="shared" si="59"/>
        <v>0</v>
      </c>
      <c r="S70" s="282">
        <f t="shared" si="59"/>
        <v>0</v>
      </c>
      <c r="T70" s="282">
        <f t="shared" si="59"/>
        <v>0</v>
      </c>
      <c r="U70" s="282">
        <f t="shared" si="59"/>
        <v>0</v>
      </c>
      <c r="V70" s="282">
        <f t="shared" si="59"/>
        <v>0</v>
      </c>
      <c r="W70" s="282">
        <f t="shared" si="59"/>
        <v>0</v>
      </c>
      <c r="X70" s="282">
        <f t="shared" ref="X70:AF70" si="60">X68*$R$7/2</f>
        <v>0</v>
      </c>
      <c r="Y70" s="282">
        <f t="shared" si="60"/>
        <v>0</v>
      </c>
      <c r="Z70" s="282">
        <f t="shared" si="60"/>
        <v>0</v>
      </c>
      <c r="AA70" s="282">
        <f t="shared" si="60"/>
        <v>0</v>
      </c>
      <c r="AB70" s="282">
        <f t="shared" si="60"/>
        <v>0</v>
      </c>
      <c r="AC70" s="282">
        <f t="shared" si="60"/>
        <v>0</v>
      </c>
      <c r="AD70" s="282">
        <f t="shared" si="60"/>
        <v>0</v>
      </c>
      <c r="AE70" s="282">
        <f t="shared" si="60"/>
        <v>0</v>
      </c>
      <c r="AF70" s="282">
        <f t="shared" si="60"/>
        <v>0</v>
      </c>
      <c r="AG70" s="61"/>
      <c r="AH70" s="20"/>
    </row>
    <row r="71" spans="1:39">
      <c r="A71" s="61" t="s">
        <v>110</v>
      </c>
      <c r="B71" s="61">
        <f>B68-B69</f>
        <v>0</v>
      </c>
      <c r="C71" s="61">
        <f t="shared" ref="C71:R71" si="61">C68-C69</f>
        <v>0</v>
      </c>
      <c r="D71" s="61">
        <f t="shared" si="61"/>
        <v>0</v>
      </c>
      <c r="E71" s="61">
        <f t="shared" si="61"/>
        <v>0</v>
      </c>
      <c r="F71" s="61">
        <f t="shared" si="61"/>
        <v>0</v>
      </c>
      <c r="G71" s="61">
        <f t="shared" si="61"/>
        <v>0</v>
      </c>
      <c r="H71" s="61">
        <f t="shared" si="61"/>
        <v>0</v>
      </c>
      <c r="I71" s="61">
        <f t="shared" si="61"/>
        <v>0</v>
      </c>
      <c r="J71" s="61">
        <f t="shared" si="61"/>
        <v>0</v>
      </c>
      <c r="K71" s="61">
        <f t="shared" si="61"/>
        <v>0</v>
      </c>
      <c r="L71" s="61">
        <f t="shared" si="61"/>
        <v>0</v>
      </c>
      <c r="M71" s="61">
        <f t="shared" si="61"/>
        <v>0</v>
      </c>
      <c r="N71" s="61">
        <f t="shared" si="61"/>
        <v>0</v>
      </c>
      <c r="O71" s="61">
        <f t="shared" si="61"/>
        <v>0</v>
      </c>
      <c r="P71" s="61">
        <f t="shared" si="61"/>
        <v>0</v>
      </c>
      <c r="Q71" s="61">
        <f t="shared" si="61"/>
        <v>0</v>
      </c>
      <c r="R71" s="61">
        <f t="shared" si="61"/>
        <v>0</v>
      </c>
      <c r="S71" s="61">
        <f>S68-S69</f>
        <v>0</v>
      </c>
      <c r="T71" s="280">
        <f>T68-T69</f>
        <v>0</v>
      </c>
      <c r="U71" s="280">
        <f>U68-U69</f>
        <v>0</v>
      </c>
      <c r="V71" s="280">
        <f>V68-V69</f>
        <v>0</v>
      </c>
      <c r="W71" s="280">
        <f>W68-W69</f>
        <v>0</v>
      </c>
      <c r="X71" s="280">
        <f t="shared" ref="X71:AE71" si="62">X68-X69</f>
        <v>0</v>
      </c>
      <c r="Y71" s="280">
        <f t="shared" si="62"/>
        <v>0</v>
      </c>
      <c r="Z71" s="280">
        <f t="shared" si="62"/>
        <v>0</v>
      </c>
      <c r="AA71" s="280">
        <f t="shared" si="62"/>
        <v>0</v>
      </c>
      <c r="AB71" s="280">
        <f t="shared" si="62"/>
        <v>0</v>
      </c>
      <c r="AC71" s="280">
        <f t="shared" si="62"/>
        <v>0</v>
      </c>
      <c r="AD71" s="280">
        <f t="shared" si="62"/>
        <v>0</v>
      </c>
      <c r="AE71" s="280">
        <f t="shared" si="62"/>
        <v>0</v>
      </c>
      <c r="AF71" s="280">
        <f>AF68-AF69</f>
        <v>0</v>
      </c>
      <c r="AG71" s="61"/>
      <c r="AH71" s="20"/>
    </row>
    <row r="72" spans="1:39">
      <c r="A72" s="61"/>
      <c r="B72" s="61"/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280"/>
      <c r="U72" s="280"/>
      <c r="V72" s="280"/>
      <c r="W72" s="280"/>
      <c r="X72" s="280"/>
      <c r="Y72" s="280"/>
      <c r="Z72" s="280"/>
      <c r="AA72" s="280"/>
      <c r="AB72" s="280"/>
      <c r="AC72" s="280"/>
      <c r="AD72" s="280"/>
      <c r="AE72" s="280"/>
      <c r="AF72" s="280"/>
      <c r="AG72" s="61"/>
      <c r="AH72" s="20"/>
    </row>
    <row r="73" spans="1:39">
      <c r="A73" s="63" t="s">
        <v>321</v>
      </c>
      <c r="B73" s="61">
        <f>B70+B65</f>
        <v>0</v>
      </c>
      <c r="C73" s="61">
        <f t="shared" ref="C73:W73" si="63">C70+C65</f>
        <v>0</v>
      </c>
      <c r="D73" s="61">
        <f t="shared" si="63"/>
        <v>0</v>
      </c>
      <c r="E73" s="61">
        <f t="shared" si="63"/>
        <v>0</v>
      </c>
      <c r="F73" s="61">
        <f t="shared" si="63"/>
        <v>0</v>
      </c>
      <c r="G73" s="61">
        <f t="shared" si="63"/>
        <v>0</v>
      </c>
      <c r="H73" s="61">
        <f t="shared" si="63"/>
        <v>0</v>
      </c>
      <c r="I73" s="61">
        <f t="shared" si="63"/>
        <v>0</v>
      </c>
      <c r="J73" s="61">
        <f t="shared" si="63"/>
        <v>0</v>
      </c>
      <c r="K73" s="61">
        <f t="shared" si="63"/>
        <v>0</v>
      </c>
      <c r="L73" s="61">
        <f t="shared" si="63"/>
        <v>0</v>
      </c>
      <c r="M73" s="61">
        <f t="shared" si="63"/>
        <v>0</v>
      </c>
      <c r="N73" s="61">
        <f t="shared" si="63"/>
        <v>0</v>
      </c>
      <c r="O73" s="61">
        <f t="shared" si="63"/>
        <v>0</v>
      </c>
      <c r="P73" s="61">
        <f t="shared" si="63"/>
        <v>0</v>
      </c>
      <c r="Q73" s="61">
        <f t="shared" si="63"/>
        <v>0</v>
      </c>
      <c r="R73" s="61">
        <f t="shared" si="63"/>
        <v>0</v>
      </c>
      <c r="S73" s="61">
        <f t="shared" si="63"/>
        <v>0</v>
      </c>
      <c r="T73" s="61">
        <f t="shared" si="63"/>
        <v>0</v>
      </c>
      <c r="U73" s="61">
        <f t="shared" si="63"/>
        <v>0</v>
      </c>
      <c r="V73" s="61">
        <f t="shared" si="63"/>
        <v>0</v>
      </c>
      <c r="W73" s="61">
        <f t="shared" si="63"/>
        <v>0</v>
      </c>
      <c r="X73" s="61">
        <f t="shared" ref="X73:AF73" si="64">X70+X65</f>
        <v>0</v>
      </c>
      <c r="Y73" s="61">
        <f t="shared" si="64"/>
        <v>0</v>
      </c>
      <c r="Z73" s="61">
        <f t="shared" si="64"/>
        <v>0</v>
      </c>
      <c r="AA73" s="61">
        <f t="shared" si="64"/>
        <v>0</v>
      </c>
      <c r="AB73" s="61">
        <f t="shared" si="64"/>
        <v>0</v>
      </c>
      <c r="AC73" s="61">
        <f t="shared" si="64"/>
        <v>0</v>
      </c>
      <c r="AD73" s="61">
        <f t="shared" si="64"/>
        <v>0</v>
      </c>
      <c r="AE73" s="61">
        <f t="shared" si="64"/>
        <v>0</v>
      </c>
      <c r="AF73" s="61">
        <f t="shared" si="64"/>
        <v>0</v>
      </c>
      <c r="AG73" s="61"/>
      <c r="AH73" s="20"/>
    </row>
    <row r="74" spans="1:39">
      <c r="A74" s="63" t="s">
        <v>322</v>
      </c>
      <c r="B74" s="282">
        <f>B69+B64</f>
        <v>0</v>
      </c>
      <c r="C74" s="282">
        <f t="shared" ref="C74:W74" si="65">C69+C64</f>
        <v>0</v>
      </c>
      <c r="D74" s="282">
        <f t="shared" si="65"/>
        <v>0</v>
      </c>
      <c r="E74" s="282">
        <f t="shared" si="65"/>
        <v>0</v>
      </c>
      <c r="F74" s="282">
        <f t="shared" si="65"/>
        <v>0</v>
      </c>
      <c r="G74" s="282">
        <f t="shared" si="65"/>
        <v>0</v>
      </c>
      <c r="H74" s="282">
        <f t="shared" si="65"/>
        <v>0</v>
      </c>
      <c r="I74" s="282">
        <f t="shared" si="65"/>
        <v>0</v>
      </c>
      <c r="J74" s="282">
        <f t="shared" si="65"/>
        <v>0</v>
      </c>
      <c r="K74" s="282">
        <f t="shared" si="65"/>
        <v>0</v>
      </c>
      <c r="L74" s="282">
        <f t="shared" si="65"/>
        <v>0</v>
      </c>
      <c r="M74" s="282">
        <f t="shared" si="65"/>
        <v>0</v>
      </c>
      <c r="N74" s="282">
        <f t="shared" si="65"/>
        <v>0</v>
      </c>
      <c r="O74" s="282">
        <f t="shared" si="65"/>
        <v>0</v>
      </c>
      <c r="P74" s="282">
        <f t="shared" si="65"/>
        <v>0</v>
      </c>
      <c r="Q74" s="282">
        <f t="shared" si="65"/>
        <v>0</v>
      </c>
      <c r="R74" s="282">
        <f t="shared" si="65"/>
        <v>0</v>
      </c>
      <c r="S74" s="282">
        <f t="shared" si="65"/>
        <v>0</v>
      </c>
      <c r="T74" s="282">
        <f t="shared" si="65"/>
        <v>0</v>
      </c>
      <c r="U74" s="282">
        <f t="shared" si="65"/>
        <v>0</v>
      </c>
      <c r="V74" s="282">
        <f t="shared" si="65"/>
        <v>0</v>
      </c>
      <c r="W74" s="282">
        <f t="shared" si="65"/>
        <v>0</v>
      </c>
      <c r="X74" s="282">
        <f t="shared" ref="X74:AF74" si="66">X69+X64</f>
        <v>0</v>
      </c>
      <c r="Y74" s="282">
        <f t="shared" si="66"/>
        <v>0</v>
      </c>
      <c r="Z74" s="282">
        <f t="shared" si="66"/>
        <v>0</v>
      </c>
      <c r="AA74" s="282">
        <f t="shared" si="66"/>
        <v>0</v>
      </c>
      <c r="AB74" s="282">
        <f t="shared" si="66"/>
        <v>0</v>
      </c>
      <c r="AC74" s="282">
        <f t="shared" si="66"/>
        <v>0</v>
      </c>
      <c r="AD74" s="282">
        <f t="shared" si="66"/>
        <v>0</v>
      </c>
      <c r="AE74" s="282">
        <f t="shared" si="66"/>
        <v>0</v>
      </c>
      <c r="AF74" s="282">
        <f t="shared" si="66"/>
        <v>0</v>
      </c>
      <c r="AG74" s="61"/>
      <c r="AH74" s="20"/>
    </row>
    <row r="75" spans="1:39"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</row>
    <row r="76" spans="1:39">
      <c r="AA76" s="14"/>
      <c r="AB76" s="14"/>
    </row>
    <row r="77" spans="1:39">
      <c r="A77" s="76" t="s">
        <v>85</v>
      </c>
      <c r="B77" s="77">
        <f>IS!C43</f>
        <v>6308.381519999999</v>
      </c>
      <c r="C77" s="77">
        <f>IS!D43</f>
        <v>9746.9239655999991</v>
      </c>
      <c r="D77" s="77">
        <f>IS!E43</f>
        <v>3993.5156845679994</v>
      </c>
      <c r="E77" s="77">
        <f>IS!F43</f>
        <v>10745.978963364505</v>
      </c>
      <c r="F77" s="77">
        <f>IS!G43</f>
        <v>11194.004463107231</v>
      </c>
      <c r="G77" s="77">
        <f>IS!H43</f>
        <v>11302.674487984357</v>
      </c>
      <c r="H77" s="77">
        <f>IS!I43</f>
        <v>11407.794216929313</v>
      </c>
      <c r="I77" s="77">
        <f>IS!J43</f>
        <v>11509.052829163778</v>
      </c>
      <c r="J77" s="77">
        <f>IS!K43</f>
        <v>11854.187527638691</v>
      </c>
      <c r="K77" s="77">
        <f>IS!L43</f>
        <v>11954.170885026944</v>
      </c>
      <c r="L77" s="77">
        <f>IS!M43</f>
        <v>12312.659125177755</v>
      </c>
      <c r="M77" s="77">
        <f>IS!N43</f>
        <v>12410.836352725888</v>
      </c>
      <c r="N77" s="77">
        <f>IS!O43</f>
        <v>12783.024556907669</v>
      </c>
      <c r="O77" s="77">
        <f>IS!P43</f>
        <v>12878.804848725445</v>
      </c>
      <c r="P77" s="77">
        <f>IS!Q43</f>
        <v>12968.83134254307</v>
      </c>
      <c r="Q77" s="77">
        <f>IS!R43</f>
        <v>13052.672608217901</v>
      </c>
      <c r="R77" s="77">
        <f>IS!S43</f>
        <v>13129.87650821693</v>
      </c>
      <c r="S77" s="77">
        <f>IS!T43</f>
        <v>13199.969343460509</v>
      </c>
      <c r="T77" s="77">
        <f>IS!U43</f>
        <v>13262.454966553309</v>
      </c>
      <c r="U77" s="77">
        <f>IS!V43</f>
        <v>13316.813861214552</v>
      </c>
      <c r="V77" s="77">
        <f>IS!W43</f>
        <v>13362.502186677582</v>
      </c>
      <c r="W77" s="77">
        <f>IS!X43</f>
        <v>13398.950785785295</v>
      </c>
      <c r="X77" s="77">
        <f>IS!Y43</f>
        <v>13432.779211224517</v>
      </c>
      <c r="Y77" s="77">
        <f>IS!Z43</f>
        <v>13463.908857785213</v>
      </c>
      <c r="Z77" s="77">
        <f>IS!AA43</f>
        <v>13492.258762100992</v>
      </c>
      <c r="AA77" s="77">
        <f>IS!AB43</f>
        <v>13517.745531904522</v>
      </c>
      <c r="AB77" s="77">
        <f>IS!AC43</f>
        <v>13540.283273160436</v>
      </c>
      <c r="AC77" s="77">
        <f>IS!AD43</f>
        <v>13559.783515012328</v>
      </c>
      <c r="AD77" s="77">
        <f>IS!AE43</f>
        <v>13576.155132478034</v>
      </c>
      <c r="AE77" s="77">
        <f>IS!AF43</f>
        <v>13589.304266825993</v>
      </c>
      <c r="AF77" s="77">
        <f>IS!AG43</f>
        <v>13599.134243562672</v>
      </c>
      <c r="AG77" s="77"/>
      <c r="AH77" s="1"/>
      <c r="AI77" s="1"/>
      <c r="AJ77" s="1"/>
      <c r="AK77" s="1"/>
      <c r="AL77" s="1"/>
      <c r="AM77" s="1"/>
    </row>
    <row r="78" spans="1:39">
      <c r="A78" s="55"/>
      <c r="B78" s="62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2"/>
      <c r="AD78" s="62"/>
      <c r="AE78" s="62"/>
      <c r="AF78" s="62"/>
      <c r="AG78" s="55"/>
      <c r="AH78" s="55"/>
      <c r="AI78" s="55"/>
      <c r="AJ78" s="55"/>
      <c r="AK78" s="55"/>
      <c r="AL78" s="55"/>
      <c r="AM78" s="55"/>
    </row>
    <row r="79" spans="1:39">
      <c r="A79" s="62" t="s">
        <v>323</v>
      </c>
      <c r="B79" s="62">
        <f>B32+B33+B37+B38</f>
        <v>8314.1887786845382</v>
      </c>
      <c r="C79" s="62">
        <f t="shared" ref="C79:W79" si="67">C32+C33+C37+C38</f>
        <v>11806.148065732043</v>
      </c>
      <c r="D79" s="62">
        <f t="shared" si="67"/>
        <v>11495.751684661152</v>
      </c>
      <c r="E79" s="62">
        <f t="shared" si="67"/>
        <v>11185.355303590264</v>
      </c>
      <c r="F79" s="62">
        <f t="shared" si="67"/>
        <v>10874.958922519374</v>
      </c>
      <c r="G79" s="62">
        <f t="shared" si="67"/>
        <v>10564.562541448484</v>
      </c>
      <c r="H79" s="62">
        <f t="shared" si="67"/>
        <v>10254.166160377594</v>
      </c>
      <c r="I79" s="62">
        <f t="shared" si="67"/>
        <v>9943.7697793067036</v>
      </c>
      <c r="J79" s="62">
        <f t="shared" si="67"/>
        <v>9633.3733982358153</v>
      </c>
      <c r="K79" s="62">
        <f t="shared" si="67"/>
        <v>9322.9770171649252</v>
      </c>
      <c r="L79" s="62">
        <f t="shared" si="67"/>
        <v>9012.5806360940351</v>
      </c>
      <c r="M79" s="62">
        <f t="shared" si="67"/>
        <v>8702.1842550231449</v>
      </c>
      <c r="N79" s="62">
        <f t="shared" si="67"/>
        <v>8391.7878739522548</v>
      </c>
      <c r="O79" s="62">
        <f t="shared" si="67"/>
        <v>8081.3914928813656</v>
      </c>
      <c r="P79" s="62">
        <f t="shared" si="67"/>
        <v>7770.9951118104764</v>
      </c>
      <c r="Q79" s="62">
        <f t="shared" si="67"/>
        <v>7460.5987307395862</v>
      </c>
      <c r="R79" s="62">
        <f t="shared" si="67"/>
        <v>7150.2023496686961</v>
      </c>
      <c r="S79" s="62">
        <f t="shared" si="67"/>
        <v>6839.8059685978069</v>
      </c>
      <c r="T79" s="62">
        <f t="shared" si="67"/>
        <v>6529.4095875269177</v>
      </c>
      <c r="U79" s="62">
        <f t="shared" si="67"/>
        <v>6219.0132064560275</v>
      </c>
      <c r="V79" s="62">
        <f t="shared" si="67"/>
        <v>5908.6168253851392</v>
      </c>
      <c r="W79" s="62">
        <f t="shared" si="67"/>
        <v>1241.5855242835519</v>
      </c>
      <c r="X79" s="62">
        <f t="shared" ref="X79:AF79" si="68">X32+X33+X37+X38</f>
        <v>1241.5855242835519</v>
      </c>
      <c r="Y79" s="62">
        <f t="shared" si="68"/>
        <v>1241.5855242835519</v>
      </c>
      <c r="Z79" s="62">
        <f t="shared" si="68"/>
        <v>1241.5855242835519</v>
      </c>
      <c r="AA79" s="62">
        <f t="shared" si="68"/>
        <v>1241.5855242835519</v>
      </c>
      <c r="AB79" s="62">
        <f t="shared" si="68"/>
        <v>1241.5855242835519</v>
      </c>
      <c r="AC79" s="62">
        <f t="shared" si="68"/>
        <v>1241.5855242835519</v>
      </c>
      <c r="AD79" s="62">
        <f t="shared" si="68"/>
        <v>1241.5855242835519</v>
      </c>
      <c r="AE79" s="62">
        <f t="shared" si="68"/>
        <v>1241.5855242835519</v>
      </c>
      <c r="AF79" s="62">
        <f t="shared" si="68"/>
        <v>1241.5855242835519</v>
      </c>
      <c r="AG79" s="62"/>
      <c r="AH79" s="62"/>
      <c r="AI79" s="62"/>
      <c r="AJ79" s="62"/>
      <c r="AK79" s="62"/>
      <c r="AL79" s="62"/>
      <c r="AM79" s="62"/>
    </row>
    <row r="80" spans="1:39">
      <c r="A80" s="62" t="s">
        <v>324</v>
      </c>
      <c r="B80" s="62">
        <f>B48+B49+B53+B54</f>
        <v>0</v>
      </c>
      <c r="C80" s="62">
        <f t="shared" ref="C80:W80" si="69">C48+C49+C53+C54</f>
        <v>0</v>
      </c>
      <c r="D80" s="62">
        <f t="shared" si="69"/>
        <v>0</v>
      </c>
      <c r="E80" s="62">
        <f t="shared" si="69"/>
        <v>0</v>
      </c>
      <c r="F80" s="62">
        <f t="shared" si="69"/>
        <v>0</v>
      </c>
      <c r="G80" s="62">
        <f t="shared" si="69"/>
        <v>0</v>
      </c>
      <c r="H80" s="62">
        <f t="shared" si="69"/>
        <v>0</v>
      </c>
      <c r="I80" s="62">
        <f t="shared" si="69"/>
        <v>0</v>
      </c>
      <c r="J80" s="62">
        <f t="shared" si="69"/>
        <v>0</v>
      </c>
      <c r="K80" s="62">
        <f t="shared" si="69"/>
        <v>0</v>
      </c>
      <c r="L80" s="62">
        <f t="shared" si="69"/>
        <v>0</v>
      </c>
      <c r="M80" s="62">
        <f t="shared" si="69"/>
        <v>0</v>
      </c>
      <c r="N80" s="62">
        <f t="shared" si="69"/>
        <v>0</v>
      </c>
      <c r="O80" s="62">
        <f t="shared" si="69"/>
        <v>0</v>
      </c>
      <c r="P80" s="62">
        <f t="shared" si="69"/>
        <v>0</v>
      </c>
      <c r="Q80" s="62">
        <f t="shared" si="69"/>
        <v>0</v>
      </c>
      <c r="R80" s="62">
        <f t="shared" si="69"/>
        <v>0</v>
      </c>
      <c r="S80" s="62">
        <f t="shared" si="69"/>
        <v>0</v>
      </c>
      <c r="T80" s="62">
        <f t="shared" si="69"/>
        <v>0</v>
      </c>
      <c r="U80" s="62">
        <f t="shared" si="69"/>
        <v>0</v>
      </c>
      <c r="V80" s="62">
        <f t="shared" si="69"/>
        <v>0</v>
      </c>
      <c r="W80" s="62">
        <f t="shared" si="69"/>
        <v>0</v>
      </c>
      <c r="X80" s="62">
        <f t="shared" ref="X80:AF80" si="70">X48+X49+X53+X54</f>
        <v>0</v>
      </c>
      <c r="Y80" s="62">
        <f t="shared" si="70"/>
        <v>0</v>
      </c>
      <c r="Z80" s="62">
        <f t="shared" si="70"/>
        <v>0</v>
      </c>
      <c r="AA80" s="62">
        <f t="shared" si="70"/>
        <v>0</v>
      </c>
      <c r="AB80" s="62">
        <f t="shared" si="70"/>
        <v>0</v>
      </c>
      <c r="AC80" s="62">
        <f t="shared" si="70"/>
        <v>0</v>
      </c>
      <c r="AD80" s="62">
        <f t="shared" si="70"/>
        <v>0</v>
      </c>
      <c r="AE80" s="62">
        <f t="shared" si="70"/>
        <v>0</v>
      </c>
      <c r="AF80" s="62">
        <f t="shared" si="70"/>
        <v>0</v>
      </c>
      <c r="AG80" s="62"/>
      <c r="AH80" s="62"/>
      <c r="AI80" s="62"/>
      <c r="AJ80" s="62"/>
      <c r="AK80" s="62"/>
      <c r="AL80" s="62"/>
      <c r="AM80" s="62"/>
    </row>
    <row r="81" spans="1:39">
      <c r="A81" s="62" t="s">
        <v>325</v>
      </c>
      <c r="B81" s="62">
        <f>B64+B65+B69+B70</f>
        <v>0</v>
      </c>
      <c r="C81" s="62">
        <f t="shared" ref="C81:W81" si="71">C64+C65+C69+C70</f>
        <v>0</v>
      </c>
      <c r="D81" s="62">
        <f t="shared" si="71"/>
        <v>0</v>
      </c>
      <c r="E81" s="62">
        <f t="shared" si="71"/>
        <v>0</v>
      </c>
      <c r="F81" s="62">
        <f t="shared" si="71"/>
        <v>0</v>
      </c>
      <c r="G81" s="62">
        <f t="shared" si="71"/>
        <v>0</v>
      </c>
      <c r="H81" s="62">
        <f t="shared" si="71"/>
        <v>0</v>
      </c>
      <c r="I81" s="62">
        <f t="shared" si="71"/>
        <v>0</v>
      </c>
      <c r="J81" s="62">
        <f t="shared" si="71"/>
        <v>0</v>
      </c>
      <c r="K81" s="62">
        <f t="shared" si="71"/>
        <v>0</v>
      </c>
      <c r="L81" s="62">
        <f t="shared" si="71"/>
        <v>0</v>
      </c>
      <c r="M81" s="62">
        <f t="shared" si="71"/>
        <v>0</v>
      </c>
      <c r="N81" s="62">
        <f t="shared" si="71"/>
        <v>0</v>
      </c>
      <c r="O81" s="62">
        <f t="shared" si="71"/>
        <v>0</v>
      </c>
      <c r="P81" s="62">
        <f t="shared" si="71"/>
        <v>0</v>
      </c>
      <c r="Q81" s="62">
        <f t="shared" si="71"/>
        <v>0</v>
      </c>
      <c r="R81" s="62">
        <f t="shared" si="71"/>
        <v>0</v>
      </c>
      <c r="S81" s="62">
        <f t="shared" si="71"/>
        <v>0</v>
      </c>
      <c r="T81" s="62">
        <f t="shared" si="71"/>
        <v>0</v>
      </c>
      <c r="U81" s="62">
        <f t="shared" si="71"/>
        <v>0</v>
      </c>
      <c r="V81" s="62">
        <f t="shared" si="71"/>
        <v>0</v>
      </c>
      <c r="W81" s="62">
        <f t="shared" si="71"/>
        <v>0</v>
      </c>
      <c r="X81" s="62">
        <f t="shared" ref="X81:AF81" si="72">X64+X65+X69+X70</f>
        <v>0</v>
      </c>
      <c r="Y81" s="62">
        <f t="shared" si="72"/>
        <v>0</v>
      </c>
      <c r="Z81" s="62">
        <f t="shared" si="72"/>
        <v>0</v>
      </c>
      <c r="AA81" s="62">
        <f t="shared" si="72"/>
        <v>0</v>
      </c>
      <c r="AB81" s="62">
        <f t="shared" si="72"/>
        <v>0</v>
      </c>
      <c r="AC81" s="62">
        <f t="shared" si="72"/>
        <v>0</v>
      </c>
      <c r="AD81" s="62">
        <f t="shared" si="72"/>
        <v>0</v>
      </c>
      <c r="AE81" s="62">
        <f t="shared" si="72"/>
        <v>0</v>
      </c>
      <c r="AF81" s="62">
        <f t="shared" si="72"/>
        <v>0</v>
      </c>
      <c r="AG81" s="62"/>
      <c r="AH81" s="62"/>
      <c r="AI81" s="62"/>
      <c r="AJ81" s="62"/>
      <c r="AK81" s="62"/>
      <c r="AL81" s="62"/>
      <c r="AM81" s="62"/>
    </row>
    <row r="82" spans="1:39">
      <c r="A82" s="55" t="s">
        <v>155</v>
      </c>
      <c r="B82" s="353">
        <v>0</v>
      </c>
      <c r="C82" s="353">
        <v>0</v>
      </c>
      <c r="D82" s="354">
        <v>0</v>
      </c>
      <c r="E82" s="354">
        <v>0</v>
      </c>
      <c r="F82" s="354">
        <v>0</v>
      </c>
      <c r="G82" s="354">
        <v>0</v>
      </c>
      <c r="H82" s="354">
        <v>0</v>
      </c>
      <c r="I82" s="354">
        <v>0</v>
      </c>
      <c r="J82" s="354">
        <v>0</v>
      </c>
      <c r="K82" s="354">
        <v>0</v>
      </c>
      <c r="L82" s="354">
        <v>0</v>
      </c>
      <c r="M82" s="354">
        <v>0</v>
      </c>
      <c r="N82" s="354">
        <v>0</v>
      </c>
      <c r="O82" s="354">
        <v>0</v>
      </c>
      <c r="P82" s="354">
        <v>0</v>
      </c>
      <c r="Q82" s="354">
        <v>0</v>
      </c>
      <c r="R82" s="354">
        <v>0</v>
      </c>
      <c r="S82" s="354">
        <v>0</v>
      </c>
      <c r="T82" s="354">
        <v>0</v>
      </c>
      <c r="U82" s="354">
        <v>0</v>
      </c>
      <c r="V82" s="354">
        <v>0</v>
      </c>
      <c r="W82" s="354">
        <v>0</v>
      </c>
      <c r="X82" s="354">
        <v>0</v>
      </c>
      <c r="Y82" s="354">
        <v>0</v>
      </c>
      <c r="Z82" s="354">
        <v>0</v>
      </c>
      <c r="AA82" s="354">
        <v>0</v>
      </c>
      <c r="AB82" s="354">
        <v>0</v>
      </c>
      <c r="AC82" s="354">
        <v>0</v>
      </c>
      <c r="AD82" s="354">
        <v>0</v>
      </c>
      <c r="AE82" s="354">
        <v>0</v>
      </c>
      <c r="AF82" s="354">
        <v>0</v>
      </c>
      <c r="AG82" s="62"/>
      <c r="AH82" s="62"/>
      <c r="AI82" s="62"/>
      <c r="AJ82" s="62"/>
      <c r="AK82" s="62"/>
      <c r="AL82" s="62"/>
      <c r="AM82" s="62"/>
    </row>
    <row r="83" spans="1:39">
      <c r="B83" s="61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2"/>
      <c r="AH83" s="62"/>
      <c r="AI83" s="62"/>
      <c r="AJ83" s="62"/>
      <c r="AK83" s="62"/>
      <c r="AL83" s="62"/>
      <c r="AM83" s="62"/>
    </row>
    <row r="84" spans="1:39">
      <c r="A84" s="63" t="s">
        <v>111</v>
      </c>
      <c r="B84" s="63">
        <f>SUM(B79:B81)-B82</f>
        <v>8314.1887786845382</v>
      </c>
      <c r="C84" s="63">
        <f t="shared" ref="C84:W84" si="73">SUM(C79:C81)-C82</f>
        <v>11806.148065732043</v>
      </c>
      <c r="D84" s="63">
        <f t="shared" si="73"/>
        <v>11495.751684661152</v>
      </c>
      <c r="E84" s="63">
        <f t="shared" si="73"/>
        <v>11185.355303590264</v>
      </c>
      <c r="F84" s="63">
        <f t="shared" si="73"/>
        <v>10874.958922519374</v>
      </c>
      <c r="G84" s="63">
        <f t="shared" si="73"/>
        <v>10564.562541448484</v>
      </c>
      <c r="H84" s="63">
        <f t="shared" si="73"/>
        <v>10254.166160377594</v>
      </c>
      <c r="I84" s="63">
        <f t="shared" si="73"/>
        <v>9943.7697793067036</v>
      </c>
      <c r="J84" s="63">
        <f t="shared" si="73"/>
        <v>9633.3733982358153</v>
      </c>
      <c r="K84" s="63">
        <f t="shared" si="73"/>
        <v>9322.9770171649252</v>
      </c>
      <c r="L84" s="63">
        <f t="shared" si="73"/>
        <v>9012.5806360940351</v>
      </c>
      <c r="M84" s="63">
        <f t="shared" si="73"/>
        <v>8702.1842550231449</v>
      </c>
      <c r="N84" s="63">
        <f t="shared" si="73"/>
        <v>8391.7878739522548</v>
      </c>
      <c r="O84" s="63">
        <f t="shared" si="73"/>
        <v>8081.3914928813656</v>
      </c>
      <c r="P84" s="63">
        <f t="shared" si="73"/>
        <v>7770.9951118104764</v>
      </c>
      <c r="Q84" s="63">
        <f t="shared" si="73"/>
        <v>7460.5987307395862</v>
      </c>
      <c r="R84" s="63">
        <f t="shared" si="73"/>
        <v>7150.2023496686961</v>
      </c>
      <c r="S84" s="63">
        <f t="shared" si="73"/>
        <v>6839.8059685978069</v>
      </c>
      <c r="T84" s="63">
        <f t="shared" si="73"/>
        <v>6529.4095875269177</v>
      </c>
      <c r="U84" s="63">
        <f t="shared" si="73"/>
        <v>6219.0132064560275</v>
      </c>
      <c r="V84" s="63">
        <f t="shared" si="73"/>
        <v>5908.6168253851392</v>
      </c>
      <c r="W84" s="63">
        <f t="shared" si="73"/>
        <v>1241.5855242835519</v>
      </c>
      <c r="X84" s="63">
        <f t="shared" ref="X84:AF84" si="74">SUM(X79:X81)-X82</f>
        <v>1241.5855242835519</v>
      </c>
      <c r="Y84" s="63">
        <f t="shared" si="74"/>
        <v>1241.5855242835519</v>
      </c>
      <c r="Z84" s="63">
        <f t="shared" si="74"/>
        <v>1241.5855242835519</v>
      </c>
      <c r="AA84" s="63">
        <f t="shared" si="74"/>
        <v>1241.5855242835519</v>
      </c>
      <c r="AB84" s="63">
        <f t="shared" si="74"/>
        <v>1241.5855242835519</v>
      </c>
      <c r="AC84" s="63">
        <f t="shared" si="74"/>
        <v>1241.5855242835519</v>
      </c>
      <c r="AD84" s="63">
        <f t="shared" si="74"/>
        <v>1241.5855242835519</v>
      </c>
      <c r="AE84" s="63">
        <f t="shared" si="74"/>
        <v>1241.5855242835519</v>
      </c>
      <c r="AF84" s="63">
        <f t="shared" si="74"/>
        <v>1241.5855242835519</v>
      </c>
      <c r="AG84" s="63"/>
      <c r="AH84" s="63"/>
      <c r="AI84" s="63"/>
      <c r="AJ84" s="63"/>
      <c r="AK84" s="63"/>
      <c r="AL84" s="63"/>
      <c r="AM84" s="63"/>
    </row>
    <row r="85" spans="1:39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</row>
    <row r="86" spans="1:39">
      <c r="A86" s="63" t="s">
        <v>326</v>
      </c>
      <c r="B86" s="63">
        <f t="shared" ref="B86:AF86" si="75">B41+B57+B73</f>
        <v>3879.954763386118</v>
      </c>
      <c r="C86" s="63">
        <f t="shared" si="75"/>
        <v>7371.9140504336228</v>
      </c>
      <c r="D86" s="63">
        <f t="shared" si="75"/>
        <v>7061.5176693627336</v>
      </c>
      <c r="E86" s="63">
        <f t="shared" si="75"/>
        <v>6751.1212882918444</v>
      </c>
      <c r="F86" s="63">
        <f t="shared" si="75"/>
        <v>6440.7249072209543</v>
      </c>
      <c r="G86" s="63">
        <f t="shared" si="75"/>
        <v>6130.3285261500641</v>
      </c>
      <c r="H86" s="63">
        <f t="shared" si="75"/>
        <v>5819.932145079174</v>
      </c>
      <c r="I86" s="63">
        <f t="shared" si="75"/>
        <v>5509.5357640082839</v>
      </c>
      <c r="J86" s="63">
        <f t="shared" si="75"/>
        <v>5199.1393829373956</v>
      </c>
      <c r="K86" s="63">
        <f t="shared" si="75"/>
        <v>4888.7430018665054</v>
      </c>
      <c r="L86" s="63">
        <f t="shared" si="75"/>
        <v>4578.3466207956153</v>
      </c>
      <c r="M86" s="63">
        <f t="shared" si="75"/>
        <v>4267.9502397247252</v>
      </c>
      <c r="N86" s="63">
        <f t="shared" si="75"/>
        <v>3957.553858653836</v>
      </c>
      <c r="O86" s="63">
        <f t="shared" si="75"/>
        <v>3647.1574775829458</v>
      </c>
      <c r="P86" s="63">
        <f t="shared" si="75"/>
        <v>3336.7610965120562</v>
      </c>
      <c r="Q86" s="63">
        <f t="shared" si="75"/>
        <v>3026.3647154411665</v>
      </c>
      <c r="R86" s="63">
        <f t="shared" si="75"/>
        <v>2715.9683343702764</v>
      </c>
      <c r="S86" s="63">
        <f t="shared" si="75"/>
        <v>2405.5719532993867</v>
      </c>
      <c r="T86" s="63">
        <f t="shared" si="75"/>
        <v>2095.175572228497</v>
      </c>
      <c r="U86" s="63">
        <f t="shared" si="75"/>
        <v>1784.779191157608</v>
      </c>
      <c r="V86" s="63">
        <f t="shared" si="75"/>
        <v>1474.3828100867188</v>
      </c>
      <c r="W86" s="63">
        <f t="shared" si="75"/>
        <v>1241.5855242835519</v>
      </c>
      <c r="X86" s="63">
        <f t="shared" si="75"/>
        <v>1241.5855242835519</v>
      </c>
      <c r="Y86" s="63">
        <f t="shared" si="75"/>
        <v>1241.5855242835519</v>
      </c>
      <c r="Z86" s="63">
        <f t="shared" si="75"/>
        <v>1241.5855242835519</v>
      </c>
      <c r="AA86" s="63">
        <f t="shared" si="75"/>
        <v>1241.5855242835519</v>
      </c>
      <c r="AB86" s="63">
        <f t="shared" si="75"/>
        <v>1241.5855242835519</v>
      </c>
      <c r="AC86" s="63">
        <f t="shared" si="75"/>
        <v>1241.5855242835519</v>
      </c>
      <c r="AD86" s="63">
        <f t="shared" si="75"/>
        <v>1241.5855242835519</v>
      </c>
      <c r="AE86" s="63">
        <f t="shared" si="75"/>
        <v>1241.5855242835519</v>
      </c>
      <c r="AF86" s="63">
        <f t="shared" si="75"/>
        <v>1241.5855242835519</v>
      </c>
      <c r="AG86" s="63"/>
      <c r="AH86" s="63"/>
      <c r="AI86" s="63"/>
      <c r="AJ86" s="63"/>
      <c r="AK86" s="63"/>
      <c r="AL86" s="63"/>
      <c r="AM86" s="63"/>
    </row>
    <row r="87" spans="1:39">
      <c r="A87" s="63" t="s">
        <v>150</v>
      </c>
      <c r="B87" s="63">
        <f t="shared" ref="B87:AF87" si="76">B74+B58+B42</f>
        <v>4434.2340152984198</v>
      </c>
      <c r="C87" s="63">
        <f t="shared" si="76"/>
        <v>4434.2340152984198</v>
      </c>
      <c r="D87" s="63">
        <f t="shared" si="76"/>
        <v>4434.2340152984198</v>
      </c>
      <c r="E87" s="63">
        <f t="shared" si="76"/>
        <v>4434.2340152984198</v>
      </c>
      <c r="F87" s="63">
        <f t="shared" si="76"/>
        <v>4434.2340152984198</v>
      </c>
      <c r="G87" s="63">
        <f t="shared" si="76"/>
        <v>4434.2340152984198</v>
      </c>
      <c r="H87" s="63">
        <f t="shared" si="76"/>
        <v>4434.2340152984198</v>
      </c>
      <c r="I87" s="63">
        <f t="shared" si="76"/>
        <v>4434.2340152984198</v>
      </c>
      <c r="J87" s="63">
        <f t="shared" si="76"/>
        <v>4434.2340152984198</v>
      </c>
      <c r="K87" s="63">
        <f t="shared" si="76"/>
        <v>4434.2340152984198</v>
      </c>
      <c r="L87" s="63">
        <f t="shared" si="76"/>
        <v>4434.2340152984198</v>
      </c>
      <c r="M87" s="63">
        <f t="shared" si="76"/>
        <v>4434.2340152984198</v>
      </c>
      <c r="N87" s="63">
        <f t="shared" si="76"/>
        <v>4434.2340152984198</v>
      </c>
      <c r="O87" s="63">
        <f t="shared" si="76"/>
        <v>4434.2340152984198</v>
      </c>
      <c r="P87" s="63">
        <f t="shared" si="76"/>
        <v>4434.2340152984198</v>
      </c>
      <c r="Q87" s="63">
        <f t="shared" si="76"/>
        <v>4434.2340152984198</v>
      </c>
      <c r="R87" s="63">
        <f t="shared" si="76"/>
        <v>4434.2340152984198</v>
      </c>
      <c r="S87" s="63">
        <f t="shared" si="76"/>
        <v>4434.2340152984198</v>
      </c>
      <c r="T87" s="63">
        <f t="shared" si="76"/>
        <v>4434.2340152984198</v>
      </c>
      <c r="U87" s="63">
        <f t="shared" si="76"/>
        <v>4434.2340152984198</v>
      </c>
      <c r="V87" s="63">
        <f t="shared" si="76"/>
        <v>4434.2340152984198</v>
      </c>
      <c r="W87" s="63">
        <f t="shared" si="76"/>
        <v>0</v>
      </c>
      <c r="X87" s="63">
        <f t="shared" si="76"/>
        <v>0</v>
      </c>
      <c r="Y87" s="63">
        <f t="shared" si="76"/>
        <v>0</v>
      </c>
      <c r="Z87" s="63">
        <f t="shared" si="76"/>
        <v>0</v>
      </c>
      <c r="AA87" s="63">
        <f t="shared" si="76"/>
        <v>0</v>
      </c>
      <c r="AB87" s="63">
        <f t="shared" si="76"/>
        <v>0</v>
      </c>
      <c r="AC87" s="63">
        <f t="shared" si="76"/>
        <v>0</v>
      </c>
      <c r="AD87" s="63">
        <f t="shared" si="76"/>
        <v>0</v>
      </c>
      <c r="AE87" s="63">
        <f t="shared" si="76"/>
        <v>0</v>
      </c>
      <c r="AF87" s="63">
        <f t="shared" si="76"/>
        <v>0</v>
      </c>
      <c r="AG87" s="63"/>
      <c r="AH87" s="63"/>
      <c r="AI87" s="63"/>
      <c r="AJ87" s="63"/>
      <c r="AK87" s="63"/>
      <c r="AL87" s="63"/>
      <c r="AM87" s="63"/>
    </row>
    <row r="88" spans="1:39">
      <c r="A88" s="62"/>
      <c r="B88" s="62"/>
      <c r="C88" s="62"/>
      <c r="D88" s="62"/>
      <c r="E88" s="62"/>
      <c r="F88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62"/>
      <c r="AE88" s="62"/>
      <c r="AF88" s="62"/>
      <c r="AG88" s="62"/>
      <c r="AH88" s="62"/>
      <c r="AI88" s="62"/>
      <c r="AJ88" s="62"/>
      <c r="AK88" s="62"/>
      <c r="AL88" s="62"/>
      <c r="AM88" s="62"/>
    </row>
    <row r="89" spans="1:39">
      <c r="A89" s="326" t="s">
        <v>112</v>
      </c>
      <c r="B89" s="327">
        <f>IF(B84&gt;0,B77/B84," ")</f>
        <v>0.75874889155428871</v>
      </c>
      <c r="C89" s="327">
        <f t="shared" ref="C89:U89" si="77">IF(C84&gt;0,C77/C84," ")</f>
        <v>0.82558035960017739</v>
      </c>
      <c r="D89" s="327">
        <f t="shared" si="77"/>
        <v>0.34739056602071272</v>
      </c>
      <c r="E89" s="327">
        <f t="shared" si="77"/>
        <v>0.96071860675854182</v>
      </c>
      <c r="F89" s="327">
        <f t="shared" si="77"/>
        <v>1.0293376317888605</v>
      </c>
      <c r="G89" s="327">
        <f t="shared" si="77"/>
        <v>1.0698667780743407</v>
      </c>
      <c r="H89" s="327">
        <f t="shared" si="77"/>
        <v>1.1125033511753859</v>
      </c>
      <c r="I89" s="327">
        <f t="shared" si="77"/>
        <v>1.1574134442567725</v>
      </c>
      <c r="J89" s="327">
        <f t="shared" si="77"/>
        <v>1.2305333799071443</v>
      </c>
      <c r="K89" s="327">
        <f t="shared" si="77"/>
        <v>1.2822267890414851</v>
      </c>
      <c r="L89" s="327">
        <f t="shared" si="77"/>
        <v>1.3661635465282165</v>
      </c>
      <c r="M89" s="327">
        <f t="shared" si="77"/>
        <v>1.4261748532343481</v>
      </c>
      <c r="N89" s="327">
        <f t="shared" si="77"/>
        <v>1.5232778460220167</v>
      </c>
      <c r="O89" s="327">
        <f t="shared" si="77"/>
        <v>1.5936370438271632</v>
      </c>
      <c r="P89" s="327">
        <f t="shared" si="77"/>
        <v>1.6688765281595459</v>
      </c>
      <c r="Q89" s="327">
        <f t="shared" si="77"/>
        <v>1.749547600574942</v>
      </c>
      <c r="R89" s="327">
        <f t="shared" si="77"/>
        <v>1.8362943964551299</v>
      </c>
      <c r="S89" s="327">
        <f t="shared" si="77"/>
        <v>1.9298748245290598</v>
      </c>
      <c r="T89" s="327">
        <f t="shared" si="77"/>
        <v>2.0311874739621905</v>
      </c>
      <c r="U89" s="327">
        <f t="shared" si="77"/>
        <v>2.1413065737487447</v>
      </c>
      <c r="V89" s="327">
        <f>IF(V84&gt;1,V77/V84," ")</f>
        <v>2.2615279652707176</v>
      </c>
      <c r="W89" s="432">
        <f>IF(W84&gt;1,W77/W84," ")</f>
        <v>10.791806543908494</v>
      </c>
      <c r="X89" s="327">
        <f t="shared" ref="X89:AE89" si="78">IF(X84&gt;1,X77/X84," ")</f>
        <v>10.819052693913942</v>
      </c>
      <c r="Y89" s="432">
        <f t="shared" si="78"/>
        <v>10.844125188681195</v>
      </c>
      <c r="Z89" s="327">
        <f t="shared" si="78"/>
        <v>10.866958818553078</v>
      </c>
      <c r="AA89" s="432">
        <f t="shared" si="78"/>
        <v>10.887486417582744</v>
      </c>
      <c r="AB89" s="327">
        <f t="shared" si="78"/>
        <v>10.905638804844926</v>
      </c>
      <c r="AC89" s="432">
        <f t="shared" si="78"/>
        <v>10.921344723986618</v>
      </c>
      <c r="AD89" s="327">
        <f t="shared" si="78"/>
        <v>10.934530780964169</v>
      </c>
      <c r="AE89" s="432">
        <f t="shared" si="78"/>
        <v>10.945121379912676</v>
      </c>
      <c r="AF89" s="327">
        <f>IF(AF84&gt;1,AF77/AF84," ")</f>
        <v>10.953038657091268</v>
      </c>
      <c r="AG89" s="64"/>
      <c r="AH89" s="64"/>
      <c r="AI89" s="64"/>
      <c r="AJ89" s="64"/>
      <c r="AK89" s="64"/>
      <c r="AL89" s="64"/>
      <c r="AM89" s="64"/>
    </row>
    <row r="90" spans="1:39">
      <c r="A90" s="65"/>
      <c r="B90" s="325"/>
      <c r="C90" s="325"/>
      <c r="D90" s="325"/>
      <c r="E90" s="32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/>
      <c r="X90" s="15"/>
      <c r="Y90"/>
      <c r="Z90" s="15"/>
      <c r="AA90"/>
      <c r="AB90" s="15"/>
      <c r="AC90"/>
      <c r="AD90" s="15"/>
      <c r="AE90"/>
      <c r="AF90" s="15"/>
      <c r="AG90" s="64"/>
      <c r="AH90" s="64"/>
      <c r="AI90" s="64"/>
      <c r="AJ90" s="64"/>
      <c r="AK90" s="64"/>
      <c r="AL90" s="64"/>
      <c r="AM90" s="64"/>
    </row>
    <row r="91" spans="1:39">
      <c r="A91" s="65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/>
      <c r="X91" s="66"/>
      <c r="Y91"/>
      <c r="Z91" s="66"/>
      <c r="AA91"/>
      <c r="AB91" s="66"/>
      <c r="AC91"/>
      <c r="AD91" s="66"/>
      <c r="AE91"/>
      <c r="AF91" s="66"/>
      <c r="AG91" s="64"/>
      <c r="AH91" s="64"/>
      <c r="AI91" s="64"/>
      <c r="AJ91" s="64"/>
      <c r="AK91" s="64"/>
      <c r="AL91" s="64"/>
      <c r="AM91" s="64"/>
    </row>
    <row r="92" spans="1:39">
      <c r="A92" s="67" t="s">
        <v>165</v>
      </c>
      <c r="B92" s="68">
        <f>AVERAGE(B89:W89)</f>
        <v>1.8224543179271946</v>
      </c>
      <c r="C92"/>
      <c r="F92" s="64"/>
      <c r="G92"/>
      <c r="H92"/>
      <c r="I92"/>
      <c r="J92"/>
      <c r="K92" s="64"/>
      <c r="L92" s="64"/>
      <c r="M92" s="69"/>
      <c r="N92" s="64"/>
      <c r="O92" s="64"/>
      <c r="P92" s="70"/>
      <c r="Q92" s="70"/>
      <c r="R92" s="70"/>
      <c r="S92" s="64"/>
      <c r="T92" s="64"/>
      <c r="U92" s="64"/>
      <c r="V92" s="64"/>
      <c r="W92"/>
      <c r="X92" s="64"/>
      <c r="Y92"/>
      <c r="Z92" s="64"/>
      <c r="AA92"/>
      <c r="AB92" s="64"/>
      <c r="AC92"/>
      <c r="AD92" s="64"/>
      <c r="AE92"/>
      <c r="AF92" s="64"/>
      <c r="AG92" s="64"/>
      <c r="AH92" s="64"/>
      <c r="AI92" s="64"/>
      <c r="AJ92" s="64"/>
      <c r="AK92" s="64"/>
      <c r="AL92" s="64"/>
      <c r="AM92" s="64"/>
    </row>
    <row r="93" spans="1:39">
      <c r="A93" s="73" t="s">
        <v>166</v>
      </c>
      <c r="B93" s="91">
        <f>MIN(B89:W89)</f>
        <v>0.34739056602071272</v>
      </c>
      <c r="C93"/>
      <c r="F93" s="65"/>
      <c r="G93"/>
      <c r="H93"/>
      <c r="I93"/>
      <c r="J93"/>
      <c r="K93" s="65"/>
      <c r="L93" s="65"/>
      <c r="M93" s="65"/>
      <c r="N93" s="65"/>
      <c r="O93" s="65"/>
      <c r="P93" s="70"/>
      <c r="Q93" s="70"/>
      <c r="R93" s="70"/>
      <c r="S93" s="64"/>
      <c r="T93" s="64"/>
      <c r="U93" s="64"/>
      <c r="V93" s="64"/>
      <c r="W93"/>
      <c r="X93" s="64"/>
      <c r="Y93"/>
      <c r="Z93" s="64"/>
      <c r="AA93"/>
      <c r="AB93" s="64"/>
      <c r="AC93"/>
      <c r="AD93" s="64"/>
      <c r="AE93"/>
      <c r="AF93" s="64"/>
      <c r="AG93" s="64"/>
      <c r="AH93" s="64"/>
      <c r="AI93" s="64"/>
      <c r="AJ93" s="64"/>
      <c r="AK93" s="64"/>
      <c r="AL93" s="64"/>
      <c r="AM93" s="64"/>
    </row>
    <row r="94" spans="1:39">
      <c r="AA94" s="14"/>
      <c r="AB94" s="14"/>
    </row>
    <row r="95" spans="1:39">
      <c r="AA95" s="14"/>
      <c r="AB95" s="14"/>
    </row>
    <row r="96" spans="1:39" ht="13.5" thickBot="1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</row>
    <row r="97" spans="1:32">
      <c r="AA97" s="14"/>
      <c r="AB97" s="14"/>
    </row>
    <row r="98" spans="1:32">
      <c r="A98" s="60" t="s">
        <v>197</v>
      </c>
      <c r="B98" s="349">
        <v>1</v>
      </c>
      <c r="AA98" s="14"/>
      <c r="AB98" s="14"/>
    </row>
    <row r="99" spans="1:32">
      <c r="A99" s="224" t="s">
        <v>31</v>
      </c>
      <c r="C99" s="480"/>
      <c r="D99" s="341"/>
      <c r="E99" s="341"/>
      <c r="F99" s="341"/>
      <c r="G99" s="341"/>
      <c r="H99" s="341"/>
      <c r="I99" s="341"/>
      <c r="J99" s="341"/>
      <c r="K99" s="341"/>
      <c r="L99" s="341"/>
      <c r="M99" s="341"/>
      <c r="N99" s="341"/>
      <c r="O99" s="341"/>
      <c r="P99" s="341"/>
      <c r="Q99" s="341"/>
      <c r="R99" s="341"/>
      <c r="S99" s="341"/>
      <c r="T99" s="341"/>
      <c r="U99" s="341"/>
      <c r="V99" s="341"/>
      <c r="W99" s="341"/>
      <c r="X99" s="341"/>
      <c r="Y99" s="341"/>
      <c r="Z99" s="341"/>
      <c r="AA99" s="341"/>
      <c r="AB99" s="341"/>
      <c r="AC99" s="341"/>
      <c r="AD99" s="341"/>
      <c r="AE99" s="341"/>
      <c r="AF99" s="341"/>
    </row>
    <row r="100" spans="1:32">
      <c r="A100" s="346" t="s">
        <v>57</v>
      </c>
      <c r="B100" s="344">
        <f>C100</f>
        <v>0.04</v>
      </c>
      <c r="C100" s="344">
        <f>IF(AND(Assumptions!$B$54&gt;Debt!B20,Assumptions!$B$54&lt;Debt!C20),1/$F$8-Debt!$B$100,IF(C20&gt;Assumptions!$B$54,0,1/$F$8))</f>
        <v>0.04</v>
      </c>
      <c r="D100" s="344">
        <f>IF(AND(Assumptions!$B$54&gt;Debt!C20,Assumptions!$B$54&lt;Debt!D20),1/$F$8-Debt!$B$100,IF(D20&gt;Assumptions!$B$54,0,1/$F$8))</f>
        <v>0.04</v>
      </c>
      <c r="E100" s="344">
        <f>IF(AND(Assumptions!$B$54&gt;Debt!D20,Assumptions!$B$54&lt;Debt!E20),1/$F$8-Debt!$B$100,IF(E20&gt;Assumptions!$B$54,0,1/$F$8))</f>
        <v>0.04</v>
      </c>
      <c r="F100" s="344">
        <f>IF(AND(Assumptions!$B$54&gt;Debt!E20,Assumptions!$B$54&lt;Debt!F20),1/$F$8-Debt!$B$100,IF(F20&gt;Assumptions!$B$54,0,1/$F$8))</f>
        <v>0.04</v>
      </c>
      <c r="G100" s="344">
        <f>IF(AND(Assumptions!$B$54&gt;Debt!F20,Assumptions!$B$54&lt;Debt!G20),1/$F$8-Debt!$B$100,IF(G20&gt;Assumptions!$B$54,0,1/$F$8))</f>
        <v>0.04</v>
      </c>
      <c r="H100" s="344">
        <f>IF(AND(Assumptions!$B$54&gt;Debt!G20,Assumptions!$B$54&lt;Debt!H20),1/$F$8-Debt!$B$100,IF(H20&gt;Assumptions!$B$54,0,1/$F$8))</f>
        <v>0.04</v>
      </c>
      <c r="I100" s="344">
        <f>IF(AND(Assumptions!$B$54&gt;Debt!H20,Assumptions!$B$54&lt;Debt!I20),1/$F$8-Debt!$B$100,IF(I20&gt;Assumptions!$B$54,0,1/$F$8))</f>
        <v>0.04</v>
      </c>
      <c r="J100" s="344">
        <f>IF(AND(Assumptions!$B$54&gt;Debt!I20,Assumptions!$B$54&lt;Debt!J20),1/$F$8-Debt!$B$100,IF(J20&gt;Assumptions!$B$54,0,1/$F$8))</f>
        <v>0.04</v>
      </c>
      <c r="K100" s="344">
        <f>IF(AND(Assumptions!$B$54&gt;Debt!J20,Assumptions!$B$54&lt;Debt!K20),1/$F$8-Debt!$B$100,IF(K20&gt;Assumptions!$B$54,0,1/$F$8))</f>
        <v>0.04</v>
      </c>
      <c r="L100" s="344">
        <f>IF(AND(Assumptions!$B$54&gt;Debt!K20,Assumptions!$B$54&lt;Debt!L20),1/$F$8-Debt!$B$100,IF(L20&gt;Assumptions!$B$54,0,1/$F$8))</f>
        <v>0.04</v>
      </c>
      <c r="M100" s="344">
        <f>IF(AND(Assumptions!$B$54&gt;Debt!L20,Assumptions!$B$54&lt;Debt!M20),1/$F$8-Debt!$B$100,IF(M20&gt;Assumptions!$B$54,0,1/$F$8))</f>
        <v>0.04</v>
      </c>
      <c r="N100" s="344">
        <f>IF(AND(Assumptions!$B$54&gt;Debt!M20,Assumptions!$B$54&lt;Debt!N20),1/$F$8-Debt!$B$100,IF(N20&gt;Assumptions!$B$54,0,1/$F$8))</f>
        <v>0.04</v>
      </c>
      <c r="O100" s="344">
        <f>IF(AND(Assumptions!$B$54&gt;Debt!N20,Assumptions!$B$54&lt;Debt!O20),1/$F$8-Debt!$B$100,IF(O20&gt;Assumptions!$B$54,0,1/$F$8))</f>
        <v>0.04</v>
      </c>
      <c r="P100" s="344">
        <f>IF(AND(Assumptions!$B$54&gt;Debt!O20,Assumptions!$B$54&lt;Debt!P20),1/$F$8-Debt!$B$100,IF(P20&gt;Assumptions!$B$54,0,1/$F$8))</f>
        <v>0.04</v>
      </c>
      <c r="Q100" s="344">
        <f>IF(AND(Assumptions!$B$54&gt;Debt!P20,Assumptions!$B$54&lt;Debt!Q20),1/$F$8-Debt!$B$100,IF(Q20&gt;Assumptions!$B$54,0,1/$F$8))</f>
        <v>0.04</v>
      </c>
      <c r="R100" s="344">
        <f>IF(AND(Assumptions!$B$54&gt;Debt!Q20,Assumptions!$B$54&lt;Debt!R20),1/$F$8-Debt!$B$100,IF(R20&gt;Assumptions!$B$54,0,1/$F$8))</f>
        <v>0.04</v>
      </c>
      <c r="S100" s="344">
        <f>IF(AND(Assumptions!$B$54&gt;Debt!R20,Assumptions!$B$54&lt;Debt!S20),1/$F$8-Debt!$B$100,IF(S20&gt;Assumptions!$B$54,0,1/$F$8))</f>
        <v>0.04</v>
      </c>
      <c r="T100" s="344">
        <f>IF(AND(Assumptions!$B$54&gt;Debt!S20,Assumptions!$B$54&lt;Debt!T20),1/$F$8-Debt!$B$100,IF(T20&gt;Assumptions!$B$54,0,1/$F$8))</f>
        <v>0.04</v>
      </c>
      <c r="U100" s="344">
        <f>IF(AND(Assumptions!$B$54&gt;Debt!T20,Assumptions!$B$54&lt;Debt!U20),1/$F$8-Debt!$B$100,IF(U20&gt;Assumptions!$B$54,0,1/$F$8))</f>
        <v>0.04</v>
      </c>
      <c r="V100" s="344">
        <f>IF(AND(Assumptions!$B$54&gt;Debt!U20,Assumptions!$B$54&lt;Debt!V20),1/$F$8-Debt!$B$100,IF(V20&gt;Assumptions!$B$54,0,1/$F$8))</f>
        <v>0.04</v>
      </c>
      <c r="W100" s="344">
        <f>IF(AND(Assumptions!$B$54&gt;Debt!V20,Assumptions!$B$54&lt;Debt!W20),1/$F$8-Debt!$B$100,IF(W20&gt;Assumptions!$B$54,0,1/$F$8))</f>
        <v>0</v>
      </c>
      <c r="X100" s="344">
        <f>IF(AND(Assumptions!$B$54&gt;Debt!W20,Assumptions!$B$54&lt;Debt!X20),1/$F$8-Debt!$B$100,IF(X20&gt;Assumptions!$B$54,0,1/$F$8))</f>
        <v>0</v>
      </c>
      <c r="Y100" s="344">
        <f>IF(AND(Assumptions!$B$54&gt;Debt!X20,Assumptions!$B$54&lt;Debt!Y20),1/$F$8-Debt!$B$100,IF(Y20&gt;Assumptions!$B$54,0,1/$F$8))</f>
        <v>0</v>
      </c>
      <c r="Z100" s="344">
        <f>IF(AND(Assumptions!$B$54&gt;Debt!Y20,Assumptions!$B$54&lt;Debt!Z20),1/$F$8-Debt!$B$100,IF(Z20&gt;Assumptions!$B$54,0,1/$F$8))</f>
        <v>0</v>
      </c>
      <c r="AA100" s="344">
        <f>IF(AND(Assumptions!$B$54&gt;Debt!Z20,Assumptions!$B$54&lt;Debt!AA20),1/$F$8-Debt!$B$100,IF(AA20&gt;Assumptions!$B$54,0,1/$F$8))</f>
        <v>0</v>
      </c>
      <c r="AB100" s="344">
        <f>IF(AND(Assumptions!$B$54&gt;Debt!AA20,Assumptions!$B$54&lt;Debt!AB20),1/$F$8-Debt!$B$100,IF(AB20&gt;Assumptions!$B$54,0,1/$F$8))</f>
        <v>0</v>
      </c>
      <c r="AC100" s="344">
        <f>IF(AND(Assumptions!$B$54&gt;Debt!AB20,Assumptions!$B$54&lt;Debt!AC20),1/$F$8-Debt!$B$100,IF(AC20&gt;Assumptions!$B$54,0,1/$F$8))</f>
        <v>0</v>
      </c>
      <c r="AD100" s="344">
        <f>IF(AND(Assumptions!$B$54&gt;Debt!AC20,Assumptions!$B$54&lt;Debt!AD20),1/$F$8-Debt!$B$100,IF(AD20&gt;Assumptions!$B$54,0,1/$F$8))</f>
        <v>0</v>
      </c>
      <c r="AE100" s="344">
        <f>IF(AND(Assumptions!$B$54&gt;Debt!AD20,Assumptions!$B$54&lt;Debt!AE20),1/$F$8-Debt!$B$100,IF(AE20&gt;Assumptions!$B$54,0,1/$F$8))</f>
        <v>0</v>
      </c>
      <c r="AF100" s="344">
        <f>IF(AND(Assumptions!$B$54&gt;Debt!AE20,Assumptions!$B$54&lt;Debt!AF20),1/$F$8-Debt!$B$100,IF(AF20&gt;Assumptions!$B$54,0,1/$F$8))</f>
        <v>0</v>
      </c>
    </row>
    <row r="101" spans="1:32">
      <c r="A101" s="346" t="s">
        <v>315</v>
      </c>
      <c r="B101" s="344">
        <v>0.2</v>
      </c>
      <c r="C101" s="344">
        <v>0.2</v>
      </c>
      <c r="D101" s="344">
        <v>0.2</v>
      </c>
      <c r="E101" s="344">
        <v>0.2</v>
      </c>
      <c r="F101" s="344">
        <v>0.2</v>
      </c>
      <c r="G101" s="344">
        <v>0</v>
      </c>
      <c r="H101" s="344">
        <v>0</v>
      </c>
      <c r="I101" s="344">
        <v>0</v>
      </c>
      <c r="J101" s="344">
        <v>0</v>
      </c>
      <c r="K101" s="344">
        <v>0</v>
      </c>
      <c r="L101" s="344">
        <v>0</v>
      </c>
      <c r="M101" s="344">
        <v>0</v>
      </c>
      <c r="N101" s="344">
        <v>0</v>
      </c>
      <c r="O101" s="344">
        <v>0</v>
      </c>
      <c r="P101" s="344">
        <v>0</v>
      </c>
      <c r="Q101" s="344">
        <v>0</v>
      </c>
      <c r="R101" s="344">
        <v>0</v>
      </c>
      <c r="S101" s="344">
        <v>0</v>
      </c>
      <c r="T101" s="344">
        <v>0</v>
      </c>
      <c r="U101" s="344">
        <v>0</v>
      </c>
      <c r="V101" s="344">
        <v>0</v>
      </c>
      <c r="W101" s="344">
        <v>0</v>
      </c>
      <c r="X101" s="344">
        <v>0</v>
      </c>
      <c r="Y101" s="344">
        <v>0</v>
      </c>
      <c r="Z101" s="344">
        <v>0</v>
      </c>
      <c r="AA101" s="344">
        <v>0</v>
      </c>
      <c r="AB101" s="344">
        <v>0</v>
      </c>
      <c r="AC101" s="344">
        <v>0</v>
      </c>
      <c r="AD101" s="344">
        <v>0</v>
      </c>
      <c r="AE101" s="344">
        <v>0</v>
      </c>
      <c r="AF101" s="344">
        <v>0</v>
      </c>
    </row>
    <row r="102" spans="1:32">
      <c r="A102" s="346" t="s">
        <v>196</v>
      </c>
      <c r="B102" s="342">
        <f>CHOOSE($B$98,B100,B101)</f>
        <v>0.04</v>
      </c>
      <c r="C102" s="342">
        <f t="shared" ref="C102:W102" si="79">CHOOSE($B$98,C100,C101)</f>
        <v>0.04</v>
      </c>
      <c r="D102" s="342">
        <f t="shared" si="79"/>
        <v>0.04</v>
      </c>
      <c r="E102" s="342">
        <f t="shared" si="79"/>
        <v>0.04</v>
      </c>
      <c r="F102" s="342">
        <f t="shared" si="79"/>
        <v>0.04</v>
      </c>
      <c r="G102" s="342">
        <f t="shared" si="79"/>
        <v>0.04</v>
      </c>
      <c r="H102" s="342">
        <f t="shared" si="79"/>
        <v>0.04</v>
      </c>
      <c r="I102" s="342">
        <f t="shared" si="79"/>
        <v>0.04</v>
      </c>
      <c r="J102" s="342">
        <f t="shared" si="79"/>
        <v>0.04</v>
      </c>
      <c r="K102" s="342">
        <f t="shared" si="79"/>
        <v>0.04</v>
      </c>
      <c r="L102" s="342">
        <f t="shared" si="79"/>
        <v>0.04</v>
      </c>
      <c r="M102" s="342">
        <f t="shared" si="79"/>
        <v>0.04</v>
      </c>
      <c r="N102" s="342">
        <f t="shared" si="79"/>
        <v>0.04</v>
      </c>
      <c r="O102" s="342">
        <f t="shared" si="79"/>
        <v>0.04</v>
      </c>
      <c r="P102" s="342">
        <f t="shared" si="79"/>
        <v>0.04</v>
      </c>
      <c r="Q102" s="342">
        <f t="shared" si="79"/>
        <v>0.04</v>
      </c>
      <c r="R102" s="342">
        <f t="shared" si="79"/>
        <v>0.04</v>
      </c>
      <c r="S102" s="342">
        <f t="shared" si="79"/>
        <v>0.04</v>
      </c>
      <c r="T102" s="342">
        <f t="shared" si="79"/>
        <v>0.04</v>
      </c>
      <c r="U102" s="342">
        <f t="shared" si="79"/>
        <v>0.04</v>
      </c>
      <c r="V102" s="342">
        <f t="shared" si="79"/>
        <v>0.04</v>
      </c>
      <c r="W102" s="342">
        <f t="shared" si="79"/>
        <v>0</v>
      </c>
      <c r="X102" s="342">
        <f t="shared" ref="X102:AF102" si="80">CHOOSE($B$98,X100,X101)</f>
        <v>0</v>
      </c>
      <c r="Y102" s="342">
        <f t="shared" si="80"/>
        <v>0</v>
      </c>
      <c r="Z102" s="342">
        <f t="shared" si="80"/>
        <v>0</v>
      </c>
      <c r="AA102" s="342">
        <f t="shared" si="80"/>
        <v>0</v>
      </c>
      <c r="AB102" s="342">
        <f t="shared" si="80"/>
        <v>0</v>
      </c>
      <c r="AC102" s="342">
        <f t="shared" si="80"/>
        <v>0</v>
      </c>
      <c r="AD102" s="342">
        <f t="shared" si="80"/>
        <v>0</v>
      </c>
      <c r="AE102" s="342">
        <f t="shared" si="80"/>
        <v>0</v>
      </c>
      <c r="AF102" s="342">
        <f t="shared" si="80"/>
        <v>0</v>
      </c>
    </row>
    <row r="103" spans="1:32"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</row>
    <row r="104" spans="1:32">
      <c r="A104" s="224" t="s">
        <v>32</v>
      </c>
      <c r="B104" s="343"/>
      <c r="C104" s="343"/>
      <c r="D104" s="343"/>
      <c r="E104" s="343"/>
      <c r="F104" s="343"/>
      <c r="G104" s="343"/>
      <c r="H104" s="343"/>
      <c r="I104" s="343"/>
      <c r="J104" s="343"/>
      <c r="K104" s="343"/>
      <c r="L104" s="343"/>
      <c r="M104" s="343"/>
      <c r="N104" s="343"/>
      <c r="O104" s="343"/>
      <c r="P104" s="343"/>
      <c r="Q104" s="343"/>
      <c r="R104" s="343"/>
      <c r="S104" s="343"/>
      <c r="T104" s="343"/>
      <c r="U104" s="343"/>
      <c r="V104" s="343"/>
      <c r="W104" s="343"/>
      <c r="X104" s="343"/>
      <c r="Y104" s="343"/>
      <c r="Z104" s="343"/>
      <c r="AA104" s="343"/>
      <c r="AB104" s="343"/>
      <c r="AC104" s="343"/>
      <c r="AD104" s="343"/>
      <c r="AE104" s="343"/>
      <c r="AF104" s="343"/>
    </row>
    <row r="105" spans="1:32">
      <c r="A105" s="346" t="s">
        <v>57</v>
      </c>
      <c r="B105" s="344">
        <f>C105</f>
        <v>0.1</v>
      </c>
      <c r="C105" s="344">
        <f>IF(AND(Assumptions!$C$54&gt;Debt!B20,Assumptions!$C$54&lt;Debt!C20),1/$L$8-Debt!$B$105,IF(C20&gt;Assumptions!$C$54,0,1/$L$8))</f>
        <v>0.1</v>
      </c>
      <c r="D105" s="344">
        <f>IF(AND(Assumptions!$C$54&gt;Debt!C20,Assumptions!$C$54&lt;Debt!D20),1/$L$8-Debt!$B$105,IF(D20&gt;Assumptions!$C$54,0,1/$L$8))</f>
        <v>0.1</v>
      </c>
      <c r="E105" s="344">
        <f>IF(AND(Assumptions!$C$54&gt;Debt!D20,Assumptions!$C$54&lt;Debt!E20),1/$L$8-Debt!$B$105,IF(E20&gt;Assumptions!$C$54,0,1/$L$8))</f>
        <v>0.1</v>
      </c>
      <c r="F105" s="344">
        <f>IF(AND(Assumptions!$C$54&gt;Debt!E20,Assumptions!$C$54&lt;Debt!F20),1/$L$8-Debt!$B$105,IF(F20&gt;Assumptions!$C$54,0,1/$L$8))</f>
        <v>0.1</v>
      </c>
      <c r="G105" s="344">
        <f>IF(AND(Assumptions!$C$54&gt;Debt!F20,Assumptions!$C$54&lt;Debt!G20),1/$L$8-Debt!$B$105,IF(G20&gt;Assumptions!$C$54,0,1/$L$8))</f>
        <v>0.1</v>
      </c>
      <c r="H105" s="344">
        <f>IF(AND(Assumptions!$C$54&gt;Debt!G20,Assumptions!$C$54&lt;Debt!H20),1/$L$8-Debt!$B$105,IF(H20&gt;Assumptions!$C$54,0,1/$L$8))</f>
        <v>0.1</v>
      </c>
      <c r="I105" s="344">
        <f>IF(AND(Assumptions!$C$54&gt;Debt!H20,Assumptions!$C$54&lt;Debt!I20),1/$L$8-Debt!$B$105,IF(I20&gt;Assumptions!$C$54,0,1/$L$8))</f>
        <v>0.1</v>
      </c>
      <c r="J105" s="344">
        <f>IF(AND(Assumptions!$C$54&gt;Debt!I20,Assumptions!$C$54&lt;Debt!J20),1/$L$8-Debt!$B$105,IF(J20&gt;Assumptions!$C$54,0,1/$L$8))</f>
        <v>0.1</v>
      </c>
      <c r="K105" s="344">
        <f>IF(AND(Assumptions!$C$54&gt;Debt!J20,Assumptions!$C$54&lt;Debt!K20),1/$L$8-Debt!$B$105,IF(K20&gt;Assumptions!$C$54,0,1/$L$8))</f>
        <v>0.1</v>
      </c>
      <c r="L105" s="344">
        <f>IF(AND(Assumptions!$C$54&gt;Debt!K20,Assumptions!$C$54&lt;Debt!L20),1/$L$8-Debt!$B$105,IF(L20&gt;Assumptions!$C$54,0,1/$L$8))</f>
        <v>0</v>
      </c>
      <c r="M105" s="344">
        <f>IF(AND(Assumptions!$C$54&gt;Debt!L20,Assumptions!$C$54&lt;Debt!M20),1/$L$8-Debt!$B$105,IF(M20&gt;Assumptions!$C$54,0,1/$L$8))</f>
        <v>0</v>
      </c>
      <c r="N105" s="344">
        <f>IF(AND(Assumptions!$C$54&gt;Debt!M20,Assumptions!$C$54&lt;Debt!N20),1/$L$8-Debt!$B$105,IF(N20&gt;Assumptions!$C$54,0,1/$L$8))</f>
        <v>0</v>
      </c>
      <c r="O105" s="344">
        <f>IF(AND(Assumptions!$C$54&gt;Debt!N20,Assumptions!$C$54&lt;Debt!O20),1/$L$8-Debt!$B$105,IF(O20&gt;Assumptions!$C$54,0,1/$L$8))</f>
        <v>0</v>
      </c>
      <c r="P105" s="344">
        <f>IF(AND(Assumptions!$C$54&gt;Debt!O20,Assumptions!$C$54&lt;Debt!P20),1/$L$8-Debt!$B$105,IF(P20&gt;Assumptions!$C$54,0,1/$L$8))</f>
        <v>0</v>
      </c>
      <c r="Q105" s="344">
        <f>IF(AND(Assumptions!$C$54&gt;Debt!P20,Assumptions!$C$54&lt;Debt!Q20),1/$L$8-Debt!$B$105,IF(Q20&gt;Assumptions!$C$54,0,1/$L$8))</f>
        <v>0</v>
      </c>
      <c r="R105" s="344">
        <f>IF(AND(Assumptions!$C$54&gt;Debt!Q20,Assumptions!$C$54&lt;Debt!R20),1/$L$8-Debt!$B$105,IF(R20&gt;Assumptions!$C$54,0,1/$L$8))</f>
        <v>0</v>
      </c>
      <c r="S105" s="344">
        <f>IF(AND(Assumptions!$C$54&gt;Debt!R20,Assumptions!$C$54&lt;Debt!S20),1/$L$8-Debt!$B$105,IF(S20&gt;Assumptions!$C$54,0,1/$L$8))</f>
        <v>0</v>
      </c>
      <c r="T105" s="344">
        <f>IF(AND(Assumptions!$C$54&gt;Debt!S20,Assumptions!$C$54&lt;Debt!T20),1/$L$8-Debt!$B$105,IF(T20&gt;Assumptions!$C$54,0,1/$L$8))</f>
        <v>0</v>
      </c>
      <c r="U105" s="344">
        <f>IF(AND(Assumptions!$C$54&gt;Debt!T20,Assumptions!$C$54&lt;Debt!U20),1/$L$8-Debt!$B$105,IF(U20&gt;Assumptions!$C$54,0,1/$L$8))</f>
        <v>0</v>
      </c>
      <c r="V105" s="344">
        <f>IF(AND(Assumptions!$C$54&gt;Debt!U20,Assumptions!$C$54&lt;Debt!V20),1/$L$8-Debt!$B$105,IF(V20&gt;Assumptions!$C$54,0,1/$L$8))</f>
        <v>0</v>
      </c>
      <c r="W105" s="344">
        <f>IF(AND(Assumptions!$C$54&gt;Debt!V20,Assumptions!$C$54&lt;Debt!W20),1/$L$8-Debt!$B$105,IF(W20&gt;Assumptions!$C$54,0,1/$L$8))</f>
        <v>0</v>
      </c>
      <c r="X105" s="344">
        <f>IF(AND(Assumptions!$C$54&gt;Debt!W20,Assumptions!$C$54&lt;Debt!X20),1/$L$8-Debt!$B$105,IF(X20&gt;Assumptions!$C$54,0,1/$L$8))</f>
        <v>0</v>
      </c>
      <c r="Y105" s="344">
        <f>IF(AND(Assumptions!$C$54&gt;Debt!X20,Assumptions!$C$54&lt;Debt!Y20),1/$L$8-Debt!$B$105,IF(Y20&gt;Assumptions!$C$54,0,1/$L$8))</f>
        <v>0</v>
      </c>
      <c r="Z105" s="344">
        <f>IF(AND(Assumptions!$C$54&gt;Debt!Y20,Assumptions!$C$54&lt;Debt!Z20),1/$L$8-Debt!$B$105,IF(Z20&gt;Assumptions!$C$54,0,1/$L$8))</f>
        <v>0</v>
      </c>
      <c r="AA105" s="344">
        <f>IF(AND(Assumptions!$C$54&gt;Debt!Z20,Assumptions!$C$54&lt;Debt!AA20),1/$L$8-Debt!$B$105,IF(AA20&gt;Assumptions!$C$54,0,1/$L$8))</f>
        <v>0</v>
      </c>
      <c r="AB105" s="344">
        <f>IF(AND(Assumptions!$C$54&gt;Debt!AA20,Assumptions!$C$54&lt;Debt!AB20),1/$L$8-Debt!$B$105,IF(AB20&gt;Assumptions!$C$54,0,1/$L$8))</f>
        <v>0</v>
      </c>
      <c r="AC105" s="344">
        <f>IF(AND(Assumptions!$C$54&gt;Debt!AB20,Assumptions!$C$54&lt;Debt!AC20),1/$L$8-Debt!$B$105,IF(AC20&gt;Assumptions!$C$54,0,1/$L$8))</f>
        <v>0</v>
      </c>
      <c r="AD105" s="344">
        <f>IF(AND(Assumptions!$C$54&gt;Debt!AC20,Assumptions!$C$54&lt;Debt!AD20),1/$L$8-Debt!$B$105,IF(AD20&gt;Assumptions!$C$54,0,1/$L$8))</f>
        <v>0</v>
      </c>
      <c r="AE105" s="344">
        <f>IF(AND(Assumptions!$C$54&gt;Debt!AD20,Assumptions!$C$54&lt;Debt!AE20),1/$L$8-Debt!$B$105,IF(AE20&gt;Assumptions!$C$54,0,1/$L$8))</f>
        <v>0</v>
      </c>
      <c r="AF105" s="344">
        <f>IF(AND(Assumptions!$C$54&gt;Debt!AE20,Assumptions!$C$54&lt;Debt!AF20),1/$L$8-Debt!$B$105,IF(AF20&gt;Assumptions!$C$54,0,1/$L$8))</f>
        <v>0</v>
      </c>
    </row>
    <row r="106" spans="1:32">
      <c r="A106" s="346" t="s">
        <v>315</v>
      </c>
      <c r="B106" s="344">
        <v>0.1</v>
      </c>
      <c r="C106" s="344">
        <v>0.1</v>
      </c>
      <c r="D106" s="344">
        <v>0.1</v>
      </c>
      <c r="E106" s="344">
        <v>0.1</v>
      </c>
      <c r="F106" s="344">
        <v>0.1</v>
      </c>
      <c r="G106" s="344">
        <v>0.1</v>
      </c>
      <c r="H106" s="344">
        <v>0.1</v>
      </c>
      <c r="I106" s="344">
        <v>0.1</v>
      </c>
      <c r="J106" s="344">
        <v>0.1</v>
      </c>
      <c r="K106" s="344">
        <v>0.1</v>
      </c>
      <c r="L106" s="344">
        <v>0</v>
      </c>
      <c r="M106" s="344">
        <v>0</v>
      </c>
      <c r="N106" s="344">
        <v>0</v>
      </c>
      <c r="O106" s="344">
        <v>0</v>
      </c>
      <c r="P106" s="344">
        <v>0</v>
      </c>
      <c r="Q106" s="344">
        <v>0</v>
      </c>
      <c r="R106" s="344">
        <v>0</v>
      </c>
      <c r="S106" s="344">
        <v>0</v>
      </c>
      <c r="T106" s="344">
        <v>0</v>
      </c>
      <c r="U106" s="344">
        <v>0</v>
      </c>
      <c r="V106" s="344">
        <v>0</v>
      </c>
      <c r="W106" s="344">
        <v>0</v>
      </c>
      <c r="X106" s="344">
        <v>0</v>
      </c>
      <c r="Y106" s="344">
        <v>0</v>
      </c>
      <c r="Z106" s="344">
        <v>0</v>
      </c>
      <c r="AA106" s="344">
        <v>0</v>
      </c>
      <c r="AB106" s="344">
        <v>0</v>
      </c>
      <c r="AC106" s="344">
        <v>0</v>
      </c>
      <c r="AD106" s="344">
        <v>0</v>
      </c>
      <c r="AE106" s="344">
        <v>0</v>
      </c>
      <c r="AF106" s="344">
        <v>0</v>
      </c>
    </row>
    <row r="107" spans="1:32">
      <c r="A107" s="346" t="s">
        <v>196</v>
      </c>
      <c r="B107" s="342">
        <f>CHOOSE($B$98,B105,B106)</f>
        <v>0.1</v>
      </c>
      <c r="C107" s="342">
        <f t="shared" ref="C107:W107" si="81">CHOOSE($B$98,C105,C106)</f>
        <v>0.1</v>
      </c>
      <c r="D107" s="342">
        <f t="shared" si="81"/>
        <v>0.1</v>
      </c>
      <c r="E107" s="342">
        <f t="shared" si="81"/>
        <v>0.1</v>
      </c>
      <c r="F107" s="342">
        <f t="shared" si="81"/>
        <v>0.1</v>
      </c>
      <c r="G107" s="342">
        <f t="shared" si="81"/>
        <v>0.1</v>
      </c>
      <c r="H107" s="342">
        <f t="shared" si="81"/>
        <v>0.1</v>
      </c>
      <c r="I107" s="342">
        <f t="shared" si="81"/>
        <v>0.1</v>
      </c>
      <c r="J107" s="342">
        <f t="shared" si="81"/>
        <v>0.1</v>
      </c>
      <c r="K107" s="342">
        <f t="shared" si="81"/>
        <v>0.1</v>
      </c>
      <c r="L107" s="342">
        <f t="shared" si="81"/>
        <v>0</v>
      </c>
      <c r="M107" s="342">
        <f t="shared" si="81"/>
        <v>0</v>
      </c>
      <c r="N107" s="342">
        <f t="shared" si="81"/>
        <v>0</v>
      </c>
      <c r="O107" s="342">
        <f t="shared" si="81"/>
        <v>0</v>
      </c>
      <c r="P107" s="342">
        <f t="shared" si="81"/>
        <v>0</v>
      </c>
      <c r="Q107" s="342">
        <f t="shared" si="81"/>
        <v>0</v>
      </c>
      <c r="R107" s="342">
        <f t="shared" si="81"/>
        <v>0</v>
      </c>
      <c r="S107" s="342">
        <f t="shared" si="81"/>
        <v>0</v>
      </c>
      <c r="T107" s="342">
        <f t="shared" si="81"/>
        <v>0</v>
      </c>
      <c r="U107" s="342">
        <f t="shared" si="81"/>
        <v>0</v>
      </c>
      <c r="V107" s="342">
        <f t="shared" si="81"/>
        <v>0</v>
      </c>
      <c r="W107" s="342">
        <f t="shared" si="81"/>
        <v>0</v>
      </c>
      <c r="X107" s="342">
        <f t="shared" ref="X107:AF107" si="82">CHOOSE($B$98,X105,X106)</f>
        <v>0</v>
      </c>
      <c r="Y107" s="342">
        <f t="shared" si="82"/>
        <v>0</v>
      </c>
      <c r="Z107" s="342">
        <f t="shared" si="82"/>
        <v>0</v>
      </c>
      <c r="AA107" s="342">
        <f t="shared" si="82"/>
        <v>0</v>
      </c>
      <c r="AB107" s="342">
        <f t="shared" si="82"/>
        <v>0</v>
      </c>
      <c r="AC107" s="342">
        <f t="shared" si="82"/>
        <v>0</v>
      </c>
      <c r="AD107" s="342">
        <f t="shared" si="82"/>
        <v>0</v>
      </c>
      <c r="AE107" s="342">
        <f t="shared" si="82"/>
        <v>0</v>
      </c>
      <c r="AF107" s="342">
        <f t="shared" si="82"/>
        <v>0</v>
      </c>
    </row>
    <row r="108" spans="1:32"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</row>
    <row r="109" spans="1:32">
      <c r="A109" s="224" t="s">
        <v>33</v>
      </c>
      <c r="B109" s="343"/>
      <c r="C109" s="343"/>
      <c r="D109" s="343"/>
      <c r="E109" s="343"/>
      <c r="F109" s="343"/>
      <c r="G109" s="343"/>
      <c r="H109" s="343"/>
      <c r="I109" s="343"/>
      <c r="J109" s="343"/>
      <c r="K109" s="343"/>
      <c r="L109" s="343"/>
      <c r="M109" s="343"/>
      <c r="N109" s="343"/>
      <c r="O109" s="343"/>
      <c r="P109" s="343"/>
      <c r="Q109" s="343"/>
      <c r="R109" s="343"/>
      <c r="S109" s="343"/>
      <c r="T109" s="343"/>
      <c r="U109" s="343"/>
      <c r="V109" s="343"/>
      <c r="W109" s="343"/>
      <c r="X109" s="343"/>
      <c r="Y109" s="343"/>
      <c r="Z109" s="343"/>
      <c r="AA109" s="343"/>
      <c r="AB109" s="343"/>
      <c r="AC109" s="343"/>
      <c r="AD109" s="343"/>
      <c r="AE109" s="343"/>
      <c r="AF109" s="343"/>
    </row>
    <row r="110" spans="1:32">
      <c r="A110" s="346" t="s">
        <v>57</v>
      </c>
      <c r="B110" s="344">
        <f>C110</f>
        <v>0.05</v>
      </c>
      <c r="C110" s="344">
        <f>IF(AND(Assumptions!$D$54&gt;Debt!B20,Assumptions!$D$54&lt;Debt!C20),1/$R$8-Debt!$B$110,IF(C20&gt;Assumptions!$D$54,0,1/$R$8))</f>
        <v>0.05</v>
      </c>
      <c r="D110" s="344">
        <f>IF(AND(Assumptions!$D$54&gt;Debt!C20,Assumptions!$D$54&lt;Debt!D20),1/$R$8-Debt!$B$110,IF(D20&gt;Assumptions!$D$54,0,1/$R$8))</f>
        <v>0.05</v>
      </c>
      <c r="E110" s="344">
        <f>IF(AND(Assumptions!$D$54&gt;Debt!D20,Assumptions!$D$54&lt;Debt!E20),1/$R$8-Debt!$B$110,IF(E20&gt;Assumptions!$D$54,0,1/$R$8))</f>
        <v>0.05</v>
      </c>
      <c r="F110" s="344">
        <f>IF(AND(Assumptions!$D$54&gt;Debt!E20,Assumptions!$D$54&lt;Debt!F20),1/$R$8-Debt!$B$110,IF(F20&gt;Assumptions!$D$54,0,1/$R$8))</f>
        <v>0.05</v>
      </c>
      <c r="G110" s="344">
        <f>IF(AND(Assumptions!$D$54&gt;Debt!F20,Assumptions!$D$54&lt;Debt!G20),1/$R$8-Debt!$B$110,IF(G20&gt;Assumptions!$D$54,0,1/$R$8))</f>
        <v>0.05</v>
      </c>
      <c r="H110" s="344">
        <f>IF(AND(Assumptions!$D$54&gt;Debt!G20,Assumptions!$D$54&lt;Debt!H20),1/$R$8-Debt!$B$110,IF(H20&gt;Assumptions!$D$54,0,1/$R$8))</f>
        <v>0.05</v>
      </c>
      <c r="I110" s="344">
        <f>IF(AND(Assumptions!$D$54&gt;Debt!H20,Assumptions!$D$54&lt;Debt!I20),1/$R$8-Debt!$B$110,IF(I20&gt;Assumptions!$D$54,0,1/$R$8))</f>
        <v>0.05</v>
      </c>
      <c r="J110" s="344">
        <f>IF(AND(Assumptions!$D$54&gt;Debt!I20,Assumptions!$D$54&lt;Debt!J20),1/$R$8-Debt!$B$110,IF(J20&gt;Assumptions!$D$54,0,1/$R$8))</f>
        <v>0.05</v>
      </c>
      <c r="K110" s="344">
        <f>IF(AND(Assumptions!$D$54&gt;Debt!J20,Assumptions!$D$54&lt;Debt!K20),1/$R$8-Debt!$B$110,IF(K20&gt;Assumptions!$D$54,0,1/$R$8))</f>
        <v>0.05</v>
      </c>
      <c r="L110" s="344">
        <f>IF(AND(Assumptions!$D$54&gt;Debt!K20,Assumptions!$D$54&lt;Debt!L20),1/$R$8-Debt!$B$110,IF(L20&gt;Assumptions!$D$54,0,1/$R$8))</f>
        <v>0.05</v>
      </c>
      <c r="M110" s="344">
        <f>IF(AND(Assumptions!$D$54&gt;Debt!L20,Assumptions!$D$54&lt;Debt!M20),1/$R$8-Debt!$B$110,IF(M20&gt;Assumptions!$D$54,0,1/$R$8))</f>
        <v>0.05</v>
      </c>
      <c r="N110" s="344">
        <f>IF(AND(Assumptions!$D$54&gt;Debt!M20,Assumptions!$D$54&lt;Debt!N20),1/$R$8-Debt!$B$110,IF(N20&gt;Assumptions!$D$54,0,1/$R$8))</f>
        <v>0.05</v>
      </c>
      <c r="O110" s="344">
        <f>IF(AND(Assumptions!$D$54&gt;Debt!N20,Assumptions!$D$54&lt;Debt!O20),1/$R$8-Debt!$B$110,IF(O20&gt;Assumptions!$D$54,0,1/$R$8))</f>
        <v>0.05</v>
      </c>
      <c r="P110" s="344">
        <f>IF(AND(Assumptions!$D$54&gt;Debt!O20,Assumptions!$D$54&lt;Debt!P20),1/$R$8-Debt!$B$110,IF(P20&gt;Assumptions!$D$54,0,1/$R$8))</f>
        <v>0.05</v>
      </c>
      <c r="Q110" s="344">
        <f>IF(AND(Assumptions!$D$54&gt;Debt!P20,Assumptions!$D$54&lt;Debt!Q20),1/$R$8-Debt!$B$110,IF(Q20&gt;Assumptions!$D$54,0,1/$R$8))</f>
        <v>0.05</v>
      </c>
      <c r="R110" s="344">
        <f>IF(AND(Assumptions!$D$54&gt;Debt!Q20,Assumptions!$D$54&lt;Debt!R20),1/$R$8-Debt!$B$110,IF(R20&gt;Assumptions!$D$54,0,1/$R$8))</f>
        <v>0.05</v>
      </c>
      <c r="S110" s="344">
        <f>IF(AND(Assumptions!$D$54&gt;Debt!R20,Assumptions!$D$54&lt;Debt!S20),1/$R$8-Debt!$B$110,IF(S20&gt;Assumptions!$D$54,0,1/$R$8))</f>
        <v>0.05</v>
      </c>
      <c r="T110" s="344">
        <f>IF(AND(Assumptions!$D$54&gt;Debt!S20,Assumptions!$D$54&lt;Debt!T20),1/$R$8-Debt!$B$110,IF(T20&gt;Assumptions!$D$54,0,1/$R$8))</f>
        <v>0.05</v>
      </c>
      <c r="U110" s="344">
        <f>IF(AND(Assumptions!$D$54&gt;Debt!T20,Assumptions!$D$54&lt;Debt!U20),1/$R$8-Debt!$B$110,IF(U20&gt;Assumptions!$D$54,0,1/$R$8))</f>
        <v>0.05</v>
      </c>
      <c r="V110" s="344">
        <f>IF(AND(Assumptions!$D$54&gt;Debt!U20,Assumptions!$D$54&lt;Debt!V20),1/$R$8-Debt!$B$110,IF(V20&gt;Assumptions!$D$54,0,1/$R$8))</f>
        <v>0</v>
      </c>
      <c r="W110" s="344">
        <f>IF(AND(Assumptions!$D$54&gt;Debt!V20,Assumptions!$D$54&lt;Debt!W20),1/$R$8-Debt!$B$110,IF(W20&gt;Assumptions!$D$54,0,1/$R$8))</f>
        <v>0</v>
      </c>
      <c r="X110" s="344">
        <f>IF(AND(Assumptions!$D$54&gt;Debt!W20,Assumptions!$D$54&lt;Debt!X20),1/$R$8-Debt!$B$110,IF(X20&gt;Assumptions!$D$54,0,1/$R$8))</f>
        <v>0</v>
      </c>
      <c r="Y110" s="344">
        <f>IF(AND(Assumptions!$D$54&gt;Debt!X20,Assumptions!$D$54&lt;Debt!Y20),1/$R$8-Debt!$B$110,IF(Y20&gt;Assumptions!$D$54,0,1/$R$8))</f>
        <v>0</v>
      </c>
      <c r="Z110" s="344">
        <f>IF(AND(Assumptions!$D$54&gt;Debt!Y20,Assumptions!$D$54&lt;Debt!Z20),1/$R$8-Debt!$B$110,IF(Z20&gt;Assumptions!$D$54,0,1/$R$8))</f>
        <v>0</v>
      </c>
      <c r="AA110" s="344">
        <f>IF(AND(Assumptions!$D$54&gt;Debt!Z20,Assumptions!$D$54&lt;Debt!AA20),1/$R$8-Debt!$B$110,IF(AA20&gt;Assumptions!$D$54,0,1/$R$8))</f>
        <v>0</v>
      </c>
      <c r="AB110" s="344">
        <f>IF(AND(Assumptions!$D$54&gt;Debt!AA20,Assumptions!$D$54&lt;Debt!AB20),1/$R$8-Debt!$B$110,IF(AB20&gt;Assumptions!$D$54,0,1/$R$8))</f>
        <v>0</v>
      </c>
      <c r="AC110" s="344">
        <f>IF(AND(Assumptions!$D$54&gt;Debt!AB20,Assumptions!$D$54&lt;Debt!AC20),1/$R$8-Debt!$B$110,IF(AC20&gt;Assumptions!$D$54,0,1/$R$8))</f>
        <v>0</v>
      </c>
      <c r="AD110" s="344">
        <f>IF(AND(Assumptions!$D$54&gt;Debt!AC20,Assumptions!$D$54&lt;Debt!AD20),1/$R$8-Debt!$B$110,IF(AD20&gt;Assumptions!$D$54,0,1/$R$8))</f>
        <v>0</v>
      </c>
      <c r="AE110" s="344">
        <f>IF(AND(Assumptions!$D$54&gt;Debt!AD20,Assumptions!$D$54&lt;Debt!AE20),1/$R$8-Debt!$B$110,IF(AE20&gt;Assumptions!$D$54,0,1/$R$8))</f>
        <v>0</v>
      </c>
      <c r="AF110" s="344">
        <f>IF(AND(Assumptions!$D$54&gt;Debt!AE20,Assumptions!$D$54&lt;Debt!AF20),1/$R$8-Debt!$B$110,IF(AF20&gt;Assumptions!$D$54,0,1/$R$8))</f>
        <v>0</v>
      </c>
    </row>
    <row r="111" spans="1:32">
      <c r="A111" s="346" t="s">
        <v>315</v>
      </c>
      <c r="B111" s="344">
        <v>0.05</v>
      </c>
      <c r="C111" s="344">
        <v>0.05</v>
      </c>
      <c r="D111" s="344">
        <v>0.05</v>
      </c>
      <c r="E111" s="344">
        <v>0.05</v>
      </c>
      <c r="F111" s="344">
        <v>0.05</v>
      </c>
      <c r="G111" s="344">
        <v>0.05</v>
      </c>
      <c r="H111" s="344">
        <v>0.05</v>
      </c>
      <c r="I111" s="344">
        <v>0.05</v>
      </c>
      <c r="J111" s="344">
        <v>0.05</v>
      </c>
      <c r="K111" s="344">
        <v>0.05</v>
      </c>
      <c r="L111" s="344">
        <v>0.05</v>
      </c>
      <c r="M111" s="344">
        <v>0.05</v>
      </c>
      <c r="N111" s="344">
        <v>0.05</v>
      </c>
      <c r="O111" s="344">
        <v>0.05</v>
      </c>
      <c r="P111" s="344">
        <v>0.05</v>
      </c>
      <c r="Q111" s="345">
        <v>0.05</v>
      </c>
      <c r="R111" s="345">
        <v>0.05</v>
      </c>
      <c r="S111" s="345">
        <v>0.05</v>
      </c>
      <c r="T111" s="345">
        <v>0.05</v>
      </c>
      <c r="U111" s="345">
        <v>0.05</v>
      </c>
      <c r="V111" s="345">
        <v>0</v>
      </c>
      <c r="W111" s="345">
        <v>0</v>
      </c>
      <c r="X111" s="345">
        <v>0</v>
      </c>
      <c r="Y111" s="345">
        <v>0</v>
      </c>
      <c r="Z111" s="345">
        <v>0</v>
      </c>
      <c r="AA111" s="345">
        <v>0</v>
      </c>
      <c r="AB111" s="345">
        <v>0</v>
      </c>
      <c r="AC111" s="345">
        <v>0</v>
      </c>
      <c r="AD111" s="345">
        <v>0</v>
      </c>
      <c r="AE111" s="345">
        <v>0</v>
      </c>
      <c r="AF111" s="345">
        <v>0</v>
      </c>
    </row>
    <row r="112" spans="1:32">
      <c r="A112" s="346" t="s">
        <v>196</v>
      </c>
      <c r="B112" s="342">
        <f>CHOOSE($B$98,B110,B111)</f>
        <v>0.05</v>
      </c>
      <c r="C112" s="342">
        <f t="shared" ref="C112:W112" si="83">CHOOSE($B$98,C110,C111)</f>
        <v>0.05</v>
      </c>
      <c r="D112" s="342">
        <f t="shared" si="83"/>
        <v>0.05</v>
      </c>
      <c r="E112" s="342">
        <f t="shared" si="83"/>
        <v>0.05</v>
      </c>
      <c r="F112" s="342">
        <f t="shared" si="83"/>
        <v>0.05</v>
      </c>
      <c r="G112" s="342">
        <f t="shared" si="83"/>
        <v>0.05</v>
      </c>
      <c r="H112" s="342">
        <f t="shared" si="83"/>
        <v>0.05</v>
      </c>
      <c r="I112" s="342">
        <f t="shared" si="83"/>
        <v>0.05</v>
      </c>
      <c r="J112" s="342">
        <f t="shared" si="83"/>
        <v>0.05</v>
      </c>
      <c r="K112" s="342">
        <f t="shared" si="83"/>
        <v>0.05</v>
      </c>
      <c r="L112" s="342">
        <f t="shared" si="83"/>
        <v>0.05</v>
      </c>
      <c r="M112" s="342">
        <f t="shared" si="83"/>
        <v>0.05</v>
      </c>
      <c r="N112" s="342">
        <f t="shared" si="83"/>
        <v>0.05</v>
      </c>
      <c r="O112" s="342">
        <f t="shared" si="83"/>
        <v>0.05</v>
      </c>
      <c r="P112" s="342">
        <f t="shared" si="83"/>
        <v>0.05</v>
      </c>
      <c r="Q112" s="342">
        <f t="shared" si="83"/>
        <v>0.05</v>
      </c>
      <c r="R112" s="342">
        <f t="shared" si="83"/>
        <v>0.05</v>
      </c>
      <c r="S112" s="342">
        <f t="shared" si="83"/>
        <v>0.05</v>
      </c>
      <c r="T112" s="342">
        <f t="shared" si="83"/>
        <v>0.05</v>
      </c>
      <c r="U112" s="342">
        <f t="shared" si="83"/>
        <v>0.05</v>
      </c>
      <c r="V112" s="342">
        <f t="shared" si="83"/>
        <v>0</v>
      </c>
      <c r="W112" s="342">
        <f t="shared" si="83"/>
        <v>0</v>
      </c>
      <c r="X112" s="342">
        <f t="shared" ref="X112:AF112" si="84">CHOOSE($B$98,X110,X111)</f>
        <v>0</v>
      </c>
      <c r="Y112" s="342">
        <f t="shared" si="84"/>
        <v>0</v>
      </c>
      <c r="Z112" s="342">
        <f t="shared" si="84"/>
        <v>0</v>
      </c>
      <c r="AA112" s="342">
        <f t="shared" si="84"/>
        <v>0</v>
      </c>
      <c r="AB112" s="342">
        <f t="shared" si="84"/>
        <v>0</v>
      </c>
      <c r="AC112" s="342">
        <f t="shared" si="84"/>
        <v>0</v>
      </c>
      <c r="AD112" s="342">
        <f t="shared" si="84"/>
        <v>0</v>
      </c>
      <c r="AE112" s="342">
        <f t="shared" si="84"/>
        <v>0</v>
      </c>
      <c r="AF112" s="342">
        <f t="shared" si="84"/>
        <v>0</v>
      </c>
    </row>
    <row r="113" spans="1:48">
      <c r="AA113" s="14"/>
      <c r="AB113" s="14"/>
    </row>
    <row r="114" spans="1:48">
      <c r="AA114" s="14"/>
      <c r="AB114" s="14"/>
    </row>
    <row r="115" spans="1:48">
      <c r="B115" s="281"/>
      <c r="C115" s="281"/>
      <c r="D115" s="281"/>
      <c r="E115" s="281"/>
      <c r="F115" s="281"/>
      <c r="G115" s="281"/>
      <c r="H115" s="281"/>
      <c r="I115" s="281"/>
      <c r="J115" s="281"/>
      <c r="K115" s="281"/>
      <c r="L115" s="281"/>
      <c r="M115" s="281"/>
      <c r="N115" s="281"/>
      <c r="O115" s="281"/>
      <c r="P115" s="281"/>
      <c r="Q115" s="281"/>
      <c r="R115" s="281"/>
      <c r="S115" s="281"/>
      <c r="T115" s="281"/>
      <c r="U115" s="281"/>
      <c r="V115" s="281"/>
      <c r="W115" s="281"/>
      <c r="X115" s="281"/>
      <c r="Y115" s="281"/>
      <c r="Z115" s="281"/>
      <c r="AA115" s="281"/>
      <c r="AB115" s="281"/>
      <c r="AC115" s="281"/>
      <c r="AD115" s="281"/>
      <c r="AE115" s="281"/>
      <c r="AF115" s="281"/>
      <c r="AG115" s="281"/>
      <c r="AH115" s="281"/>
      <c r="AI115" s="281"/>
      <c r="AJ115" s="281"/>
      <c r="AK115" s="281"/>
      <c r="AL115" s="281"/>
      <c r="AM115" s="281"/>
      <c r="AN115" s="281"/>
      <c r="AO115" s="281"/>
      <c r="AP115" s="281"/>
      <c r="AQ115" s="281"/>
      <c r="AR115" s="281"/>
      <c r="AS115" s="281"/>
      <c r="AT115" s="281"/>
      <c r="AU115" s="281"/>
      <c r="AV115" s="281"/>
    </row>
    <row r="116" spans="1:48">
      <c r="A116" s="13" t="s">
        <v>198</v>
      </c>
      <c r="B116" s="134">
        <v>0</v>
      </c>
      <c r="C116" s="134">
        <v>1</v>
      </c>
      <c r="D116" s="134">
        <v>2</v>
      </c>
      <c r="E116" s="134">
        <v>3</v>
      </c>
      <c r="F116" s="134">
        <v>4</v>
      </c>
      <c r="G116" s="134">
        <v>5</v>
      </c>
      <c r="H116" s="134">
        <v>6</v>
      </c>
      <c r="I116" s="134">
        <v>7</v>
      </c>
      <c r="J116" s="134">
        <v>8</v>
      </c>
      <c r="K116" s="134">
        <v>9</v>
      </c>
      <c r="L116" s="134">
        <v>10</v>
      </c>
      <c r="M116" s="134">
        <v>11</v>
      </c>
      <c r="N116" s="134">
        <v>12</v>
      </c>
      <c r="O116" s="134">
        <v>13</v>
      </c>
      <c r="P116" s="134">
        <v>14</v>
      </c>
      <c r="Q116" s="134">
        <v>15</v>
      </c>
      <c r="R116" s="134">
        <v>16</v>
      </c>
      <c r="S116" s="134">
        <v>17</v>
      </c>
      <c r="T116" s="134">
        <v>18</v>
      </c>
      <c r="U116" s="134">
        <v>19</v>
      </c>
      <c r="V116" s="134">
        <v>20</v>
      </c>
      <c r="W116" s="134">
        <v>21</v>
      </c>
      <c r="X116" s="134">
        <v>22</v>
      </c>
      <c r="Y116" s="134">
        <v>23</v>
      </c>
      <c r="Z116" s="134">
        <v>24</v>
      </c>
      <c r="AA116" s="134">
        <v>25</v>
      </c>
      <c r="AB116" s="134">
        <v>26</v>
      </c>
      <c r="AC116" s="134">
        <v>27</v>
      </c>
      <c r="AD116" s="134">
        <v>28</v>
      </c>
      <c r="AE116" s="134">
        <v>29</v>
      </c>
      <c r="AF116" s="134">
        <v>30</v>
      </c>
      <c r="AG116" s="347"/>
      <c r="AH116" s="347"/>
      <c r="AI116" s="347"/>
      <c r="AJ116" s="347"/>
      <c r="AK116" s="347"/>
      <c r="AL116" s="347"/>
      <c r="AM116" s="347"/>
      <c r="AN116" s="347"/>
      <c r="AO116" s="347"/>
      <c r="AP116" s="347"/>
      <c r="AQ116" s="347"/>
    </row>
    <row r="117" spans="1:48">
      <c r="B117" s="134">
        <v>0.5</v>
      </c>
      <c r="C117" s="134">
        <v>1.5</v>
      </c>
      <c r="D117" s="134">
        <v>2.5</v>
      </c>
      <c r="E117" s="134">
        <v>3.5</v>
      </c>
      <c r="F117" s="134">
        <v>4.5</v>
      </c>
      <c r="G117" s="134">
        <v>5.5</v>
      </c>
      <c r="H117" s="134">
        <v>6.5</v>
      </c>
      <c r="I117" s="134">
        <v>7.5</v>
      </c>
      <c r="J117" s="134">
        <v>8.5</v>
      </c>
      <c r="K117" s="134">
        <v>9.5</v>
      </c>
      <c r="L117" s="134">
        <v>10.5</v>
      </c>
      <c r="M117" s="134">
        <v>11.5</v>
      </c>
      <c r="N117" s="134">
        <v>12.5</v>
      </c>
      <c r="O117" s="134">
        <v>13.5</v>
      </c>
      <c r="P117" s="134">
        <v>14.5</v>
      </c>
      <c r="Q117" s="134">
        <v>15.5</v>
      </c>
      <c r="R117" s="134">
        <v>16.5</v>
      </c>
      <c r="S117" s="134">
        <v>17.5</v>
      </c>
      <c r="T117" s="134">
        <v>18.5</v>
      </c>
      <c r="U117" s="134">
        <v>19.5</v>
      </c>
      <c r="V117" s="134">
        <v>20.5</v>
      </c>
      <c r="W117" s="134">
        <v>21.5</v>
      </c>
      <c r="X117" s="134">
        <v>22.5</v>
      </c>
      <c r="Y117" s="134">
        <v>23.5</v>
      </c>
      <c r="Z117" s="134">
        <v>24.5</v>
      </c>
      <c r="AA117" s="134">
        <v>25.5</v>
      </c>
      <c r="AB117" s="134">
        <v>26.5</v>
      </c>
      <c r="AC117" s="134">
        <v>27.5</v>
      </c>
      <c r="AD117" s="134">
        <v>28.5</v>
      </c>
      <c r="AE117" s="134">
        <v>29.5</v>
      </c>
      <c r="AF117" s="134">
        <v>30.5</v>
      </c>
      <c r="AG117" s="134"/>
      <c r="AH117" s="134"/>
      <c r="AI117" s="134"/>
      <c r="AJ117" s="134"/>
      <c r="AK117" s="134"/>
      <c r="AL117" s="134"/>
      <c r="AM117" s="134"/>
      <c r="AN117" s="134"/>
      <c r="AO117" s="61"/>
      <c r="AP117" s="61"/>
    </row>
    <row r="118" spans="1:48">
      <c r="A118" s="13" t="s">
        <v>149</v>
      </c>
      <c r="B118" s="348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</row>
    <row r="119" spans="1:48">
      <c r="A119" t="s">
        <v>31</v>
      </c>
      <c r="B119" s="350">
        <f>(SUMPRODUCT(B116:W116,B32:W32)+SUMPRODUCT(B117:W117,B37:W37))/B31</f>
        <v>8.620000000000001</v>
      </c>
      <c r="C119"/>
      <c r="D119"/>
      <c r="E119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139"/>
      <c r="AB119" s="139"/>
      <c r="AC119" s="61"/>
      <c r="AD119" s="61"/>
      <c r="AE119" s="61"/>
      <c r="AF119" s="61"/>
      <c r="AG119" s="61"/>
      <c r="AH119" s="61"/>
      <c r="AI119" s="61"/>
      <c r="AJ119" s="61"/>
      <c r="AK119" s="61"/>
      <c r="AL119" s="61"/>
      <c r="AM119" s="61"/>
      <c r="AN119" s="61"/>
      <c r="AO119" s="61"/>
      <c r="AP119" s="61"/>
    </row>
    <row r="120" spans="1:48">
      <c r="A120" t="s">
        <v>32</v>
      </c>
      <c r="B120" s="350" t="e">
        <f>(SUMPRODUCT(B48:W48,B116:W116)+SUMPRODUCT(B117:W117,B53:W53))/B47</f>
        <v>#DIV/0!</v>
      </c>
      <c r="C120"/>
      <c r="D120"/>
      <c r="E120"/>
    </row>
    <row r="121" spans="1:48">
      <c r="A121" t="s">
        <v>33</v>
      </c>
      <c r="B121" s="350" t="e">
        <f>(SUMPRODUCT(B116:W116,B64:W64)+SUMPRODUCT(B117:W117,B69:W69))/B63</f>
        <v>#DIV/0!</v>
      </c>
      <c r="C121"/>
      <c r="D121"/>
      <c r="E121"/>
    </row>
    <row r="122" spans="1:48">
      <c r="A122"/>
      <c r="B122"/>
      <c r="C122"/>
      <c r="D122"/>
      <c r="E122"/>
    </row>
    <row r="123" spans="1:48">
      <c r="A123"/>
      <c r="B123"/>
      <c r="C123"/>
      <c r="D123"/>
      <c r="E123"/>
    </row>
    <row r="124" spans="1:48">
      <c r="A124"/>
      <c r="B124"/>
      <c r="C124"/>
      <c r="D124"/>
      <c r="E124"/>
    </row>
    <row r="125" spans="1:48">
      <c r="A125"/>
      <c r="B125"/>
      <c r="C125"/>
      <c r="D125"/>
      <c r="E125"/>
    </row>
    <row r="126" spans="1:48">
      <c r="A126"/>
      <c r="B126"/>
      <c r="C126"/>
      <c r="D126"/>
      <c r="E126"/>
    </row>
    <row r="127" spans="1:48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</row>
    <row r="128" spans="1:48">
      <c r="A128"/>
      <c r="B128"/>
      <c r="C128"/>
      <c r="D128"/>
      <c r="E128"/>
      <c r="F128" s="260"/>
      <c r="G128" s="260"/>
      <c r="H128" s="260"/>
      <c r="I128" s="260"/>
      <c r="J128" s="260"/>
      <c r="K128" s="260"/>
      <c r="L128" s="260"/>
      <c r="M128" s="260"/>
      <c r="N128" s="260"/>
      <c r="O128" s="260"/>
      <c r="P128" s="260"/>
      <c r="Q128" s="260"/>
      <c r="R128" s="260"/>
      <c r="S128" s="260"/>
      <c r="T128" s="260"/>
      <c r="U128" s="260"/>
      <c r="V128" s="260"/>
      <c r="W128"/>
      <c r="X128"/>
      <c r="Y128"/>
      <c r="Z128"/>
      <c r="AA128"/>
      <c r="AB128"/>
      <c r="AC128"/>
      <c r="AD128"/>
      <c r="AE128"/>
    </row>
    <row r="129" spans="1:3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</row>
    <row r="130" spans="1:3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</row>
    <row r="131" spans="1:31">
      <c r="A131"/>
      <c r="B131"/>
      <c r="C131"/>
      <c r="D131"/>
      <c r="E131"/>
    </row>
    <row r="132" spans="1:31">
      <c r="A132"/>
      <c r="B132"/>
      <c r="C132"/>
      <c r="D132"/>
      <c r="E132"/>
    </row>
    <row r="133" spans="1:31">
      <c r="A133"/>
      <c r="B133"/>
      <c r="C133"/>
      <c r="D133"/>
      <c r="E133"/>
    </row>
    <row r="134" spans="1:31">
      <c r="A134"/>
      <c r="B134"/>
      <c r="C134"/>
      <c r="D134"/>
      <c r="E134"/>
    </row>
    <row r="135" spans="1:31">
      <c r="A135"/>
      <c r="B135"/>
      <c r="C135"/>
      <c r="D135"/>
      <c r="E135"/>
    </row>
  </sheetData>
  <pageMargins left="0.45" right="0.45" top="0.5" bottom="0.5" header="0.25" footer="0.25"/>
  <pageSetup scale="48" fitToWidth="2" orientation="landscape" r:id="rId1"/>
  <headerFooter alignWithMargins="0">
    <oddFooter xml:space="preserve">&amp;L&amp;T, &amp;D&amp;C&amp;F&amp;R&amp;P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22</vt:i4>
      </vt:variant>
    </vt:vector>
  </HeadingPairs>
  <TitlesOfParts>
    <vt:vector size="36" baseType="lpstr">
      <vt:lpstr>Preset Scenarios</vt:lpstr>
      <vt:lpstr>Tracking Sheet</vt:lpstr>
      <vt:lpstr>Assumptions</vt:lpstr>
      <vt:lpstr>Power Price Assumption</vt:lpstr>
      <vt:lpstr>IS</vt:lpstr>
      <vt:lpstr>CF</vt:lpstr>
      <vt:lpstr>Return Analysis</vt:lpstr>
      <vt:lpstr>BS</vt:lpstr>
      <vt:lpstr>Debt</vt:lpstr>
      <vt:lpstr>IDC</vt:lpstr>
      <vt:lpstr>Depreciation</vt:lpstr>
      <vt:lpstr>Taxes</vt:lpstr>
      <vt:lpstr>Hedges</vt:lpstr>
      <vt:lpstr>Reference Sheet</vt:lpstr>
      <vt:lpstr>AnnualHours</vt:lpstr>
      <vt:lpstr>Deg_Rate</vt:lpstr>
      <vt:lpstr>idc</vt:lpstr>
      <vt:lpstr>ISO_MW</vt:lpstr>
      <vt:lpstr>NetMW</vt:lpstr>
      <vt:lpstr>Assumptions!Print_Area</vt:lpstr>
      <vt:lpstr>BS!Print_Area</vt:lpstr>
      <vt:lpstr>CF!Print_Area</vt:lpstr>
      <vt:lpstr>Debt!Print_Area</vt:lpstr>
      <vt:lpstr>Depreciation!Print_Area</vt:lpstr>
      <vt:lpstr>IS!Print_Area</vt:lpstr>
      <vt:lpstr>'Preset Scenarios'!Print_Area</vt:lpstr>
      <vt:lpstr>'Reference Sheet'!Print_Area</vt:lpstr>
      <vt:lpstr>'Return Analysis'!Print_Area</vt:lpstr>
      <vt:lpstr>Taxes!Print_Area</vt:lpstr>
      <vt:lpstr>BS!Print_Titles</vt:lpstr>
      <vt:lpstr>CF!Print_Titles</vt:lpstr>
      <vt:lpstr>Debt!Print_Titles</vt:lpstr>
      <vt:lpstr>Depreciation!Print_Titles</vt:lpstr>
      <vt:lpstr>IS!Print_Titles</vt:lpstr>
      <vt:lpstr>'Power Price Assumption'!Print_Titles</vt:lpstr>
      <vt:lpstr>Taxes!Print_Titles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2000-01-26T16:05:16Z</cp:lastPrinted>
  <dcterms:created xsi:type="dcterms:W3CDTF">1999-04-02T01:38:38Z</dcterms:created>
  <dcterms:modified xsi:type="dcterms:W3CDTF">2023-09-13T22:13:57Z</dcterms:modified>
</cp:coreProperties>
</file>