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F61FB8-275F-4160-9E03-B6D21B4C4901}" xr6:coauthVersionLast="47" xr6:coauthVersionMax="47" xr10:uidLastSave="{00000000-0000-0000-0000-000000000000}"/>
  <bookViews>
    <workbookView xWindow="-120" yWindow="-120" windowWidth="38640" windowHeight="15720" tabRatio="815" firstSheet="1" activeTab="8"/>
  </bookViews>
  <sheets>
    <sheet name="Preset Scenarios" sheetId="1" state="hidden" r:id="rId1"/>
    <sheet name="Tracking Sheet" sheetId="16" r:id="rId2"/>
    <sheet name="Scenarios" sheetId="23" r:id="rId3"/>
    <sheet name="Assumptions" sheetId="2" r:id="rId4"/>
    <sheet name="Power Price Assumption" sheetId="3" r:id="rId5"/>
    <sheet name="IS" sheetId="4" r:id="rId6"/>
    <sheet name="Return Analysis" sheetId="19" r:id="rId7"/>
    <sheet name="CF" sheetId="5" r:id="rId8"/>
    <sheet name="Debt" sheetId="6" r:id="rId9"/>
    <sheet name="IDC" sheetId="17" r:id="rId10"/>
    <sheet name="Depreciation" sheetId="7" r:id="rId11"/>
    <sheet name="Tax" sheetId="8" r:id="rId12"/>
    <sheet name="Observations" sheetId="18" r:id="rId13"/>
  </sheets>
  <externalReferences>
    <externalReference r:id="rId14"/>
    <externalReference r:id="rId15"/>
    <externalReference r:id="rId16"/>
  </externalReferences>
  <definedNames>
    <definedName name="AnnualHours">Assumptions!$H$15</definedName>
    <definedName name="Begin_Op">[3]Sum!$N$7</definedName>
    <definedName name="Deg_Rate">Assumptions!$G$12</definedName>
    <definedName name="idc">IDC!$A$1:$I$57</definedName>
    <definedName name="ISO_MW">Assumptions!$J$10</definedName>
    <definedName name="Main_Table">'[1]Maintenance Reserves'!$D$22:$I$45</definedName>
    <definedName name="Maint_Accrual">Assumptions!#REF!</definedName>
    <definedName name="NetMW">Assumptions!$J$11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3">Assumptions!$A$3:$R$72</definedName>
    <definedName name="_xlnm.Print_Area" localSheetId="7">CF!$A$2:$X$56</definedName>
    <definedName name="_xlnm.Print_Area" localSheetId="8">Debt!$A$18:$W$114</definedName>
    <definedName name="_xlnm.Print_Area" localSheetId="10">Depreciation!$A$2:$Y$46</definedName>
    <definedName name="_xlnm.Print_Area" localSheetId="5">IS!$A$2:$Y$85</definedName>
    <definedName name="_xlnm.Print_Area" localSheetId="0">'Preset Scenarios'!$A$2:$M$30</definedName>
    <definedName name="_xlnm.Print_Area" localSheetId="6">'Return Analysis'!$A$1:$AB$45</definedName>
    <definedName name="_xlnm.Print_Area" localSheetId="2">Scenarios!$A$1:$J$73</definedName>
    <definedName name="_xlnm.Print_Area" localSheetId="11">Tax!$A$2:$W$46</definedName>
    <definedName name="_xlnm.Print_Titles" localSheetId="7">CF!$A:$A</definedName>
    <definedName name="_xlnm.Print_Titles" localSheetId="8">Debt!$A:$A</definedName>
    <definedName name="_xlnm.Print_Titles" localSheetId="10">Depreciation!$A:$A</definedName>
    <definedName name="_xlnm.Print_Titles" localSheetId="5">IS!$A:$A</definedName>
    <definedName name="_xlnm.Print_Titles" localSheetId="11">Tax!$A:$A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  <definedName name="Z_87D5054C_0AAC_11D2_824B_00A0D1027254_.wvu.PrintArea" localSheetId="9" hidden="1">IDC!$A$2:$G$63</definedName>
  </definedNames>
  <calcPr calcId="0" calcMode="manual" fullCalcOnLoad="1"/>
</workbook>
</file>

<file path=xl/calcChain.xml><?xml version="1.0" encoding="utf-8"?>
<calcChain xmlns="http://schemas.openxmlformats.org/spreadsheetml/2006/main">
  <c r="O8" i="2" l="1"/>
  <c r="P10" i="2"/>
  <c r="C11" i="2"/>
  <c r="D11" i="2"/>
  <c r="E11" i="2"/>
  <c r="D12" i="2"/>
  <c r="E12" i="2"/>
  <c r="P12" i="2"/>
  <c r="C14" i="2"/>
  <c r="D14" i="2"/>
  <c r="E14" i="2"/>
  <c r="C15" i="2"/>
  <c r="R16" i="2"/>
  <c r="J17" i="2"/>
  <c r="C20" i="2"/>
  <c r="D20" i="2"/>
  <c r="E20" i="2"/>
  <c r="J20" i="2"/>
  <c r="C21" i="2"/>
  <c r="E21" i="2"/>
  <c r="C22" i="2"/>
  <c r="E22" i="2"/>
  <c r="C23" i="2"/>
  <c r="E23" i="2"/>
  <c r="C24" i="2"/>
  <c r="D24" i="2"/>
  <c r="E24" i="2"/>
  <c r="C25" i="2"/>
  <c r="E25" i="2"/>
  <c r="P25" i="2"/>
  <c r="Q25" i="2"/>
  <c r="C26" i="2"/>
  <c r="E26" i="2"/>
  <c r="Q26" i="2"/>
  <c r="C27" i="2"/>
  <c r="E27" i="2"/>
  <c r="J27" i="2"/>
  <c r="K27" i="2"/>
  <c r="P27" i="2"/>
  <c r="C28" i="2"/>
  <c r="E28" i="2"/>
  <c r="P28" i="2"/>
  <c r="C29" i="2"/>
  <c r="E29" i="2"/>
  <c r="P29" i="2"/>
  <c r="Q29" i="2"/>
  <c r="V29" i="2"/>
  <c r="C30" i="2"/>
  <c r="E30" i="2"/>
  <c r="J30" i="2"/>
  <c r="P30" i="2"/>
  <c r="Q30" i="2"/>
  <c r="C31" i="2"/>
  <c r="D31" i="2"/>
  <c r="E31" i="2"/>
  <c r="J31" i="2"/>
  <c r="P31" i="2"/>
  <c r="Q31" i="2"/>
  <c r="J32" i="2"/>
  <c r="P32" i="2"/>
  <c r="Q32" i="2"/>
  <c r="U32" i="2"/>
  <c r="J33" i="2"/>
  <c r="Q33" i="2"/>
  <c r="C34" i="2"/>
  <c r="E34" i="2"/>
  <c r="Q34" i="2"/>
  <c r="C35" i="2"/>
  <c r="E35" i="2"/>
  <c r="Q35" i="2"/>
  <c r="C36" i="2"/>
  <c r="E36" i="2"/>
  <c r="C37" i="2"/>
  <c r="D37" i="2"/>
  <c r="E37" i="2"/>
  <c r="C39" i="2"/>
  <c r="D39" i="2"/>
  <c r="E39" i="2"/>
  <c r="Q39" i="2"/>
  <c r="C40" i="2"/>
  <c r="E40" i="2"/>
  <c r="I40" i="2"/>
  <c r="J40" i="2"/>
  <c r="K40" i="2"/>
  <c r="L40" i="2"/>
  <c r="Q40" i="2"/>
  <c r="C41" i="2"/>
  <c r="E41" i="2"/>
  <c r="I41" i="2"/>
  <c r="J41" i="2"/>
  <c r="K41" i="2"/>
  <c r="L41" i="2"/>
  <c r="I42" i="2"/>
  <c r="J42" i="2"/>
  <c r="K42" i="2"/>
  <c r="L42" i="2"/>
  <c r="C43" i="2"/>
  <c r="D43" i="2"/>
  <c r="E43" i="2"/>
  <c r="I43" i="2"/>
  <c r="J43" i="2"/>
  <c r="K43" i="2"/>
  <c r="L43" i="2"/>
  <c r="J51" i="2"/>
  <c r="C52" i="2"/>
  <c r="F52" i="2"/>
  <c r="F53" i="2"/>
  <c r="F54" i="2"/>
  <c r="C55" i="2"/>
  <c r="D55" i="2"/>
  <c r="E55" i="2"/>
  <c r="J56" i="2"/>
  <c r="J57" i="2"/>
  <c r="F66" i="2"/>
  <c r="F67" i="2"/>
  <c r="C68" i="2"/>
  <c r="D68" i="2"/>
  <c r="E68" i="2"/>
  <c r="F68" i="2"/>
  <c r="J68" i="2"/>
  <c r="J69" i="2"/>
  <c r="C70" i="2"/>
  <c r="J75" i="2"/>
  <c r="D76" i="2"/>
  <c r="C78" i="2"/>
  <c r="D78" i="2"/>
  <c r="J79" i="2"/>
  <c r="J80" i="2"/>
  <c r="A2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C45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C50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T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F5" i="6"/>
  <c r="L5" i="6"/>
  <c r="R5" i="6"/>
  <c r="F6" i="6"/>
  <c r="L6" i="6"/>
  <c r="R6" i="6"/>
  <c r="F7" i="6"/>
  <c r="L7" i="6"/>
  <c r="R7" i="6"/>
  <c r="F8" i="6"/>
  <c r="L8" i="6"/>
  <c r="R8" i="6"/>
  <c r="F9" i="6"/>
  <c r="L9" i="6"/>
  <c r="R9" i="6"/>
  <c r="F10" i="6"/>
  <c r="L10" i="6"/>
  <c r="R10" i="6"/>
  <c r="F16" i="6"/>
  <c r="A18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31" i="6"/>
  <c r="A33" i="6"/>
  <c r="A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63" i="6"/>
  <c r="A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80" i="6"/>
  <c r="A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B113" i="6"/>
  <c r="B114" i="6"/>
  <c r="W121" i="6"/>
  <c r="X121" i="6"/>
  <c r="Y121" i="6"/>
  <c r="Z121" i="6"/>
  <c r="AA121" i="6"/>
  <c r="AB121" i="6"/>
  <c r="AC121" i="6"/>
  <c r="AD121" i="6"/>
  <c r="AE121" i="6"/>
  <c r="AF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W126" i="6"/>
  <c r="X126" i="6"/>
  <c r="Y126" i="6"/>
  <c r="Z126" i="6"/>
  <c r="AA126" i="6"/>
  <c r="AB126" i="6"/>
  <c r="AC126" i="6"/>
  <c r="AD126" i="6"/>
  <c r="AE126" i="6"/>
  <c r="AF126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W131" i="6"/>
  <c r="X131" i="6"/>
  <c r="Y131" i="6"/>
  <c r="Z131" i="6"/>
  <c r="AA131" i="6"/>
  <c r="AB131" i="6"/>
  <c r="AC131" i="6"/>
  <c r="AD131" i="6"/>
  <c r="AE131" i="6"/>
  <c r="AF131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B140" i="6"/>
  <c r="B141" i="6"/>
  <c r="B142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D9" i="7"/>
  <c r="B14" i="7"/>
  <c r="B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B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B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B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1" i="17"/>
  <c r="D8" i="17"/>
  <c r="D10" i="17"/>
  <c r="D16" i="17"/>
  <c r="G17" i="17"/>
  <c r="C18" i="17"/>
  <c r="E18" i="17"/>
  <c r="B23" i="17"/>
  <c r="C23" i="17"/>
  <c r="E23" i="17"/>
  <c r="F23" i="17"/>
  <c r="G23" i="17"/>
  <c r="H23" i="17"/>
  <c r="I23" i="17"/>
  <c r="A24" i="17"/>
  <c r="C24" i="17"/>
  <c r="E24" i="17"/>
  <c r="F24" i="17"/>
  <c r="G24" i="17"/>
  <c r="H24" i="17"/>
  <c r="I24" i="17"/>
  <c r="A25" i="17"/>
  <c r="C25" i="17"/>
  <c r="E25" i="17"/>
  <c r="F25" i="17"/>
  <c r="G25" i="17"/>
  <c r="H25" i="17"/>
  <c r="I25" i="17"/>
  <c r="A26" i="17"/>
  <c r="C26" i="17"/>
  <c r="E26" i="17"/>
  <c r="F26" i="17"/>
  <c r="G26" i="17"/>
  <c r="H26" i="17"/>
  <c r="I26" i="17"/>
  <c r="A27" i="17"/>
  <c r="C27" i="17"/>
  <c r="E27" i="17"/>
  <c r="F27" i="17"/>
  <c r="G27" i="17"/>
  <c r="H27" i="17"/>
  <c r="I27" i="17"/>
  <c r="A28" i="17"/>
  <c r="C28" i="17"/>
  <c r="D28" i="17"/>
  <c r="E28" i="17"/>
  <c r="F28" i="17"/>
  <c r="G28" i="17"/>
  <c r="H28" i="17"/>
  <c r="I28" i="17"/>
  <c r="A29" i="17"/>
  <c r="C29" i="17"/>
  <c r="D29" i="17"/>
  <c r="E29" i="17"/>
  <c r="F29" i="17"/>
  <c r="G29" i="17"/>
  <c r="H29" i="17"/>
  <c r="I29" i="17"/>
  <c r="A30" i="17"/>
  <c r="C30" i="17"/>
  <c r="E30" i="17"/>
  <c r="F30" i="17"/>
  <c r="G30" i="17"/>
  <c r="H30" i="17"/>
  <c r="I30" i="17"/>
  <c r="A31" i="17"/>
  <c r="C31" i="17"/>
  <c r="E31" i="17"/>
  <c r="F31" i="17"/>
  <c r="G31" i="17"/>
  <c r="H31" i="17"/>
  <c r="I31" i="17"/>
  <c r="A32" i="17"/>
  <c r="C32" i="17"/>
  <c r="F32" i="17"/>
  <c r="G32" i="17"/>
  <c r="H32" i="17"/>
  <c r="I32" i="17"/>
  <c r="A33" i="17"/>
  <c r="C33" i="17"/>
  <c r="F33" i="17"/>
  <c r="G33" i="17"/>
  <c r="H33" i="17"/>
  <c r="I33" i="17"/>
  <c r="A34" i="17"/>
  <c r="C34" i="17"/>
  <c r="F34" i="17"/>
  <c r="G34" i="17"/>
  <c r="H34" i="17"/>
  <c r="I34" i="17"/>
  <c r="A35" i="17"/>
  <c r="C35" i="17"/>
  <c r="F35" i="17"/>
  <c r="G35" i="17"/>
  <c r="H35" i="17"/>
  <c r="I35" i="17"/>
  <c r="A36" i="17"/>
  <c r="C36" i="17"/>
  <c r="F36" i="17"/>
  <c r="G36" i="17"/>
  <c r="H36" i="17"/>
  <c r="I36" i="17"/>
  <c r="A37" i="17"/>
  <c r="C37" i="17"/>
  <c r="F37" i="17"/>
  <c r="G37" i="17"/>
  <c r="H37" i="17"/>
  <c r="I37" i="17"/>
  <c r="A38" i="17"/>
  <c r="C38" i="17"/>
  <c r="F38" i="17"/>
  <c r="G38" i="17"/>
  <c r="H38" i="17"/>
  <c r="I38" i="17"/>
  <c r="A39" i="17"/>
  <c r="C39" i="17"/>
  <c r="F39" i="17"/>
  <c r="G39" i="17"/>
  <c r="H39" i="17"/>
  <c r="I39" i="17"/>
  <c r="A40" i="17"/>
  <c r="C40" i="17"/>
  <c r="F40" i="17"/>
  <c r="G40" i="17"/>
  <c r="H40" i="17"/>
  <c r="I40" i="17"/>
  <c r="A41" i="17"/>
  <c r="C41" i="17"/>
  <c r="F41" i="17"/>
  <c r="G41" i="17"/>
  <c r="H41" i="17"/>
  <c r="I41" i="17"/>
  <c r="A42" i="17"/>
  <c r="C42" i="17"/>
  <c r="F42" i="17"/>
  <c r="G42" i="17"/>
  <c r="H42" i="17"/>
  <c r="I42" i="17"/>
  <c r="B43" i="17"/>
  <c r="D43" i="17"/>
  <c r="E43" i="17"/>
  <c r="F43" i="17"/>
  <c r="E44" i="17"/>
  <c r="F48" i="17"/>
  <c r="E50" i="17"/>
  <c r="F50" i="17"/>
  <c r="C58" i="17"/>
  <c r="E58" i="17"/>
  <c r="F58" i="17"/>
  <c r="C59" i="17"/>
  <c r="E59" i="17"/>
  <c r="F59" i="17"/>
  <c r="C60" i="17"/>
  <c r="E60" i="17"/>
  <c r="F60" i="17"/>
  <c r="C61" i="17"/>
  <c r="E61" i="17"/>
  <c r="F61" i="17"/>
  <c r="C62" i="17"/>
  <c r="E62" i="17"/>
  <c r="F62" i="17"/>
  <c r="C63" i="17"/>
  <c r="E63" i="17"/>
  <c r="F63" i="17"/>
  <c r="C64" i="17"/>
  <c r="E64" i="17"/>
  <c r="F64" i="17"/>
  <c r="C65" i="17"/>
  <c r="E65" i="17"/>
  <c r="F65" i="17"/>
  <c r="C66" i="17"/>
  <c r="E66" i="17"/>
  <c r="F66" i="17"/>
  <c r="C67" i="17"/>
  <c r="E67" i="17"/>
  <c r="F67" i="17"/>
  <c r="C68" i="17"/>
  <c r="E68" i="17"/>
  <c r="F68" i="17"/>
  <c r="C69" i="17"/>
  <c r="E69" i="17"/>
  <c r="F69" i="17"/>
  <c r="A2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D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32" i="4"/>
  <c r="D33" i="4"/>
  <c r="E33" i="4"/>
  <c r="F33" i="4"/>
  <c r="AC33" i="4"/>
  <c r="AD33" i="4"/>
  <c r="AE33" i="4"/>
  <c r="AF33" i="4"/>
  <c r="AG33" i="4"/>
  <c r="AH33" i="4"/>
  <c r="D34" i="4"/>
  <c r="E34" i="4"/>
  <c r="F34" i="4"/>
  <c r="G34" i="4"/>
  <c r="AC34" i="4"/>
  <c r="AD34" i="4"/>
  <c r="AE34" i="4"/>
  <c r="AF34" i="4"/>
  <c r="AG34" i="4"/>
  <c r="AH34" i="4"/>
  <c r="A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B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B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2" i="3"/>
  <c r="C7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B23" i="1"/>
  <c r="C23" i="1"/>
  <c r="D23" i="1"/>
  <c r="E23" i="1"/>
  <c r="C28" i="1"/>
  <c r="D28" i="1"/>
  <c r="E28" i="1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AJ5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AI6" i="19"/>
  <c r="AJ6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AI7" i="19"/>
  <c r="AJ7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AD9" i="19"/>
  <c r="AE9" i="19"/>
  <c r="AF9" i="19"/>
  <c r="AG9" i="19"/>
  <c r="AH9" i="19"/>
  <c r="AI9" i="19"/>
  <c r="AJ9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Z10" i="19"/>
  <c r="AA10" i="19"/>
  <c r="AB10" i="19"/>
  <c r="AC10" i="19"/>
  <c r="AD10" i="19"/>
  <c r="AE10" i="19"/>
  <c r="AF10" i="19"/>
  <c r="AG10" i="19"/>
  <c r="AH10" i="19"/>
  <c r="AI10" i="19"/>
  <c r="AJ10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Z11" i="19"/>
  <c r="AA11" i="19"/>
  <c r="AB11" i="19"/>
  <c r="AC11" i="19"/>
  <c r="AD11" i="19"/>
  <c r="AE11" i="19"/>
  <c r="AF11" i="19"/>
  <c r="AG11" i="19"/>
  <c r="AH11" i="19"/>
  <c r="AI11" i="19"/>
  <c r="AJ11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Z12" i="19"/>
  <c r="AA12" i="19"/>
  <c r="AB12" i="19"/>
  <c r="AC12" i="19"/>
  <c r="AD12" i="19"/>
  <c r="AE12" i="19"/>
  <c r="AF12" i="19"/>
  <c r="AG12" i="19"/>
  <c r="AH12" i="19"/>
  <c r="AI12" i="19"/>
  <c r="AJ12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AA17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AA18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AA19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AA21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E26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X28" i="19"/>
  <c r="E30" i="19"/>
  <c r="E32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E36" i="19"/>
  <c r="E38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E42" i="19"/>
  <c r="E37" i="23"/>
  <c r="G37" i="23"/>
  <c r="I37" i="23"/>
  <c r="E71" i="23"/>
  <c r="G71" i="23"/>
  <c r="I71" i="23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V24" i="8"/>
  <c r="W24" i="8"/>
  <c r="X24" i="8"/>
  <c r="Y24" i="8"/>
  <c r="Z24" i="8"/>
  <c r="AA24" i="8"/>
  <c r="AB24" i="8"/>
  <c r="AC24" i="8"/>
  <c r="AD24" i="8"/>
  <c r="AE24" i="8"/>
  <c r="AF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2" i="16"/>
  <c r="B10" i="16"/>
  <c r="C10" i="16"/>
</calcChain>
</file>

<file path=xl/comments1.xml><?xml version="1.0" encoding="utf-8"?>
<comments xmlns="http://schemas.openxmlformats.org/spreadsheetml/2006/main">
  <authors>
    <author>Elizabeth McCarthy</author>
  </authors>
  <commentList>
    <comment ref="A7" authorId="0" shapeId="0">
      <text>
        <r>
          <rPr>
            <sz val="8"/>
            <color indexed="81"/>
            <rFont val="Tahoma"/>
            <family val="2"/>
          </rPr>
          <t>This cannot be linked to the assumptions page, it makes the model circular.  Must be INPUT HERE.</t>
        </r>
      </text>
    </comment>
  </commentList>
</comments>
</file>

<file path=xl/sharedStrings.xml><?xml version="1.0" encoding="utf-8"?>
<sst xmlns="http://schemas.openxmlformats.org/spreadsheetml/2006/main" count="606" uniqueCount="443">
  <si>
    <t>PRESET SCENARIOS</t>
  </si>
  <si>
    <t xml:space="preserve">Annual Escalator </t>
  </si>
  <si>
    <t>(include costs, revenues, and capacity prices)</t>
  </si>
  <si>
    <t>Operating Expenses</t>
  </si>
  <si>
    <t>Dispatch</t>
  </si>
  <si>
    <t>Kaiser Capacity Price Estimates</t>
  </si>
  <si>
    <t>DSCR</t>
  </si>
  <si>
    <t>IRR</t>
  </si>
  <si>
    <t>MIN</t>
  </si>
  <si>
    <t>AVG</t>
  </si>
  <si>
    <t>Sensitivity Selections:</t>
  </si>
  <si>
    <t>Choices</t>
  </si>
  <si>
    <t>Annual Escalator (%)</t>
  </si>
  <si>
    <t>Kaiser Price Options</t>
  </si>
  <si>
    <t>Base</t>
  </si>
  <si>
    <t>Low</t>
  </si>
  <si>
    <t>Customize</t>
  </si>
  <si>
    <t>Chosen</t>
  </si>
  <si>
    <t>ASSUMPTIONS &amp; SUMMARY OUTPUT</t>
  </si>
  <si>
    <t>SOURCES &amp; USES:</t>
  </si>
  <si>
    <t>TECHNICAL ASSUMPTIONS:</t>
  </si>
  <si>
    <t>Sources of Funds</t>
  </si>
  <si>
    <t>%</t>
  </si>
  <si>
    <t xml:space="preserve">Total Equity </t>
  </si>
  <si>
    <t>Total Sources</t>
  </si>
  <si>
    <t>Number of Turbines</t>
  </si>
  <si>
    <t>Equity Partner's Share</t>
  </si>
  <si>
    <t>Enron's Share</t>
  </si>
  <si>
    <t>Annual Operating Hours</t>
  </si>
  <si>
    <t>Tranche 1</t>
  </si>
  <si>
    <t>Tranche 2</t>
  </si>
  <si>
    <t>Tranche 3</t>
  </si>
  <si>
    <t>Total</t>
  </si>
  <si>
    <t>Summary</t>
  </si>
  <si>
    <t>Amount ('000 $)</t>
  </si>
  <si>
    <t>Term (yrs)</t>
  </si>
  <si>
    <t>Final Maturity</t>
  </si>
  <si>
    <t>Average Life (yrs)</t>
  </si>
  <si>
    <t>Energy Charge ($/MWh)</t>
  </si>
  <si>
    <t>Treasury Rate (%)</t>
  </si>
  <si>
    <t>Block Charge ($/start/turbine)</t>
  </si>
  <si>
    <t>Spread (%)</t>
  </si>
  <si>
    <t>All In Coupon Rate (%)</t>
  </si>
  <si>
    <t>Debt Service Reserve LOC Fee</t>
  </si>
  <si>
    <t>Interest Income Rate</t>
  </si>
  <si>
    <t>DEPRECIATION ASSUMPTIONS:</t>
  </si>
  <si>
    <t>Market Period Energy Margin ($/MWh)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</si>
  <si>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</si>
  <si>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</si>
  <si>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</si>
  <si>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</si>
  <si>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</si>
  <si>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</si>
  <si>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</si>
  <si>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</si>
  <si>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TAX ASSUMPTIONS:</t>
  </si>
  <si>
    <t>Book Depreciation</t>
  </si>
  <si>
    <t>Federal Income Tax Rate</t>
  </si>
  <si>
    <t>State Income Tax Rate</t>
  </si>
  <si>
    <t>Franchise Tax Rate</t>
  </si>
  <si>
    <t>Gross Receipt Tax Rate</t>
  </si>
  <si>
    <t>SUMMARY OUTPUT:</t>
  </si>
  <si>
    <t>OPERATING COSTS ASSUMPTIONS:</t>
  </si>
  <si>
    <t>Min</t>
  </si>
  <si>
    <t>Avg.</t>
  </si>
  <si>
    <t>CPI Escalator</t>
  </si>
  <si>
    <t>Fixed O&amp;M</t>
  </si>
  <si>
    <t>Major Maintenance &amp; Ongoing Capex</t>
  </si>
  <si>
    <t>Insurance</t>
  </si>
  <si>
    <t xml:space="preserve">SG&amp;A </t>
  </si>
  <si>
    <t>Utilities, Start Power</t>
  </si>
  <si>
    <t>O&amp;M Fees</t>
  </si>
  <si>
    <t>Custom</t>
  </si>
  <si>
    <t>('000 $)</t>
  </si>
  <si>
    <t>Revenue</t>
  </si>
  <si>
    <t>Energy Margin</t>
  </si>
  <si>
    <t>Total Revenue</t>
  </si>
  <si>
    <t>Expense</t>
  </si>
  <si>
    <t xml:space="preserve">Fuel </t>
  </si>
  <si>
    <t xml:space="preserve">Variable O&amp;M </t>
  </si>
  <si>
    <t>Utility Start Power</t>
  </si>
  <si>
    <t>Marketing Fee</t>
  </si>
  <si>
    <t>Total Expense</t>
  </si>
  <si>
    <t>EBITDA</t>
  </si>
  <si>
    <t>Depreciation &amp; Amortization</t>
  </si>
  <si>
    <t>EBIT</t>
  </si>
  <si>
    <t>EBT</t>
  </si>
  <si>
    <t>Book State Tax Benefit / (Expense)</t>
  </si>
  <si>
    <t>Shareholder Fed. Tax Benefit / (Expense)</t>
  </si>
  <si>
    <t>Net Income</t>
  </si>
  <si>
    <t>Pre Tax Cash Flow</t>
  </si>
  <si>
    <t xml:space="preserve">  EGC's State Tax Benefit / (Expense)</t>
  </si>
  <si>
    <t xml:space="preserve">  EGC's Federal Tax Benefit / (Expense)</t>
  </si>
  <si>
    <t>After Tax Cash Flow</t>
  </si>
  <si>
    <t>Equity Partner Net Income</t>
  </si>
  <si>
    <t>EQUITY PARTNER'S CASHFLOW</t>
  </si>
  <si>
    <t xml:space="preserve"> Equity Partner's State Taxes Benefit (Expense)</t>
  </si>
  <si>
    <t xml:space="preserve"> Equity Partner's Federal Taxes Benefit (Expense)</t>
  </si>
  <si>
    <t>Equity Contributions from Equity Partner</t>
  </si>
  <si>
    <t>CF</t>
  </si>
  <si>
    <t>Net CF</t>
  </si>
  <si>
    <t>Equity Partner's After-Tax IRR w/ 5x EBITDA Residual (20 yr.)</t>
  </si>
  <si>
    <t>Spread</t>
  </si>
  <si>
    <t xml:space="preserve">Spread </t>
  </si>
  <si>
    <t>All In Coupon Rate</t>
  </si>
  <si>
    <t>Maturity Tranche 1</t>
  </si>
  <si>
    <t>Maturity Tranche 2</t>
  </si>
  <si>
    <t>Average Life Tranche 1</t>
  </si>
  <si>
    <t>Average Life Tranche 2</t>
  </si>
  <si>
    <t>Total amount ($ '000)</t>
  </si>
  <si>
    <t>Annual Amortization Tranche 1</t>
  </si>
  <si>
    <t>Annual Amortization Tranche 2</t>
  </si>
  <si>
    <t>Annual Amortization Tranche 3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</si>
  <si>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</si>
  <si>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</si>
  <si>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</si>
  <si>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</si>
  <si>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</si>
  <si>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DSCR Fixed Price PPA Period</t>
  </si>
  <si>
    <t>US FEDERAL TAX DEPRECIATION &amp; AMORTIZATION</t>
  </si>
  <si>
    <t>Years</t>
  </si>
  <si>
    <t>Total Hard Costs, Capitalized Interests, and Contingency- MACRS</t>
  </si>
  <si>
    <t>Transaction Costs</t>
  </si>
  <si>
    <t>Total Hard Costs and Capitalized Interests (Land not included)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</si>
  <si>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</si>
  <si>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</si>
  <si>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</si>
  <si>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</si>
  <si>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</si>
  <si>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Total Hard Costs, Capitalized Interests, and Contingency- SL</t>
  </si>
  <si>
    <t>Ending Book Value of Assets</t>
  </si>
  <si>
    <t>STATE TAXES</t>
  </si>
  <si>
    <t>State Income Taxes</t>
  </si>
  <si>
    <t xml:space="preserve">   Pretax Book Income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</si>
  <si>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</si>
  <si>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</si>
  <si>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</si>
  <si>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</si>
  <si>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</si>
  <si>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</si>
  <si>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Expired NOL's</t>
  </si>
  <si>
    <t xml:space="preserve">   NOL Utilization</t>
  </si>
  <si>
    <t xml:space="preserve">   Ending NOL's</t>
  </si>
  <si>
    <t>TOTAL STATE TAXES</t>
  </si>
  <si>
    <t xml:space="preserve">        Total State Taxes Utilizing NOLs</t>
  </si>
  <si>
    <t>FEDERAL TAXES</t>
  </si>
  <si>
    <t xml:space="preserve">   Less: Federal Tax Depreciation</t>
  </si>
  <si>
    <t xml:space="preserve">   Less: State Taxes</t>
  </si>
  <si>
    <t xml:space="preserve">   Taxable Income</t>
  </si>
  <si>
    <t xml:space="preserve">   Federal Tax Rate</t>
  </si>
  <si>
    <t xml:space="preserve">   Federal Tax Expense/ (Benefit)</t>
  </si>
  <si>
    <t xml:space="preserve">   NOL Carryforward</t>
  </si>
  <si>
    <t xml:space="preserve">   Total Federal Cash Taxes Payable/(Benefit)</t>
  </si>
  <si>
    <t>Less Interest Payments</t>
  </si>
  <si>
    <t>Less Principal Payments</t>
  </si>
  <si>
    <t>Cash Interest Expense</t>
  </si>
  <si>
    <t>Accrued Interest Expense</t>
  </si>
  <si>
    <t>Average Life</t>
  </si>
  <si>
    <t>Total Cash Interest Expense</t>
  </si>
  <si>
    <t>Total Accrued Interest Expense</t>
  </si>
  <si>
    <t>Tranche 1 Cash Debt Service</t>
  </si>
  <si>
    <t>Tranche 2  Cash Debt Service</t>
  </si>
  <si>
    <t>Tranche 3 Cash Debt Service</t>
  </si>
  <si>
    <t>Cash Principal Payments</t>
  </si>
  <si>
    <t>Plus Capitalized Interest</t>
  </si>
  <si>
    <t>Current (Annual)</t>
  </si>
  <si>
    <t>Unhide Sub Debt, 1999 Columns</t>
  </si>
  <si>
    <t xml:space="preserve">Debt Issued </t>
  </si>
  <si>
    <t xml:space="preserve">     Less Capitalized Interest</t>
  </si>
  <si>
    <t>ANNUAL CASH FLOW AND IRR</t>
  </si>
  <si>
    <t>3 year Treasury (as of April 26)</t>
  </si>
  <si>
    <t>8 year Treasury (as of April 26)</t>
  </si>
  <si>
    <t>30 year Treasury (as of April 26)</t>
  </si>
  <si>
    <t>Equity Closed</t>
  </si>
  <si>
    <t>Operating Months in the 1st yr.*</t>
  </si>
  <si>
    <t>Average Life Tranche 3</t>
  </si>
  <si>
    <t>Debt Issuance</t>
  </si>
  <si>
    <t>Increase in Op Exp (%)</t>
  </si>
  <si>
    <t>EQUITY PARTNER'S</t>
  </si>
  <si>
    <t>CHANGES</t>
  </si>
  <si>
    <t>DATE</t>
  </si>
  <si>
    <t>Key Stats</t>
  </si>
  <si>
    <t xml:space="preserve">Average DSCR </t>
  </si>
  <si>
    <t>Minimum DSCR</t>
  </si>
  <si>
    <t>Escalated Costs:</t>
  </si>
  <si>
    <t>Non-Escalated Costs:</t>
  </si>
  <si>
    <t xml:space="preserve">Property Taxes &amp; Other </t>
  </si>
  <si>
    <t>Evaporative Cooler (MW)</t>
  </si>
  <si>
    <t>Consultant Capacity Price Escalator</t>
  </si>
  <si>
    <t>Consultant Real $</t>
  </si>
  <si>
    <t>Consultant Nominal $</t>
  </si>
  <si>
    <t>Base ($/kw-year )</t>
  </si>
  <si>
    <t>Low ($/kw-year)</t>
  </si>
  <si>
    <t>Base ($/kw-year)</t>
  </si>
  <si>
    <t>Base ($/kW-month)</t>
  </si>
  <si>
    <t>Low ($/kW-month)</t>
  </si>
  <si>
    <t>PLEASE TRACK</t>
  </si>
  <si>
    <t>Power Desk</t>
  </si>
  <si>
    <t>(Months)</t>
  </si>
  <si>
    <t>PROJECT DESCRIPTION:</t>
  </si>
  <si>
    <t>Turbine Rating</t>
  </si>
  <si>
    <t>Heat Rate (HHV)</t>
  </si>
  <si>
    <t>First Fiscal Year</t>
  </si>
  <si>
    <t>Annual Property Tax Rate</t>
  </si>
  <si>
    <t>Assessd Value Based on SL Depreciation - yrs</t>
  </si>
  <si>
    <t>Salvage Value</t>
  </si>
  <si>
    <t>Assessd Value Multiplier</t>
  </si>
  <si>
    <t>Milage Rate for School Tax</t>
  </si>
  <si>
    <t>Years of School Tax Abatement</t>
  </si>
  <si>
    <t>Milage rate for County Tax</t>
  </si>
  <si>
    <t>Years of County Tax Abatement</t>
  </si>
  <si>
    <t>Milage rate for City Tax</t>
  </si>
  <si>
    <t>Years of City Tax Abatement</t>
  </si>
  <si>
    <t>Demand Charge ($/kW-mo)</t>
  </si>
  <si>
    <t>PPA ASSUMPTIONS:</t>
  </si>
  <si>
    <t>CAPACITY PRICE ASSUMPTIONS</t>
  </si>
  <si>
    <t>INCOME STATEMENT</t>
  </si>
  <si>
    <t>DEBT ISSUANCE</t>
  </si>
  <si>
    <t>DEPRECIATION SCHEDULE</t>
  </si>
  <si>
    <t>TAXES</t>
  </si>
  <si>
    <t>Straight Line</t>
  </si>
  <si>
    <t>Principal Repayments</t>
  </si>
  <si>
    <t>Amortization Option</t>
  </si>
  <si>
    <t>Time Factor</t>
  </si>
  <si>
    <t xml:space="preserve">   State Income Tax Rate</t>
  </si>
  <si>
    <t>Plus: Supplemental Tax</t>
  </si>
  <si>
    <t>PROJECT CASH FLOW</t>
  </si>
  <si>
    <t>Equity Partner's Cashflow with No Residual</t>
  </si>
  <si>
    <t>EBITDA (000 $)</t>
  </si>
  <si>
    <t>Net Income (000 $)</t>
  </si>
  <si>
    <t>Pre-Tax Cashflow (000 $)</t>
  </si>
  <si>
    <t>After-Tax Cashflow (000 $)</t>
  </si>
  <si>
    <t>Financing Costs:</t>
  </si>
  <si>
    <t xml:space="preserve">  Financing Fee</t>
  </si>
  <si>
    <t xml:space="preserve">  Debt Reserves</t>
  </si>
  <si>
    <t>Total Uses</t>
  </si>
  <si>
    <t>Uses of Funds</t>
  </si>
  <si>
    <t xml:space="preserve">  Legal Fees</t>
  </si>
  <si>
    <t>EPC:</t>
  </si>
  <si>
    <t>Type of Turbine</t>
  </si>
  <si>
    <t>Project Life (Years)</t>
  </si>
  <si>
    <t>Start of Commercial Operation</t>
  </si>
  <si>
    <t>End of Commercial Operation</t>
  </si>
  <si>
    <t>Sub Total</t>
  </si>
  <si>
    <t xml:space="preserve">  Turbine</t>
  </si>
  <si>
    <t xml:space="preserve">  BOP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</si>
  <si>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</si>
  <si>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</si>
  <si>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</si>
  <si>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</si>
  <si>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</si>
  <si>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Gas Compression to 700 PSI</t>
  </si>
  <si>
    <t xml:space="preserve">  Demineralized Water Facility</t>
  </si>
  <si>
    <t xml:space="preserve">  Chillers</t>
  </si>
  <si>
    <t xml:space="preserve">  Spare Parts</t>
  </si>
  <si>
    <t>DEBT</t>
  </si>
  <si>
    <t>EQUITY</t>
  </si>
  <si>
    <t>FINANCING ASSUMPTIONS:</t>
  </si>
  <si>
    <t>No. of Years</t>
  </si>
  <si>
    <t>Market Price Period</t>
  </si>
  <si>
    <t>LM6000</t>
  </si>
  <si>
    <t>Block Payment</t>
  </si>
  <si>
    <t>Market Period:</t>
  </si>
  <si>
    <t>Capacity Revenue</t>
  </si>
  <si>
    <t>Energy Revenue</t>
  </si>
  <si>
    <t>Variable Energy Revenue</t>
  </si>
  <si>
    <t>Ancillary Services</t>
  </si>
  <si>
    <t>Fees</t>
  </si>
  <si>
    <t>Market Price Scenario</t>
  </si>
  <si>
    <t>Capacity Factor (%)</t>
  </si>
  <si>
    <t>Degradation Factor (%)</t>
  </si>
  <si>
    <t>FIXED PRICE PERIOD</t>
  </si>
  <si>
    <t>AVGE</t>
  </si>
  <si>
    <t xml:space="preserve">Current </t>
  </si>
  <si>
    <t>TRACKING SHEET</t>
  </si>
  <si>
    <t>Changes</t>
  </si>
  <si>
    <t>Degraded Capacity (MW)</t>
  </si>
  <si>
    <t>$/MW</t>
  </si>
  <si>
    <t>Fuel</t>
  </si>
  <si>
    <t>Debt Service Reserve Fee</t>
  </si>
  <si>
    <t>EPC</t>
  </si>
  <si>
    <t>Cost Summary</t>
  </si>
  <si>
    <t>Residual Value</t>
  </si>
  <si>
    <t>Equity Partner's Cashflow with Residual Value</t>
  </si>
  <si>
    <t>IRR WITH NO</t>
  </si>
  <si>
    <t>RESIDUAL VALUE</t>
  </si>
  <si>
    <t xml:space="preserve">IRR WITH </t>
  </si>
  <si>
    <t>Treasury Rate as of:</t>
  </si>
  <si>
    <t>Maximum DSR Amount (000 $)</t>
  </si>
  <si>
    <t>(months/year)</t>
  </si>
  <si>
    <t>Site Condition (MW)</t>
  </si>
  <si>
    <t>Net Output before Degradation (MW)</t>
  </si>
  <si>
    <t>(To be linked to dispatch Model)</t>
  </si>
  <si>
    <t>PROJECT NAME: SANTEE COOPER</t>
  </si>
  <si>
    <t>$000/ MW</t>
  </si>
  <si>
    <t>Debt Service Coverage Ratio</t>
  </si>
  <si>
    <t>Initial Spare Parts ($000)</t>
  </si>
  <si>
    <t>Cost per Start ($000)</t>
  </si>
  <si>
    <t>MEAG PPA Start Date</t>
  </si>
  <si>
    <t>MEAG PPA Temination</t>
  </si>
  <si>
    <t>SANTEE COOPER PPA Start Date</t>
  </si>
  <si>
    <t>AssumptionsI17 equation changed to be current year and not last fiscal</t>
  </si>
  <si>
    <t>Residual Value (Terminal Value)</t>
  </si>
  <si>
    <t>SANTEE COOPER PPA Termination</t>
  </si>
  <si>
    <t>MARKET PERIOD Start Date</t>
  </si>
  <si>
    <t>MARKET PERIOD Termination</t>
  </si>
  <si>
    <t>Soft Cost &amp; Other Misc. Project Cost</t>
  </si>
  <si>
    <t>Net Generation (MWh)</t>
  </si>
  <si>
    <t>CAPACITY PAYMENT TERMS</t>
  </si>
  <si>
    <t>Amortization</t>
  </si>
  <si>
    <t>Custom Amortization</t>
  </si>
  <si>
    <t>Custom=1, Level=2</t>
  </si>
  <si>
    <t>Number of periods assuming semi annual payments</t>
  </si>
  <si>
    <t>Inputs reside on debt page</t>
  </si>
  <si>
    <t>Level Amortization:</t>
  </si>
  <si>
    <t>Custom Amortization:</t>
  </si>
  <si>
    <t>MEAG Fixed Price Period</t>
  </si>
  <si>
    <t>SANTEE COOPER Fixed Price Period</t>
  </si>
  <si>
    <t>ACTUAL TIME OF PROJECT</t>
  </si>
  <si>
    <t xml:space="preserve">     % OF THE YEAR IN MEAG OPERATION</t>
  </si>
  <si>
    <t xml:space="preserve">     % OF THE YEAR IN SANTEE COOPER OPERATION</t>
  </si>
  <si>
    <t xml:space="preserve">     % OF THE YEAR IN MARKET PERIOD OPERATION</t>
  </si>
  <si>
    <t>PPA Time</t>
  </si>
  <si>
    <t>MONTHS OF TOTAL OPERATION</t>
  </si>
  <si>
    <t xml:space="preserve">     % OF THE YEAR IN TOTAL OPERATION</t>
  </si>
  <si>
    <t xml:space="preserve">     ACTUAL YEARS OF MEAG PPA</t>
  </si>
  <si>
    <t># MONTHS OF YEAR UNDER MEAG PPA</t>
  </si>
  <si>
    <t># MONTHS OF YEAR UNDER SANTEE COOPER PPA</t>
  </si>
  <si>
    <t># MONTHS OF YEAR UNDER MARKET PERIOD</t>
  </si>
  <si>
    <t>CARRYING COST OF TURBINES, TRANSFORMERS AND CIRCUIT BREAKERS</t>
  </si>
  <si>
    <t>Base Rate</t>
  </si>
  <si>
    <t>Term (Months)</t>
  </si>
  <si>
    <t>Monthly Rate</t>
  </si>
  <si>
    <t>Calculated IDC</t>
  </si>
  <si>
    <t>Month</t>
  </si>
  <si>
    <t>Percentage Drawn</t>
  </si>
  <si>
    <t>Principal</t>
  </si>
  <si>
    <t>Monthly Interest</t>
  </si>
  <si>
    <t>Cumulative Interest</t>
  </si>
  <si>
    <t>Length of Construction</t>
  </si>
  <si>
    <t>Construction</t>
  </si>
  <si>
    <t>Interest During Construction Calculations</t>
  </si>
  <si>
    <t>Timing of revenues on IS re-configured</t>
  </si>
  <si>
    <t>Equity Partner's Share of Distributable Cash</t>
  </si>
  <si>
    <t>Enron Net Income</t>
  </si>
  <si>
    <t>Enron's Share of Distributable Cash</t>
  </si>
  <si>
    <t>Enron After Tax Distributable Cash</t>
  </si>
  <si>
    <t>Equity Partner After Tax Distributable Cash</t>
  </si>
  <si>
    <t>energy margin only accounts for 1 PPA and 1 market period.</t>
  </si>
  <si>
    <t>does em apply to SC transaction?</t>
  </si>
  <si>
    <t>ISSUES</t>
  </si>
  <si>
    <t>FUEL PRICE ASSUMPTIONS</t>
  </si>
  <si>
    <t>Gas Price MMBtu</t>
  </si>
  <si>
    <t>Base ($/MMBtu)</t>
  </si>
  <si>
    <t>Low ($/MMBtu)</t>
  </si>
  <si>
    <t>Basis Adj.</t>
  </si>
  <si>
    <t>Fuel Expense Pass Through Plug</t>
  </si>
  <si>
    <t>Fixed O&amp;M Payment</t>
  </si>
  <si>
    <t>MONTHS</t>
  </si>
  <si>
    <t>Construction Start Date</t>
  </si>
  <si>
    <t xml:space="preserve">Principal </t>
  </si>
  <si>
    <t>Cumulative</t>
  </si>
  <si>
    <t>Oustanding Balance</t>
  </si>
  <si>
    <t>$000/kW</t>
  </si>
  <si>
    <t>$000</t>
  </si>
  <si>
    <t>Fixed O&amp;M ($/kW month)</t>
  </si>
  <si>
    <t># OF HOURS IN 1 yr</t>
  </si>
  <si>
    <t>Variable O&amp;M ($/MWh)</t>
  </si>
  <si>
    <t xml:space="preserve">Other O&amp;M Fees </t>
  </si>
  <si>
    <t>$/KWh Sensitivity Toggle (If active insert 1)</t>
  </si>
  <si>
    <t>Turbine Cost of Carry</t>
  </si>
  <si>
    <t>Cost of 1 Turbine</t>
  </si>
  <si>
    <t>Cost of Capital for WLB</t>
  </si>
  <si>
    <t>='LIBOR+5/8</t>
  </si>
  <si>
    <t>Turbines to be delivered</t>
  </si>
  <si>
    <t>Date</t>
  </si>
  <si>
    <t>$ per turbine</t>
  </si>
  <si>
    <t>PV At Delivery</t>
  </si>
  <si>
    <t>Annual</t>
  </si>
  <si>
    <t>Daily</t>
  </si>
  <si>
    <t>Project</t>
  </si>
  <si>
    <t>Cash Flow to Equity</t>
  </si>
  <si>
    <t>Principal Payments</t>
  </si>
  <si>
    <t>Capital Expenditures</t>
  </si>
  <si>
    <t>Actual Cash Flow</t>
  </si>
  <si>
    <t>Paydown</t>
  </si>
  <si>
    <t>Equity Return</t>
  </si>
  <si>
    <t>Total Cash Flow</t>
  </si>
  <si>
    <t>Equity RROR</t>
  </si>
  <si>
    <t>Beginning Plant Value</t>
  </si>
  <si>
    <t>END OF PPA ANALYSIS ($000)</t>
  </si>
  <si>
    <t>Interest Expense</t>
  </si>
  <si>
    <t>Turbine Cost</t>
  </si>
  <si>
    <t>Other Cost of Construction</t>
  </si>
  <si>
    <t>Outstanding Balance</t>
  </si>
  <si>
    <t>Cash Taxes</t>
  </si>
  <si>
    <t>Target Coupon</t>
  </si>
  <si>
    <t>Beginning Equity Investment</t>
  </si>
  <si>
    <t>Remaining Equity Exposure</t>
  </si>
  <si>
    <t>Remaining Equity Exposure as</t>
  </si>
  <si>
    <t>a percent of Original Cost</t>
  </si>
  <si>
    <t>EBITDA Multiple</t>
  </si>
  <si>
    <t>20% of Original Cost</t>
  </si>
  <si>
    <t>Zero Residual Value</t>
  </si>
  <si>
    <t>TOTAL RUN HOURS FOR THE YEAR</t>
  </si>
  <si>
    <t>CUMULATIVE HOURS RUN FOR PROJECT</t>
  </si>
  <si>
    <t>Maintenance Needed at # hours</t>
  </si>
  <si>
    <t>#Hours</t>
  </si>
  <si>
    <t>$000 CapEx</t>
  </si>
  <si>
    <t xml:space="preserve">Property, Other Tax </t>
  </si>
  <si>
    <t xml:space="preserve">Interest Expense </t>
  </si>
  <si>
    <t>$/kw</t>
  </si>
  <si>
    <t>Energy Charge (MWh)</t>
  </si>
  <si>
    <t>Capacity Charge ($/kw-month)</t>
  </si>
  <si>
    <t>% Debt</t>
  </si>
  <si>
    <t>% Equity</t>
  </si>
  <si>
    <t>Optimal Capital Structure</t>
  </si>
  <si>
    <t>Equity IRR</t>
  </si>
  <si>
    <t>5X EBITDA Multiple Terminal Value</t>
  </si>
  <si>
    <t>20% Original Cost Terminal Value</t>
  </si>
  <si>
    <t>Zero Terminal Value</t>
  </si>
  <si>
    <t>Residual Exposure as a % of Original Cost</t>
  </si>
  <si>
    <t>Base Case</t>
  </si>
  <si>
    <t>Lower Construction Cost</t>
  </si>
  <si>
    <t>Total Project Cost (000)</t>
  </si>
  <si>
    <t>Residual Equity Exposure (000)</t>
  </si>
  <si>
    <t>Higher Capacity Charge</t>
  </si>
  <si>
    <t>Mobilization fees</t>
  </si>
  <si>
    <t>Maintenance Capital Expenditures</t>
  </si>
  <si>
    <t>5 turbines</t>
  </si>
  <si>
    <t>56.67 per turbine/fired hour</t>
  </si>
  <si>
    <t>(Necessary to maintain 1.30X coverage)</t>
  </si>
  <si>
    <t>ACCRUED MAJOR MAINTENANCE</t>
  </si>
  <si>
    <t>NO MAJOR MAINTENANCE ACCRUAL</t>
  </si>
  <si>
    <t>Major Maintenance &amp; Ongoing Capex ($/MWh)</t>
  </si>
  <si>
    <t>Fixed Price Period</t>
  </si>
  <si>
    <t>Other Expenses</t>
  </si>
  <si>
    <t>MW</t>
  </si>
  <si>
    <t>$</t>
  </si>
  <si>
    <t>SG&amp;A ($/MW)</t>
  </si>
  <si>
    <t>Land</t>
  </si>
  <si>
    <t>Capitalized Interests</t>
  </si>
  <si>
    <t>Number of Starts per year, $ per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</si>
</sst>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2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21" formatCode="#,##0.0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51" formatCode="_(* #,##0.00000_);_(* \(#,##0.00000\);_(* &quot;-&quot;??_);_(@_)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23" formatCode="0.0\x_);\(0.00\x\)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27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b/>
      <i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sz val="16"/>
      <name val="Times New Roman"/>
      <family val="1"/>
    </font>
    <font>
      <b/>
      <u/>
      <sz val="12"/>
      <name val="Times New Roman"/>
      <family val="1"/>
    </font>
    <font>
      <b/>
      <u/>
      <sz val="12"/>
      <color indexed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i/>
      <sz val="10"/>
      <name val="Times New Roman"/>
      <family val="1"/>
    </font>
    <font>
      <i/>
      <sz val="10"/>
      <color indexed="10"/>
      <name val="Times New Roman"/>
      <family val="1"/>
    </font>
    <font>
      <i/>
      <u/>
      <sz val="10"/>
      <name val="Times New Roman"/>
      <family val="1"/>
    </font>
    <font>
      <u/>
      <sz val="10"/>
      <name val="Arial"/>
      <family val="2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2"/>
      <color indexed="12"/>
      <name val="Times New Roman"/>
      <family val="1"/>
    </font>
    <font>
      <b/>
      <i/>
      <sz val="12"/>
      <name val="Times New Roman"/>
      <family val="1"/>
    </font>
    <font>
      <b/>
      <sz val="20"/>
      <name val="Times New Roman"/>
      <family val="1"/>
    </font>
    <font>
      <u/>
      <sz val="10"/>
      <color indexed="20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u/>
      <sz val="14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b/>
      <sz val="12"/>
      <color indexed="8"/>
      <name val="Times New Roman"/>
      <family val="1"/>
    </font>
    <font>
      <b/>
      <sz val="18"/>
      <color indexed="10"/>
      <name val="Times New Roman"/>
      <family val="1"/>
    </font>
    <font>
      <b/>
      <u/>
      <sz val="12"/>
      <color indexed="12"/>
      <name val="Times New Roman"/>
      <family val="1"/>
    </font>
    <font>
      <b/>
      <sz val="10"/>
      <color indexed="12"/>
      <name val="Times New Roman"/>
      <family val="1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b/>
      <sz val="12"/>
      <color indexed="10"/>
      <name val="Times New Roman"/>
      <family val="1"/>
    </font>
    <font>
      <b/>
      <i/>
      <sz val="12"/>
      <color indexed="12"/>
      <name val="Times New Roman"/>
      <family val="1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i/>
      <sz val="8"/>
      <color indexed="8"/>
      <name val="Times New Roman"/>
      <family val="1"/>
    </font>
    <font>
      <sz val="8"/>
      <color indexed="8"/>
      <name val="Times New Roman"/>
      <family val="1"/>
    </font>
    <font>
      <sz val="8"/>
      <color indexed="8"/>
      <name val="P-TIMES"/>
    </font>
    <font>
      <sz val="8"/>
      <color indexed="8"/>
      <name val="Arial MT"/>
    </font>
    <font>
      <b/>
      <sz val="8"/>
      <color indexed="8"/>
      <name val="Times New Roman"/>
      <family val="1"/>
    </font>
    <font>
      <b/>
      <sz val="8"/>
      <color indexed="12"/>
      <name val="Times New Roman"/>
      <family val="1"/>
    </font>
    <font>
      <b/>
      <sz val="8"/>
      <color indexed="10"/>
      <name val="Times New Roman"/>
      <family val="1"/>
    </font>
    <font>
      <sz val="8"/>
      <color indexed="12"/>
      <name val="Times New Roman"/>
      <family val="1"/>
    </font>
    <font>
      <sz val="8"/>
      <color indexed="12"/>
      <name val="P-TIMES"/>
    </font>
    <font>
      <b/>
      <sz val="8"/>
      <name val="Times New Roman"/>
      <family val="1"/>
    </font>
    <font>
      <b/>
      <u/>
      <sz val="10"/>
      <name val="Arial"/>
      <family val="2"/>
    </font>
    <font>
      <b/>
      <sz val="14"/>
      <color indexed="12"/>
      <name val="Times New Roman"/>
      <family val="1"/>
    </font>
    <font>
      <sz val="8"/>
      <color indexed="81"/>
      <name val="Tahoma"/>
      <family val="2"/>
    </font>
    <font>
      <sz val="10"/>
      <color indexed="14"/>
      <name val="Times New Roman"/>
      <family val="1"/>
    </font>
    <font>
      <b/>
      <sz val="10"/>
      <color indexed="20"/>
      <name val="Times New Roman"/>
      <family val="1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  <font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2">
    <xf numFmtId="0" fontId="0" fillId="0" borderId="0"/>
    <xf numFmtId="0" fontId="56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59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66" fillId="4" borderId="0" applyNumberFormat="0" applyBorder="0" applyAlignment="0" applyProtection="0"/>
    <xf numFmtId="0" fontId="67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38" fillId="0" borderId="2" applyNumberFormat="0" applyFill="0" applyAlignment="0" applyProtection="0"/>
    <xf numFmtId="10" fontId="66" fillId="5" borderId="3" applyNumberFormat="0" applyBorder="0" applyAlignment="0" applyProtection="0"/>
    <xf numFmtId="37" fontId="69" fillId="0" borderId="0"/>
    <xf numFmtId="170" fontId="70" fillId="0" borderId="0"/>
    <xf numFmtId="0" fontId="1" fillId="0" borderId="0"/>
    <xf numFmtId="37" fontId="7" fillId="0" borderId="0" applyBorder="0" applyAlignment="0" applyProtection="0">
      <alignment horizontal="center"/>
    </xf>
    <xf numFmtId="0" fontId="3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66" fillId="8" borderId="0" applyNumberFormat="0" applyBorder="0" applyAlignment="0" applyProtection="0"/>
    <xf numFmtId="37" fontId="66" fillId="8" borderId="0" applyNumberFormat="0" applyBorder="0" applyAlignment="0" applyProtection="0"/>
    <xf numFmtId="37" fontId="7" fillId="0" borderId="0"/>
    <xf numFmtId="37" fontId="7" fillId="4" borderId="0" applyNumberFormat="0" applyBorder="0" applyAlignment="0" applyProtection="0"/>
    <xf numFmtId="3" fontId="105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99">
    <xf numFmtId="0" fontId="0" fillId="0" borderId="0" xfId="0"/>
    <xf numFmtId="0" fontId="2" fillId="0" borderId="0" xfId="0" applyFont="1" applyFill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43" fontId="2" fillId="0" borderId="0" xfId="3" applyFont="1" applyFill="1" applyAlignment="1">
      <alignment horizontal="left"/>
    </xf>
    <xf numFmtId="43" fontId="3" fillId="0" borderId="0" xfId="3" applyFont="1" applyFill="1" applyAlignment="1">
      <alignment horizontal="left"/>
    </xf>
    <xf numFmtId="43" fontId="2" fillId="0" borderId="0" xfId="3" applyFont="1" applyFill="1"/>
    <xf numFmtId="0" fontId="1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14" fontId="12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11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0" fontId="13" fillId="0" borderId="0" xfId="0" applyFont="1" applyBorder="1" applyAlignment="1" applyProtection="1">
      <alignment horizontal="left"/>
    </xf>
    <xf numFmtId="0" fontId="18" fillId="0" borderId="0" xfId="0" applyFont="1"/>
    <xf numFmtId="0" fontId="20" fillId="0" borderId="0" xfId="0" applyFont="1"/>
    <xf numFmtId="37" fontId="20" fillId="0" borderId="0" xfId="18" applyFont="1" applyAlignment="1"/>
    <xf numFmtId="0" fontId="10" fillId="0" borderId="0" xfId="0" applyFont="1"/>
    <xf numFmtId="0" fontId="2" fillId="0" borderId="0" xfId="0" applyFont="1" applyAlignment="1" applyProtection="1">
      <alignment horizontal="left"/>
      <protection locked="0"/>
    </xf>
    <xf numFmtId="169" fontId="21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1" fontId="3" fillId="0" borderId="0" xfId="0" applyNumberFormat="1" applyFont="1" applyProtection="1">
      <protection locked="0"/>
    </xf>
    <xf numFmtId="10" fontId="18" fillId="0" borderId="0" xfId="0" applyNumberFormat="1" applyFont="1" applyProtection="1"/>
    <xf numFmtId="171" fontId="3" fillId="0" borderId="0" xfId="0" applyNumberFormat="1" applyFont="1" applyProtection="1"/>
    <xf numFmtId="165" fontId="18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0" fontId="3" fillId="0" borderId="0" xfId="0" applyFont="1" applyAlignment="1">
      <alignment horizontal="left"/>
    </xf>
    <xf numFmtId="0" fontId="26" fillId="0" borderId="0" xfId="0" applyFont="1"/>
    <xf numFmtId="0" fontId="27" fillId="0" borderId="0" xfId="0" applyFont="1"/>
    <xf numFmtId="0" fontId="3" fillId="0" borderId="0" xfId="0" applyFont="1" applyFill="1" applyAlignment="1">
      <alignment horizontal="center"/>
    </xf>
    <xf numFmtId="10" fontId="28" fillId="0" borderId="0" xfId="0" applyNumberFormat="1" applyFont="1"/>
    <xf numFmtId="10" fontId="12" fillId="0" borderId="0" xfId="0" applyNumberFormat="1" applyFont="1" applyAlignment="1">
      <alignment horizontal="center"/>
    </xf>
    <xf numFmtId="3" fontId="18" fillId="0" borderId="0" xfId="0" applyNumberFormat="1" applyFont="1"/>
    <xf numFmtId="0" fontId="12" fillId="0" borderId="0" xfId="0" applyFont="1"/>
    <xf numFmtId="3" fontId="3" fillId="0" borderId="0" xfId="0" applyNumberFormat="1" applyFont="1"/>
    <xf numFmtId="3" fontId="27" fillId="0" borderId="0" xfId="0" applyNumberFormat="1" applyFont="1"/>
    <xf numFmtId="3" fontId="2" fillId="0" borderId="0" xfId="0" applyNumberFormat="1" applyFont="1"/>
    <xf numFmtId="0" fontId="19" fillId="0" borderId="0" xfId="0" applyFont="1"/>
    <xf numFmtId="0" fontId="19" fillId="0" borderId="0" xfId="0" applyFont="1" applyBorder="1"/>
    <xf numFmtId="179" fontId="19" fillId="0" borderId="0" xfId="0" applyNumberFormat="1" applyFont="1" applyBorder="1" applyAlignment="1">
      <alignment horizontal="center"/>
    </xf>
    <xf numFmtId="0" fontId="19" fillId="0" borderId="11" xfId="0" applyFont="1" applyBorder="1"/>
    <xf numFmtId="179" fontId="19" fillId="0" borderId="12" xfId="0" applyNumberFormat="1" applyFont="1" applyBorder="1"/>
    <xf numFmtId="6" fontId="19" fillId="0" borderId="0" xfId="0" applyNumberFormat="1" applyFont="1"/>
    <xf numFmtId="0" fontId="15" fillId="0" borderId="0" xfId="0" applyFont="1"/>
    <xf numFmtId="2" fontId="19" fillId="0" borderId="12" xfId="0" applyNumberFormat="1" applyFont="1" applyBorder="1" applyAlignment="1">
      <alignment horizontal="center"/>
    </xf>
    <xf numFmtId="0" fontId="26" fillId="0" borderId="13" xfId="0" applyFont="1" applyBorder="1"/>
    <xf numFmtId="0" fontId="19" fillId="0" borderId="14" xfId="0" applyFont="1" applyBorder="1"/>
    <xf numFmtId="4" fontId="2" fillId="0" borderId="15" xfId="0" applyNumberFormat="1" applyFont="1" applyBorder="1" applyAlignment="1">
      <alignment horizontal="center"/>
    </xf>
    <xf numFmtId="0" fontId="26" fillId="0" borderId="4" xfId="0" applyFont="1" applyBorder="1"/>
    <xf numFmtId="0" fontId="2" fillId="0" borderId="0" xfId="0" applyFont="1" applyFill="1" applyAlignment="1"/>
    <xf numFmtId="37" fontId="2" fillId="0" borderId="0" xfId="0" applyNumberFormat="1" applyFont="1" applyFill="1"/>
    <xf numFmtId="0" fontId="10" fillId="0" borderId="0" xfId="0" applyFont="1" applyFill="1"/>
    <xf numFmtId="0" fontId="10" fillId="0" borderId="11" xfId="0" applyFont="1" applyBorder="1" applyAlignment="1">
      <alignment horizontal="centerContinuous"/>
    </xf>
    <xf numFmtId="0" fontId="10" fillId="0" borderId="13" xfId="0" applyFont="1" applyBorder="1" applyAlignment="1">
      <alignment horizontal="centerContinuous"/>
    </xf>
    <xf numFmtId="0" fontId="10" fillId="0" borderId="12" xfId="0" applyFont="1" applyBorder="1" applyAlignment="1">
      <alignment horizontal="centerContinuous"/>
    </xf>
    <xf numFmtId="0" fontId="3" fillId="0" borderId="16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73" fontId="2" fillId="0" borderId="15" xfId="0" applyNumberFormat="1" applyFont="1" applyBorder="1" applyAlignment="1">
      <alignment horizontal="center"/>
    </xf>
    <xf numFmtId="0" fontId="3" fillId="0" borderId="13" xfId="0" applyFont="1" applyBorder="1"/>
    <xf numFmtId="0" fontId="2" fillId="0" borderId="13" xfId="0" applyFont="1" applyFill="1" applyBorder="1"/>
    <xf numFmtId="0" fontId="3" fillId="0" borderId="4" xfId="0" applyFont="1" applyBorder="1"/>
    <xf numFmtId="179" fontId="19" fillId="0" borderId="15" xfId="0" applyNumberFormat="1" applyFont="1" applyBorder="1"/>
    <xf numFmtId="0" fontId="8" fillId="4" borderId="0" xfId="0" applyFont="1" applyFill="1"/>
    <xf numFmtId="0" fontId="9" fillId="4" borderId="0" xfId="17" applyFont="1" applyFill="1" applyBorder="1"/>
    <xf numFmtId="0" fontId="2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0" borderId="0" xfId="0" applyFont="1" applyFill="1"/>
    <xf numFmtId="0" fontId="2" fillId="0" borderId="0" xfId="0" applyFont="1" applyFill="1" applyBorder="1"/>
    <xf numFmtId="166" fontId="3" fillId="0" borderId="0" xfId="3" applyNumberFormat="1" applyFont="1" applyFill="1" applyBorder="1"/>
    <xf numFmtId="168" fontId="3" fillId="0" borderId="0" xfId="3" applyNumberFormat="1" applyFont="1" applyFill="1"/>
    <xf numFmtId="38" fontId="3" fillId="0" borderId="0" xfId="0" applyNumberFormat="1" applyFont="1"/>
    <xf numFmtId="0" fontId="26" fillId="0" borderId="0" xfId="0" applyFont="1" applyFill="1"/>
    <xf numFmtId="171" fontId="3" fillId="0" borderId="0" xfId="0" applyNumberFormat="1" applyFont="1" applyFill="1" applyProtection="1"/>
    <xf numFmtId="10" fontId="18" fillId="0" borderId="0" xfId="0" applyNumberFormat="1" applyFont="1" applyFill="1" applyProtection="1"/>
    <xf numFmtId="0" fontId="11" fillId="0" borderId="0" xfId="0" applyFont="1" applyFill="1"/>
    <xf numFmtId="38" fontId="0" fillId="0" borderId="0" xfId="0" applyNumberFormat="1"/>
    <xf numFmtId="38" fontId="30" fillId="0" borderId="0" xfId="0" applyNumberFormat="1" applyFont="1"/>
    <xf numFmtId="38" fontId="3" fillId="0" borderId="0" xfId="4" applyNumberFormat="1" applyFont="1" applyFill="1"/>
    <xf numFmtId="38" fontId="18" fillId="0" borderId="0" xfId="4" applyNumberFormat="1" applyFont="1" applyProtection="1"/>
    <xf numFmtId="38" fontId="3" fillId="0" borderId="0" xfId="4" applyNumberFormat="1" applyFont="1"/>
    <xf numFmtId="38" fontId="14" fillId="0" borderId="0" xfId="4" applyNumberFormat="1" applyFont="1" applyFill="1" applyProtection="1"/>
    <xf numFmtId="38" fontId="3" fillId="0" borderId="0" xfId="0" applyNumberFormat="1" applyFont="1" applyFill="1"/>
    <xf numFmtId="37" fontId="11" fillId="0" borderId="0" xfId="18" applyFont="1" applyAlignment="1">
      <alignment horizontal="right"/>
    </xf>
    <xf numFmtId="166" fontId="3" fillId="0" borderId="9" xfId="3" applyNumberFormat="1" applyFont="1" applyFill="1" applyBorder="1"/>
    <xf numFmtId="0" fontId="36" fillId="0" borderId="0" xfId="0" applyFont="1"/>
    <xf numFmtId="0" fontId="3" fillId="0" borderId="19" xfId="0" applyFont="1" applyBorder="1"/>
    <xf numFmtId="10" fontId="3" fillId="0" borderId="0" xfId="20" applyNumberFormat="1" applyFont="1"/>
    <xf numFmtId="164" fontId="3" fillId="0" borderId="0" xfId="0" applyNumberFormat="1" applyFont="1"/>
    <xf numFmtId="0" fontId="27" fillId="0" borderId="0" xfId="0" applyFont="1" applyFill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8" fillId="0" borderId="0" xfId="0" applyFont="1"/>
    <xf numFmtId="0" fontId="0" fillId="0" borderId="0" xfId="0" applyFill="1" applyBorder="1"/>
    <xf numFmtId="3" fontId="2" fillId="0" borderId="0" xfId="0" applyNumberFormat="1" applyFont="1" applyFill="1" applyBorder="1"/>
    <xf numFmtId="37" fontId="2" fillId="0" borderId="0" xfId="0" applyNumberFormat="1" applyFont="1" applyFill="1" applyBorder="1" applyAlignment="1">
      <alignment horizontal="center"/>
    </xf>
    <xf numFmtId="0" fontId="23" fillId="0" borderId="20" xfId="0" applyFont="1" applyFill="1" applyBorder="1"/>
    <xf numFmtId="0" fontId="23" fillId="0" borderId="20" xfId="0" applyFont="1" applyFill="1" applyBorder="1" applyAlignment="1" applyProtection="1">
      <alignment horizontal="left"/>
    </xf>
    <xf numFmtId="0" fontId="24" fillId="0" borderId="20" xfId="0" applyFont="1" applyFill="1" applyBorder="1" applyAlignment="1" applyProtection="1">
      <alignment horizontal="left"/>
    </xf>
    <xf numFmtId="0" fontId="5" fillId="0" borderId="7" xfId="0" applyFont="1" applyFill="1" applyBorder="1"/>
    <xf numFmtId="0" fontId="39" fillId="0" borderId="10" xfId="0" applyFont="1" applyBorder="1" applyAlignment="1" applyProtection="1">
      <alignment horizontal="left"/>
    </xf>
    <xf numFmtId="0" fontId="39" fillId="0" borderId="0" xfId="0" applyFont="1" applyBorder="1" applyAlignment="1">
      <alignment horizontal="center"/>
    </xf>
    <xf numFmtId="0" fontId="26" fillId="0" borderId="0" xfId="0" applyFont="1" applyBorder="1"/>
    <xf numFmtId="0" fontId="26" fillId="0" borderId="10" xfId="0" applyFont="1" applyBorder="1" applyAlignment="1" applyProtection="1">
      <alignment horizontal="left"/>
    </xf>
    <xf numFmtId="10" fontId="40" fillId="0" borderId="0" xfId="0" applyNumberFormat="1" applyFont="1" applyBorder="1" applyAlignment="1" applyProtection="1">
      <alignment horizontal="center"/>
    </xf>
    <xf numFmtId="10" fontId="26" fillId="0" borderId="10" xfId="0" applyNumberFormat="1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26" fillId="0" borderId="10" xfId="0" applyFont="1" applyBorder="1"/>
    <xf numFmtId="0" fontId="26" fillId="0" borderId="9" xfId="0" applyFont="1" applyBorder="1"/>
    <xf numFmtId="0" fontId="26" fillId="0" borderId="21" xfId="0" applyFont="1" applyBorder="1"/>
    <xf numFmtId="0" fontId="26" fillId="0" borderId="6" xfId="0" applyFont="1" applyBorder="1"/>
    <xf numFmtId="0" fontId="39" fillId="0" borderId="10" xfId="0" applyFont="1" applyBorder="1"/>
    <xf numFmtId="0" fontId="26" fillId="0" borderId="10" xfId="0" applyFont="1" applyBorder="1" applyAlignment="1">
      <alignment horizontal="left"/>
    </xf>
    <xf numFmtId="37" fontId="26" fillId="0" borderId="0" xfId="0" applyNumberFormat="1" applyFont="1" applyFill="1" applyBorder="1" applyAlignment="1">
      <alignment horizontal="center"/>
    </xf>
    <xf numFmtId="0" fontId="42" fillId="0" borderId="10" xfId="0" applyFont="1" applyBorder="1"/>
    <xf numFmtId="173" fontId="26" fillId="0" borderId="0" xfId="0" applyNumberFormat="1" applyFont="1" applyBorder="1" applyAlignment="1">
      <alignment horizontal="center"/>
    </xf>
    <xf numFmtId="0" fontId="39" fillId="0" borderId="0" xfId="0" applyFont="1" applyBorder="1"/>
    <xf numFmtId="212" fontId="26" fillId="0" borderId="0" xfId="3" applyNumberFormat="1" applyFont="1" applyBorder="1" applyAlignment="1">
      <alignment horizontal="center"/>
    </xf>
    <xf numFmtId="38" fontId="26" fillId="0" borderId="0" xfId="0" applyNumberFormat="1" applyFont="1" applyBorder="1"/>
    <xf numFmtId="38" fontId="26" fillId="0" borderId="0" xfId="0" applyNumberFormat="1" applyFont="1" applyBorder="1" applyAlignment="1">
      <alignment horizontal="center"/>
    </xf>
    <xf numFmtId="38" fontId="26" fillId="0" borderId="6" xfId="0" applyNumberFormat="1" applyFont="1" applyBorder="1" applyAlignment="1">
      <alignment horizontal="center"/>
    </xf>
    <xf numFmtId="0" fontId="26" fillId="0" borderId="7" xfId="0" applyFont="1" applyFill="1" applyBorder="1"/>
    <xf numFmtId="0" fontId="23" fillId="0" borderId="7" xfId="0" applyFont="1" applyFill="1" applyBorder="1" applyAlignment="1">
      <alignment horizontal="centerContinuous"/>
    </xf>
    <xf numFmtId="0" fontId="39" fillId="0" borderId="10" xfId="0" applyFont="1" applyFill="1" applyBorder="1"/>
    <xf numFmtId="10" fontId="41" fillId="0" borderId="0" xfId="0" applyNumberFormat="1" applyFont="1" applyFill="1" applyBorder="1"/>
    <xf numFmtId="0" fontId="26" fillId="0" borderId="10" xfId="0" applyFont="1" applyFill="1" applyBorder="1"/>
    <xf numFmtId="10" fontId="10" fillId="0" borderId="0" xfId="20" applyNumberFormat="1" applyFont="1" applyFill="1" applyBorder="1" applyAlignment="1">
      <alignment horizontal="center"/>
    </xf>
    <xf numFmtId="10" fontId="41" fillId="0" borderId="0" xfId="20" applyNumberFormat="1" applyFont="1" applyFill="1" applyBorder="1" applyAlignment="1">
      <alignment horizontal="center"/>
    </xf>
    <xf numFmtId="0" fontId="26" fillId="0" borderId="21" xfId="0" applyFont="1" applyFill="1" applyBorder="1"/>
    <xf numFmtId="0" fontId="10" fillId="0" borderId="10" xfId="0" applyFont="1" applyBorder="1"/>
    <xf numFmtId="0" fontId="26" fillId="0" borderId="7" xfId="0" applyFont="1" applyBorder="1"/>
    <xf numFmtId="0" fontId="26" fillId="0" borderId="8" xfId="0" applyFont="1" applyBorder="1"/>
    <xf numFmtId="0" fontId="35" fillId="4" borderId="0" xfId="0" applyFont="1" applyFill="1" applyBorder="1" applyAlignment="1">
      <alignment horizontal="center"/>
    </xf>
    <xf numFmtId="0" fontId="26" fillId="0" borderId="22" xfId="0" applyFont="1" applyBorder="1" applyAlignment="1">
      <alignment horizontal="centerContinuous"/>
    </xf>
    <xf numFmtId="0" fontId="26" fillId="0" borderId="23" xfId="0" applyFont="1" applyBorder="1" applyAlignment="1">
      <alignment horizontal="centerContinuous"/>
    </xf>
    <xf numFmtId="4" fontId="26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9" fontId="41" fillId="8" borderId="0" xfId="0" applyNumberFormat="1" applyFont="1" applyFill="1" applyBorder="1" applyAlignment="1">
      <alignment horizontal="center"/>
    </xf>
    <xf numFmtId="0" fontId="43" fillId="0" borderId="0" xfId="0" applyFont="1"/>
    <xf numFmtId="10" fontId="41" fillId="8" borderId="0" xfId="0" applyNumberFormat="1" applyFont="1" applyFill="1" applyBorder="1" applyAlignment="1">
      <alignment horizontal="center"/>
    </xf>
    <xf numFmtId="7" fontId="26" fillId="0" borderId="0" xfId="3" applyNumberFormat="1" applyFont="1" applyBorder="1"/>
    <xf numFmtId="44" fontId="26" fillId="0" borderId="0" xfId="4" applyFont="1" applyFill="1" applyBorder="1"/>
    <xf numFmtId="0" fontId="26" fillId="4" borderId="0" xfId="0" applyFont="1" applyFill="1"/>
    <xf numFmtId="0" fontId="34" fillId="0" borderId="0" xfId="0" applyFont="1" applyBorder="1"/>
    <xf numFmtId="2" fontId="26" fillId="0" borderId="0" xfId="0" applyNumberFormat="1" applyFont="1" applyBorder="1"/>
    <xf numFmtId="43" fontId="26" fillId="0" borderId="0" xfId="0" applyNumberFormat="1" applyFont="1" applyBorder="1"/>
    <xf numFmtId="0" fontId="26" fillId="0" borderId="0" xfId="0" applyFont="1" applyBorder="1" applyAlignment="1">
      <alignment horizontal="right"/>
    </xf>
    <xf numFmtId="0" fontId="23" fillId="0" borderId="0" xfId="3" applyNumberFormat="1" applyFont="1" applyBorder="1" applyAlignment="1">
      <alignment horizontal="right"/>
    </xf>
    <xf numFmtId="2" fontId="41" fillId="0" borderId="0" xfId="3" applyNumberFormat="1" applyFont="1" applyFill="1" applyBorder="1" applyAlignment="1">
      <alignment horizontal="right"/>
    </xf>
    <xf numFmtId="43" fontId="26" fillId="0" borderId="0" xfId="3" applyNumberFormat="1" applyFont="1" applyBorder="1" applyAlignment="1">
      <alignment horizontal="right"/>
    </xf>
    <xf numFmtId="44" fontId="26" fillId="0" borderId="0" xfId="4" applyFont="1" applyBorder="1" applyAlignment="1">
      <alignment horizontal="right"/>
    </xf>
    <xf numFmtId="9" fontId="41" fillId="0" borderId="0" xfId="0" applyNumberFormat="1" applyFont="1" applyBorder="1"/>
    <xf numFmtId="40" fontId="26" fillId="0" borderId="0" xfId="3" applyNumberFormat="1" applyFont="1" applyFill="1" applyBorder="1" applyAlignment="1">
      <alignment horizontal="right"/>
    </xf>
    <xf numFmtId="0" fontId="10" fillId="0" borderId="0" xfId="0" applyFont="1" applyBorder="1"/>
    <xf numFmtId="1" fontId="41" fillId="0" borderId="0" xfId="3" applyNumberFormat="1" applyFont="1" applyFill="1" applyBorder="1" applyAlignment="1">
      <alignment horizontal="right"/>
    </xf>
    <xf numFmtId="43" fontId="39" fillId="0" borderId="0" xfId="3" applyNumberFormat="1" applyFont="1" applyBorder="1" applyAlignment="1">
      <alignment horizontal="right"/>
    </xf>
    <xf numFmtId="7" fontId="26" fillId="0" borderId="0" xfId="3" applyNumberFormat="1" applyFont="1" applyBorder="1" applyAlignment="1">
      <alignment horizontal="right"/>
    </xf>
    <xf numFmtId="7" fontId="26" fillId="0" borderId="0" xfId="0" applyNumberFormat="1" applyFont="1" applyBorder="1"/>
    <xf numFmtId="7" fontId="39" fillId="0" borderId="0" xfId="4" applyNumberFormat="1" applyFont="1" applyBorder="1"/>
    <xf numFmtId="0" fontId="26" fillId="0" borderId="10" xfId="0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9" fontId="41" fillId="0" borderId="0" xfId="20" applyFont="1" applyFill="1" applyBorder="1" applyAlignment="1">
      <alignment horizontal="right"/>
    </xf>
    <xf numFmtId="0" fontId="1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23" fillId="0" borderId="0" xfId="0" applyFont="1" applyBorder="1"/>
    <xf numFmtId="0" fontId="23" fillId="0" borderId="0" xfId="0" applyFont="1" applyBorder="1" applyAlignment="1" applyProtection="1">
      <alignment horizontal="left"/>
    </xf>
    <xf numFmtId="0" fontId="44" fillId="0" borderId="0" xfId="0" applyFont="1" applyBorder="1"/>
    <xf numFmtId="1" fontId="41" fillId="8" borderId="3" xfId="3" applyNumberFormat="1" applyFont="1" applyFill="1" applyBorder="1" applyAlignment="1">
      <alignment horizontal="right"/>
    </xf>
    <xf numFmtId="0" fontId="17" fillId="0" borderId="0" xfId="0" applyFont="1"/>
    <xf numFmtId="0" fontId="27" fillId="0" borderId="0" xfId="0" applyFont="1" applyBorder="1"/>
    <xf numFmtId="0" fontId="20" fillId="0" borderId="6" xfId="0" applyFont="1" applyBorder="1"/>
    <xf numFmtId="0" fontId="20" fillId="0" borderId="0" xfId="0" applyFont="1" applyBorder="1"/>
    <xf numFmtId="38" fontId="26" fillId="0" borderId="0" xfId="3" applyNumberFormat="1" applyFont="1" applyFill="1" applyBorder="1" applyAlignment="1" applyProtection="1">
      <alignment horizontal="center"/>
    </xf>
    <xf numFmtId="38" fontId="41" fillId="8" borderId="0" xfId="0" applyNumberFormat="1" applyFont="1" applyFill="1" applyBorder="1" applyAlignment="1">
      <alignment horizontal="center"/>
    </xf>
    <xf numFmtId="10" fontId="26" fillId="0" borderId="0" xfId="0" applyNumberFormat="1" applyFont="1" applyBorder="1" applyAlignment="1">
      <alignment horizontal="center"/>
    </xf>
    <xf numFmtId="0" fontId="42" fillId="0" borderId="10" xfId="0" applyFont="1" applyFill="1" applyBorder="1" applyAlignment="1" applyProtection="1">
      <alignment horizontal="left"/>
    </xf>
    <xf numFmtId="0" fontId="3" fillId="0" borderId="0" xfId="0" applyFont="1" applyAlignment="1">
      <alignment horizontal="right"/>
    </xf>
    <xf numFmtId="0" fontId="39" fillId="0" borderId="0" xfId="0" applyFont="1" applyFill="1" applyBorder="1" applyAlignment="1">
      <alignment horizontal="center"/>
    </xf>
    <xf numFmtId="9" fontId="23" fillId="0" borderId="0" xfId="0" applyNumberFormat="1" applyFont="1" applyBorder="1" applyAlignment="1" applyProtection="1">
      <alignment horizontal="center"/>
    </xf>
    <xf numFmtId="38" fontId="41" fillId="8" borderId="6" xfId="0" applyNumberFormat="1" applyFont="1" applyFill="1" applyBorder="1" applyAlignment="1">
      <alignment horizontal="center"/>
    </xf>
    <xf numFmtId="251" fontId="18" fillId="0" borderId="0" xfId="3" applyNumberFormat="1" applyFont="1" applyProtection="1"/>
    <xf numFmtId="9" fontId="26" fillId="0" borderId="0" xfId="0" applyNumberFormat="1" applyFont="1" applyBorder="1" applyAlignment="1" applyProtection="1">
      <alignment horizontal="center"/>
    </xf>
    <xf numFmtId="0" fontId="22" fillId="0" borderId="0" xfId="17" applyFont="1" applyFill="1" applyBorder="1"/>
    <xf numFmtId="9" fontId="2" fillId="0" borderId="3" xfId="0" applyNumberFormat="1" applyFont="1" applyFill="1" applyBorder="1" applyAlignment="1">
      <alignment horizontal="center"/>
    </xf>
    <xf numFmtId="0" fontId="23" fillId="0" borderId="0" xfId="0" applyFont="1" applyBorder="1" applyAlignment="1">
      <alignment horizontal="centerContinuous"/>
    </xf>
    <xf numFmtId="10" fontId="26" fillId="0" borderId="0" xfId="20" applyNumberFormat="1" applyFont="1" applyFill="1" applyBorder="1"/>
    <xf numFmtId="40" fontId="26" fillId="0" borderId="0" xfId="0" applyNumberFormat="1" applyFont="1" applyFill="1" applyBorder="1"/>
    <xf numFmtId="1" fontId="26" fillId="0" borderId="0" xfId="0" applyNumberFormat="1" applyFont="1" applyFill="1" applyBorder="1"/>
    <xf numFmtId="43" fontId="26" fillId="0" borderId="0" xfId="3" applyFont="1" applyFill="1" applyBorder="1"/>
    <xf numFmtId="38" fontId="26" fillId="0" borderId="0" xfId="0" applyNumberFormat="1" applyFont="1" applyFill="1" applyBorder="1"/>
    <xf numFmtId="43" fontId="26" fillId="0" borderId="0" xfId="0" applyNumberFormat="1" applyFont="1" applyFill="1" applyBorder="1"/>
    <xf numFmtId="43" fontId="0" fillId="0" borderId="0" xfId="0" applyNumberFormat="1"/>
    <xf numFmtId="38" fontId="26" fillId="0" borderId="0" xfId="0" applyNumberFormat="1" applyFont="1"/>
    <xf numFmtId="0" fontId="23" fillId="0" borderId="0" xfId="0" applyFont="1" applyBorder="1" applyAlignment="1">
      <alignment horizontal="center"/>
    </xf>
    <xf numFmtId="0" fontId="10" fillId="0" borderId="0" xfId="0" quotePrefix="1" applyFont="1" applyBorder="1"/>
    <xf numFmtId="0" fontId="3" fillId="10" borderId="0" xfId="0" applyFont="1" applyFill="1"/>
    <xf numFmtId="0" fontId="10" fillId="10" borderId="0" xfId="0" applyFont="1" applyFill="1"/>
    <xf numFmtId="0" fontId="26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Continuous"/>
    </xf>
    <xf numFmtId="0" fontId="10" fillId="0" borderId="20" xfId="0" applyFont="1" applyBorder="1"/>
    <xf numFmtId="0" fontId="39" fillId="0" borderId="10" xfId="0" applyFont="1" applyBorder="1" applyAlignment="1">
      <alignment horizontal="center"/>
    </xf>
    <xf numFmtId="166" fontId="26" fillId="0" borderId="0" xfId="3" applyNumberFormat="1" applyFont="1" applyBorder="1"/>
    <xf numFmtId="164" fontId="26" fillId="0" borderId="0" xfId="0" applyNumberFormat="1" applyFont="1" applyBorder="1"/>
    <xf numFmtId="9" fontId="26" fillId="0" borderId="0" xfId="0" applyNumberFormat="1" applyFont="1" applyBorder="1"/>
    <xf numFmtId="0" fontId="26" fillId="0" borderId="9" xfId="0" applyFont="1" applyBorder="1" applyAlignment="1">
      <alignment horizontal="right"/>
    </xf>
    <xf numFmtId="0" fontId="26" fillId="0" borderId="21" xfId="0" applyFont="1" applyBorder="1" applyAlignment="1">
      <alignment horizontal="center"/>
    </xf>
    <xf numFmtId="9" fontId="26" fillId="0" borderId="6" xfId="20" applyFont="1" applyBorder="1"/>
    <xf numFmtId="164" fontId="26" fillId="0" borderId="6" xfId="20" applyNumberFormat="1" applyFont="1" applyBorder="1"/>
    <xf numFmtId="166" fontId="26" fillId="0" borderId="6" xfId="3" applyNumberFormat="1" applyFont="1" applyBorder="1"/>
    <xf numFmtId="166" fontId="26" fillId="0" borderId="19" xfId="3" applyNumberFormat="1" applyFont="1" applyBorder="1" applyAlignment="1">
      <alignment horizontal="right"/>
    </xf>
    <xf numFmtId="3" fontId="3" fillId="0" borderId="0" xfId="0" applyNumberFormat="1" applyFont="1" applyFill="1"/>
    <xf numFmtId="14" fontId="3" fillId="0" borderId="0" xfId="0" applyNumberFormat="1" applyFont="1"/>
    <xf numFmtId="3" fontId="3" fillId="0" borderId="0" xfId="0" applyNumberFormat="1" applyFont="1" applyBorder="1"/>
    <xf numFmtId="0" fontId="47" fillId="0" borderId="0" xfId="0" applyFont="1"/>
    <xf numFmtId="38" fontId="26" fillId="0" borderId="9" xfId="0" applyNumberFormat="1" applyFont="1" applyBorder="1" applyAlignment="1">
      <alignment horizontal="center"/>
    </xf>
    <xf numFmtId="164" fontId="26" fillId="0" borderId="0" xfId="0" applyNumberFormat="1" applyFont="1" applyBorder="1" applyAlignment="1">
      <alignment horizontal="center"/>
    </xf>
    <xf numFmtId="164" fontId="26" fillId="0" borderId="0" xfId="20" applyNumberFormat="1" applyFont="1" applyBorder="1" applyAlignment="1">
      <alignment horizontal="center"/>
    </xf>
    <xf numFmtId="313" fontId="41" fillId="8" borderId="0" xfId="0" applyNumberFormat="1" applyFont="1" applyFill="1" applyBorder="1" applyAlignment="1" applyProtection="1">
      <alignment horizontal="right"/>
    </xf>
    <xf numFmtId="0" fontId="39" fillId="0" borderId="0" xfId="0" applyFont="1" applyFill="1" applyBorder="1" applyAlignment="1">
      <alignment horizontal="centerContinuous"/>
    </xf>
    <xf numFmtId="0" fontId="8" fillId="4" borderId="0" xfId="17" applyFont="1" applyFill="1" applyBorder="1"/>
    <xf numFmtId="0" fontId="39" fillId="0" borderId="9" xfId="0" applyFont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26" fillId="0" borderId="25" xfId="0" applyFont="1" applyFill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6" fillId="0" borderId="19" xfId="0" applyFont="1" applyBorder="1" applyAlignment="1">
      <alignment horizontal="center"/>
    </xf>
    <xf numFmtId="0" fontId="26" fillId="0" borderId="9" xfId="0" applyFont="1" applyBorder="1" applyAlignment="1">
      <alignment horizontal="center"/>
    </xf>
    <xf numFmtId="0" fontId="22" fillId="0" borderId="20" xfId="0" applyFont="1" applyFill="1" applyBorder="1" applyAlignment="1">
      <alignment horizontal="left"/>
    </xf>
    <xf numFmtId="0" fontId="26" fillId="0" borderId="7" xfId="0" applyFont="1" applyBorder="1" applyAlignment="1">
      <alignment horizontal="center"/>
    </xf>
    <xf numFmtId="0" fontId="10" fillId="0" borderId="26" xfId="0" applyFont="1" applyFill="1" applyBorder="1"/>
    <xf numFmtId="0" fontId="3" fillId="0" borderId="22" xfId="0" applyFont="1" applyBorder="1"/>
    <xf numFmtId="10" fontId="10" fillId="0" borderId="22" xfId="0" applyNumberFormat="1" applyFont="1" applyFill="1" applyBorder="1"/>
    <xf numFmtId="179" fontId="10" fillId="0" borderId="22" xfId="3" applyNumberFormat="1" applyFont="1" applyFill="1" applyBorder="1"/>
    <xf numFmtId="179" fontId="10" fillId="0" borderId="23" xfId="3" applyNumberFormat="1" applyFont="1" applyFill="1" applyBorder="1"/>
    <xf numFmtId="0" fontId="10" fillId="0" borderId="20" xfId="0" applyFont="1" applyFill="1" applyBorder="1"/>
    <xf numFmtId="10" fontId="10" fillId="0" borderId="7" xfId="0" applyNumberFormat="1" applyFont="1" applyFill="1" applyBorder="1"/>
    <xf numFmtId="179" fontId="10" fillId="0" borderId="7" xfId="3" applyNumberFormat="1" applyFont="1" applyFill="1" applyBorder="1"/>
    <xf numFmtId="179" fontId="10" fillId="0" borderId="8" xfId="3" applyNumberFormat="1" applyFont="1" applyFill="1" applyBorder="1"/>
    <xf numFmtId="0" fontId="3" fillId="0" borderId="21" xfId="0" applyFont="1" applyBorder="1"/>
    <xf numFmtId="37" fontId="41" fillId="8" borderId="0" xfId="0" applyNumberFormat="1" applyFont="1" applyFill="1" applyBorder="1" applyAlignment="1">
      <alignment horizontal="center"/>
    </xf>
    <xf numFmtId="2" fontId="41" fillId="8" borderId="0" xfId="0" applyNumberFormat="1" applyFont="1" applyFill="1" applyBorder="1" applyAlignment="1">
      <alignment horizontal="center"/>
    </xf>
    <xf numFmtId="321" fontId="41" fillId="8" borderId="0" xfId="0" applyNumberFormat="1" applyFont="1" applyFill="1" applyBorder="1" applyAlignment="1">
      <alignment horizontal="center"/>
    </xf>
    <xf numFmtId="37" fontId="2" fillId="0" borderId="27" xfId="0" applyNumberFormat="1" applyFont="1" applyFill="1" applyBorder="1" applyAlignment="1">
      <alignment horizontal="center"/>
    </xf>
    <xf numFmtId="0" fontId="2" fillId="0" borderId="17" xfId="0" applyFont="1" applyFill="1" applyBorder="1" applyAlignment="1">
      <alignment horizontal="left"/>
    </xf>
    <xf numFmtId="0" fontId="2" fillId="0" borderId="18" xfId="0" applyFont="1" applyFill="1" applyBorder="1" applyAlignment="1">
      <alignment horizontal="left"/>
    </xf>
    <xf numFmtId="173" fontId="41" fillId="8" borderId="0" xfId="0" applyNumberFormat="1" applyFont="1" applyFill="1" applyBorder="1" applyAlignment="1">
      <alignment horizontal="center"/>
    </xf>
    <xf numFmtId="173" fontId="48" fillId="8" borderId="0" xfId="0" applyNumberFormat="1" applyFont="1" applyFill="1" applyBorder="1" applyAlignment="1">
      <alignment horizontal="center"/>
    </xf>
    <xf numFmtId="173" fontId="3" fillId="0" borderId="28" xfId="0" applyNumberFormat="1" applyFont="1" applyFill="1" applyBorder="1" applyAlignment="1">
      <alignment horizontal="center"/>
    </xf>
    <xf numFmtId="173" fontId="3" fillId="0" borderId="0" xfId="0" applyNumberFormat="1" applyFont="1" applyFill="1"/>
    <xf numFmtId="0" fontId="3" fillId="0" borderId="16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3" fontId="10" fillId="0" borderId="0" xfId="3" applyFont="1" applyFill="1" applyBorder="1" applyAlignment="1">
      <alignment horizontal="center"/>
    </xf>
    <xf numFmtId="43" fontId="10" fillId="0" borderId="6" xfId="3" applyFont="1" applyFill="1" applyBorder="1" applyAlignment="1">
      <alignment horizontal="center"/>
    </xf>
    <xf numFmtId="179" fontId="19" fillId="0" borderId="0" xfId="0" applyNumberFormat="1" applyFont="1" applyBorder="1" applyAlignment="1">
      <alignment horizontal="right"/>
    </xf>
    <xf numFmtId="0" fontId="19" fillId="0" borderId="17" xfId="0" applyFont="1" applyBorder="1"/>
    <xf numFmtId="179" fontId="19" fillId="0" borderId="18" xfId="0" applyNumberFormat="1" applyFont="1" applyBorder="1" applyAlignment="1">
      <alignment horizontal="right"/>
    </xf>
    <xf numFmtId="0" fontId="26" fillId="0" borderId="20" xfId="0" applyFont="1" applyFill="1" applyBorder="1" applyAlignment="1">
      <alignment horizontal="center"/>
    </xf>
    <xf numFmtId="0" fontId="26" fillId="0" borderId="0" xfId="0" applyFont="1" applyFill="1" applyBorder="1"/>
    <xf numFmtId="9" fontId="26" fillId="0" borderId="10" xfId="20" applyFont="1" applyBorder="1"/>
    <xf numFmtId="9" fontId="26" fillId="0" borderId="21" xfId="20" applyFont="1" applyBorder="1"/>
    <xf numFmtId="0" fontId="47" fillId="0" borderId="0" xfId="0" applyFont="1" applyFill="1"/>
    <xf numFmtId="0" fontId="36" fillId="0" borderId="0" xfId="0" applyFont="1" applyFill="1"/>
    <xf numFmtId="0" fontId="8" fillId="0" borderId="0" xfId="0" applyFont="1" applyAlignment="1">
      <alignment horizontal="left"/>
    </xf>
    <xf numFmtId="43" fontId="41" fillId="8" borderId="0" xfId="3" applyNumberFormat="1" applyFont="1" applyFill="1" applyBorder="1" applyAlignment="1">
      <alignment horizontal="right"/>
    </xf>
    <xf numFmtId="16" fontId="12" fillId="0" borderId="0" xfId="0" applyNumberFormat="1" applyFont="1" applyAlignment="1">
      <alignment horizontal="left"/>
    </xf>
    <xf numFmtId="10" fontId="3" fillId="8" borderId="0" xfId="0" applyNumberFormat="1" applyFont="1" applyFill="1" applyAlignment="1">
      <alignment horizontal="right"/>
    </xf>
    <xf numFmtId="10" fontId="3" fillId="8" borderId="0" xfId="20" applyNumberFormat="1" applyFont="1" applyFill="1" applyAlignment="1">
      <alignment horizontal="right"/>
    </xf>
    <xf numFmtId="0" fontId="0" fillId="0" borderId="0" xfId="0" applyBorder="1"/>
    <xf numFmtId="10" fontId="1" fillId="0" borderId="0" xfId="20" applyNumberFormat="1" applyBorder="1"/>
    <xf numFmtId="10" fontId="0" fillId="0" borderId="0" xfId="0" applyNumberFormat="1" applyBorder="1"/>
    <xf numFmtId="0" fontId="0" fillId="0" borderId="0" xfId="0" applyBorder="1" applyAlignment="1">
      <alignment horizontal="right"/>
    </xf>
    <xf numFmtId="168" fontId="17" fillId="0" borderId="0" xfId="3" applyNumberFormat="1" applyFont="1"/>
    <xf numFmtId="43" fontId="0" fillId="0" borderId="0" xfId="3" applyNumberFormat="1" applyFont="1"/>
    <xf numFmtId="0" fontId="49" fillId="8" borderId="3" xfId="0" applyFont="1" applyFill="1" applyBorder="1" applyAlignment="1">
      <alignment horizontal="center"/>
    </xf>
    <xf numFmtId="194" fontId="0" fillId="0" borderId="0" xfId="3" applyNumberFormat="1" applyFont="1"/>
    <xf numFmtId="38" fontId="29" fillId="8" borderId="0" xfId="0" applyNumberFormat="1" applyFont="1" applyFill="1" applyBorder="1"/>
    <xf numFmtId="3" fontId="29" fillId="8" borderId="0" xfId="0" applyNumberFormat="1" applyFont="1" applyFill="1"/>
    <xf numFmtId="164" fontId="39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50" fillId="0" borderId="10" xfId="0" applyFont="1" applyBorder="1" applyAlignment="1" applyProtection="1">
      <alignment horizontal="left"/>
    </xf>
    <xf numFmtId="0" fontId="46" fillId="0" borderId="10" xfId="0" applyFont="1" applyFill="1" applyBorder="1" applyAlignment="1" applyProtection="1">
      <alignment horizontal="left"/>
    </xf>
    <xf numFmtId="0" fontId="23" fillId="4" borderId="10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/>
    </xf>
    <xf numFmtId="37" fontId="26" fillId="0" borderId="9" xfId="0" applyNumberFormat="1" applyFont="1" applyFill="1" applyBorder="1" applyAlignment="1">
      <alignment horizontal="center"/>
    </xf>
    <xf numFmtId="2" fontId="42" fillId="0" borderId="9" xfId="0" applyNumberFormat="1" applyFont="1" applyBorder="1" applyAlignment="1">
      <alignment horizontal="center"/>
    </xf>
    <xf numFmtId="39" fontId="26" fillId="0" borderId="9" xfId="0" applyNumberFormat="1" applyFont="1" applyFill="1" applyBorder="1" applyAlignment="1">
      <alignment horizontal="center"/>
    </xf>
    <xf numFmtId="173" fontId="26" fillId="0" borderId="9" xfId="20" applyNumberFormat="1" applyFont="1" applyFill="1" applyBorder="1" applyAlignment="1">
      <alignment horizontal="center"/>
    </xf>
    <xf numFmtId="173" fontId="39" fillId="0" borderId="9" xfId="20" applyNumberFormat="1" applyFont="1" applyFill="1" applyBorder="1" applyAlignment="1">
      <alignment horizontal="center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6" fillId="0" borderId="9" xfId="20" applyFont="1" applyBorder="1" applyAlignment="1">
      <alignment horizontal="center"/>
    </xf>
    <xf numFmtId="9" fontId="23" fillId="0" borderId="9" xfId="20" applyFont="1" applyFill="1" applyBorder="1" applyAlignment="1">
      <alignment horizontal="center"/>
    </xf>
    <xf numFmtId="9" fontId="26" fillId="0" borderId="9" xfId="20" applyFont="1" applyFill="1" applyBorder="1" applyAlignment="1">
      <alignment horizontal="center"/>
    </xf>
    <xf numFmtId="9" fontId="41" fillId="8" borderId="9" xfId="20" applyFont="1" applyFill="1" applyBorder="1" applyAlignment="1">
      <alignment horizontal="center"/>
    </xf>
    <xf numFmtId="9" fontId="26" fillId="0" borderId="19" xfId="20" applyFont="1" applyBorder="1" applyAlignment="1">
      <alignment horizontal="center"/>
    </xf>
    <xf numFmtId="38" fontId="26" fillId="0" borderId="19" xfId="0" applyNumberFormat="1" applyFont="1" applyBorder="1" applyAlignment="1">
      <alignment horizontal="center"/>
    </xf>
    <xf numFmtId="0" fontId="17" fillId="0" borderId="0" xfId="0" applyFont="1" applyFill="1"/>
    <xf numFmtId="164" fontId="46" fillId="0" borderId="3" xfId="20" applyNumberFormat="1" applyFont="1" applyFill="1" applyBorder="1" applyAlignment="1">
      <alignment horizontal="right"/>
    </xf>
    <xf numFmtId="37" fontId="3" fillId="0" borderId="16" xfId="18" applyFont="1" applyBorder="1" applyAlignment="1">
      <alignment horizontal="left"/>
    </xf>
    <xf numFmtId="2" fontId="26" fillId="11" borderId="0" xfId="0" applyNumberFormat="1" applyFont="1" applyFill="1"/>
    <xf numFmtId="187" fontId="51" fillId="0" borderId="0" xfId="0" applyNumberFormat="1" applyFont="1"/>
    <xf numFmtId="0" fontId="26" fillId="0" borderId="29" xfId="0" applyFont="1" applyBorder="1"/>
    <xf numFmtId="0" fontId="26" fillId="0" borderId="4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10" fontId="10" fillId="0" borderId="0" xfId="0" applyNumberFormat="1" applyFont="1" applyFill="1" applyBorder="1"/>
    <xf numFmtId="179" fontId="10" fillId="0" borderId="0" xfId="3" applyNumberFormat="1" applyFont="1" applyFill="1" applyBorder="1"/>
    <xf numFmtId="0" fontId="10" fillId="0" borderId="21" xfId="0" applyFont="1" applyFill="1" applyBorder="1"/>
    <xf numFmtId="10" fontId="10" fillId="0" borderId="6" xfId="0" applyNumberFormat="1" applyFont="1" applyFill="1" applyBorder="1"/>
    <xf numFmtId="179" fontId="10" fillId="0" borderId="6" xfId="3" applyNumberFormat="1" applyFont="1" applyFill="1" applyBorder="1"/>
    <xf numFmtId="179" fontId="10" fillId="0" borderId="19" xfId="3" applyNumberFormat="1" applyFont="1" applyFill="1" applyBorder="1"/>
    <xf numFmtId="179" fontId="26" fillId="0" borderId="7" xfId="3" applyNumberFormat="1" applyFont="1" applyFill="1" applyBorder="1"/>
    <xf numFmtId="179" fontId="26" fillId="0" borderId="8" xfId="3" applyNumberFormat="1" applyFont="1" applyFill="1" applyBorder="1"/>
    <xf numFmtId="0" fontId="52" fillId="4" borderId="0" xfId="17" applyFont="1" applyFill="1" applyBorder="1"/>
    <xf numFmtId="0" fontId="0" fillId="0" borderId="9" xfId="0" applyBorder="1"/>
    <xf numFmtId="0" fontId="10" fillId="0" borderId="0" xfId="0" applyFont="1" applyFill="1" applyBorder="1"/>
    <xf numFmtId="0" fontId="53" fillId="0" borderId="20" xfId="0" applyFont="1" applyBorder="1"/>
    <xf numFmtId="10" fontId="26" fillId="0" borderId="7" xfId="20" applyNumberFormat="1" applyFont="1" applyBorder="1"/>
    <xf numFmtId="10" fontId="26" fillId="0" borderId="0" xfId="20" applyNumberFormat="1" applyFont="1" applyBorder="1"/>
    <xf numFmtId="10" fontId="26" fillId="0" borderId="6" xfId="20" applyNumberFormat="1" applyFont="1" applyBorder="1"/>
    <xf numFmtId="0" fontId="26" fillId="0" borderId="19" xfId="0" applyFont="1" applyBorder="1"/>
    <xf numFmtId="166" fontId="0" fillId="0" borderId="0" xfId="3" applyNumberFormat="1" applyFont="1"/>
    <xf numFmtId="6" fontId="39" fillId="0" borderId="0" xfId="0" quotePrefix="1" applyNumberFormat="1" applyFont="1" applyBorder="1" applyAlignment="1">
      <alignment horizontal="center"/>
    </xf>
    <xf numFmtId="38" fontId="41" fillId="8" borderId="0" xfId="3" applyNumberFormat="1" applyFont="1" applyFill="1" applyBorder="1" applyAlignment="1">
      <alignment horizontal="center"/>
    </xf>
    <xf numFmtId="38" fontId="26" fillId="0" borderId="0" xfId="3" applyNumberFormat="1" applyFont="1" applyBorder="1" applyAlignment="1">
      <alignment horizontal="center"/>
    </xf>
    <xf numFmtId="38" fontId="23" fillId="0" borderId="0" xfId="3" applyNumberFormat="1" applyFont="1" applyBorder="1" applyAlignment="1" applyProtection="1">
      <alignment horizontal="center"/>
    </xf>
    <xf numFmtId="0" fontId="39" fillId="0" borderId="0" xfId="0" quotePrefix="1" applyFont="1" applyBorder="1" applyAlignment="1">
      <alignment horizontal="center"/>
    </xf>
    <xf numFmtId="38" fontId="48" fillId="8" borderId="0" xfId="3" applyNumberFormat="1" applyFont="1" applyFill="1" applyBorder="1" applyAlignment="1">
      <alignment horizontal="center"/>
    </xf>
    <xf numFmtId="38" fontId="26" fillId="0" borderId="0" xfId="3" applyNumberFormat="1" applyFont="1" applyFill="1" applyBorder="1" applyAlignment="1">
      <alignment horizontal="center"/>
    </xf>
    <xf numFmtId="38" fontId="10" fillId="0" borderId="0" xfId="3" applyNumberFormat="1" applyFont="1" applyFill="1" applyBorder="1" applyAlignment="1">
      <alignment horizontal="center"/>
    </xf>
    <xf numFmtId="38" fontId="50" fillId="0" borderId="0" xfId="0" applyNumberFormat="1" applyFont="1"/>
    <xf numFmtId="38" fontId="41" fillId="8" borderId="0" xfId="0" applyNumberFormat="1" applyFont="1" applyFill="1" applyBorder="1" applyAlignment="1">
      <alignment horizontal="right"/>
    </xf>
    <xf numFmtId="38" fontId="41" fillId="8" borderId="0" xfId="0" applyNumberFormat="1" applyFont="1" applyFill="1" applyBorder="1"/>
    <xf numFmtId="40" fontId="41" fillId="8" borderId="0" xfId="0" applyNumberFormat="1" applyFont="1" applyFill="1" applyBorder="1"/>
    <xf numFmtId="9" fontId="41" fillId="8" borderId="0" xfId="20" applyFont="1" applyFill="1" applyBorder="1"/>
    <xf numFmtId="15" fontId="41" fillId="8" borderId="0" xfId="0" applyNumberFormat="1" applyFont="1" applyFill="1" applyBorder="1"/>
    <xf numFmtId="166" fontId="41" fillId="8" borderId="0" xfId="3" applyNumberFormat="1" applyFont="1" applyFill="1" applyBorder="1"/>
    <xf numFmtId="204" fontId="41" fillId="8" borderId="0" xfId="0" applyNumberFormat="1" applyFont="1" applyFill="1" applyBorder="1"/>
    <xf numFmtId="204" fontId="26" fillId="0" borderId="0" xfId="0" applyNumberFormat="1" applyFont="1" applyBorder="1"/>
    <xf numFmtId="40" fontId="45" fillId="0" borderId="0" xfId="0" applyNumberFormat="1" applyFont="1" applyFill="1" applyBorder="1"/>
    <xf numFmtId="10" fontId="41" fillId="8" borderId="0" xfId="0" applyNumberFormat="1" applyFont="1" applyFill="1" applyBorder="1"/>
    <xf numFmtId="204" fontId="45" fillId="0" borderId="0" xfId="0" applyNumberFormat="1" applyFont="1" applyBorder="1"/>
    <xf numFmtId="10" fontId="41" fillId="8" borderId="0" xfId="20" applyNumberFormat="1" applyFont="1" applyFill="1" applyBorder="1"/>
    <xf numFmtId="0" fontId="23" fillId="0" borderId="7" xfId="0" applyFont="1" applyBorder="1" applyAlignment="1">
      <alignment horizontal="centerContinuous"/>
    </xf>
    <xf numFmtId="10" fontId="41" fillId="8" borderId="6" xfId="0" applyNumberFormat="1" applyFont="1" applyFill="1" applyBorder="1"/>
    <xf numFmtId="38" fontId="50" fillId="0" borderId="9" xfId="0" applyNumberFormat="1" applyFont="1" applyBorder="1"/>
    <xf numFmtId="43" fontId="54" fillId="8" borderId="9" xfId="3" applyFont="1" applyFill="1" applyBorder="1"/>
    <xf numFmtId="38" fontId="10" fillId="12" borderId="31" xfId="0" applyNumberFormat="1" applyFont="1" applyFill="1" applyBorder="1" applyAlignment="1">
      <alignment horizontal="center"/>
    </xf>
    <xf numFmtId="38" fontId="44" fillId="0" borderId="9" xfId="0" applyNumberFormat="1" applyFont="1" applyBorder="1" applyAlignment="1">
      <alignment horizontal="center"/>
    </xf>
    <xf numFmtId="38" fontId="50" fillId="8" borderId="9" xfId="0" applyNumberFormat="1" applyFont="1" applyFill="1" applyBorder="1"/>
    <xf numFmtId="38" fontId="50" fillId="8" borderId="19" xfId="0" applyNumberFormat="1" applyFont="1" applyFill="1" applyBorder="1"/>
    <xf numFmtId="38" fontId="26" fillId="0" borderId="7" xfId="0" applyNumberFormat="1" applyFont="1" applyBorder="1"/>
    <xf numFmtId="179" fontId="19" fillId="0" borderId="27" xfId="0" applyNumberFormat="1" applyFont="1" applyBorder="1" applyAlignment="1">
      <alignment horizontal="right"/>
    </xf>
    <xf numFmtId="0" fontId="42" fillId="0" borderId="21" xfId="0" applyFont="1" applyFill="1" applyBorder="1" applyAlignment="1" applyProtection="1">
      <alignment horizontal="left"/>
    </xf>
    <xf numFmtId="6" fontId="44" fillId="0" borderId="0" xfId="0" quotePrefix="1" applyNumberFormat="1" applyFont="1" applyBorder="1" applyAlignment="1">
      <alignment horizontal="center"/>
    </xf>
    <xf numFmtId="38" fontId="50" fillId="0" borderId="0" xfId="3" applyNumberFormat="1" applyFont="1" applyFill="1" applyBorder="1" applyAlignment="1">
      <alignment horizontal="center"/>
    </xf>
    <xf numFmtId="38" fontId="44" fillId="0" borderId="0" xfId="3" applyNumberFormat="1" applyFont="1" applyFill="1" applyBorder="1" applyAlignment="1">
      <alignment horizontal="center"/>
    </xf>
    <xf numFmtId="322" fontId="26" fillId="0" borderId="9" xfId="0" applyNumberFormat="1" applyFont="1" applyFill="1" applyBorder="1" applyAlignment="1">
      <alignment horizontal="center"/>
    </xf>
    <xf numFmtId="0" fontId="2" fillId="0" borderId="9" xfId="0" applyFont="1" applyBorder="1"/>
    <xf numFmtId="166" fontId="3" fillId="8" borderId="6" xfId="3" applyNumberFormat="1" applyFont="1" applyFill="1" applyBorder="1"/>
    <xf numFmtId="0" fontId="52" fillId="0" borderId="0" xfId="0" applyFont="1"/>
    <xf numFmtId="0" fontId="26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2" fillId="0" borderId="6" xfId="0" applyFont="1" applyFill="1" applyBorder="1" applyAlignment="1">
      <alignment horizontal="right"/>
    </xf>
    <xf numFmtId="38" fontId="3" fillId="8" borderId="0" xfId="0" applyNumberFormat="1" applyFont="1" applyFill="1" applyAlignment="1">
      <alignment horizontal="right"/>
    </xf>
    <xf numFmtId="38" fontId="3" fillId="0" borderId="0" xfId="0" applyNumberFormat="1" applyFont="1" applyFill="1" applyAlignment="1">
      <alignment horizontal="right"/>
    </xf>
    <xf numFmtId="38" fontId="3" fillId="0" borderId="4" xfId="3" applyNumberFormat="1" applyFont="1" applyFill="1" applyBorder="1" applyAlignment="1">
      <alignment horizontal="right"/>
    </xf>
    <xf numFmtId="38" fontId="16" fillId="8" borderId="0" xfId="0" applyNumberFormat="1" applyFont="1" applyFill="1" applyAlignment="1">
      <alignment horizontal="right"/>
    </xf>
    <xf numFmtId="38" fontId="16" fillId="8" borderId="0" xfId="0" applyNumberFormat="1" applyFont="1" applyFill="1" applyBorder="1" applyAlignment="1">
      <alignment horizontal="right"/>
    </xf>
    <xf numFmtId="166" fontId="16" fillId="8" borderId="0" xfId="3" applyNumberFormat="1" applyFont="1" applyFill="1" applyAlignment="1">
      <alignment horizontal="right"/>
    </xf>
    <xf numFmtId="10" fontId="49" fillId="12" borderId="0" xfId="20" applyNumberFormat="1" applyFont="1" applyFill="1" applyAlignment="1">
      <alignment horizontal="center"/>
    </xf>
    <xf numFmtId="187" fontId="3" fillId="0" borderId="0" xfId="0" applyNumberFormat="1" applyFont="1" applyAlignment="1">
      <alignment horizontal="right"/>
    </xf>
    <xf numFmtId="14" fontId="27" fillId="0" borderId="0" xfId="0" applyNumberFormat="1" applyFont="1" applyAlignment="1">
      <alignment horizontal="right"/>
    </xf>
    <xf numFmtId="0" fontId="2" fillId="0" borderId="0" xfId="0" applyFont="1" applyFill="1" applyBorder="1" applyAlignment="1">
      <alignment horizontal="right"/>
    </xf>
    <xf numFmtId="14" fontId="2" fillId="0" borderId="0" xfId="0" applyNumberFormat="1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right"/>
    </xf>
    <xf numFmtId="166" fontId="3" fillId="0" borderId="0" xfId="3" applyNumberFormat="1" applyFont="1" applyAlignment="1">
      <alignment horizontal="right"/>
    </xf>
    <xf numFmtId="38" fontId="3" fillId="0" borderId="0" xfId="3" applyNumberFormat="1" applyFont="1" applyAlignment="1">
      <alignment horizontal="right"/>
    </xf>
    <xf numFmtId="166" fontId="3" fillId="0" borderId="0" xfId="3" applyNumberFormat="1" applyFont="1" applyFill="1" applyAlignment="1">
      <alignment horizontal="right"/>
    </xf>
    <xf numFmtId="38" fontId="3" fillId="0" borderId="0" xfId="3" applyNumberFormat="1" applyFont="1" applyBorder="1" applyAlignment="1">
      <alignment horizontal="right"/>
    </xf>
    <xf numFmtId="166" fontId="2" fillId="0" borderId="0" xfId="3" applyNumberFormat="1" applyFont="1" applyAlignment="1">
      <alignment horizontal="right"/>
    </xf>
    <xf numFmtId="38" fontId="2" fillId="0" borderId="0" xfId="0" applyNumberFormat="1" applyFont="1" applyAlignment="1">
      <alignment horizontal="right"/>
    </xf>
    <xf numFmtId="38" fontId="3" fillId="0" borderId="0" xfId="0" applyNumberFormat="1" applyFont="1" applyAlignment="1">
      <alignment horizontal="right"/>
    </xf>
    <xf numFmtId="38" fontId="3" fillId="0" borderId="4" xfId="3" applyNumberFormat="1" applyFont="1" applyBorder="1" applyAlignment="1">
      <alignment horizontal="right"/>
    </xf>
    <xf numFmtId="166" fontId="17" fillId="0" borderId="0" xfId="3" applyNumberFormat="1" applyFont="1" applyAlignment="1">
      <alignment horizontal="right"/>
    </xf>
    <xf numFmtId="166" fontId="37" fillId="0" borderId="0" xfId="3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38" fontId="3" fillId="0" borderId="0" xfId="0" applyNumberFormat="1" applyFont="1" applyBorder="1" applyAlignment="1">
      <alignment horizontal="right"/>
    </xf>
    <xf numFmtId="38" fontId="3" fillId="0" borderId="4" xfId="0" applyNumberFormat="1" applyFont="1" applyBorder="1" applyAlignment="1">
      <alignment horizontal="right"/>
    </xf>
    <xf numFmtId="166" fontId="3" fillId="0" borderId="0" xfId="3" applyNumberFormat="1" applyFont="1" applyBorder="1" applyAlignment="1">
      <alignment horizontal="right"/>
    </xf>
    <xf numFmtId="166" fontId="3" fillId="0" borderId="0" xfId="0" applyNumberFormat="1" applyFont="1" applyAlignment="1">
      <alignment horizontal="right"/>
    </xf>
    <xf numFmtId="10" fontId="27" fillId="0" borderId="0" xfId="20" applyNumberFormat="1" applyFont="1" applyAlignment="1">
      <alignment horizontal="right"/>
    </xf>
    <xf numFmtId="10" fontId="2" fillId="0" borderId="3" xfId="20" applyNumberFormat="1" applyFont="1" applyBorder="1" applyAlignment="1">
      <alignment horizontal="right"/>
    </xf>
    <xf numFmtId="166" fontId="3" fillId="8" borderId="0" xfId="0" applyNumberFormat="1" applyFont="1" applyFill="1" applyAlignment="1">
      <alignment horizontal="right"/>
    </xf>
    <xf numFmtId="166" fontId="17" fillId="8" borderId="0" xfId="3" applyNumberFormat="1" applyFont="1" applyFill="1" applyAlignment="1">
      <alignment horizontal="right"/>
    </xf>
    <xf numFmtId="14" fontId="3" fillId="0" borderId="0" xfId="0" applyNumberFormat="1" applyFont="1" applyFill="1" applyAlignment="1">
      <alignment horizontal="right"/>
    </xf>
    <xf numFmtId="323" fontId="41" fillId="8" borderId="6" xfId="0" applyNumberFormat="1" applyFont="1" applyFill="1" applyBorder="1"/>
    <xf numFmtId="38" fontId="39" fillId="0" borderId="0" xfId="0" applyNumberFormat="1" applyFont="1" applyBorder="1" applyAlignment="1">
      <alignment horizontal="center"/>
    </xf>
    <xf numFmtId="10" fontId="41" fillId="8" borderId="9" xfId="0" applyNumberFormat="1" applyFont="1" applyFill="1" applyBorder="1"/>
    <xf numFmtId="10" fontId="41" fillId="8" borderId="9" xfId="20" applyNumberFormat="1" applyFont="1" applyFill="1" applyBorder="1"/>
    <xf numFmtId="9" fontId="41" fillId="8" borderId="9" xfId="20" applyFont="1" applyFill="1" applyBorder="1"/>
    <xf numFmtId="0" fontId="0" fillId="0" borderId="9" xfId="0" applyFill="1" applyBorder="1"/>
    <xf numFmtId="38" fontId="41" fillId="0" borderId="0" xfId="0" applyNumberFormat="1" applyFont="1" applyFill="1" applyBorder="1"/>
    <xf numFmtId="40" fontId="41" fillId="0" borderId="0" xfId="0" applyNumberFormat="1" applyFont="1" applyFill="1" applyBorder="1"/>
    <xf numFmtId="204" fontId="45" fillId="0" borderId="0" xfId="0" applyNumberFormat="1" applyFont="1" applyFill="1" applyBorder="1"/>
    <xf numFmtId="166" fontId="26" fillId="0" borderId="0" xfId="3" applyNumberFormat="1" applyFont="1" applyFill="1" applyBorder="1"/>
    <xf numFmtId="0" fontId="3" fillId="0" borderId="6" xfId="0" applyFont="1" applyFill="1" applyBorder="1"/>
    <xf numFmtId="0" fontId="0" fillId="0" borderId="19" xfId="0" applyFill="1" applyBorder="1"/>
    <xf numFmtId="43" fontId="41" fillId="8" borderId="9" xfId="3" applyFont="1" applyFill="1" applyBorder="1"/>
    <xf numFmtId="43" fontId="41" fillId="8" borderId="19" xfId="3" applyFont="1" applyFill="1" applyBorder="1"/>
    <xf numFmtId="0" fontId="3" fillId="0" borderId="0" xfId="0" applyFont="1" applyBorder="1" applyAlignment="1">
      <alignment horizontal="right"/>
    </xf>
    <xf numFmtId="169" fontId="20" fillId="0" borderId="0" xfId="0" applyNumberFormat="1" applyFont="1" applyAlignment="1" applyProtection="1">
      <alignment horizontal="right"/>
    </xf>
    <xf numFmtId="0" fontId="20" fillId="0" borderId="0" xfId="0" applyFont="1" applyAlignment="1">
      <alignment horizontal="right"/>
    </xf>
    <xf numFmtId="10" fontId="3" fillId="0" borderId="0" xfId="20" applyNumberFormat="1" applyFont="1" applyAlignment="1" applyProtection="1">
      <alignment horizontal="right"/>
    </xf>
    <xf numFmtId="170" fontId="3" fillId="0" borderId="0" xfId="0" applyNumberFormat="1" applyFont="1" applyAlignment="1" applyProtection="1">
      <alignment horizontal="right"/>
    </xf>
    <xf numFmtId="38" fontId="3" fillId="0" borderId="0" xfId="4" applyNumberFormat="1" applyFont="1" applyAlignment="1">
      <alignment horizontal="right"/>
    </xf>
    <xf numFmtId="38" fontId="14" fillId="0" borderId="0" xfId="4" applyNumberFormat="1" applyFont="1" applyAlignment="1" applyProtection="1">
      <alignment horizontal="right"/>
    </xf>
    <xf numFmtId="10" fontId="3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322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171" fontId="3" fillId="0" borderId="0" xfId="18" applyNumberFormat="1" applyFont="1" applyBorder="1" applyAlignment="1">
      <alignment horizontal="right"/>
    </xf>
    <xf numFmtId="0" fontId="2" fillId="0" borderId="0" xfId="0" applyFont="1" applyBorder="1" applyAlignment="1"/>
    <xf numFmtId="187" fontId="3" fillId="0" borderId="0" xfId="0" applyNumberFormat="1" applyFont="1" applyBorder="1" applyAlignment="1"/>
    <xf numFmtId="0" fontId="2" fillId="0" borderId="6" xfId="0" applyNumberFormat="1" applyFont="1" applyFill="1" applyBorder="1" applyAlignment="1"/>
    <xf numFmtId="322" fontId="3" fillId="0" borderId="0" xfId="0" applyNumberFormat="1" applyFont="1" applyBorder="1" applyAlignment="1"/>
    <xf numFmtId="38" fontId="10" fillId="0" borderId="0" xfId="0" applyNumberFormat="1" applyFont="1" applyFill="1" applyBorder="1"/>
    <xf numFmtId="0" fontId="2" fillId="0" borderId="0" xfId="0" applyFont="1" applyBorder="1" applyAlignment="1">
      <alignment horizontal="left" indent="1"/>
    </xf>
    <xf numFmtId="37" fontId="2" fillId="0" borderId="3" xfId="0" applyNumberFormat="1" applyFont="1" applyFill="1" applyBorder="1" applyAlignment="1">
      <alignment horizontal="center"/>
    </xf>
    <xf numFmtId="0" fontId="41" fillId="8" borderId="0" xfId="0" applyFont="1" applyFill="1" applyAlignment="1">
      <alignment horizontal="center"/>
    </xf>
    <xf numFmtId="0" fontId="17" fillId="0" borderId="0" xfId="0" applyFont="1" applyFill="1" applyAlignment="1">
      <alignment horizontal="left"/>
    </xf>
    <xf numFmtId="40" fontId="26" fillId="0" borderId="0" xfId="0" applyNumberFormat="1" applyFont="1" applyBorder="1"/>
    <xf numFmtId="16" fontId="12" fillId="0" borderId="0" xfId="0" applyNumberFormat="1" applyFont="1" applyFill="1" applyAlignment="1">
      <alignment horizontal="left"/>
    </xf>
    <xf numFmtId="10" fontId="12" fillId="0" borderId="0" xfId="0" applyNumberFormat="1" applyFont="1" applyAlignment="1">
      <alignment horizontal="left"/>
    </xf>
    <xf numFmtId="10" fontId="38" fillId="8" borderId="0" xfId="20" applyNumberFormat="1" applyFont="1" applyFill="1" applyBorder="1"/>
    <xf numFmtId="10" fontId="38" fillId="8" borderId="0" xfId="0" applyNumberFormat="1" applyFont="1" applyFill="1" applyBorder="1"/>
    <xf numFmtId="10" fontId="3" fillId="0" borderId="0" xfId="20" applyNumberFormat="1" applyFont="1" applyFill="1" applyAlignment="1" applyProtection="1">
      <alignment horizontal="right"/>
    </xf>
    <xf numFmtId="10" fontId="16" fillId="0" borderId="0" xfId="20" applyNumberFormat="1" applyFont="1" applyFill="1" applyAlignment="1" applyProtection="1">
      <alignment horizontal="right"/>
    </xf>
    <xf numFmtId="0" fontId="3" fillId="0" borderId="0" xfId="0" applyFont="1" applyAlignment="1">
      <alignment horizontal="center"/>
    </xf>
    <xf numFmtId="9" fontId="3" fillId="0" borderId="0" xfId="20" applyFont="1" applyFill="1" applyProtection="1"/>
    <xf numFmtId="0" fontId="106" fillId="0" borderId="0" xfId="19" applyFont="1"/>
    <xf numFmtId="0" fontId="106" fillId="0" borderId="0" xfId="19" applyFont="1" applyAlignment="1">
      <alignment horizontal="center"/>
    </xf>
    <xf numFmtId="0" fontId="107" fillId="0" borderId="0" xfId="19" applyFont="1"/>
    <xf numFmtId="0" fontId="108" fillId="0" borderId="0" xfId="19" applyFont="1"/>
    <xf numFmtId="0" fontId="109" fillId="0" borderId="0" xfId="19" applyFont="1"/>
    <xf numFmtId="0" fontId="110" fillId="0" borderId="0" xfId="19" applyFont="1" applyBorder="1"/>
    <xf numFmtId="0" fontId="106" fillId="0" borderId="0" xfId="19" applyFont="1" applyBorder="1"/>
    <xf numFmtId="0" fontId="110" fillId="0" borderId="11" xfId="19" applyFont="1" applyBorder="1"/>
    <xf numFmtId="0" fontId="110" fillId="0" borderId="13" xfId="19" applyFont="1" applyBorder="1"/>
    <xf numFmtId="0" fontId="107" fillId="0" borderId="13" xfId="19" applyFont="1" applyBorder="1"/>
    <xf numFmtId="5" fontId="111" fillId="0" borderId="12" xfId="19" applyNumberFormat="1" applyFont="1" applyBorder="1"/>
    <xf numFmtId="5" fontId="112" fillId="0" borderId="0" xfId="19" applyNumberFormat="1" applyFont="1" applyBorder="1"/>
    <xf numFmtId="0" fontId="110" fillId="0" borderId="16" xfId="19" applyFont="1" applyBorder="1"/>
    <xf numFmtId="0" fontId="107" fillId="0" borderId="0" xfId="19" applyFont="1" applyBorder="1"/>
    <xf numFmtId="5" fontId="111" fillId="0" borderId="28" xfId="19" applyNumberFormat="1" applyFont="1" applyBorder="1"/>
    <xf numFmtId="10" fontId="110" fillId="0" borderId="0" xfId="19" applyNumberFormat="1" applyFont="1" applyBorder="1"/>
    <xf numFmtId="10" fontId="110" fillId="0" borderId="28" xfId="19" applyNumberFormat="1" applyFont="1" applyBorder="1"/>
    <xf numFmtId="37" fontId="110" fillId="0" borderId="0" xfId="19" applyNumberFormat="1" applyFont="1" applyBorder="1"/>
    <xf numFmtId="0" fontId="107" fillId="0" borderId="16" xfId="19" applyFont="1" applyBorder="1"/>
    <xf numFmtId="0" fontId="107" fillId="0" borderId="28" xfId="19" applyFont="1" applyBorder="1"/>
    <xf numFmtId="37" fontId="110" fillId="0" borderId="0" xfId="19" applyNumberFormat="1" applyFont="1" applyFill="1" applyBorder="1"/>
    <xf numFmtId="10" fontId="107" fillId="0" borderId="0" xfId="19" applyNumberFormat="1" applyFont="1"/>
    <xf numFmtId="0" fontId="107" fillId="0" borderId="14" xfId="19" applyFont="1" applyBorder="1"/>
    <xf numFmtId="0" fontId="107" fillId="0" borderId="4" xfId="19" applyFont="1" applyBorder="1"/>
    <xf numFmtId="0" fontId="110" fillId="0" borderId="15" xfId="19" applyFont="1" applyBorder="1"/>
    <xf numFmtId="5" fontId="110" fillId="0" borderId="0" xfId="19" applyNumberFormat="1" applyFont="1" applyBorder="1"/>
    <xf numFmtId="0" fontId="110" fillId="0" borderId="32" xfId="19" applyFont="1" applyBorder="1"/>
    <xf numFmtId="0" fontId="110" fillId="0" borderId="33" xfId="19" applyFont="1" applyBorder="1"/>
    <xf numFmtId="0" fontId="107" fillId="0" borderId="33" xfId="19" applyFont="1" applyBorder="1"/>
    <xf numFmtId="5" fontId="110" fillId="0" borderId="34" xfId="19" applyNumberFormat="1" applyFont="1" applyBorder="1"/>
    <xf numFmtId="302" fontId="107" fillId="0" borderId="0" xfId="19" applyNumberFormat="1" applyFont="1"/>
    <xf numFmtId="302" fontId="109" fillId="0" borderId="0" xfId="19" applyNumberFormat="1" applyFont="1"/>
    <xf numFmtId="0" fontId="110" fillId="0" borderId="0" xfId="19" applyFont="1"/>
    <xf numFmtId="0" fontId="110" fillId="0" borderId="3" xfId="19" applyFont="1" applyBorder="1" applyAlignment="1">
      <alignment horizontal="center"/>
    </xf>
    <xf numFmtId="0" fontId="110" fillId="0" borderId="3" xfId="19" applyFont="1" applyBorder="1" applyAlignment="1">
      <alignment horizontal="center" wrapText="1"/>
    </xf>
    <xf numFmtId="2" fontId="110" fillId="0" borderId="3" xfId="19" applyNumberFormat="1" applyFont="1" applyBorder="1" applyAlignment="1">
      <alignment horizontal="center" wrapText="1"/>
    </xf>
    <xf numFmtId="0" fontId="110" fillId="0" borderId="27" xfId="19" applyFont="1" applyBorder="1" applyAlignment="1">
      <alignment horizontal="center"/>
    </xf>
    <xf numFmtId="0" fontId="107" fillId="0" borderId="35" xfId="19" applyFont="1" applyBorder="1"/>
    <xf numFmtId="0" fontId="110" fillId="0" borderId="35" xfId="19" applyFont="1" applyBorder="1"/>
    <xf numFmtId="0" fontId="110" fillId="0" borderId="28" xfId="19" applyFont="1" applyBorder="1"/>
    <xf numFmtId="0" fontId="107" fillId="0" borderId="35" xfId="19" applyFont="1" applyBorder="1" applyAlignment="1">
      <alignment horizontal="center"/>
    </xf>
    <xf numFmtId="5" fontId="107" fillId="0" borderId="35" xfId="19" applyNumberFormat="1" applyFont="1" applyBorder="1"/>
    <xf numFmtId="5" fontId="107" fillId="0" borderId="28" xfId="19" applyNumberFormat="1" applyFont="1" applyBorder="1"/>
    <xf numFmtId="0" fontId="107" fillId="0" borderId="36" xfId="19" applyFont="1" applyBorder="1" applyAlignment="1">
      <alignment horizontal="center"/>
    </xf>
    <xf numFmtId="5" fontId="107" fillId="0" borderId="36" xfId="19" applyNumberFormat="1" applyFont="1" applyBorder="1"/>
    <xf numFmtId="5" fontId="107" fillId="0" borderId="15" xfId="19" applyNumberFormat="1" applyFont="1" applyBorder="1"/>
    <xf numFmtId="164" fontId="107" fillId="0" borderId="0" xfId="19" applyNumberFormat="1" applyFont="1" applyBorder="1"/>
    <xf numFmtId="164" fontId="108" fillId="0" borderId="0" xfId="19" applyNumberFormat="1" applyFont="1" applyBorder="1"/>
    <xf numFmtId="164" fontId="113" fillId="0" borderId="0" xfId="19" applyNumberFormat="1" applyFont="1" applyBorder="1"/>
    <xf numFmtId="164" fontId="114" fillId="0" borderId="0" xfId="19" applyNumberFormat="1" applyFont="1" applyBorder="1"/>
    <xf numFmtId="0" fontId="108" fillId="0" borderId="0" xfId="19" applyFont="1" applyBorder="1"/>
    <xf numFmtId="5" fontId="107" fillId="0" borderId="0" xfId="19" applyNumberFormat="1" applyFont="1" applyBorder="1"/>
    <xf numFmtId="5" fontId="108" fillId="0" borderId="0" xfId="19" applyNumberFormat="1" applyFont="1" applyBorder="1"/>
    <xf numFmtId="5" fontId="107" fillId="0" borderId="0" xfId="19" applyNumberFormat="1" applyFont="1"/>
    <xf numFmtId="9" fontId="22" fillId="0" borderId="11" xfId="20" applyFont="1" applyFill="1" applyBorder="1" applyAlignment="1">
      <alignment horizontal="left"/>
    </xf>
    <xf numFmtId="9" fontId="22" fillId="0" borderId="13" xfId="20" applyFont="1" applyFill="1" applyBorder="1" applyAlignment="1">
      <alignment horizontal="left"/>
    </xf>
    <xf numFmtId="0" fontId="3" fillId="0" borderId="13" xfId="0" applyFont="1" applyFill="1" applyBorder="1"/>
    <xf numFmtId="0" fontId="106" fillId="0" borderId="12" xfId="19" applyFont="1" applyFill="1" applyBorder="1"/>
    <xf numFmtId="0" fontId="106" fillId="0" borderId="0" xfId="19" applyFont="1" applyFill="1"/>
    <xf numFmtId="0" fontId="2" fillId="0" borderId="14" xfId="0" applyFont="1" applyFill="1" applyBorder="1"/>
    <xf numFmtId="0" fontId="2" fillId="0" borderId="4" xfId="0" applyFont="1" applyFill="1" applyBorder="1"/>
    <xf numFmtId="0" fontId="106" fillId="0" borderId="4" xfId="19" applyFont="1" applyFill="1" applyBorder="1"/>
    <xf numFmtId="0" fontId="106" fillId="0" borderId="15" xfId="19" applyFont="1" applyFill="1" applyBorder="1"/>
    <xf numFmtId="37" fontId="115" fillId="0" borderId="28" xfId="19" applyNumberFormat="1" applyFont="1" applyBorder="1"/>
    <xf numFmtId="0" fontId="11" fillId="0" borderId="0" xfId="0" applyFont="1" applyFill="1" applyBorder="1" applyAlignment="1">
      <alignment horizontal="right"/>
    </xf>
    <xf numFmtId="37" fontId="11" fillId="0" borderId="0" xfId="18" applyFont="1" applyFill="1" applyBorder="1" applyAlignment="1">
      <alignment horizontal="right"/>
    </xf>
    <xf numFmtId="166" fontId="3" fillId="0" borderId="0" xfId="3" applyNumberFormat="1" applyFont="1" applyBorder="1" applyAlignment="1" applyProtection="1">
      <alignment horizontal="right"/>
    </xf>
    <xf numFmtId="166" fontId="14" fillId="0" borderId="0" xfId="3" applyNumberFormat="1" applyFont="1" applyBorder="1" applyAlignment="1">
      <alignment horizontal="right"/>
    </xf>
    <xf numFmtId="10" fontId="17" fillId="0" borderId="0" xfId="3" applyNumberFormat="1" applyFont="1" applyBorder="1" applyAlignment="1">
      <alignment horizontal="right"/>
    </xf>
    <xf numFmtId="166" fontId="3" fillId="0" borderId="0" xfId="3" applyNumberFormat="1" applyFont="1" applyFill="1" applyBorder="1" applyAlignment="1" applyProtection="1">
      <alignment horizontal="right"/>
    </xf>
    <xf numFmtId="166" fontId="16" fillId="0" borderId="0" xfId="3" applyNumberFormat="1" applyFont="1" applyBorder="1" applyAlignment="1" applyProtection="1">
      <alignment horizontal="right"/>
    </xf>
    <xf numFmtId="166" fontId="17" fillId="0" borderId="0" xfId="3" applyNumberFormat="1" applyFont="1" applyBorder="1" applyAlignment="1" applyProtection="1">
      <alignment horizontal="right"/>
    </xf>
    <xf numFmtId="166" fontId="3" fillId="8" borderId="0" xfId="3" applyNumberFormat="1" applyFont="1" applyFill="1" applyBorder="1" applyAlignment="1">
      <alignment horizontal="right"/>
    </xf>
    <xf numFmtId="166" fontId="2" fillId="0" borderId="17" xfId="3" applyNumberFormat="1" applyFont="1" applyBorder="1" applyAlignment="1">
      <alignment horizontal="right"/>
    </xf>
    <xf numFmtId="166" fontId="2" fillId="0" borderId="18" xfId="3" applyNumberFormat="1" applyFont="1" applyBorder="1" applyAlignment="1">
      <alignment horizontal="right"/>
    </xf>
    <xf numFmtId="166" fontId="2" fillId="0" borderId="27" xfId="3" applyNumberFormat="1" applyFont="1" applyBorder="1" applyAlignment="1">
      <alignment horizontal="right"/>
    </xf>
    <xf numFmtId="166" fontId="2" fillId="0" borderId="0" xfId="3" applyNumberFormat="1" applyFont="1" applyBorder="1" applyAlignment="1">
      <alignment horizontal="right"/>
    </xf>
    <xf numFmtId="166" fontId="14" fillId="0" borderId="0" xfId="3" applyNumberFormat="1" applyFont="1" applyBorder="1" applyAlignment="1" applyProtection="1">
      <alignment horizontal="right"/>
    </xf>
    <xf numFmtId="166" fontId="2" fillId="0" borderId="0" xfId="3" applyNumberFormat="1" applyFont="1" applyBorder="1" applyAlignment="1" applyProtection="1">
      <alignment horizontal="right"/>
    </xf>
    <xf numFmtId="9" fontId="3" fillId="0" borderId="0" xfId="3" applyNumberFormat="1" applyFont="1" applyBorder="1" applyAlignment="1">
      <alignment horizontal="right"/>
    </xf>
    <xf numFmtId="166" fontId="3" fillId="0" borderId="17" xfId="3" applyNumberFormat="1" applyFont="1" applyBorder="1" applyAlignment="1" applyProtection="1">
      <alignment horizontal="right"/>
    </xf>
    <xf numFmtId="166" fontId="3" fillId="0" borderId="18" xfId="3" applyNumberFormat="1" applyFont="1" applyBorder="1" applyAlignment="1" applyProtection="1">
      <alignment horizontal="right"/>
    </xf>
    <xf numFmtId="166" fontId="3" fillId="0" borderId="27" xfId="3" applyNumberFormat="1" applyFont="1" applyBorder="1" applyAlignment="1" applyProtection="1">
      <alignment horizontal="right"/>
    </xf>
    <xf numFmtId="166" fontId="2" fillId="0" borderId="0" xfId="3" quotePrefix="1" applyNumberFormat="1" applyFont="1" applyBorder="1" applyAlignment="1" applyProtection="1">
      <alignment horizontal="right"/>
    </xf>
    <xf numFmtId="166" fontId="11" fillId="0" borderId="0" xfId="3" applyNumberFormat="1" applyFont="1" applyAlignment="1" applyProtection="1">
      <alignment horizontal="right"/>
    </xf>
    <xf numFmtId="0" fontId="2" fillId="0" borderId="0" xfId="0" applyFont="1" applyAlignment="1">
      <alignment horizontal="right"/>
    </xf>
    <xf numFmtId="9" fontId="10" fillId="0" borderId="0" xfId="0" applyNumberFormat="1" applyFont="1" applyFill="1" applyBorder="1" applyAlignment="1">
      <alignment horizontal="center"/>
    </xf>
    <xf numFmtId="9" fontId="41" fillId="8" borderId="6" xfId="0" applyNumberFormat="1" applyFont="1" applyFill="1" applyBorder="1" applyAlignment="1">
      <alignment horizontal="center"/>
    </xf>
    <xf numFmtId="0" fontId="116" fillId="0" borderId="0" xfId="0" applyFont="1"/>
    <xf numFmtId="0" fontId="26" fillId="4" borderId="0" xfId="0" applyFont="1" applyFill="1" applyBorder="1"/>
    <xf numFmtId="44" fontId="41" fillId="8" borderId="0" xfId="4" applyFont="1" applyFill="1" applyBorder="1"/>
    <xf numFmtId="37" fontId="3" fillId="0" borderId="0" xfId="18" applyFont="1" applyBorder="1" applyAlignment="1">
      <alignment horizontal="left"/>
    </xf>
    <xf numFmtId="38" fontId="3" fillId="8" borderId="4" xfId="0" applyNumberFormat="1" applyFont="1" applyFill="1" applyBorder="1" applyAlignment="1">
      <alignment horizontal="right"/>
    </xf>
    <xf numFmtId="3" fontId="16" fillId="0" borderId="0" xfId="0" applyNumberFormat="1" applyFont="1"/>
    <xf numFmtId="3" fontId="16" fillId="0" borderId="0" xfId="0" applyNumberFormat="1" applyFont="1" applyBorder="1"/>
    <xf numFmtId="0" fontId="117" fillId="8" borderId="0" xfId="0" applyFont="1" applyFill="1"/>
    <xf numFmtId="3" fontId="2" fillId="0" borderId="0" xfId="0" applyNumberFormat="1" applyFont="1" applyBorder="1" applyAlignment="1">
      <alignment horizontal="left"/>
    </xf>
    <xf numFmtId="164" fontId="113" fillId="0" borderId="35" xfId="20" applyNumberFormat="1" applyFont="1" applyBorder="1" applyAlignment="1">
      <alignment horizontal="center"/>
    </xf>
    <xf numFmtId="322" fontId="110" fillId="0" borderId="0" xfId="19" applyNumberFormat="1" applyFont="1" applyBorder="1"/>
    <xf numFmtId="43" fontId="41" fillId="8" borderId="0" xfId="3" applyFont="1" applyFill="1" applyBorder="1"/>
    <xf numFmtId="322" fontId="110" fillId="0" borderId="0" xfId="19" applyNumberFormat="1" applyFont="1"/>
    <xf numFmtId="14" fontId="107" fillId="0" borderId="0" xfId="19" applyNumberFormat="1" applyFont="1"/>
    <xf numFmtId="43" fontId="41" fillId="8" borderId="0" xfId="3" applyNumberFormat="1" applyFont="1" applyFill="1" applyBorder="1"/>
    <xf numFmtId="322" fontId="2" fillId="0" borderId="0" xfId="0" applyNumberFormat="1" applyFont="1"/>
    <xf numFmtId="1" fontId="12" fillId="0" borderId="0" xfId="3" applyNumberFormat="1" applyFont="1" applyBorder="1"/>
    <xf numFmtId="1" fontId="12" fillId="0" borderId="0" xfId="3" applyNumberFormat="1" applyFont="1"/>
    <xf numFmtId="322" fontId="3" fillId="0" borderId="0" xfId="0" applyNumberFormat="1" applyFont="1" applyAlignment="1">
      <alignment horizontal="right"/>
    </xf>
    <xf numFmtId="14" fontId="2" fillId="0" borderId="0" xfId="0" applyNumberFormat="1" applyFont="1" applyBorder="1" applyAlignment="1">
      <alignment horizontal="right"/>
    </xf>
    <xf numFmtId="14" fontId="3" fillId="0" borderId="0" xfId="0" applyNumberFormat="1" applyFont="1" applyBorder="1" applyAlignment="1">
      <alignment horizontal="right"/>
    </xf>
    <xf numFmtId="9" fontId="3" fillId="0" borderId="0" xfId="20" applyFont="1"/>
    <xf numFmtId="302" fontId="11" fillId="0" borderId="0" xfId="19" applyNumberFormat="1" applyFont="1"/>
    <xf numFmtId="0" fontId="6" fillId="0" borderId="0" xfId="0" applyFont="1"/>
    <xf numFmtId="9" fontId="0" fillId="0" borderId="0" xfId="20" applyFont="1"/>
    <xf numFmtId="14" fontId="0" fillId="0" borderId="0" xfId="0" applyNumberFormat="1"/>
    <xf numFmtId="166" fontId="110" fillId="0" borderId="0" xfId="19" applyNumberFormat="1" applyFont="1" applyBorder="1"/>
    <xf numFmtId="165" fontId="3" fillId="0" borderId="0" xfId="4" applyNumberFormat="1" applyFont="1"/>
    <xf numFmtId="0" fontId="16" fillId="8" borderId="0" xfId="0" applyFont="1" applyFill="1"/>
    <xf numFmtId="10" fontId="16" fillId="8" borderId="0" xfId="20" applyNumberFormat="1" applyFont="1" applyFill="1"/>
    <xf numFmtId="0" fontId="3" fillId="0" borderId="0" xfId="0" quotePrefix="1" applyFont="1"/>
    <xf numFmtId="14" fontId="16" fillId="8" borderId="0" xfId="0" applyNumberFormat="1" applyFont="1" applyFill="1"/>
    <xf numFmtId="14" fontId="16" fillId="8" borderId="0" xfId="0" applyNumberFormat="1" applyFont="1" applyFill="1" applyAlignment="1">
      <alignment horizontal="left"/>
    </xf>
    <xf numFmtId="9" fontId="16" fillId="8" borderId="0" xfId="20" applyFont="1" applyFill="1" applyAlignment="1">
      <alignment horizontal="left"/>
    </xf>
    <xf numFmtId="166" fontId="3" fillId="0" borderId="0" xfId="3" applyNumberFormat="1" applyFont="1" applyAlignment="1">
      <alignment horizontal="left"/>
    </xf>
    <xf numFmtId="173" fontId="3" fillId="0" borderId="0" xfId="20" applyNumberFormat="1" applyFont="1"/>
    <xf numFmtId="1" fontId="0" fillId="0" borderId="0" xfId="0" applyNumberFormat="1"/>
    <xf numFmtId="0" fontId="6" fillId="0" borderId="0" xfId="0" applyFont="1" applyAlignment="1">
      <alignment horizontal="right"/>
    </xf>
    <xf numFmtId="9" fontId="38" fillId="0" borderId="3" xfId="20" applyFont="1" applyBorder="1"/>
    <xf numFmtId="0" fontId="25" fillId="0" borderId="4" xfId="0" applyFont="1" applyBorder="1"/>
    <xf numFmtId="14" fontId="6" fillId="0" borderId="6" xfId="0" applyNumberFormat="1" applyFont="1" applyBorder="1"/>
    <xf numFmtId="164" fontId="6" fillId="13" borderId="3" xfId="20" applyNumberFormat="1" applyFont="1" applyFill="1" applyBorder="1" applyAlignment="1">
      <alignment horizontal="center"/>
    </xf>
    <xf numFmtId="0" fontId="0" fillId="0" borderId="16" xfId="0" applyBorder="1"/>
    <xf numFmtId="0" fontId="0" fillId="0" borderId="28" xfId="0" applyBorder="1"/>
    <xf numFmtId="38" fontId="0" fillId="0" borderId="28" xfId="0" applyNumberFormat="1" applyBorder="1"/>
    <xf numFmtId="14" fontId="6" fillId="0" borderId="37" xfId="0" applyNumberFormat="1" applyFont="1" applyBorder="1"/>
    <xf numFmtId="0" fontId="0" fillId="0" borderId="12" xfId="0" applyBorder="1"/>
    <xf numFmtId="0" fontId="6" fillId="0" borderId="11" xfId="0" applyFont="1" applyBorder="1"/>
    <xf numFmtId="9" fontId="2" fillId="0" borderId="3" xfId="20" applyNumberFormat="1" applyFont="1" applyBorder="1" applyAlignment="1">
      <alignment horizontal="right"/>
    </xf>
    <xf numFmtId="0" fontId="38" fillId="0" borderId="4" xfId="0" applyFont="1" applyBorder="1"/>
    <xf numFmtId="166" fontId="0" fillId="0" borderId="0" xfId="3" applyNumberFormat="1" applyFont="1" applyBorder="1"/>
    <xf numFmtId="0" fontId="17" fillId="0" borderId="0" xfId="0" applyFont="1" applyAlignment="1">
      <alignment horizontal="right"/>
    </xf>
    <xf numFmtId="41" fontId="3" fillId="0" borderId="0" xfId="0" applyNumberFormat="1" applyFont="1" applyAlignment="1">
      <alignment horizontal="right"/>
    </xf>
    <xf numFmtId="322" fontId="107" fillId="0" borderId="0" xfId="19" applyNumberFormat="1" applyFont="1"/>
    <xf numFmtId="1" fontId="107" fillId="0" borderId="0" xfId="19" applyNumberFormat="1" applyFont="1"/>
    <xf numFmtId="165" fontId="110" fillId="0" borderId="0" xfId="4" applyNumberFormat="1" applyFont="1" applyBorder="1"/>
    <xf numFmtId="37" fontId="111" fillId="0" borderId="28" xfId="19" applyNumberFormat="1" applyFont="1" applyFill="1" applyBorder="1"/>
    <xf numFmtId="0" fontId="110" fillId="0" borderId="16" xfId="19" applyFont="1" applyFill="1" applyBorder="1"/>
    <xf numFmtId="0" fontId="110" fillId="0" borderId="0" xfId="19" applyFont="1" applyFill="1" applyBorder="1"/>
    <xf numFmtId="0" fontId="107" fillId="0" borderId="0" xfId="19" applyFont="1" applyFill="1" applyBorder="1"/>
    <xf numFmtId="10" fontId="111" fillId="0" borderId="28" xfId="19" applyNumberFormat="1" applyFont="1" applyFill="1" applyBorder="1"/>
    <xf numFmtId="166" fontId="42" fillId="0" borderId="0" xfId="3" applyNumberFormat="1" applyFont="1" applyFill="1" applyBorder="1"/>
    <xf numFmtId="9" fontId="0" fillId="0" borderId="0" xfId="0" applyNumberFormat="1" applyBorder="1"/>
    <xf numFmtId="0" fontId="0" fillId="0" borderId="14" xfId="0" applyBorder="1" applyAlignment="1">
      <alignment horizontal="left" indent="2"/>
    </xf>
    <xf numFmtId="9" fontId="0" fillId="0" borderId="15" xfId="20" applyFont="1" applyBorder="1"/>
    <xf numFmtId="1" fontId="26" fillId="0" borderId="0" xfId="0" applyNumberFormat="1" applyFont="1" applyBorder="1" applyAlignment="1">
      <alignment horizontal="center"/>
    </xf>
    <xf numFmtId="0" fontId="0" fillId="0" borderId="6" xfId="0" applyBorder="1"/>
    <xf numFmtId="0" fontId="0" fillId="0" borderId="19" xfId="0" applyBorder="1"/>
    <xf numFmtId="166" fontId="34" fillId="8" borderId="0" xfId="3" applyNumberFormat="1" applyFont="1" applyFill="1"/>
    <xf numFmtId="0" fontId="26" fillId="0" borderId="0" xfId="0" applyFont="1" applyAlignment="1">
      <alignment horizontal="right"/>
    </xf>
    <xf numFmtId="38" fontId="16" fillId="0" borderId="0" xfId="0" applyNumberFormat="1" applyFont="1" applyFill="1" applyAlignment="1">
      <alignment horizontal="right"/>
    </xf>
    <xf numFmtId="9" fontId="3" fillId="0" borderId="0" xfId="20" applyFont="1" applyAlignment="1">
      <alignment horizontal="right"/>
    </xf>
    <xf numFmtId="9" fontId="3" fillId="0" borderId="0" xfId="0" applyNumberFormat="1" applyFont="1" applyAlignment="1">
      <alignment horizontal="right"/>
    </xf>
    <xf numFmtId="43" fontId="16" fillId="8" borderId="0" xfId="3" applyFont="1" applyFill="1" applyAlignment="1">
      <alignment horizontal="right"/>
    </xf>
    <xf numFmtId="164" fontId="3" fillId="0" borderId="0" xfId="20" applyNumberFormat="1" applyFont="1" applyFill="1" applyAlignment="1">
      <alignment horizontal="right"/>
    </xf>
    <xf numFmtId="43" fontId="3" fillId="0" borderId="0" xfId="3" applyFont="1" applyFill="1" applyAlignment="1">
      <alignment horizontal="right"/>
    </xf>
    <xf numFmtId="43" fontId="3" fillId="0" borderId="17" xfId="3" applyFont="1" applyFill="1" applyBorder="1" applyAlignment="1">
      <alignment horizontal="right"/>
    </xf>
    <xf numFmtId="43" fontId="16" fillId="8" borderId="18" xfId="3" applyFont="1" applyFill="1" applyBorder="1" applyAlignment="1">
      <alignment horizontal="right"/>
    </xf>
    <xf numFmtId="43" fontId="16" fillId="8" borderId="27" xfId="3" applyFont="1" applyFill="1" applyBorder="1" applyAlignment="1">
      <alignment horizontal="right"/>
    </xf>
    <xf numFmtId="164" fontId="3" fillId="0" borderId="0" xfId="20" applyNumberFormat="1" applyFont="1" applyFill="1" applyBorder="1" applyAlignment="1">
      <alignment horizontal="right"/>
    </xf>
    <xf numFmtId="168" fontId="3" fillId="0" borderId="0" xfId="3" applyNumberFormat="1" applyFont="1" applyFill="1" applyBorder="1" applyAlignment="1">
      <alignment horizontal="right"/>
    </xf>
    <xf numFmtId="43" fontId="3" fillId="0" borderId="0" xfId="3" applyNumberFormat="1" applyFont="1" applyFill="1" applyBorder="1" applyAlignment="1">
      <alignment horizontal="right"/>
    </xf>
    <xf numFmtId="315" fontId="3" fillId="0" borderId="0" xfId="3" applyNumberFormat="1" applyFont="1" applyFill="1" applyBorder="1" applyAlignment="1">
      <alignment horizontal="right"/>
    </xf>
    <xf numFmtId="43" fontId="16" fillId="8" borderId="17" xfId="3" applyFont="1" applyFill="1" applyBorder="1" applyAlignment="1">
      <alignment horizontal="right"/>
    </xf>
    <xf numFmtId="38" fontId="119" fillId="0" borderId="0" xfId="0" applyNumberFormat="1" applyFont="1" applyAlignment="1">
      <alignment horizontal="right"/>
    </xf>
    <xf numFmtId="38" fontId="16" fillId="8" borderId="4" xfId="0" applyNumberFormat="1" applyFont="1" applyFill="1" applyBorder="1" applyAlignment="1">
      <alignment horizontal="right"/>
    </xf>
    <xf numFmtId="38" fontId="17" fillId="0" borderId="0" xfId="0" applyNumberFormat="1" applyFont="1"/>
    <xf numFmtId="0" fontId="16" fillId="0" borderId="0" xfId="0" applyFont="1"/>
    <xf numFmtId="38" fontId="120" fillId="0" borderId="0" xfId="0" applyNumberFormat="1" applyFont="1" applyAlignment="1">
      <alignment horizontal="right"/>
    </xf>
    <xf numFmtId="38" fontId="10" fillId="0" borderId="5" xfId="0" applyNumberFormat="1" applyFont="1" applyBorder="1" applyAlignment="1">
      <alignment horizontal="right"/>
    </xf>
    <xf numFmtId="166" fontId="3" fillId="0" borderId="0" xfId="3" applyNumberFormat="1" applyFont="1" applyFill="1" applyBorder="1" applyAlignment="1">
      <alignment horizontal="right"/>
    </xf>
    <xf numFmtId="4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221" fontId="3" fillId="0" borderId="0" xfId="0" applyNumberFormat="1" applyFont="1" applyFill="1" applyBorder="1"/>
    <xf numFmtId="38" fontId="3" fillId="0" borderId="0" xfId="0" applyNumberFormat="1" applyFont="1" applyFill="1" applyBorder="1" applyAlignment="1">
      <alignment horizontal="right"/>
    </xf>
    <xf numFmtId="0" fontId="121" fillId="0" borderId="0" xfId="0" applyFont="1"/>
    <xf numFmtId="0" fontId="121" fillId="0" borderId="6" xfId="0" applyFont="1" applyBorder="1" applyAlignment="1">
      <alignment horizontal="center"/>
    </xf>
    <xf numFmtId="0" fontId="121" fillId="0" borderId="0" xfId="0" applyFont="1" applyAlignment="1">
      <alignment horizontal="right"/>
    </xf>
    <xf numFmtId="165" fontId="121" fillId="0" borderId="0" xfId="4" applyNumberFormat="1" applyFont="1"/>
    <xf numFmtId="166" fontId="121" fillId="0" borderId="0" xfId="3" applyNumberFormat="1" applyFont="1"/>
    <xf numFmtId="1" fontId="121" fillId="0" borderId="0" xfId="0" applyNumberFormat="1" applyFont="1"/>
    <xf numFmtId="44" fontId="121" fillId="0" borderId="0" xfId="4" applyFont="1"/>
    <xf numFmtId="9" fontId="121" fillId="0" borderId="0" xfId="20" applyFont="1"/>
    <xf numFmtId="10" fontId="121" fillId="0" borderId="0" xfId="20" applyNumberFormat="1" applyFont="1"/>
    <xf numFmtId="0" fontId="41" fillId="0" borderId="0" xfId="0" applyFont="1" applyFill="1" applyBorder="1" applyAlignment="1">
      <alignment horizontal="center"/>
    </xf>
    <xf numFmtId="44" fontId="121" fillId="8" borderId="0" xfId="4" applyFont="1" applyFill="1"/>
    <xf numFmtId="165" fontId="121" fillId="8" borderId="0" xfId="4" applyNumberFormat="1" applyFont="1" applyFill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4" fillId="0" borderId="0" xfId="0" applyFont="1" applyAlignment="1">
      <alignment horizontal="right"/>
    </xf>
    <xf numFmtId="10" fontId="121" fillId="0" borderId="11" xfId="20" applyNumberFormat="1" applyFont="1" applyBorder="1"/>
    <xf numFmtId="0" fontId="121" fillId="0" borderId="13" xfId="0" applyFont="1" applyBorder="1"/>
    <xf numFmtId="10" fontId="121" fillId="0" borderId="13" xfId="20" applyNumberFormat="1" applyFont="1" applyBorder="1"/>
    <xf numFmtId="10" fontId="121" fillId="0" borderId="12" xfId="20" applyNumberFormat="1" applyFont="1" applyBorder="1"/>
    <xf numFmtId="10" fontId="121" fillId="0" borderId="16" xfId="20" applyNumberFormat="1" applyFont="1" applyBorder="1"/>
    <xf numFmtId="0" fontId="121" fillId="0" borderId="0" xfId="0" applyFont="1" applyBorder="1"/>
    <xf numFmtId="10" fontId="121" fillId="0" borderId="0" xfId="20" applyNumberFormat="1" applyFont="1" applyBorder="1"/>
    <xf numFmtId="10" fontId="121" fillId="0" borderId="28" xfId="20" applyNumberFormat="1" applyFont="1" applyBorder="1"/>
    <xf numFmtId="10" fontId="121" fillId="0" borderId="14" xfId="20" applyNumberFormat="1" applyFont="1" applyBorder="1"/>
    <xf numFmtId="0" fontId="121" fillId="0" borderId="4" xfId="0" applyFont="1" applyBorder="1"/>
    <xf numFmtId="10" fontId="121" fillId="0" borderId="4" xfId="20" applyNumberFormat="1" applyFont="1" applyBorder="1"/>
    <xf numFmtId="10" fontId="121" fillId="0" borderId="15" xfId="20" applyNumberFormat="1" applyFont="1" applyBorder="1"/>
    <xf numFmtId="9" fontId="121" fillId="0" borderId="11" xfId="20" applyFont="1" applyBorder="1"/>
    <xf numFmtId="9" fontId="121" fillId="0" borderId="13" xfId="20" applyFont="1" applyBorder="1"/>
    <xf numFmtId="9" fontId="121" fillId="0" borderId="12" xfId="20" applyFont="1" applyBorder="1"/>
    <xf numFmtId="9" fontId="121" fillId="0" borderId="14" xfId="20" applyFont="1" applyBorder="1"/>
    <xf numFmtId="9" fontId="121" fillId="0" borderId="4" xfId="20" applyFont="1" applyBorder="1"/>
    <xf numFmtId="9" fontId="121" fillId="0" borderId="15" xfId="20" applyFont="1" applyBorder="1"/>
    <xf numFmtId="10" fontId="41" fillId="8" borderId="6" xfId="0" applyNumberFormat="1" applyFont="1" applyFill="1" applyBorder="1" applyAlignment="1">
      <alignment horizontal="center"/>
    </xf>
    <xf numFmtId="0" fontId="10" fillId="0" borderId="21" xfId="0" applyFont="1" applyBorder="1"/>
    <xf numFmtId="15" fontId="41" fillId="8" borderId="6" xfId="0" applyNumberFormat="1" applyFont="1" applyFill="1" applyBorder="1"/>
    <xf numFmtId="0" fontId="15" fillId="0" borderId="7" xfId="0" applyFont="1" applyBorder="1"/>
    <xf numFmtId="0" fontId="23" fillId="0" borderId="10" xfId="0" applyFont="1" applyFill="1" applyBorder="1"/>
    <xf numFmtId="1" fontId="41" fillId="8" borderId="0" xfId="0" applyNumberFormat="1" applyFont="1" applyFill="1" applyBorder="1"/>
    <xf numFmtId="0" fontId="41" fillId="8" borderId="9" xfId="0" applyFont="1" applyFill="1" applyBorder="1" applyAlignment="1">
      <alignment horizontal="center"/>
    </xf>
    <xf numFmtId="166" fontId="41" fillId="8" borderId="6" xfId="3" applyNumberFormat="1" applyFont="1" applyFill="1" applyBorder="1"/>
    <xf numFmtId="0" fontId="26" fillId="0" borderId="10" xfId="0" applyFont="1" applyBorder="1" applyAlignment="1">
      <alignment horizontal="left" indent="3"/>
    </xf>
    <xf numFmtId="0" fontId="26" fillId="0" borderId="10" xfId="0" applyFont="1" applyBorder="1" applyAlignment="1">
      <alignment horizontal="left" indent="2"/>
    </xf>
    <xf numFmtId="168" fontId="41" fillId="8" borderId="0" xfId="3" applyNumberFormat="1" applyFont="1" applyFill="1" applyBorder="1"/>
    <xf numFmtId="0" fontId="42" fillId="0" borderId="10" xfId="0" applyFont="1" applyFill="1" applyBorder="1" applyAlignment="1" applyProtection="1">
      <alignment horizontal="left" indent="2"/>
    </xf>
    <xf numFmtId="44" fontId="0" fillId="0" borderId="0" xfId="4" applyFont="1"/>
    <xf numFmtId="166" fontId="107" fillId="0" borderId="0" xfId="3" applyNumberFormat="1" applyFont="1"/>
    <xf numFmtId="38" fontId="10" fillId="0" borderId="6" xfId="3" applyNumberFormat="1" applyFont="1" applyFill="1" applyBorder="1" applyAlignment="1">
      <alignment horizontal="center"/>
    </xf>
    <xf numFmtId="38" fontId="50" fillId="0" borderId="6" xfId="3" applyNumberFormat="1" applyFont="1" applyFill="1" applyBorder="1" applyAlignment="1">
      <alignment horizontal="center"/>
    </xf>
    <xf numFmtId="164" fontId="10" fillId="0" borderId="6" xfId="20" applyNumberFormat="1" applyFont="1" applyBorder="1" applyAlignment="1">
      <alignment horizontal="center"/>
    </xf>
    <xf numFmtId="0" fontId="10" fillId="0" borderId="21" xfId="0" applyFont="1" applyBorder="1" applyAlignment="1" applyProtection="1">
      <alignment horizontal="left"/>
    </xf>
    <xf numFmtId="165" fontId="41" fillId="8" borderId="9" xfId="4" applyNumberFormat="1" applyFont="1" applyFill="1" applyBorder="1"/>
    <xf numFmtId="0" fontId="121" fillId="0" borderId="0" xfId="0" applyFont="1" applyBorder="1" applyAlignment="1">
      <alignment horizontal="center" vertical="center" wrapText="1"/>
    </xf>
    <xf numFmtId="0" fontId="121" fillId="0" borderId="6" xfId="0" applyFont="1" applyBorder="1" applyAlignment="1">
      <alignment horizontal="center" vertical="center" wrapText="1"/>
    </xf>
    <xf numFmtId="0" fontId="123" fillId="0" borderId="0" xfId="0" applyFont="1" applyAlignment="1">
      <alignment horizontal="center"/>
    </xf>
    <xf numFmtId="0" fontId="122" fillId="0" borderId="0" xfId="0" applyFont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Drop" dropLines="4" dropStyle="combo" dx="22" fmlaLink="$B$17" fmlaRange="$B$19:$B$22" noThreeD="1" sel="3" val="0"/>
</file>

<file path=xl/ctrlProps/ctrlProp2.xml><?xml version="1.0" encoding="utf-8"?>
<formControlPr xmlns="http://schemas.microsoft.com/office/spreadsheetml/2009/9/main" objectType="Drop" dropStyle="combo" dx="22" fmlaLink="$C$17" fmlaRange="$C$19:$C$20" noThreeD="1" sel="1" val="0"/>
</file>

<file path=xl/ctrlProps/ctrlProp3.xml><?xml version="1.0" encoding="utf-8"?>
<formControlPr xmlns="http://schemas.microsoft.com/office/spreadsheetml/2009/9/main" objectType="Drop" dropLines="2" dropStyle="combo" dx="22" fmlaLink="$D$17" fmlaRange="$D$19:$D$20" noThreeD="1" sel="2" val="0"/>
</file>

<file path=xl/ctrlProps/ctrlProp4.xml><?xml version="1.0" encoding="utf-8"?>
<formControlPr xmlns="http://schemas.microsoft.com/office/spreadsheetml/2009/9/main" objectType="Drop" dropLines="3" dropStyle="combo" dx="22" fmlaLink="$E$17" fmlaRange="$E$19:$E$21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47625</xdr:rowOff>
        </xdr:from>
        <xdr:to>
          <xdr:col>1</xdr:col>
          <xdr:colOff>1552575</xdr:colOff>
          <xdr:row>6</xdr:row>
          <xdr:rowOff>47625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FA9147B-D877-4657-2A2E-288145746C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9525</xdr:rowOff>
        </xdr:from>
        <xdr:to>
          <xdr:col>1</xdr:col>
          <xdr:colOff>1543050</xdr:colOff>
          <xdr:row>9</xdr:row>
          <xdr:rowOff>28575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31713BD0-0DBE-DB5F-AEA3-DE547A87E9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190500</xdr:rowOff>
        </xdr:from>
        <xdr:to>
          <xdr:col>1</xdr:col>
          <xdr:colOff>1543050</xdr:colOff>
          <xdr:row>11</xdr:row>
          <xdr:rowOff>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4A30FD41-04AC-CB6A-62ED-39DA38926C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180975</xdr:rowOff>
        </xdr:from>
        <xdr:to>
          <xdr:col>1</xdr:col>
          <xdr:colOff>1543050</xdr:colOff>
          <xdr:row>12</xdr:row>
          <xdr:rowOff>190500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EE206E9B-2771-4150-2F94-57A6CF2526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X38"/>
  <sheetViews>
    <sheetView topLeftCell="A12" zoomScale="75" workbookViewId="0">
      <selection activeCell="F30" sqref="F30"/>
    </sheetView>
  </sheetViews>
  <sheetFormatPr defaultRowHeight="12.75"/>
  <cols>
    <col min="1" max="1" width="38" style="14" customWidth="1"/>
    <col min="2" max="2" width="25" style="14" customWidth="1"/>
    <col min="3" max="6" width="25.28515625" style="14" customWidth="1"/>
    <col min="7" max="7" width="11.5703125" style="14" bestFit="1" customWidth="1"/>
    <col min="8" max="8" width="17.85546875" style="14" bestFit="1" customWidth="1"/>
    <col min="9" max="15" width="9.140625" style="14"/>
    <col min="16" max="16" width="23.140625" style="14" customWidth="1"/>
    <col min="17" max="17" width="38.5703125" style="14" customWidth="1"/>
    <col min="18" max="18" width="11.5703125" style="14" customWidth="1"/>
    <col min="19" max="19" width="22.7109375" style="14" customWidth="1"/>
    <col min="20" max="16384" width="9.140625" style="14"/>
  </cols>
  <sheetData>
    <row r="2" spans="1:24" ht="18.75">
      <c r="A2" s="240" t="s">
        <v>0</v>
      </c>
      <c r="B2" s="174"/>
      <c r="C2" s="215"/>
      <c r="D2" s="215"/>
      <c r="E2" s="174"/>
      <c r="F2" s="174"/>
      <c r="G2" s="27"/>
      <c r="H2" s="27"/>
      <c r="I2" s="27"/>
      <c r="J2" s="44"/>
      <c r="K2" s="44"/>
      <c r="L2" s="44"/>
    </row>
    <row r="3" spans="1:24" ht="18.75">
      <c r="A3" s="113"/>
      <c r="B3" s="113"/>
      <c r="C3" s="113"/>
      <c r="D3" s="113"/>
      <c r="E3" s="113"/>
      <c r="F3" s="113"/>
      <c r="G3" s="113"/>
      <c r="H3" s="113"/>
      <c r="I3" s="113"/>
    </row>
    <row r="4" spans="1:24" ht="20.25">
      <c r="B4" s="203"/>
      <c r="C4" s="203"/>
      <c r="D4" s="203"/>
      <c r="E4" s="203"/>
    </row>
    <row r="5" spans="1:24" ht="15.75">
      <c r="A5" s="216"/>
      <c r="B5" s="216"/>
      <c r="C5" s="216"/>
      <c r="D5" s="216"/>
      <c r="T5" s="44"/>
      <c r="U5" s="44"/>
    </row>
    <row r="6" spans="1:24" ht="15.75">
      <c r="A6" s="217" t="s">
        <v>1</v>
      </c>
      <c r="B6" s="217"/>
      <c r="C6" s="217"/>
      <c r="D6" s="217"/>
      <c r="E6" s="27"/>
      <c r="F6" s="44"/>
      <c r="G6" s="44"/>
      <c r="H6" s="44"/>
      <c r="I6" s="44"/>
      <c r="J6" s="44"/>
      <c r="K6" s="44"/>
      <c r="L6" s="44"/>
      <c r="M6" s="44"/>
      <c r="N6" s="44"/>
      <c r="T6" s="44"/>
      <c r="U6" s="44"/>
      <c r="V6" s="44"/>
      <c r="W6" s="44"/>
      <c r="X6" s="44"/>
    </row>
    <row r="7" spans="1:24" ht="15.75">
      <c r="A7" s="216" t="s">
        <v>2</v>
      </c>
      <c r="B7" s="217"/>
      <c r="C7" s="217"/>
      <c r="D7" s="217"/>
      <c r="E7" s="27"/>
      <c r="F7" s="44"/>
      <c r="G7" s="44"/>
      <c r="H7" s="44"/>
      <c r="I7" s="44"/>
      <c r="J7" s="44"/>
      <c r="K7" s="44"/>
      <c r="L7" s="44"/>
      <c r="M7" s="44"/>
      <c r="N7" s="44"/>
      <c r="T7" s="44"/>
      <c r="U7" s="44"/>
      <c r="V7" s="44"/>
      <c r="W7" s="44"/>
      <c r="X7" s="44"/>
    </row>
    <row r="8" spans="1:24" ht="15.75">
      <c r="A8" s="217"/>
      <c r="B8" s="217"/>
      <c r="C8" s="217"/>
      <c r="D8" s="217"/>
      <c r="E8" s="27"/>
      <c r="F8" s="44"/>
      <c r="G8" s="44"/>
      <c r="H8" s="44"/>
      <c r="I8" s="44"/>
      <c r="J8" s="44"/>
      <c r="K8" s="44"/>
      <c r="L8" s="44"/>
      <c r="M8" s="44"/>
      <c r="N8" s="44"/>
      <c r="T8" s="44"/>
      <c r="U8" s="44"/>
      <c r="V8" s="44"/>
      <c r="W8" s="44"/>
      <c r="X8" s="44"/>
    </row>
    <row r="9" spans="1:24" ht="15.75">
      <c r="A9" s="217" t="s">
        <v>3</v>
      </c>
      <c r="B9" s="217"/>
      <c r="C9" s="217"/>
      <c r="D9" s="217"/>
      <c r="E9" s="27"/>
      <c r="F9" s="44"/>
      <c r="G9" s="44"/>
      <c r="H9" s="44"/>
      <c r="I9" s="44"/>
      <c r="J9" s="44"/>
      <c r="K9" s="44"/>
      <c r="L9" s="44"/>
      <c r="M9" s="44"/>
      <c r="N9" s="44"/>
      <c r="T9" s="44"/>
      <c r="U9" s="44"/>
      <c r="V9" s="44"/>
      <c r="W9" s="44"/>
      <c r="X9" s="44"/>
    </row>
    <row r="10" spans="1:24" ht="15.75">
      <c r="A10" s="217"/>
      <c r="B10" s="217"/>
      <c r="C10" s="217"/>
      <c r="D10" s="217"/>
      <c r="E10" s="27"/>
      <c r="F10" s="44"/>
      <c r="G10" s="44"/>
      <c r="H10" s="44"/>
      <c r="I10" s="44"/>
      <c r="J10" s="44"/>
      <c r="K10" s="44"/>
      <c r="L10" s="44"/>
      <c r="M10" s="44"/>
      <c r="N10" s="44"/>
      <c r="T10" s="44"/>
      <c r="U10" s="44"/>
      <c r="V10" s="44"/>
      <c r="W10" s="44"/>
      <c r="X10" s="44"/>
    </row>
    <row r="11" spans="1:24" ht="15.75">
      <c r="A11" s="217" t="s">
        <v>4</v>
      </c>
      <c r="B11" s="217"/>
      <c r="C11" s="217"/>
      <c r="D11" s="217"/>
      <c r="E11" s="27"/>
      <c r="F11" s="44"/>
      <c r="G11" s="44"/>
      <c r="H11" s="44"/>
      <c r="I11" s="44"/>
      <c r="J11" s="44"/>
      <c r="K11" s="44"/>
      <c r="L11" s="44"/>
      <c r="M11" s="44"/>
      <c r="N11" s="44"/>
      <c r="T11" s="44"/>
      <c r="U11" s="44"/>
      <c r="V11" s="44"/>
      <c r="W11" s="44"/>
      <c r="X11" s="44"/>
    </row>
    <row r="12" spans="1:24" ht="15.75">
      <c r="A12" s="217"/>
      <c r="B12" s="217"/>
      <c r="C12" s="217"/>
      <c r="D12" s="217"/>
      <c r="E12" s="27"/>
      <c r="F12" s="44"/>
      <c r="G12" s="44"/>
      <c r="H12" s="44"/>
      <c r="I12" s="44"/>
      <c r="J12" s="44"/>
      <c r="K12" s="44"/>
      <c r="L12" s="44"/>
      <c r="M12" s="44"/>
      <c r="N12" s="44"/>
      <c r="T12" s="44"/>
      <c r="U12" s="44"/>
      <c r="V12" s="44"/>
      <c r="W12" s="44"/>
      <c r="X12" s="44"/>
    </row>
    <row r="13" spans="1:24" ht="16.5" thickBot="1">
      <c r="A13" s="217" t="s">
        <v>5</v>
      </c>
      <c r="B13" s="217"/>
      <c r="C13" s="217"/>
      <c r="D13" s="217"/>
      <c r="E13" s="27"/>
      <c r="F13" s="44"/>
      <c r="G13" s="44"/>
      <c r="H13" s="44"/>
      <c r="I13" s="44"/>
      <c r="J13" s="44"/>
      <c r="K13" s="44"/>
      <c r="L13" s="44"/>
      <c r="M13" s="44"/>
      <c r="N13" s="44"/>
      <c r="T13" s="44"/>
      <c r="U13" s="44"/>
      <c r="V13" s="44"/>
      <c r="W13" s="44"/>
      <c r="X13" s="44"/>
    </row>
    <row r="14" spans="1:24" ht="15.75">
      <c r="A14" s="220" t="s">
        <v>10</v>
      </c>
      <c r="B14" s="37"/>
      <c r="C14" s="151"/>
      <c r="D14" s="151"/>
      <c r="E14" s="152"/>
      <c r="G14" s="44"/>
      <c r="H14"/>
      <c r="I14"/>
      <c r="J14"/>
      <c r="K1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</row>
    <row r="15" spans="1:24" ht="15.75">
      <c r="A15" s="128"/>
      <c r="B15" s="123"/>
      <c r="C15" s="123"/>
      <c r="D15" s="123"/>
      <c r="E15" s="129"/>
      <c r="G15" s="44"/>
      <c r="H15"/>
      <c r="I15"/>
      <c r="J15"/>
      <c r="K15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</row>
    <row r="16" spans="1:24" ht="15.75">
      <c r="A16" s="221" t="s">
        <v>11</v>
      </c>
      <c r="B16" s="122" t="s">
        <v>12</v>
      </c>
      <c r="C16" s="122" t="s">
        <v>177</v>
      </c>
      <c r="D16" s="122" t="s">
        <v>4</v>
      </c>
      <c r="E16" s="241" t="s">
        <v>13</v>
      </c>
      <c r="G16" s="44"/>
      <c r="H16"/>
      <c r="I16"/>
      <c r="J16"/>
      <c r="K16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</row>
    <row r="17" spans="1:24" ht="15.75">
      <c r="A17" s="128"/>
      <c r="B17" s="123">
        <v>3</v>
      </c>
      <c r="C17" s="222">
        <v>1</v>
      </c>
      <c r="D17" s="123">
        <v>2</v>
      </c>
      <c r="E17" s="129">
        <v>1</v>
      </c>
      <c r="G17" s="44"/>
      <c r="H17"/>
      <c r="I17"/>
      <c r="J17"/>
      <c r="K17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</row>
    <row r="18" spans="1:24" ht="15.75">
      <c r="A18" s="128"/>
      <c r="B18" s="123"/>
      <c r="C18" s="222"/>
      <c r="D18" s="123"/>
      <c r="E18" s="129"/>
      <c r="G18" s="44"/>
      <c r="H18"/>
      <c r="I18"/>
      <c r="J18"/>
      <c r="K18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</row>
    <row r="19" spans="1:24" ht="15.75">
      <c r="A19" s="128">
        <v>1</v>
      </c>
      <c r="B19" s="223">
        <v>0</v>
      </c>
      <c r="C19" s="224">
        <v>1</v>
      </c>
      <c r="D19" s="123">
        <v>0</v>
      </c>
      <c r="E19" s="225" t="s">
        <v>14</v>
      </c>
      <c r="G19" s="44"/>
      <c r="H19"/>
      <c r="I19"/>
      <c r="J19"/>
      <c r="K19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</row>
    <row r="20" spans="1:24" ht="15.75">
      <c r="A20" s="128">
        <v>2</v>
      </c>
      <c r="B20" s="223">
        <v>1.4999999999999999E-2</v>
      </c>
      <c r="C20" s="224">
        <v>1.1000000000000001</v>
      </c>
      <c r="D20" s="123">
        <v>120</v>
      </c>
      <c r="E20" s="225" t="s">
        <v>15</v>
      </c>
      <c r="G20" s="44"/>
      <c r="H20"/>
      <c r="I20"/>
      <c r="J20"/>
      <c r="K20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</row>
    <row r="21" spans="1:24" ht="15.75">
      <c r="A21" s="128">
        <v>3</v>
      </c>
      <c r="B21" s="223">
        <v>0.03</v>
      </c>
      <c r="C21" s="123"/>
      <c r="D21" s="123"/>
      <c r="E21" s="225" t="s">
        <v>16</v>
      </c>
      <c r="G21" s="44"/>
      <c r="H21"/>
      <c r="I21"/>
      <c r="J21"/>
      <c r="K21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</row>
    <row r="22" spans="1:24" ht="15.75">
      <c r="A22" s="128">
        <v>4</v>
      </c>
      <c r="B22" s="223">
        <v>4.4999999999999998E-2</v>
      </c>
      <c r="C22" s="123"/>
      <c r="D22" s="123"/>
      <c r="E22" s="225"/>
      <c r="G22" s="44"/>
      <c r="H22"/>
      <c r="I22"/>
      <c r="J22"/>
      <c r="K22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</row>
    <row r="23" spans="1:24" ht="16.5" thickBot="1">
      <c r="A23" s="226" t="s">
        <v>17</v>
      </c>
      <c r="B23" s="227">
        <f>INDEX(B19:B22,B17)</f>
        <v>0.03</v>
      </c>
      <c r="C23" s="228">
        <f>INDEX(C19:C22,C17)</f>
        <v>1</v>
      </c>
      <c r="D23" s="229">
        <f>INDEX(D19:D22,D17)</f>
        <v>120</v>
      </c>
      <c r="E23" s="230" t="str">
        <f>INDEX(E19:E22,E17)</f>
        <v>Base</v>
      </c>
      <c r="G23" s="44"/>
      <c r="H23"/>
      <c r="I23"/>
      <c r="J23"/>
      <c r="K2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</row>
    <row r="24" spans="1:24" ht="15.75">
      <c r="A24" s="91"/>
      <c r="B24" s="91"/>
      <c r="C24" s="91"/>
      <c r="D24" s="91"/>
      <c r="E24" s="44"/>
      <c r="F24" s="44"/>
      <c r="G24" s="44"/>
      <c r="H24" s="44"/>
      <c r="I24" s="44"/>
      <c r="J24" s="44"/>
      <c r="K24" s="44"/>
      <c r="L24" s="44"/>
      <c r="M24" s="44"/>
      <c r="N24" s="44"/>
      <c r="T24" s="44"/>
      <c r="U24" s="44"/>
      <c r="V24" s="44"/>
      <c r="W24" s="44"/>
      <c r="X24" s="44"/>
    </row>
    <row r="25" spans="1:24" ht="16.5" thickBot="1">
      <c r="A25" s="91"/>
      <c r="B25" s="91"/>
      <c r="C25" s="91"/>
      <c r="D25" s="91"/>
      <c r="E25" s="44"/>
      <c r="F25" s="44"/>
      <c r="G25" s="44"/>
      <c r="H25" s="44"/>
      <c r="I25" s="44"/>
      <c r="J25" s="44"/>
      <c r="K25" s="44"/>
      <c r="L25" s="44"/>
      <c r="M25" s="44"/>
      <c r="N25" s="44"/>
      <c r="T25" s="44"/>
      <c r="U25" s="44"/>
      <c r="V25" s="44"/>
      <c r="W25" s="44"/>
      <c r="X25" s="44"/>
    </row>
    <row r="26" spans="1:24" ht="20.25">
      <c r="A26" s="247"/>
      <c r="B26" s="37"/>
      <c r="C26" s="248" t="s">
        <v>178</v>
      </c>
      <c r="D26" s="242" t="s">
        <v>6</v>
      </c>
      <c r="E26" s="243"/>
      <c r="F26" s="219"/>
      <c r="G26" s="219"/>
      <c r="H26" s="44"/>
      <c r="I26" s="44"/>
      <c r="J26" s="44"/>
      <c r="K26" s="44"/>
      <c r="L26" s="44"/>
      <c r="M26" s="44"/>
      <c r="N26" s="44"/>
      <c r="T26" s="44"/>
      <c r="U26" s="44"/>
      <c r="V26" s="44"/>
      <c r="W26" s="44"/>
      <c r="X26" s="44"/>
    </row>
    <row r="27" spans="1:24" ht="16.5" thickBot="1">
      <c r="A27" s="130"/>
      <c r="B27" s="41"/>
      <c r="C27" s="244" t="s">
        <v>7</v>
      </c>
      <c r="D27" s="244" t="s">
        <v>8</v>
      </c>
      <c r="E27" s="245" t="s">
        <v>9</v>
      </c>
      <c r="F27" s="15"/>
      <c r="G27" s="15"/>
      <c r="H27"/>
      <c r="I27"/>
      <c r="J27"/>
      <c r="K27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</row>
    <row r="28" spans="1:24" ht="16.5" thickBot="1">
      <c r="A28" s="249" t="s">
        <v>165</v>
      </c>
      <c r="B28" s="250"/>
      <c r="C28" s="251" t="e">
        <f>CF!#REF!</f>
        <v>#REF!</v>
      </c>
      <c r="D28" s="252">
        <f>Debt!J114</f>
        <v>0</v>
      </c>
      <c r="E28" s="253">
        <f>Debt!J113</f>
        <v>0</v>
      </c>
      <c r="F28" s="15"/>
      <c r="G28" s="15"/>
      <c r="H28"/>
      <c r="I28"/>
      <c r="J28"/>
      <c r="K28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</row>
    <row r="29" spans="1:24" ht="15.75">
      <c r="H29"/>
      <c r="I29"/>
      <c r="J29"/>
      <c r="K29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</row>
    <row r="30" spans="1:24" ht="15.75">
      <c r="A30"/>
      <c r="B30"/>
      <c r="C30"/>
      <c r="D30"/>
      <c r="E30"/>
      <c r="H30"/>
      <c r="I30"/>
      <c r="J30"/>
      <c r="K30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</row>
    <row r="31" spans="1:24" ht="13.5" thickBot="1">
      <c r="A31"/>
      <c r="B31"/>
      <c r="C31"/>
      <c r="D31"/>
      <c r="E31"/>
    </row>
    <row r="32" spans="1:24" ht="15.75">
      <c r="A32" s="276" t="s">
        <v>196</v>
      </c>
      <c r="B32" s="37"/>
      <c r="C32" s="248" t="s">
        <v>178</v>
      </c>
      <c r="D32" s="242" t="s">
        <v>6</v>
      </c>
      <c r="E32" s="243"/>
    </row>
    <row r="33" spans="1:5" ht="16.5" thickBot="1">
      <c r="A33" s="180" t="s">
        <v>179</v>
      </c>
      <c r="B33" s="218" t="s">
        <v>180</v>
      </c>
      <c r="C33" s="218" t="s">
        <v>7</v>
      </c>
      <c r="D33" s="218" t="s">
        <v>8</v>
      </c>
      <c r="E33" s="246" t="s">
        <v>9</v>
      </c>
    </row>
    <row r="34" spans="1:5" ht="15.75">
      <c r="A34" s="254"/>
      <c r="B34" s="37"/>
      <c r="C34" s="255"/>
      <c r="D34" s="256"/>
      <c r="E34" s="257"/>
    </row>
    <row r="35" spans="1:5">
      <c r="A35" s="40"/>
      <c r="B35" s="15"/>
      <c r="C35" s="15"/>
      <c r="D35" s="15"/>
      <c r="E35" s="39"/>
    </row>
    <row r="36" spans="1:5">
      <c r="A36" s="40"/>
      <c r="B36" s="15"/>
      <c r="C36" s="15"/>
      <c r="D36" s="15"/>
      <c r="E36" s="39"/>
    </row>
    <row r="37" spans="1:5">
      <c r="A37" s="40"/>
      <c r="B37" s="15"/>
      <c r="C37" s="15"/>
      <c r="D37" s="15"/>
      <c r="E37" s="39"/>
    </row>
    <row r="38" spans="1:5" ht="13.5" thickBot="1">
      <c r="A38" s="258"/>
      <c r="B38" s="41"/>
      <c r="C38" s="41"/>
      <c r="D38" s="41"/>
      <c r="E38" s="105"/>
    </row>
  </sheetData>
  <pageMargins left="0.75" right="0.75" top="1" bottom="1" header="0.5" footer="0.5"/>
  <pageSetup scale="51" orientation="landscape" r:id="rId1"/>
  <headerFooter alignWithMargins="0">
    <oddHeader>&amp;A</oddHeader>
    <oddFooter>&amp;L&amp;T, &amp;D&amp;C&amp;F&amp;RPage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47625</xdr:rowOff>
                  </from>
                  <to>
                    <xdr:col>1</xdr:col>
                    <xdr:colOff>1552575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defaultSize="0" autoFill="0" autoLine="0" autoPict="0">
                <anchor moveWithCells="1">
                  <from>
                    <xdr:col>1</xdr:col>
                    <xdr:colOff>0</xdr:colOff>
                    <xdr:row>8</xdr:row>
                    <xdr:rowOff>9525</xdr:rowOff>
                  </from>
                  <to>
                    <xdr:col>1</xdr:col>
                    <xdr:colOff>1543050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Drop Down 6">
              <controlPr defaultSize="0" autoFill="0" autoLine="0" autoPict="0">
                <anchor moveWithCells="1">
                  <from>
                    <xdr:col>1</xdr:col>
                    <xdr:colOff>0</xdr:colOff>
                    <xdr:row>9</xdr:row>
                    <xdr:rowOff>190500</xdr:rowOff>
                  </from>
                  <to>
                    <xdr:col>1</xdr:col>
                    <xdr:colOff>1543050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Drop Down 7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180975</xdr:rowOff>
                  </from>
                  <to>
                    <xdr:col>1</xdr:col>
                    <xdr:colOff>1543050</xdr:colOff>
                    <xdr:row>12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>
    <pageSetUpPr fitToPage="1"/>
  </sheetPr>
  <dimension ref="A1:AF313"/>
  <sheetViews>
    <sheetView showGridLines="0" topLeftCell="C14" zoomScaleNormal="75" workbookViewId="0">
      <selection activeCell="E23" sqref="E23"/>
    </sheetView>
  </sheetViews>
  <sheetFormatPr defaultColWidth="10.5703125" defaultRowHeight="11.25"/>
  <cols>
    <col min="1" max="1" width="13.42578125" style="461" bestFit="1" customWidth="1"/>
    <col min="2" max="2" width="10.5703125" style="461"/>
    <col min="3" max="3" width="18.28515625" style="461" bestFit="1" customWidth="1"/>
    <col min="4" max="4" width="17" style="461" customWidth="1"/>
    <col min="5" max="5" width="19.140625" style="461" bestFit="1" customWidth="1"/>
    <col min="6" max="6" width="18.140625" style="461" customWidth="1"/>
    <col min="7" max="8" width="17" style="461" bestFit="1" customWidth="1"/>
    <col min="9" max="9" width="16.140625" style="461" bestFit="1" customWidth="1"/>
    <col min="10" max="16" width="10.5703125" style="461"/>
    <col min="17" max="16384" width="10.5703125" style="463"/>
  </cols>
  <sheetData>
    <row r="1" spans="1:32" ht="20.25">
      <c r="A1" s="513" t="str">
        <f>Assumptions!B3</f>
        <v>PROJECT NAME: SANTEE COOPER</v>
      </c>
      <c r="B1" s="514"/>
      <c r="C1" s="515"/>
      <c r="D1" s="516"/>
      <c r="E1" s="517"/>
      <c r="F1" s="459"/>
      <c r="G1" s="460"/>
      <c r="Q1" s="462"/>
      <c r="R1" s="462"/>
    </row>
    <row r="2" spans="1:32" ht="12.75">
      <c r="A2" s="518" t="s">
        <v>341</v>
      </c>
      <c r="B2" s="519"/>
      <c r="C2" s="520"/>
      <c r="D2" s="521"/>
      <c r="E2" s="517"/>
      <c r="F2" s="459"/>
      <c r="G2" s="460"/>
      <c r="Q2" s="462"/>
      <c r="R2" s="462"/>
    </row>
    <row r="3" spans="1:32" ht="12.75">
      <c r="A3" s="13"/>
      <c r="B3" s="13"/>
      <c r="C3" s="42"/>
      <c r="D3" s="459"/>
      <c r="E3" s="459"/>
      <c r="F3" s="459"/>
      <c r="G3" s="460"/>
      <c r="Q3" s="462"/>
      <c r="R3" s="462"/>
    </row>
    <row r="4" spans="1:32" ht="11.45" customHeight="1">
      <c r="A4" s="464" t="s">
        <v>329</v>
      </c>
      <c r="B4" s="464"/>
      <c r="C4" s="459"/>
      <c r="D4" s="459"/>
      <c r="E4" s="459"/>
      <c r="F4" s="459"/>
      <c r="G4" s="460"/>
      <c r="Q4" s="462"/>
      <c r="R4" s="462"/>
    </row>
    <row r="5" spans="1:32" ht="11.45" customHeight="1">
      <c r="D5" s="465"/>
      <c r="E5" s="465"/>
      <c r="F5" s="465"/>
      <c r="G5" s="460"/>
      <c r="Q5" s="462"/>
      <c r="R5" s="462"/>
    </row>
    <row r="6" spans="1:32" ht="11.45" customHeight="1">
      <c r="A6" s="466"/>
      <c r="B6" s="467"/>
      <c r="C6" s="468"/>
      <c r="D6" s="469"/>
      <c r="E6" s="470"/>
      <c r="F6" s="459"/>
      <c r="Q6" s="462"/>
      <c r="R6" s="462"/>
    </row>
    <row r="7" spans="1:32" ht="11.45" customHeight="1">
      <c r="A7" s="471"/>
      <c r="B7" s="464"/>
      <c r="C7" s="472"/>
      <c r="D7" s="473"/>
      <c r="E7" s="602"/>
      <c r="Q7" s="462"/>
      <c r="R7" s="462"/>
    </row>
    <row r="8" spans="1:32" ht="11.45" customHeight="1">
      <c r="A8" s="471" t="s">
        <v>330</v>
      </c>
      <c r="B8" s="464"/>
      <c r="C8" s="472"/>
      <c r="D8" s="475">
        <f>Assumptions!C68</f>
        <v>7.8299999999999995E-2</v>
      </c>
      <c r="E8" s="476"/>
      <c r="Q8" s="462"/>
      <c r="R8" s="462"/>
    </row>
    <row r="9" spans="1:32">
      <c r="A9" s="471" t="s">
        <v>331</v>
      </c>
      <c r="B9" s="464"/>
      <c r="C9" s="472"/>
      <c r="D9" s="522">
        <v>9</v>
      </c>
      <c r="E9" s="474"/>
      <c r="Q9" s="462"/>
      <c r="R9" s="462"/>
    </row>
    <row r="10" spans="1:32" ht="11.45" customHeight="1">
      <c r="A10" s="471" t="s">
        <v>332</v>
      </c>
      <c r="B10" s="464"/>
      <c r="C10" s="472"/>
      <c r="D10" s="475">
        <f>D8/12</f>
        <v>6.5249999999999996E-3</v>
      </c>
      <c r="E10" s="472"/>
      <c r="Q10" s="462"/>
      <c r="R10" s="462"/>
    </row>
    <row r="11" spans="1:32" ht="11.45" customHeight="1">
      <c r="A11" s="477"/>
      <c r="B11" s="472"/>
      <c r="C11" s="472"/>
      <c r="D11" s="478"/>
      <c r="E11" s="474"/>
      <c r="Q11" s="462"/>
      <c r="R11" s="462"/>
    </row>
    <row r="12" spans="1:32" ht="11.45" customHeight="1">
      <c r="A12" s="604"/>
      <c r="B12" s="605"/>
      <c r="C12" s="606"/>
      <c r="D12" s="607"/>
      <c r="E12" s="472"/>
      <c r="Q12" s="462"/>
      <c r="R12" s="462"/>
    </row>
    <row r="13" spans="1:32" ht="11.45" customHeight="1">
      <c r="A13" s="477"/>
      <c r="B13" s="472"/>
      <c r="C13" s="472"/>
      <c r="D13" s="478"/>
      <c r="E13" s="479"/>
      <c r="G13" s="480"/>
      <c r="Q13" s="462"/>
      <c r="R13" s="462"/>
    </row>
    <row r="14" spans="1:32" ht="11.45" customHeight="1">
      <c r="A14" s="471"/>
      <c r="B14" s="464"/>
      <c r="C14" s="472"/>
      <c r="D14" s="603"/>
      <c r="E14" s="464"/>
      <c r="Q14" s="462"/>
      <c r="R14" s="462"/>
    </row>
    <row r="15" spans="1:32" ht="11.45" customHeight="1">
      <c r="A15" s="481"/>
      <c r="B15" s="482"/>
      <c r="C15" s="482"/>
      <c r="D15" s="483"/>
      <c r="E15" s="484"/>
      <c r="Q15" s="462"/>
      <c r="R15" s="462"/>
    </row>
    <row r="16" spans="1:32" ht="11.45" customHeight="1">
      <c r="A16" s="485" t="s">
        <v>333</v>
      </c>
      <c r="B16" s="486"/>
      <c r="C16" s="487"/>
      <c r="D16" s="488">
        <f>+I42</f>
        <v>2914.1231829842573</v>
      </c>
      <c r="E16" s="484"/>
      <c r="H16" s="489"/>
      <c r="I16" s="489"/>
      <c r="J16" s="489"/>
      <c r="K16" s="489"/>
      <c r="L16" s="489"/>
      <c r="M16" s="489"/>
      <c r="N16" s="489"/>
      <c r="O16" s="489"/>
      <c r="P16" s="489"/>
      <c r="Q16" s="490"/>
      <c r="R16" s="490"/>
      <c r="S16" s="490"/>
      <c r="T16" s="490"/>
      <c r="U16" s="490"/>
      <c r="V16" s="490"/>
      <c r="W16" s="490"/>
      <c r="X16" s="490"/>
      <c r="Y16" s="490"/>
      <c r="Z16" s="490"/>
      <c r="AA16" s="490"/>
      <c r="AB16" s="490"/>
      <c r="AC16" s="490"/>
      <c r="AD16" s="490"/>
      <c r="AE16" s="490"/>
      <c r="AF16" s="490"/>
    </row>
    <row r="17" spans="1:26" ht="11.45" customHeight="1">
      <c r="A17" s="464"/>
      <c r="B17" s="464"/>
      <c r="C17" s="472"/>
      <c r="D17" s="484"/>
      <c r="E17" s="484"/>
      <c r="G17" s="569">
        <f>+G15*G14*225</f>
        <v>0</v>
      </c>
      <c r="Q17" s="461"/>
      <c r="R17" s="461"/>
      <c r="S17" s="461"/>
      <c r="T17" s="461"/>
      <c r="U17" s="461"/>
      <c r="V17" s="461"/>
      <c r="W17" s="461"/>
      <c r="X17" s="461"/>
      <c r="Y17" s="461"/>
      <c r="Z17" s="461"/>
    </row>
    <row r="18" spans="1:26" ht="22.5" customHeight="1">
      <c r="A18" s="464" t="s">
        <v>359</v>
      </c>
      <c r="B18" s="464"/>
      <c r="C18" s="557">
        <f>+Assumptions!E59</f>
        <v>36739</v>
      </c>
      <c r="D18" s="484"/>
      <c r="E18" s="484">
        <f>SUM(Assumptions!D21:D30)</f>
        <v>52010</v>
      </c>
      <c r="G18" s="491"/>
      <c r="H18" s="559"/>
      <c r="I18" s="560"/>
      <c r="J18" s="560"/>
      <c r="K18" s="560"/>
      <c r="L18" s="560"/>
      <c r="M18" s="560"/>
      <c r="N18" s="560"/>
      <c r="O18" s="560"/>
      <c r="P18" s="560"/>
      <c r="Q18" s="560"/>
      <c r="R18" s="560"/>
      <c r="S18" s="560"/>
      <c r="T18" s="560"/>
      <c r="U18" s="560"/>
      <c r="V18" s="560"/>
      <c r="W18" s="560"/>
      <c r="X18" s="560"/>
      <c r="Y18" s="560"/>
      <c r="Z18" s="560"/>
    </row>
    <row r="19" spans="1:26" ht="11.45" customHeight="1">
      <c r="A19" s="492" t="s">
        <v>334</v>
      </c>
      <c r="C19" s="493" t="s">
        <v>335</v>
      </c>
      <c r="D19" s="461" t="s">
        <v>392</v>
      </c>
      <c r="E19" s="461" t="s">
        <v>393</v>
      </c>
      <c r="F19" s="492" t="s">
        <v>336</v>
      </c>
      <c r="G19" s="494" t="s">
        <v>394</v>
      </c>
      <c r="H19" s="492" t="s">
        <v>337</v>
      </c>
      <c r="I19" s="495" t="s">
        <v>338</v>
      </c>
      <c r="Q19" s="462"/>
    </row>
    <row r="20" spans="1:26">
      <c r="A20" s="496"/>
      <c r="C20" s="496"/>
      <c r="F20" s="496"/>
      <c r="G20" s="496"/>
      <c r="H20" s="497"/>
      <c r="I20" s="498"/>
    </row>
    <row r="21" spans="1:26" ht="11.45" customHeight="1">
      <c r="A21" s="496"/>
      <c r="C21" s="496"/>
      <c r="F21" s="496"/>
      <c r="G21" s="496"/>
      <c r="H21" s="497"/>
      <c r="I21" s="498"/>
    </row>
    <row r="22" spans="1:26" ht="11.45" customHeight="1">
      <c r="A22" s="499">
        <v>0</v>
      </c>
      <c r="C22" s="499"/>
      <c r="F22" s="496">
        <v>0</v>
      </c>
      <c r="G22" s="496"/>
      <c r="H22" s="496">
        <v>0</v>
      </c>
      <c r="I22" s="478">
        <v>0</v>
      </c>
    </row>
    <row r="23" spans="1:26" ht="11.45" customHeight="1">
      <c r="A23" s="499">
        <v>1</v>
      </c>
      <c r="B23" s="600">
        <f>+C18</f>
        <v>36739</v>
      </c>
      <c r="C23" s="556">
        <f>+E23/$E$44</f>
        <v>4.6786643682736051E-2</v>
      </c>
      <c r="E23" s="601">
        <f>+$E$18/$D$9</f>
        <v>5778.8888888888887</v>
      </c>
      <c r="F23" s="500">
        <f>+E23+D23</f>
        <v>5778.8888888888887</v>
      </c>
      <c r="G23" s="500">
        <f>G22+F23+H23</f>
        <v>5797.7425138888884</v>
      </c>
      <c r="H23" s="500">
        <f>IF(A23&gt;D$9,0,(F23/2+G22)*$D$10)</f>
        <v>18.853624999999997</v>
      </c>
      <c r="I23" s="501">
        <f>H23</f>
        <v>18.853624999999997</v>
      </c>
    </row>
    <row r="24" spans="1:26" ht="11.45" customHeight="1">
      <c r="A24" s="499">
        <f t="shared" ref="A24:A42" si="0">A23+1</f>
        <v>2</v>
      </c>
      <c r="B24" s="560">
        <v>36770</v>
      </c>
      <c r="C24" s="556">
        <f t="shared" ref="C24:C42" si="1">+E24/$E$44</f>
        <v>4.6786643682736051E-2</v>
      </c>
      <c r="E24" s="601">
        <f t="shared" ref="E24:E31" si="2">+$E$18/$D$9</f>
        <v>5778.8888888888887</v>
      </c>
      <c r="F24" s="500">
        <f t="shared" ref="F24:F42" si="3">+E24+D24</f>
        <v>5778.8888888888887</v>
      </c>
      <c r="G24" s="500">
        <f t="shared" ref="G24:G42" si="4">G23+F24+H24</f>
        <v>11633.315297680901</v>
      </c>
      <c r="H24" s="500">
        <f t="shared" ref="H24:H42" si="5">IF(A24&gt;D$9,0,(F24/2+G23)*$D$10)</f>
        <v>56.683894903124987</v>
      </c>
      <c r="I24" s="501">
        <f t="shared" ref="I24:I42" si="6">IF(A24&lt;=$D$9,H24+I23,I23)</f>
        <v>75.537519903124988</v>
      </c>
    </row>
    <row r="25" spans="1:26" ht="11.45" customHeight="1">
      <c r="A25" s="499">
        <f t="shared" si="0"/>
        <v>3</v>
      </c>
      <c r="B25" s="560">
        <v>36800</v>
      </c>
      <c r="C25" s="556">
        <f t="shared" si="1"/>
        <v>4.6786643682736051E-2</v>
      </c>
      <c r="D25" s="601">
        <v>0</v>
      </c>
      <c r="E25" s="601">
        <f t="shared" si="2"/>
        <v>5778.8888888888887</v>
      </c>
      <c r="F25" s="500">
        <f>+E25+D25</f>
        <v>5778.8888888888887</v>
      </c>
      <c r="G25" s="500">
        <f t="shared" si="4"/>
        <v>17506.965193887158</v>
      </c>
      <c r="H25" s="500">
        <f t="shared" si="5"/>
        <v>94.76100731736787</v>
      </c>
      <c r="I25" s="501">
        <f t="shared" si="6"/>
        <v>170.29852722049287</v>
      </c>
    </row>
    <row r="26" spans="1:26" ht="11.45" customHeight="1">
      <c r="A26" s="499">
        <f t="shared" si="0"/>
        <v>4</v>
      </c>
      <c r="B26" s="560">
        <v>36831</v>
      </c>
      <c r="C26" s="556">
        <f t="shared" si="1"/>
        <v>4.6786643682736051E-2</v>
      </c>
      <c r="D26" s="601">
        <v>0</v>
      </c>
      <c r="E26" s="601">
        <f t="shared" si="2"/>
        <v>5778.8888888888887</v>
      </c>
      <c r="F26" s="500">
        <f>+E26+D26</f>
        <v>5778.8888888888887</v>
      </c>
      <c r="G26" s="500">
        <f t="shared" si="4"/>
        <v>23418.94065566616</v>
      </c>
      <c r="H26" s="500">
        <f t="shared" si="5"/>
        <v>133.0865728901137</v>
      </c>
      <c r="I26" s="501">
        <f t="shared" si="6"/>
        <v>303.38510011060657</v>
      </c>
    </row>
    <row r="27" spans="1:26" ht="11.45" customHeight="1">
      <c r="A27" s="499">
        <f t="shared" si="0"/>
        <v>5</v>
      </c>
      <c r="B27" s="560">
        <v>36861</v>
      </c>
      <c r="C27" s="556">
        <f t="shared" si="1"/>
        <v>4.6786643682736051E-2</v>
      </c>
      <c r="E27" s="601">
        <f t="shared" si="2"/>
        <v>5778.8888888888887</v>
      </c>
      <c r="F27" s="500">
        <f>+E27+D27</f>
        <v>5778.8888888888887</v>
      </c>
      <c r="G27" s="500">
        <f t="shared" si="4"/>
        <v>29369.491757333268</v>
      </c>
      <c r="H27" s="500">
        <f t="shared" si="5"/>
        <v>171.66221277822169</v>
      </c>
      <c r="I27" s="501">
        <f t="shared" si="6"/>
        <v>475.04731288882829</v>
      </c>
    </row>
    <row r="28" spans="1:26" ht="11.45" customHeight="1">
      <c r="A28" s="499">
        <f t="shared" si="0"/>
        <v>6</v>
      </c>
      <c r="B28" s="560">
        <v>36892</v>
      </c>
      <c r="C28" s="556">
        <f t="shared" si="1"/>
        <v>4.6786643682736051E-2</v>
      </c>
      <c r="D28" s="689">
        <f>+$E$55*$E$69</f>
        <v>28509.516659052773</v>
      </c>
      <c r="E28" s="601">
        <f t="shared" si="2"/>
        <v>5778.8888888888887</v>
      </c>
      <c r="F28" s="500">
        <f>+E28+D28</f>
        <v>34288.405547941664</v>
      </c>
      <c r="G28" s="500">
        <f t="shared" si="4"/>
        <v>63961.399162091693</v>
      </c>
      <c r="H28" s="500">
        <f t="shared" si="5"/>
        <v>303.50185681675924</v>
      </c>
      <c r="I28" s="501">
        <f t="shared" si="6"/>
        <v>778.54916970558747</v>
      </c>
    </row>
    <row r="29" spans="1:26" ht="11.45" customHeight="1">
      <c r="A29" s="499">
        <f t="shared" si="0"/>
        <v>7</v>
      </c>
      <c r="B29" s="560">
        <v>36923</v>
      </c>
      <c r="C29" s="556">
        <f t="shared" si="1"/>
        <v>4.6786643682736051E-2</v>
      </c>
      <c r="D29" s="689">
        <f>+$F$69*$F$55</f>
        <v>42996.265496127955</v>
      </c>
      <c r="E29" s="601">
        <f t="shared" si="2"/>
        <v>5778.8888888888887</v>
      </c>
      <c r="F29" s="500">
        <f>+E29+D29</f>
        <v>48775.154385016845</v>
      </c>
      <c r="G29" s="500">
        <f t="shared" si="4"/>
        <v>113313.03061782231</v>
      </c>
      <c r="H29" s="500">
        <f t="shared" si="5"/>
        <v>576.47707071376578</v>
      </c>
      <c r="I29" s="501">
        <f t="shared" si="6"/>
        <v>1355.0262404193531</v>
      </c>
    </row>
    <row r="30" spans="1:26" ht="11.45" customHeight="1">
      <c r="A30" s="499">
        <f t="shared" si="0"/>
        <v>8</v>
      </c>
      <c r="B30" s="560">
        <v>36951</v>
      </c>
      <c r="C30" s="556">
        <f t="shared" si="1"/>
        <v>4.6786643682736051E-2</v>
      </c>
      <c r="E30" s="601">
        <f t="shared" si="2"/>
        <v>5778.8888888888887</v>
      </c>
      <c r="F30" s="500">
        <f t="shared" si="3"/>
        <v>5778.8888888888887</v>
      </c>
      <c r="G30" s="500">
        <f t="shared" si="4"/>
        <v>119850.1406564925</v>
      </c>
      <c r="H30" s="500">
        <f t="shared" si="5"/>
        <v>758.22114978129048</v>
      </c>
      <c r="I30" s="501">
        <f t="shared" si="6"/>
        <v>2113.2473902006436</v>
      </c>
    </row>
    <row r="31" spans="1:26" ht="11.45" customHeight="1">
      <c r="A31" s="499">
        <f t="shared" si="0"/>
        <v>9</v>
      </c>
      <c r="B31" s="560">
        <v>36982</v>
      </c>
      <c r="C31" s="556">
        <f t="shared" si="1"/>
        <v>4.6786643682736051E-2</v>
      </c>
      <c r="E31" s="601">
        <f t="shared" si="2"/>
        <v>5778.8888888888887</v>
      </c>
      <c r="F31" s="500">
        <f t="shared" si="3"/>
        <v>5778.8888888888887</v>
      </c>
      <c r="G31" s="500">
        <f t="shared" si="4"/>
        <v>126429.905338165</v>
      </c>
      <c r="H31" s="500">
        <f t="shared" si="5"/>
        <v>800.87579278361341</v>
      </c>
      <c r="I31" s="501">
        <f t="shared" si="6"/>
        <v>2914.1231829842573</v>
      </c>
    </row>
    <row r="32" spans="1:26" ht="11.45" customHeight="1">
      <c r="A32" s="499">
        <f t="shared" si="0"/>
        <v>10</v>
      </c>
      <c r="B32" s="560">
        <v>37012</v>
      </c>
      <c r="C32" s="556">
        <f t="shared" si="1"/>
        <v>0</v>
      </c>
      <c r="E32" s="601"/>
      <c r="F32" s="500">
        <f t="shared" si="3"/>
        <v>0</v>
      </c>
      <c r="G32" s="500">
        <f t="shared" si="4"/>
        <v>126429.905338165</v>
      </c>
      <c r="H32" s="500">
        <f t="shared" si="5"/>
        <v>0</v>
      </c>
      <c r="I32" s="501">
        <f t="shared" si="6"/>
        <v>2914.1231829842573</v>
      </c>
    </row>
    <row r="33" spans="1:17" ht="11.45" customHeight="1">
      <c r="A33" s="499">
        <f t="shared" si="0"/>
        <v>11</v>
      </c>
      <c r="B33" s="560">
        <v>37043</v>
      </c>
      <c r="C33" s="556">
        <f t="shared" si="1"/>
        <v>0</v>
      </c>
      <c r="E33" s="601"/>
      <c r="F33" s="500">
        <f t="shared" si="3"/>
        <v>0</v>
      </c>
      <c r="G33" s="500">
        <f t="shared" si="4"/>
        <v>126429.905338165</v>
      </c>
      <c r="H33" s="500">
        <f t="shared" si="5"/>
        <v>0</v>
      </c>
      <c r="I33" s="501">
        <f t="shared" si="6"/>
        <v>2914.1231829842573</v>
      </c>
    </row>
    <row r="34" spans="1:17" ht="11.45" customHeight="1">
      <c r="A34" s="499">
        <f t="shared" si="0"/>
        <v>12</v>
      </c>
      <c r="B34" s="560">
        <v>37073</v>
      </c>
      <c r="C34" s="556">
        <f t="shared" si="1"/>
        <v>0</v>
      </c>
      <c r="E34" s="601"/>
      <c r="F34" s="500">
        <f t="shared" si="3"/>
        <v>0</v>
      </c>
      <c r="G34" s="500">
        <f t="shared" si="4"/>
        <v>126429.905338165</v>
      </c>
      <c r="H34" s="500">
        <f t="shared" si="5"/>
        <v>0</v>
      </c>
      <c r="I34" s="501">
        <f t="shared" si="6"/>
        <v>2914.1231829842573</v>
      </c>
    </row>
    <row r="35" spans="1:17" ht="11.45" customHeight="1">
      <c r="A35" s="499">
        <f t="shared" si="0"/>
        <v>13</v>
      </c>
      <c r="B35" s="560">
        <v>37104</v>
      </c>
      <c r="C35" s="556">
        <f t="shared" si="1"/>
        <v>0</v>
      </c>
      <c r="F35" s="500">
        <f t="shared" si="3"/>
        <v>0</v>
      </c>
      <c r="G35" s="500">
        <f t="shared" si="4"/>
        <v>126429.905338165</v>
      </c>
      <c r="H35" s="500">
        <f t="shared" si="5"/>
        <v>0</v>
      </c>
      <c r="I35" s="501">
        <f t="shared" si="6"/>
        <v>2914.1231829842573</v>
      </c>
    </row>
    <row r="36" spans="1:17" ht="11.45" customHeight="1">
      <c r="A36" s="499">
        <f t="shared" si="0"/>
        <v>14</v>
      </c>
      <c r="B36" s="560">
        <v>37135</v>
      </c>
      <c r="C36" s="556">
        <f t="shared" si="1"/>
        <v>0</v>
      </c>
      <c r="F36" s="500">
        <f t="shared" si="3"/>
        <v>0</v>
      </c>
      <c r="G36" s="500">
        <f t="shared" si="4"/>
        <v>126429.905338165</v>
      </c>
      <c r="H36" s="500">
        <f t="shared" si="5"/>
        <v>0</v>
      </c>
      <c r="I36" s="501">
        <f t="shared" si="6"/>
        <v>2914.1231829842573</v>
      </c>
    </row>
    <row r="37" spans="1:17" ht="11.45" customHeight="1">
      <c r="A37" s="499">
        <f t="shared" si="0"/>
        <v>15</v>
      </c>
      <c r="B37" s="560">
        <v>37165</v>
      </c>
      <c r="C37" s="556">
        <f t="shared" si="1"/>
        <v>0</v>
      </c>
      <c r="F37" s="500">
        <f t="shared" si="3"/>
        <v>0</v>
      </c>
      <c r="G37" s="500">
        <f t="shared" si="4"/>
        <v>126429.905338165</v>
      </c>
      <c r="H37" s="500">
        <f t="shared" si="5"/>
        <v>0</v>
      </c>
      <c r="I37" s="501">
        <f t="shared" si="6"/>
        <v>2914.1231829842573</v>
      </c>
    </row>
    <row r="38" spans="1:17" ht="11.45" customHeight="1">
      <c r="A38" s="499">
        <f t="shared" si="0"/>
        <v>16</v>
      </c>
      <c r="B38" s="560">
        <v>37196</v>
      </c>
      <c r="C38" s="556">
        <f t="shared" si="1"/>
        <v>0</v>
      </c>
      <c r="F38" s="500">
        <f t="shared" si="3"/>
        <v>0</v>
      </c>
      <c r="G38" s="500">
        <f t="shared" si="4"/>
        <v>126429.905338165</v>
      </c>
      <c r="H38" s="500">
        <f t="shared" si="5"/>
        <v>0</v>
      </c>
      <c r="I38" s="501">
        <f t="shared" si="6"/>
        <v>2914.1231829842573</v>
      </c>
    </row>
    <row r="39" spans="1:17" ht="11.45" customHeight="1">
      <c r="A39" s="499">
        <f t="shared" si="0"/>
        <v>17</v>
      </c>
      <c r="B39" s="560">
        <v>37226</v>
      </c>
      <c r="C39" s="556">
        <f t="shared" si="1"/>
        <v>0</v>
      </c>
      <c r="F39" s="500">
        <f t="shared" si="3"/>
        <v>0</v>
      </c>
      <c r="G39" s="500">
        <f t="shared" si="4"/>
        <v>126429.905338165</v>
      </c>
      <c r="H39" s="500">
        <f t="shared" si="5"/>
        <v>0</v>
      </c>
      <c r="I39" s="501">
        <f t="shared" si="6"/>
        <v>2914.1231829842573</v>
      </c>
    </row>
    <row r="40" spans="1:17" ht="11.45" customHeight="1">
      <c r="A40" s="499">
        <f t="shared" si="0"/>
        <v>18</v>
      </c>
      <c r="B40" s="560">
        <v>37257</v>
      </c>
      <c r="C40" s="556">
        <f t="shared" si="1"/>
        <v>0</v>
      </c>
      <c r="F40" s="500">
        <f t="shared" si="3"/>
        <v>0</v>
      </c>
      <c r="G40" s="500">
        <f t="shared" si="4"/>
        <v>126429.905338165</v>
      </c>
      <c r="H40" s="500">
        <f t="shared" si="5"/>
        <v>0</v>
      </c>
      <c r="I40" s="501">
        <f t="shared" si="6"/>
        <v>2914.1231829842573</v>
      </c>
    </row>
    <row r="41" spans="1:17" ht="11.45" customHeight="1">
      <c r="A41" s="499">
        <f t="shared" si="0"/>
        <v>19</v>
      </c>
      <c r="B41" s="560">
        <v>37288</v>
      </c>
      <c r="C41" s="556">
        <f t="shared" si="1"/>
        <v>0</v>
      </c>
      <c r="D41" s="477"/>
      <c r="E41" s="472"/>
      <c r="F41" s="500">
        <f t="shared" si="3"/>
        <v>0</v>
      </c>
      <c r="G41" s="500">
        <f t="shared" si="4"/>
        <v>126429.905338165</v>
      </c>
      <c r="H41" s="500">
        <f t="shared" si="5"/>
        <v>0</v>
      </c>
      <c r="I41" s="501">
        <f t="shared" si="6"/>
        <v>2914.1231829842573</v>
      </c>
    </row>
    <row r="42" spans="1:17" ht="11.45" customHeight="1">
      <c r="A42" s="502">
        <f t="shared" si="0"/>
        <v>20</v>
      </c>
      <c r="B42" s="560">
        <v>37135</v>
      </c>
      <c r="C42" s="556">
        <f t="shared" si="1"/>
        <v>0</v>
      </c>
      <c r="D42" s="481"/>
      <c r="E42" s="482"/>
      <c r="F42" s="503">
        <f t="shared" si="3"/>
        <v>0</v>
      </c>
      <c r="G42" s="503">
        <f t="shared" si="4"/>
        <v>126429.905338165</v>
      </c>
      <c r="H42" s="503">
        <f t="shared" si="5"/>
        <v>0</v>
      </c>
      <c r="I42" s="504">
        <f t="shared" si="6"/>
        <v>2914.1231829842573</v>
      </c>
    </row>
    <row r="43" spans="1:17" ht="11.45" customHeight="1">
      <c r="A43"/>
      <c r="B43" s="107">
        <f>SUM(C23:C42)</f>
        <v>0.42107979314462446</v>
      </c>
      <c r="D43" s="601">
        <f>+SUM(D23:D42)</f>
        <v>71505.782155180728</v>
      </c>
      <c r="E43" s="51">
        <f>+SUM(E23:E42)</f>
        <v>52010.000000000007</v>
      </c>
      <c r="F43" s="583">
        <f>+SUM(F22:F42)</f>
        <v>123515.78215518073</v>
      </c>
      <c r="G43"/>
      <c r="H43"/>
      <c r="Q43" s="462"/>
    </row>
    <row r="44" spans="1:17" ht="11.45" customHeight="1">
      <c r="A44"/>
      <c r="B44"/>
      <c r="C44"/>
      <c r="D44"/>
      <c r="E44" s="583">
        <f>SUM(D43:E43)</f>
        <v>123515.78215518073</v>
      </c>
      <c r="F44"/>
      <c r="G44" s="14"/>
      <c r="H44" s="14"/>
      <c r="Q44" s="462"/>
    </row>
    <row r="45" spans="1:17" ht="11.45" customHeight="1">
      <c r="A45"/>
      <c r="B45"/>
      <c r="C45"/>
      <c r="D45"/>
      <c r="E45"/>
      <c r="F45"/>
      <c r="G45" s="14"/>
      <c r="H45" s="14"/>
      <c r="Q45" s="462"/>
    </row>
    <row r="46" spans="1:17" ht="11.45" customHeight="1">
      <c r="A46"/>
      <c r="B46"/>
      <c r="C46"/>
      <c r="D46"/>
      <c r="E46"/>
      <c r="F46"/>
      <c r="G46" s="14"/>
      <c r="H46" s="14"/>
      <c r="Q46" s="462"/>
    </row>
    <row r="47" spans="1:17" ht="11.45" customHeight="1">
      <c r="A47" s="50" t="s">
        <v>370</v>
      </c>
      <c r="C47" s="14"/>
      <c r="D47" s="14"/>
      <c r="E47" s="14"/>
      <c r="F47" s="14"/>
      <c r="G47" s="14"/>
      <c r="H47" s="14"/>
      <c r="Q47" s="462"/>
    </row>
    <row r="48" spans="1:17" ht="11.45" customHeight="1">
      <c r="A48" s="14" t="s">
        <v>371</v>
      </c>
      <c r="B48" s="14"/>
      <c r="C48" s="574">
        <v>14012</v>
      </c>
      <c r="D48" s="197" t="s">
        <v>25</v>
      </c>
      <c r="E48" s="575">
        <v>5</v>
      </c>
      <c r="F48" s="574">
        <f>C48*E48</f>
        <v>70060</v>
      </c>
      <c r="G48" s="14"/>
      <c r="H48" s="14"/>
      <c r="Q48" s="462"/>
    </row>
    <row r="49" spans="1:18" ht="11.45" customHeight="1">
      <c r="D49" s="14"/>
      <c r="E49" s="14"/>
      <c r="F49" s="14"/>
      <c r="G49" s="14"/>
      <c r="H49" s="14"/>
      <c r="Q49" s="462"/>
    </row>
    <row r="50" spans="1:18" ht="11.45" customHeight="1">
      <c r="A50" s="14" t="s">
        <v>372</v>
      </c>
      <c r="B50" s="14"/>
      <c r="C50" s="576">
        <v>5.7500000000000002E-2</v>
      </c>
      <c r="D50" s="576">
        <v>6.2500000000000003E-3</v>
      </c>
      <c r="E50" s="106">
        <f>C50+D50</f>
        <v>6.3750000000000001E-2</v>
      </c>
      <c r="F50" s="582">
        <f>E50/365.25</f>
        <v>1.7453798767967147E-4</v>
      </c>
      <c r="G50" s="14"/>
      <c r="H50" s="14"/>
      <c r="Q50" s="462"/>
    </row>
    <row r="51" spans="1:18" ht="11.45" customHeight="1">
      <c r="A51" s="577" t="s">
        <v>373</v>
      </c>
      <c r="B51" s="14"/>
      <c r="C51" s="14"/>
      <c r="D51" s="14"/>
      <c r="E51" s="197" t="s">
        <v>378</v>
      </c>
      <c r="F51" s="197" t="s">
        <v>379</v>
      </c>
      <c r="G51" s="14"/>
      <c r="H51" s="14"/>
      <c r="Q51" s="462"/>
    </row>
    <row r="52" spans="1:18" ht="11.45" customHeight="1">
      <c r="A52" s="14"/>
      <c r="B52" s="14"/>
      <c r="C52" s="14"/>
      <c r="D52" s="14"/>
      <c r="E52" s="14"/>
      <c r="F52" s="14"/>
      <c r="G52" s="14"/>
      <c r="H52" s="14"/>
      <c r="Q52" s="462"/>
    </row>
    <row r="53" spans="1:18" ht="11.45" customHeight="1">
      <c r="A53" s="14"/>
      <c r="B53" s="14"/>
      <c r="C53" s="14"/>
      <c r="D53" s="14"/>
      <c r="E53" s="14"/>
      <c r="F53" s="14"/>
      <c r="G53" s="14"/>
      <c r="H53" s="14"/>
      <c r="Q53" s="462"/>
    </row>
    <row r="54" spans="1:18" ht="11.45" customHeight="1">
      <c r="D54" s="197" t="s">
        <v>374</v>
      </c>
      <c r="E54" s="578">
        <v>36890</v>
      </c>
      <c r="F54" s="578">
        <v>36921</v>
      </c>
      <c r="G54" s="14"/>
      <c r="H54" s="14"/>
      <c r="Q54" s="462"/>
    </row>
    <row r="55" spans="1:18" ht="11.45" customHeight="1">
      <c r="D55" s="197" t="s">
        <v>25</v>
      </c>
      <c r="E55" s="575">
        <v>2</v>
      </c>
      <c r="F55" s="575">
        <v>3</v>
      </c>
      <c r="G55" s="14"/>
      <c r="H55" s="14"/>
      <c r="Q55" s="462"/>
    </row>
    <row r="56" spans="1:18" ht="11.45" customHeight="1">
      <c r="A56" s="14"/>
      <c r="B56" s="14"/>
      <c r="C56" s="14"/>
      <c r="D56" s="14"/>
      <c r="E56" s="14"/>
      <c r="F56" s="14"/>
      <c r="G56" s="14"/>
      <c r="H56" s="14"/>
      <c r="Q56" s="462"/>
    </row>
    <row r="57" spans="1:18" ht="11.45" customHeight="1">
      <c r="A57" s="43" t="s">
        <v>375</v>
      </c>
      <c r="B57" s="43" t="s">
        <v>22</v>
      </c>
      <c r="C57" s="197" t="s">
        <v>376</v>
      </c>
      <c r="D57" s="14"/>
      <c r="E57" s="598" t="s">
        <v>377</v>
      </c>
      <c r="F57" s="598" t="s">
        <v>377</v>
      </c>
      <c r="G57" s="14"/>
      <c r="H57" s="14"/>
      <c r="Q57" s="462"/>
    </row>
    <row r="58" spans="1:18" ht="12.75">
      <c r="A58" s="579">
        <v>36466</v>
      </c>
      <c r="B58" s="580">
        <v>0.05</v>
      </c>
      <c r="C58" s="581">
        <f>B58*$C$48</f>
        <v>700.6</v>
      </c>
      <c r="D58" s="14"/>
      <c r="E58" s="599">
        <f>+C58*(1+$F$50)^($E$54-A58)</f>
        <v>754.40907451167766</v>
      </c>
      <c r="F58" s="395">
        <f>+C58*(1+$F$50)^($F$54-A58)</f>
        <v>758.50164346420013</v>
      </c>
      <c r="G58" s="14"/>
      <c r="Q58" s="462"/>
      <c r="R58" s="462"/>
    </row>
    <row r="59" spans="1:18" ht="12.75">
      <c r="A59" s="579">
        <v>36861</v>
      </c>
      <c r="B59" s="580">
        <v>0.1</v>
      </c>
      <c r="C59" s="581">
        <f t="shared" ref="C59:C68" si="7">B59*$C$48</f>
        <v>1401.2</v>
      </c>
      <c r="D59" s="14"/>
      <c r="E59" s="599">
        <f t="shared" ref="E59:E68" si="8">+C59*(1+$F$50)^($E$54-A59)</f>
        <v>1408.3096737762542</v>
      </c>
      <c r="F59" s="395">
        <f t="shared" ref="F59:F68" si="9">+C59*(1+$F$50)^($F$54-A59)</f>
        <v>1415.949566562756</v>
      </c>
      <c r="G59" s="14"/>
      <c r="Q59" s="462"/>
      <c r="R59" s="462"/>
    </row>
    <row r="60" spans="1:18" ht="12.75">
      <c r="A60" s="579">
        <v>36600</v>
      </c>
      <c r="B60" s="580">
        <v>0.1</v>
      </c>
      <c r="C60" s="581">
        <f t="shared" si="7"/>
        <v>1401.2</v>
      </c>
      <c r="D60" s="14"/>
      <c r="E60" s="599">
        <f t="shared" si="8"/>
        <v>1473.9422473147897</v>
      </c>
      <c r="F60" s="395">
        <f t="shared" si="9"/>
        <v>1481.9381880888002</v>
      </c>
      <c r="G60" s="14"/>
      <c r="Q60" s="462"/>
      <c r="R60" s="462"/>
    </row>
    <row r="61" spans="1:18" ht="12.75">
      <c r="A61" s="579">
        <v>36692</v>
      </c>
      <c r="B61" s="580">
        <v>0.1</v>
      </c>
      <c r="C61" s="581">
        <f t="shared" si="7"/>
        <v>1401.2</v>
      </c>
      <c r="D61" s="14"/>
      <c r="E61" s="599">
        <f t="shared" si="8"/>
        <v>1450.4654694974724</v>
      </c>
      <c r="F61" s="395">
        <f t="shared" si="9"/>
        <v>1458.3340518723771</v>
      </c>
      <c r="G61" s="14"/>
      <c r="Q61" s="462"/>
      <c r="R61" s="462"/>
    </row>
    <row r="62" spans="1:18" ht="12.75">
      <c r="A62" s="579">
        <v>36753</v>
      </c>
      <c r="B62" s="580">
        <v>0.1</v>
      </c>
      <c r="C62" s="581">
        <f t="shared" si="7"/>
        <v>1401.2</v>
      </c>
      <c r="D62" s="14"/>
      <c r="E62" s="599">
        <f t="shared" si="8"/>
        <v>1435.1058795463528</v>
      </c>
      <c r="F62" s="395">
        <f t="shared" si="9"/>
        <v>1442.8911381873829</v>
      </c>
      <c r="G62" s="14"/>
      <c r="Q62" s="462"/>
      <c r="R62" s="462"/>
    </row>
    <row r="63" spans="1:18" ht="12.75">
      <c r="A63" s="579">
        <v>36784</v>
      </c>
      <c r="B63" s="580">
        <v>0.1</v>
      </c>
      <c r="C63" s="581">
        <f t="shared" si="7"/>
        <v>1401.2</v>
      </c>
      <c r="D63" s="14"/>
      <c r="E63" s="599">
        <f t="shared" si="8"/>
        <v>1427.3626270210332</v>
      </c>
      <c r="F63" s="395">
        <f t="shared" si="9"/>
        <v>1435.1058795463528</v>
      </c>
      <c r="G63" s="14"/>
      <c r="Q63" s="462"/>
      <c r="R63" s="462"/>
    </row>
    <row r="64" spans="1:18" ht="12.75">
      <c r="A64" s="579">
        <v>36814</v>
      </c>
      <c r="B64" s="580">
        <v>0.1</v>
      </c>
      <c r="C64" s="581">
        <f t="shared" si="7"/>
        <v>1401.2</v>
      </c>
      <c r="D64" s="14"/>
      <c r="E64" s="599">
        <f t="shared" si="8"/>
        <v>1419.9089387643639</v>
      </c>
      <c r="F64" s="395">
        <f t="shared" si="9"/>
        <v>1427.6117560216426</v>
      </c>
      <c r="Q64" s="462"/>
      <c r="R64" s="462"/>
    </row>
    <row r="65" spans="1:31" ht="12.75">
      <c r="A65" s="579">
        <v>36845</v>
      </c>
      <c r="B65" s="580">
        <v>0.1</v>
      </c>
      <c r="C65" s="581">
        <f t="shared" si="7"/>
        <v>1401.2</v>
      </c>
      <c r="E65" s="599">
        <f t="shared" si="8"/>
        <v>1412.2476828023391</v>
      </c>
      <c r="F65" s="395">
        <f t="shared" si="9"/>
        <v>1419.9089387643639</v>
      </c>
      <c r="Q65" s="462"/>
      <c r="R65" s="462"/>
    </row>
    <row r="66" spans="1:31" ht="12.75">
      <c r="A66" s="579">
        <v>36906</v>
      </c>
      <c r="B66" s="580">
        <v>0.1</v>
      </c>
      <c r="C66" s="581">
        <f t="shared" si="7"/>
        <v>1401.2</v>
      </c>
      <c r="E66" s="599">
        <f t="shared" si="8"/>
        <v>1397.2927970960441</v>
      </c>
      <c r="F66" s="395">
        <f t="shared" si="9"/>
        <v>1404.8729247909289</v>
      </c>
      <c r="Q66" s="462"/>
      <c r="R66" s="462"/>
    </row>
    <row r="67" spans="1:31" ht="12.75">
      <c r="A67" s="579">
        <v>36937</v>
      </c>
      <c r="B67" s="580">
        <v>0.1</v>
      </c>
      <c r="C67" s="581">
        <f t="shared" si="7"/>
        <v>1401.2</v>
      </c>
      <c r="E67" s="599">
        <f t="shared" si="8"/>
        <v>1389.753568713016</v>
      </c>
      <c r="F67" s="395">
        <f t="shared" si="9"/>
        <v>1397.2927970960441</v>
      </c>
      <c r="G67" s="505"/>
      <c r="H67" s="505"/>
      <c r="I67" s="505"/>
      <c r="J67" s="505"/>
      <c r="K67" s="505"/>
      <c r="L67" s="505"/>
      <c r="M67" s="505"/>
      <c r="N67" s="505"/>
      <c r="O67" s="505"/>
      <c r="P67" s="505"/>
      <c r="Q67" s="506"/>
      <c r="R67" s="506"/>
      <c r="S67" s="506"/>
      <c r="T67" s="506"/>
      <c r="U67" s="506"/>
      <c r="V67" s="506"/>
      <c r="W67" s="506"/>
      <c r="X67" s="506"/>
      <c r="Y67" s="506"/>
      <c r="Z67" s="506"/>
      <c r="AA67" s="506"/>
      <c r="AB67" s="506"/>
      <c r="AC67" s="506"/>
      <c r="AD67" s="506"/>
      <c r="AE67" s="506"/>
    </row>
    <row r="68" spans="1:31" ht="12.75">
      <c r="A68" s="579">
        <v>37011</v>
      </c>
      <c r="B68" s="580">
        <v>0.05</v>
      </c>
      <c r="C68" s="581">
        <f t="shared" si="7"/>
        <v>700.6</v>
      </c>
      <c r="D68" s="505"/>
      <c r="E68" s="599">
        <f t="shared" si="8"/>
        <v>685.96037048304163</v>
      </c>
      <c r="F68" s="395">
        <f t="shared" si="9"/>
        <v>689.68161431446902</v>
      </c>
      <c r="G68" s="507"/>
      <c r="H68" s="507"/>
      <c r="I68" s="507"/>
      <c r="J68" s="507"/>
      <c r="K68" s="507"/>
      <c r="L68" s="507"/>
      <c r="M68" s="507"/>
      <c r="N68" s="507"/>
      <c r="O68" s="507"/>
      <c r="P68" s="507"/>
      <c r="Q68" s="508"/>
      <c r="R68" s="508"/>
      <c r="S68" s="508"/>
      <c r="T68" s="508"/>
      <c r="U68" s="508"/>
      <c r="V68" s="508"/>
      <c r="W68" s="508"/>
      <c r="X68" s="508"/>
      <c r="Y68" s="508"/>
      <c r="Z68" s="508"/>
      <c r="AA68" s="508"/>
      <c r="AB68" s="508"/>
      <c r="AC68" s="508"/>
      <c r="AD68" s="508"/>
      <c r="AE68" s="508"/>
    </row>
    <row r="69" spans="1:31">
      <c r="A69" s="464"/>
      <c r="B69" s="464"/>
      <c r="C69" s="573">
        <f>SUM(C58:C68)</f>
        <v>14012.000000000002</v>
      </c>
      <c r="D69" s="507"/>
      <c r="E69" s="573">
        <f>SUM(E58:E68)</f>
        <v>14254.758329526387</v>
      </c>
      <c r="F69" s="573">
        <f>SUM(F58:F68)</f>
        <v>14332.088498709318</v>
      </c>
      <c r="G69" s="573"/>
      <c r="Q69" s="462"/>
      <c r="R69" s="462"/>
    </row>
    <row r="70" spans="1:31">
      <c r="Q70" s="462"/>
      <c r="R70" s="462"/>
    </row>
    <row r="71" spans="1:31">
      <c r="Q71" s="462"/>
      <c r="R71" s="462"/>
    </row>
    <row r="72" spans="1:31">
      <c r="Q72" s="462"/>
      <c r="R72" s="462"/>
    </row>
    <row r="73" spans="1:31">
      <c r="Q73" s="462"/>
      <c r="R73" s="462"/>
    </row>
    <row r="74" spans="1:31">
      <c r="Q74" s="462"/>
      <c r="R74" s="462"/>
    </row>
    <row r="75" spans="1:31">
      <c r="Q75" s="462"/>
      <c r="R75" s="462"/>
    </row>
    <row r="76" spans="1:31">
      <c r="Q76" s="462"/>
      <c r="R76" s="462"/>
    </row>
    <row r="77" spans="1:31">
      <c r="Q77" s="462"/>
      <c r="R77" s="462"/>
    </row>
    <row r="78" spans="1:31">
      <c r="Q78" s="462"/>
      <c r="R78" s="462"/>
    </row>
    <row r="79" spans="1:31">
      <c r="Q79" s="462"/>
      <c r="R79" s="462"/>
    </row>
    <row r="80" spans="1:31">
      <c r="Q80" s="462"/>
      <c r="R80" s="462"/>
    </row>
    <row r="81" spans="1:32">
      <c r="Q81" s="462"/>
      <c r="R81" s="462"/>
    </row>
    <row r="82" spans="1:32" ht="12.75">
      <c r="A82" s="464"/>
      <c r="B82" s="464"/>
      <c r="C82" s="472"/>
      <c r="D82" s="484"/>
      <c r="E82" s="484"/>
      <c r="G82" s="14"/>
      <c r="Q82" s="462"/>
      <c r="R82" s="462"/>
    </row>
    <row r="83" spans="1:32" ht="12.75">
      <c r="A83" s="14"/>
      <c r="B83" s="14"/>
      <c r="C83" s="14"/>
      <c r="D83" s="14"/>
      <c r="E83" s="14"/>
      <c r="F83" s="14"/>
      <c r="G83" s="14"/>
      <c r="Q83" s="462"/>
      <c r="R83" s="462"/>
    </row>
    <row r="84" spans="1:32" ht="12.75">
      <c r="A84" s="14"/>
      <c r="B84" s="14"/>
      <c r="C84" s="14"/>
      <c r="D84" s="14"/>
      <c r="E84" s="14"/>
      <c r="F84" s="14"/>
      <c r="G84" s="14"/>
      <c r="Q84" s="462"/>
      <c r="R84" s="462"/>
    </row>
    <row r="85" spans="1:32" ht="12.75">
      <c r="A85" s="14"/>
      <c r="B85" s="14"/>
      <c r="C85" s="14"/>
      <c r="D85" s="14"/>
      <c r="E85" s="14"/>
      <c r="F85" s="14"/>
      <c r="G85" s="14"/>
      <c r="Q85" s="462"/>
      <c r="R85" s="462"/>
    </row>
    <row r="86" spans="1:32" ht="12.75">
      <c r="A86" s="14"/>
      <c r="B86" s="14"/>
      <c r="C86" s="14"/>
      <c r="D86" s="14"/>
      <c r="E86" s="14"/>
      <c r="F86" s="14"/>
      <c r="G86" s="14"/>
      <c r="Q86" s="462"/>
      <c r="R86" s="462"/>
    </row>
    <row r="87" spans="1:32" ht="12.75">
      <c r="A87" s="14"/>
      <c r="B87" s="14"/>
      <c r="C87" s="14"/>
      <c r="D87" s="14"/>
      <c r="E87" s="14"/>
      <c r="F87" s="14"/>
      <c r="G87" s="14"/>
      <c r="Q87" s="462"/>
      <c r="R87" s="462"/>
    </row>
    <row r="88" spans="1:32" ht="12.75">
      <c r="A88" s="14"/>
      <c r="B88" s="14"/>
      <c r="C88" s="14"/>
      <c r="D88" s="14"/>
      <c r="E88" s="14"/>
      <c r="F88" s="14"/>
      <c r="G88" s="14"/>
      <c r="Q88" s="462"/>
      <c r="R88" s="462"/>
    </row>
    <row r="89" spans="1:32" ht="11.45" customHeight="1">
      <c r="A89" s="14"/>
      <c r="B89" s="14"/>
      <c r="C89" s="14"/>
      <c r="D89" s="14"/>
      <c r="E89" s="14"/>
      <c r="F89" s="14"/>
      <c r="Q89" s="462"/>
      <c r="R89" s="462"/>
    </row>
    <row r="90" spans="1:32" ht="11.45" customHeight="1">
      <c r="A90" s="464"/>
      <c r="B90" s="464"/>
      <c r="C90" s="472"/>
      <c r="D90" s="484"/>
      <c r="E90" s="484"/>
      <c r="Q90" s="462"/>
      <c r="R90" s="462"/>
      <c r="S90" s="462"/>
    </row>
    <row r="91" spans="1:32" ht="11.45" customHeight="1">
      <c r="A91" s="464"/>
      <c r="B91" s="464"/>
      <c r="C91" s="472"/>
      <c r="D91" s="472"/>
      <c r="E91" s="472"/>
      <c r="F91" s="484"/>
      <c r="G91" s="505"/>
      <c r="H91" s="505"/>
      <c r="I91" s="505"/>
      <c r="J91" s="505"/>
      <c r="K91" s="505"/>
      <c r="L91" s="505"/>
      <c r="M91" s="505"/>
      <c r="N91" s="505"/>
      <c r="O91" s="505"/>
      <c r="P91" s="505"/>
      <c r="Q91" s="506"/>
      <c r="R91" s="506"/>
      <c r="S91" s="506"/>
      <c r="T91" s="506"/>
      <c r="U91" s="506"/>
      <c r="V91" s="506"/>
      <c r="W91" s="506"/>
      <c r="X91" s="506"/>
      <c r="Y91" s="506"/>
      <c r="Z91" s="506"/>
      <c r="AA91" s="506"/>
      <c r="AB91" s="506"/>
      <c r="AC91" s="506"/>
      <c r="AD91" s="506"/>
      <c r="AE91" s="506"/>
      <c r="AF91" s="506"/>
    </row>
    <row r="92" spans="1:32" ht="11.45" customHeight="1">
      <c r="A92" s="472"/>
      <c r="B92" s="472"/>
      <c r="C92" s="464"/>
      <c r="D92" s="464"/>
      <c r="E92" s="464"/>
      <c r="F92" s="505"/>
      <c r="G92" s="507"/>
      <c r="H92" s="507"/>
      <c r="I92" s="507"/>
      <c r="J92" s="507"/>
      <c r="K92" s="507"/>
      <c r="L92" s="507"/>
      <c r="M92" s="507"/>
      <c r="N92" s="507"/>
      <c r="O92" s="507"/>
      <c r="P92" s="507"/>
      <c r="Q92" s="508"/>
      <c r="R92" s="508"/>
      <c r="S92" s="508"/>
      <c r="T92" s="508"/>
      <c r="U92" s="508"/>
      <c r="V92" s="508"/>
      <c r="W92" s="508"/>
      <c r="X92" s="508"/>
      <c r="Y92" s="508"/>
      <c r="Z92" s="508"/>
      <c r="AA92" s="508"/>
      <c r="AB92" s="508"/>
      <c r="AC92" s="508"/>
      <c r="AD92" s="508"/>
      <c r="AE92" s="508"/>
      <c r="AF92" s="508"/>
    </row>
    <row r="93" spans="1:32" ht="11.45" customHeight="1">
      <c r="A93" s="472"/>
      <c r="B93" s="472"/>
      <c r="C93" s="464"/>
      <c r="D93" s="464"/>
      <c r="E93" s="464"/>
      <c r="F93" s="507"/>
      <c r="Q93" s="462"/>
      <c r="R93" s="462"/>
      <c r="S93" s="462"/>
    </row>
    <row r="94" spans="1:32" ht="11.45" customHeight="1">
      <c r="A94" s="464"/>
      <c r="B94" s="464"/>
      <c r="C94" s="472"/>
      <c r="D94" s="472"/>
      <c r="E94" s="472"/>
      <c r="F94" s="484"/>
      <c r="G94" s="472"/>
      <c r="H94" s="472"/>
      <c r="I94" s="472"/>
      <c r="J94" s="472"/>
      <c r="K94" s="472"/>
      <c r="L94" s="472"/>
      <c r="M94" s="472"/>
      <c r="N94" s="472"/>
      <c r="O94" s="472"/>
      <c r="P94" s="472"/>
      <c r="Q94" s="509"/>
      <c r="R94" s="509"/>
      <c r="S94" s="509"/>
      <c r="T94" s="509"/>
      <c r="U94" s="509"/>
      <c r="V94" s="509"/>
      <c r="W94" s="509"/>
      <c r="X94" s="509"/>
      <c r="Y94" s="509"/>
      <c r="Z94" s="509"/>
      <c r="AA94" s="509"/>
      <c r="AB94" s="509"/>
      <c r="AC94" s="509"/>
      <c r="AD94" s="509"/>
      <c r="AE94" s="509"/>
      <c r="AF94" s="509"/>
    </row>
    <row r="95" spans="1:32" ht="11.45" customHeight="1">
      <c r="A95" s="464"/>
      <c r="B95" s="464"/>
      <c r="C95" s="472"/>
      <c r="D95" s="472"/>
      <c r="E95" s="472"/>
      <c r="F95" s="472"/>
      <c r="G95" s="505"/>
      <c r="H95" s="505"/>
      <c r="I95" s="505"/>
      <c r="J95" s="505"/>
      <c r="K95" s="505"/>
      <c r="L95" s="505"/>
      <c r="M95" s="505"/>
      <c r="N95" s="505"/>
      <c r="O95" s="505"/>
      <c r="P95" s="505"/>
      <c r="Q95" s="506"/>
      <c r="R95" s="506"/>
      <c r="S95" s="506"/>
      <c r="T95" s="506"/>
      <c r="U95" s="506"/>
      <c r="V95" s="506"/>
      <c r="W95" s="506"/>
      <c r="X95" s="506"/>
      <c r="Y95" s="506"/>
      <c r="Z95" s="506"/>
      <c r="AA95" s="506"/>
      <c r="AB95" s="506"/>
      <c r="AC95" s="506"/>
      <c r="AD95" s="506"/>
      <c r="AE95" s="506"/>
      <c r="AF95" s="506"/>
    </row>
    <row r="96" spans="1:32" ht="11.45" customHeight="1">
      <c r="A96" s="464"/>
      <c r="B96" s="464"/>
      <c r="C96" s="464"/>
      <c r="D96" s="464"/>
      <c r="E96" s="464"/>
      <c r="F96" s="505"/>
      <c r="G96" s="510"/>
      <c r="H96" s="510"/>
      <c r="I96" s="510"/>
      <c r="J96" s="510"/>
      <c r="K96" s="510"/>
      <c r="L96" s="510"/>
      <c r="M96" s="510"/>
      <c r="N96" s="510"/>
      <c r="O96" s="510"/>
      <c r="P96" s="510"/>
      <c r="Q96" s="511"/>
      <c r="R96" s="511"/>
      <c r="S96" s="511"/>
      <c r="T96" s="511"/>
      <c r="U96" s="511"/>
      <c r="V96" s="511"/>
      <c r="W96" s="511"/>
      <c r="X96" s="511"/>
      <c r="Y96" s="511"/>
      <c r="Z96" s="511"/>
      <c r="AA96" s="511"/>
      <c r="AB96" s="511"/>
      <c r="AC96" s="511"/>
      <c r="AD96" s="511"/>
      <c r="AE96" s="511"/>
      <c r="AF96" s="511"/>
    </row>
    <row r="97" spans="1:32" ht="11.45" customHeight="1">
      <c r="A97" s="464"/>
      <c r="B97" s="464"/>
      <c r="C97" s="472"/>
      <c r="D97" s="472"/>
      <c r="E97" s="472"/>
      <c r="F97" s="472"/>
      <c r="G97" s="510"/>
      <c r="H97" s="510"/>
      <c r="I97" s="510"/>
      <c r="J97" s="510"/>
      <c r="K97" s="510"/>
      <c r="L97" s="510"/>
      <c r="M97" s="510"/>
      <c r="N97" s="510"/>
      <c r="O97" s="510"/>
      <c r="P97" s="510"/>
      <c r="Q97" s="511"/>
      <c r="R97" s="511"/>
      <c r="S97" s="511"/>
      <c r="T97" s="511"/>
      <c r="U97" s="511"/>
      <c r="V97" s="511"/>
      <c r="W97" s="511"/>
      <c r="X97" s="511"/>
      <c r="Y97" s="511"/>
      <c r="Z97" s="511"/>
      <c r="AA97" s="511"/>
      <c r="AB97" s="511"/>
      <c r="AC97" s="511"/>
      <c r="AD97" s="511"/>
      <c r="AE97" s="511"/>
      <c r="AF97" s="511"/>
    </row>
    <row r="98" spans="1:32" ht="11.45" customHeight="1">
      <c r="A98" s="464"/>
      <c r="B98" s="464"/>
      <c r="C98" s="464"/>
      <c r="D98" s="464"/>
      <c r="E98" s="464"/>
      <c r="F98" s="472"/>
      <c r="G98" s="510"/>
      <c r="H98" s="510"/>
      <c r="I98" s="510"/>
      <c r="J98" s="510"/>
      <c r="K98" s="510"/>
      <c r="L98" s="510"/>
      <c r="M98" s="510"/>
      <c r="N98" s="510"/>
      <c r="O98" s="510"/>
      <c r="P98" s="510"/>
      <c r="Q98" s="511"/>
      <c r="R98" s="511"/>
      <c r="S98" s="511"/>
      <c r="T98" s="511"/>
      <c r="U98" s="511"/>
      <c r="V98" s="511"/>
      <c r="W98" s="511"/>
      <c r="X98" s="511"/>
      <c r="Y98" s="511"/>
      <c r="Z98" s="511"/>
      <c r="AA98" s="511"/>
      <c r="AB98" s="511"/>
      <c r="AC98" s="511"/>
      <c r="AD98" s="511"/>
      <c r="AE98" s="511"/>
      <c r="AF98" s="511"/>
    </row>
    <row r="99" spans="1:32" ht="12.75">
      <c r="A99" s="464"/>
      <c r="B99" s="464"/>
      <c r="C99" s="464"/>
      <c r="D99" s="464"/>
      <c r="E99" s="464"/>
      <c r="F99" s="472"/>
      <c r="G99" s="14"/>
      <c r="Q99" s="462"/>
      <c r="R99" s="462"/>
    </row>
    <row r="100" spans="1:32" ht="12.75">
      <c r="A100" s="14"/>
      <c r="B100" s="14"/>
      <c r="C100" s="14"/>
      <c r="D100" s="14"/>
      <c r="E100" s="14"/>
      <c r="F100" s="14"/>
      <c r="G100" s="14"/>
      <c r="Q100" s="462"/>
      <c r="R100" s="462"/>
    </row>
    <row r="101" spans="1:32" ht="12.75">
      <c r="A101" s="14"/>
      <c r="B101" s="14"/>
      <c r="C101" s="14"/>
      <c r="D101" s="14"/>
      <c r="E101" s="14"/>
      <c r="F101" s="14"/>
      <c r="G101" s="14"/>
      <c r="Q101" s="462"/>
      <c r="R101" s="462"/>
    </row>
    <row r="102" spans="1:32" ht="12.75">
      <c r="A102" s="14"/>
      <c r="B102" s="14"/>
      <c r="C102" s="14"/>
      <c r="D102" s="14"/>
      <c r="E102" s="14"/>
      <c r="F102" s="14"/>
      <c r="G102" s="14"/>
      <c r="Q102" s="462"/>
      <c r="R102" s="462"/>
    </row>
    <row r="103" spans="1:32" ht="12.75">
      <c r="A103" s="14"/>
      <c r="B103" s="14"/>
      <c r="C103" s="14"/>
      <c r="D103" s="14"/>
      <c r="E103" s="14"/>
      <c r="F103" s="14"/>
      <c r="G103" s="14"/>
      <c r="Q103" s="462"/>
      <c r="R103" s="462"/>
    </row>
    <row r="104" spans="1:32" ht="12.75">
      <c r="A104" s="14"/>
      <c r="B104" s="14"/>
      <c r="C104" s="14"/>
      <c r="D104" s="14"/>
      <c r="E104" s="14"/>
      <c r="F104" s="14"/>
      <c r="G104" s="14"/>
      <c r="Q104" s="462"/>
      <c r="R104" s="462"/>
    </row>
    <row r="105" spans="1:32" ht="12.75">
      <c r="A105" s="14"/>
      <c r="B105" s="14"/>
      <c r="C105" s="14"/>
      <c r="D105" s="14"/>
      <c r="E105" s="14"/>
      <c r="F105" s="14"/>
      <c r="G105" s="14"/>
      <c r="Q105" s="462"/>
      <c r="R105" s="462"/>
    </row>
    <row r="106" spans="1:32" ht="12.75">
      <c r="A106" s="14"/>
      <c r="B106" s="14"/>
      <c r="C106" s="14"/>
      <c r="D106" s="14"/>
      <c r="E106" s="14"/>
      <c r="F106" s="14"/>
      <c r="G106" s="14"/>
      <c r="Q106" s="462"/>
      <c r="R106" s="462"/>
    </row>
    <row r="107" spans="1:32" ht="12.75">
      <c r="A107" s="14"/>
      <c r="B107" s="14"/>
      <c r="C107" s="14"/>
      <c r="D107" s="14"/>
      <c r="E107" s="14"/>
      <c r="F107" s="14"/>
      <c r="G107" s="14"/>
      <c r="Q107" s="462"/>
      <c r="R107" s="462"/>
    </row>
    <row r="108" spans="1:32" ht="12.75">
      <c r="A108" s="14"/>
      <c r="B108" s="14"/>
      <c r="C108" s="14"/>
      <c r="D108" s="14"/>
      <c r="E108" s="14"/>
      <c r="F108" s="14"/>
      <c r="G108" s="14"/>
      <c r="Q108" s="462"/>
      <c r="R108" s="462"/>
    </row>
    <row r="109" spans="1:32" ht="12.75">
      <c r="A109" s="14"/>
      <c r="B109" s="14"/>
      <c r="C109" s="14"/>
      <c r="D109" s="14"/>
      <c r="E109" s="14"/>
      <c r="F109" s="14"/>
      <c r="G109" s="14"/>
      <c r="Q109" s="462"/>
      <c r="R109" s="462"/>
    </row>
    <row r="110" spans="1:32" ht="12.75">
      <c r="A110" s="14"/>
      <c r="B110" s="14"/>
      <c r="C110" s="14"/>
      <c r="D110" s="14"/>
      <c r="E110" s="14"/>
      <c r="F110" s="14"/>
      <c r="G110" s="14"/>
      <c r="Q110" s="462"/>
      <c r="R110" s="462"/>
    </row>
    <row r="111" spans="1:32" ht="12.75">
      <c r="A111" s="14"/>
      <c r="B111" s="14"/>
      <c r="C111" s="14"/>
      <c r="D111" s="14"/>
      <c r="E111" s="14"/>
      <c r="F111" s="14"/>
      <c r="G111" s="14"/>
      <c r="Q111" s="462"/>
      <c r="R111" s="462"/>
    </row>
    <row r="112" spans="1:32" ht="12.75">
      <c r="A112" s="14"/>
      <c r="B112" s="14"/>
      <c r="C112" s="14"/>
      <c r="D112" s="14"/>
      <c r="E112" s="14"/>
      <c r="F112" s="14"/>
      <c r="G112" s="14"/>
      <c r="Q112" s="462"/>
      <c r="R112" s="462"/>
    </row>
    <row r="113" spans="1:18" ht="12.75">
      <c r="A113" s="14"/>
      <c r="B113" s="14"/>
      <c r="C113" s="14"/>
      <c r="D113" s="14"/>
      <c r="E113" s="14"/>
      <c r="F113" s="14"/>
      <c r="G113" s="14"/>
      <c r="Q113" s="462"/>
      <c r="R113" s="462"/>
    </row>
    <row r="114" spans="1:18" ht="12.75">
      <c r="A114" s="14"/>
      <c r="B114" s="14"/>
      <c r="C114" s="14"/>
      <c r="D114" s="14"/>
      <c r="E114" s="14"/>
      <c r="F114" s="14"/>
      <c r="G114" s="14"/>
      <c r="Q114" s="462"/>
      <c r="R114" s="462"/>
    </row>
    <row r="115" spans="1:18" ht="12.75">
      <c r="A115" s="14"/>
      <c r="B115" s="14"/>
      <c r="C115" s="14"/>
      <c r="D115" s="14"/>
      <c r="E115" s="14"/>
      <c r="F115" s="14"/>
      <c r="G115" s="14"/>
      <c r="Q115" s="462"/>
      <c r="R115" s="462"/>
    </row>
    <row r="116" spans="1:18" ht="12.75">
      <c r="A116" s="14"/>
      <c r="B116" s="14"/>
      <c r="C116" s="14"/>
      <c r="D116" s="14"/>
      <c r="E116" s="14"/>
      <c r="F116" s="14"/>
      <c r="G116" s="14"/>
      <c r="Q116" s="462"/>
      <c r="R116" s="462"/>
    </row>
    <row r="117" spans="1:18" ht="12.75">
      <c r="A117" s="14"/>
      <c r="B117" s="14"/>
      <c r="C117" s="14"/>
      <c r="D117" s="14"/>
      <c r="E117" s="14"/>
      <c r="F117" s="14"/>
      <c r="G117" s="14"/>
      <c r="Q117" s="462"/>
      <c r="R117" s="462"/>
    </row>
    <row r="118" spans="1:18" ht="12.75">
      <c r="A118" s="14"/>
      <c r="B118" s="14"/>
      <c r="C118" s="14"/>
      <c r="D118" s="14"/>
      <c r="E118" s="14"/>
      <c r="F118" s="14"/>
      <c r="G118" s="14"/>
      <c r="Q118" s="462"/>
      <c r="R118" s="462"/>
    </row>
    <row r="119" spans="1:18" ht="12.75">
      <c r="A119" s="14"/>
      <c r="B119" s="14"/>
      <c r="C119" s="14"/>
      <c r="D119" s="14"/>
      <c r="E119" s="14"/>
      <c r="F119" s="14"/>
      <c r="G119" s="14"/>
      <c r="Q119" s="462"/>
      <c r="R119" s="462"/>
    </row>
    <row r="120" spans="1:18" ht="12.75">
      <c r="A120" s="14"/>
      <c r="B120" s="14"/>
      <c r="C120" s="14"/>
      <c r="D120" s="14"/>
      <c r="E120" s="14"/>
      <c r="F120" s="14"/>
      <c r="G120" s="14"/>
      <c r="Q120" s="462"/>
      <c r="R120" s="462"/>
    </row>
    <row r="121" spans="1:18" ht="12.75">
      <c r="A121" s="14"/>
      <c r="B121" s="14"/>
      <c r="C121" s="14"/>
      <c r="D121" s="14"/>
      <c r="E121" s="14"/>
      <c r="F121" s="14"/>
      <c r="G121" s="14"/>
      <c r="Q121" s="462"/>
      <c r="R121" s="462"/>
    </row>
    <row r="122" spans="1:18" ht="12.75">
      <c r="A122" s="14"/>
      <c r="B122" s="14"/>
      <c r="C122" s="14"/>
      <c r="D122" s="14"/>
      <c r="E122" s="14"/>
      <c r="F122" s="14"/>
      <c r="G122" s="14"/>
      <c r="Q122" s="462"/>
      <c r="R122" s="462"/>
    </row>
    <row r="123" spans="1:18" ht="12.75">
      <c r="A123" s="14"/>
      <c r="B123" s="14"/>
      <c r="C123" s="14"/>
      <c r="D123" s="14"/>
      <c r="E123" s="14"/>
      <c r="F123" s="14"/>
      <c r="G123" s="14"/>
      <c r="Q123" s="462"/>
      <c r="R123" s="462"/>
    </row>
    <row r="124" spans="1:18" ht="12.75">
      <c r="A124" s="14"/>
      <c r="B124" s="14"/>
      <c r="C124" s="14"/>
      <c r="D124" s="14"/>
      <c r="E124" s="14"/>
      <c r="F124" s="14"/>
      <c r="G124" s="14"/>
      <c r="Q124" s="462"/>
      <c r="R124" s="462"/>
    </row>
    <row r="125" spans="1:18" ht="12.75">
      <c r="A125" s="14"/>
      <c r="B125" s="14"/>
      <c r="C125" s="14"/>
      <c r="D125" s="14"/>
      <c r="E125" s="14"/>
      <c r="F125" s="14"/>
      <c r="G125" s="14"/>
      <c r="Q125" s="462"/>
      <c r="R125" s="462"/>
    </row>
    <row r="126" spans="1:18" ht="12.75">
      <c r="A126" s="14"/>
      <c r="B126" s="14"/>
      <c r="C126" s="14"/>
      <c r="D126" s="14"/>
      <c r="E126" s="14"/>
      <c r="F126" s="14"/>
      <c r="G126" s="14"/>
      <c r="Q126" s="462"/>
      <c r="R126" s="462"/>
    </row>
    <row r="127" spans="1:18" ht="12.75">
      <c r="A127" s="14"/>
      <c r="B127" s="14"/>
      <c r="C127" s="14"/>
      <c r="D127" s="14"/>
      <c r="E127" s="14"/>
      <c r="F127" s="14"/>
      <c r="G127" s="14"/>
      <c r="Q127" s="462"/>
      <c r="R127" s="462"/>
    </row>
    <row r="128" spans="1:18" ht="12.75">
      <c r="A128" s="14"/>
      <c r="B128" s="14"/>
      <c r="C128" s="14"/>
      <c r="D128" s="14"/>
      <c r="E128" s="14"/>
      <c r="F128" s="14"/>
      <c r="G128" s="14"/>
      <c r="Q128" s="462"/>
      <c r="R128" s="462"/>
    </row>
    <row r="129" spans="1:18" ht="12.75">
      <c r="A129" s="14"/>
      <c r="B129" s="14"/>
      <c r="C129" s="14"/>
      <c r="D129" s="14"/>
      <c r="E129" s="14"/>
      <c r="F129" s="14"/>
      <c r="G129" s="14"/>
      <c r="Q129" s="462"/>
      <c r="R129" s="462"/>
    </row>
    <row r="130" spans="1:18" ht="12.75">
      <c r="A130" s="14"/>
      <c r="B130" s="14"/>
      <c r="C130" s="14"/>
      <c r="D130" s="14"/>
      <c r="E130" s="14"/>
      <c r="F130" s="14"/>
      <c r="G130" s="14"/>
      <c r="Q130" s="462"/>
      <c r="R130" s="462"/>
    </row>
    <row r="131" spans="1:18" ht="12.75">
      <c r="A131" s="14"/>
      <c r="B131" s="14"/>
      <c r="C131" s="14"/>
      <c r="D131" s="14"/>
      <c r="E131" s="14"/>
      <c r="F131" s="14"/>
      <c r="G131" s="14"/>
      <c r="Q131" s="462"/>
      <c r="R131" s="462"/>
    </row>
    <row r="132" spans="1:18" ht="12.75">
      <c r="A132" s="14"/>
      <c r="B132" s="14"/>
      <c r="C132" s="14"/>
      <c r="D132" s="14"/>
      <c r="E132" s="14"/>
      <c r="F132" s="14"/>
      <c r="G132" s="14"/>
      <c r="Q132" s="462"/>
      <c r="R132" s="462"/>
    </row>
    <row r="133" spans="1:18" ht="12.75">
      <c r="A133" s="14"/>
      <c r="B133" s="14"/>
      <c r="C133" s="14"/>
      <c r="D133" s="14"/>
      <c r="E133" s="14"/>
      <c r="F133" s="14"/>
      <c r="Q133" s="462"/>
      <c r="R133" s="462"/>
    </row>
    <row r="134" spans="1:18">
      <c r="Q134" s="462"/>
      <c r="R134" s="462"/>
    </row>
    <row r="135" spans="1:18">
      <c r="Q135" s="462"/>
      <c r="R135" s="462"/>
    </row>
    <row r="136" spans="1:18">
      <c r="Q136" s="462"/>
      <c r="R136" s="462"/>
    </row>
    <row r="137" spans="1:18">
      <c r="Q137" s="462"/>
      <c r="R137" s="462"/>
    </row>
    <row r="138" spans="1:18">
      <c r="Q138" s="462"/>
      <c r="R138" s="462"/>
    </row>
    <row r="139" spans="1:18">
      <c r="Q139" s="462"/>
      <c r="R139" s="462"/>
    </row>
    <row r="140" spans="1:18">
      <c r="Q140" s="462"/>
      <c r="R140" s="462"/>
    </row>
    <row r="141" spans="1:18">
      <c r="Q141" s="462"/>
      <c r="R141" s="462"/>
    </row>
    <row r="142" spans="1:18">
      <c r="Q142" s="462"/>
      <c r="R142" s="462"/>
    </row>
    <row r="143" spans="1:18">
      <c r="Q143" s="462"/>
      <c r="R143" s="462"/>
    </row>
    <row r="144" spans="1:18">
      <c r="Q144" s="462"/>
      <c r="R144" s="462"/>
    </row>
    <row r="145" spans="17:18">
      <c r="Q145" s="462"/>
      <c r="R145" s="462"/>
    </row>
    <row r="146" spans="17:18">
      <c r="Q146" s="462"/>
      <c r="R146" s="462"/>
    </row>
    <row r="147" spans="17:18">
      <c r="Q147" s="462"/>
      <c r="R147" s="462"/>
    </row>
    <row r="148" spans="17:18">
      <c r="Q148" s="462"/>
      <c r="R148" s="462"/>
    </row>
    <row r="149" spans="17:18">
      <c r="Q149" s="462"/>
      <c r="R149" s="462"/>
    </row>
    <row r="150" spans="17:18">
      <c r="Q150" s="462"/>
      <c r="R150" s="462"/>
    </row>
    <row r="151" spans="17:18">
      <c r="Q151" s="462"/>
      <c r="R151" s="462"/>
    </row>
    <row r="152" spans="17:18">
      <c r="Q152" s="462"/>
      <c r="R152" s="462"/>
    </row>
    <row r="153" spans="17:18">
      <c r="Q153" s="462"/>
      <c r="R153" s="462"/>
    </row>
    <row r="154" spans="17:18">
      <c r="Q154" s="462"/>
      <c r="R154" s="462"/>
    </row>
    <row r="155" spans="17:18">
      <c r="Q155" s="462"/>
      <c r="R155" s="462"/>
    </row>
    <row r="156" spans="17:18">
      <c r="Q156" s="462"/>
      <c r="R156" s="462"/>
    </row>
    <row r="157" spans="17:18">
      <c r="Q157" s="462"/>
      <c r="R157" s="462"/>
    </row>
    <row r="158" spans="17:18">
      <c r="Q158" s="462"/>
      <c r="R158" s="462"/>
    </row>
    <row r="159" spans="17:18">
      <c r="Q159" s="462"/>
      <c r="R159" s="462"/>
    </row>
    <row r="160" spans="17:18">
      <c r="Q160" s="462"/>
      <c r="R160" s="462"/>
    </row>
    <row r="161" spans="6:18">
      <c r="Q161" s="462"/>
      <c r="R161" s="462"/>
    </row>
    <row r="162" spans="6:18">
      <c r="Q162" s="462"/>
      <c r="R162" s="462"/>
    </row>
    <row r="163" spans="6:18">
      <c r="Q163" s="462"/>
      <c r="R163" s="462"/>
    </row>
    <row r="164" spans="6:18">
      <c r="Q164" s="462"/>
      <c r="R164" s="462"/>
    </row>
    <row r="165" spans="6:18">
      <c r="Q165" s="462"/>
      <c r="R165" s="462"/>
    </row>
    <row r="166" spans="6:18">
      <c r="F166" s="512"/>
      <c r="Q166" s="462"/>
      <c r="R166" s="462"/>
    </row>
    <row r="167" spans="6:18">
      <c r="Q167" s="462"/>
      <c r="R167" s="462"/>
    </row>
    <row r="168" spans="6:18">
      <c r="Q168" s="462"/>
      <c r="R168" s="462"/>
    </row>
    <row r="169" spans="6:18">
      <c r="Q169" s="462"/>
      <c r="R169" s="462"/>
    </row>
    <row r="170" spans="6:18">
      <c r="Q170" s="462"/>
      <c r="R170" s="462"/>
    </row>
    <row r="171" spans="6:18">
      <c r="Q171" s="462"/>
      <c r="R171" s="462"/>
    </row>
    <row r="172" spans="6:18">
      <c r="Q172" s="462"/>
      <c r="R172" s="462"/>
    </row>
    <row r="173" spans="6:18">
      <c r="Q173" s="462"/>
      <c r="R173" s="462"/>
    </row>
    <row r="174" spans="6:18">
      <c r="Q174" s="462"/>
      <c r="R174" s="462"/>
    </row>
    <row r="175" spans="6:18">
      <c r="Q175" s="462"/>
      <c r="R175" s="462"/>
    </row>
    <row r="176" spans="6:18">
      <c r="Q176" s="462"/>
      <c r="R176" s="462"/>
    </row>
    <row r="177" spans="17:18">
      <c r="Q177" s="462"/>
      <c r="R177" s="462"/>
    </row>
    <row r="178" spans="17:18">
      <c r="Q178" s="462"/>
      <c r="R178" s="462"/>
    </row>
    <row r="179" spans="17:18">
      <c r="Q179" s="462"/>
      <c r="R179" s="462"/>
    </row>
    <row r="180" spans="17:18">
      <c r="Q180" s="462"/>
      <c r="R180" s="462"/>
    </row>
    <row r="181" spans="17:18">
      <c r="Q181" s="462"/>
      <c r="R181" s="462"/>
    </row>
    <row r="182" spans="17:18">
      <c r="Q182" s="462"/>
      <c r="R182" s="462"/>
    </row>
    <row r="183" spans="17:18">
      <c r="Q183" s="462"/>
      <c r="R183" s="462"/>
    </row>
    <row r="184" spans="17:18">
      <c r="Q184" s="462"/>
      <c r="R184" s="462"/>
    </row>
    <row r="185" spans="17:18">
      <c r="Q185" s="462"/>
      <c r="R185" s="462"/>
    </row>
    <row r="186" spans="17:18">
      <c r="Q186" s="462"/>
      <c r="R186" s="462"/>
    </row>
    <row r="187" spans="17:18">
      <c r="Q187" s="462"/>
      <c r="R187" s="462"/>
    </row>
    <row r="188" spans="17:18">
      <c r="Q188" s="462"/>
      <c r="R188" s="462"/>
    </row>
    <row r="189" spans="17:18">
      <c r="Q189" s="462"/>
      <c r="R189" s="462"/>
    </row>
    <row r="190" spans="17:18">
      <c r="Q190" s="462"/>
      <c r="R190" s="462"/>
    </row>
    <row r="191" spans="17:18">
      <c r="Q191" s="462"/>
      <c r="R191" s="462"/>
    </row>
    <row r="192" spans="17:18">
      <c r="Q192" s="462"/>
      <c r="R192" s="462"/>
    </row>
    <row r="193" spans="17:18">
      <c r="Q193" s="462"/>
      <c r="R193" s="462"/>
    </row>
    <row r="194" spans="17:18">
      <c r="Q194" s="462"/>
      <c r="R194" s="462"/>
    </row>
    <row r="195" spans="17:18">
      <c r="Q195" s="462"/>
      <c r="R195" s="462"/>
    </row>
    <row r="196" spans="17:18">
      <c r="Q196" s="462"/>
      <c r="R196" s="462"/>
    </row>
    <row r="197" spans="17:18">
      <c r="Q197" s="462"/>
      <c r="R197" s="462"/>
    </row>
    <row r="198" spans="17:18">
      <c r="Q198" s="462"/>
      <c r="R198" s="462"/>
    </row>
    <row r="199" spans="17:18">
      <c r="Q199" s="462"/>
      <c r="R199" s="462"/>
    </row>
    <row r="200" spans="17:18">
      <c r="Q200" s="462"/>
      <c r="R200" s="462"/>
    </row>
    <row r="201" spans="17:18">
      <c r="Q201" s="462"/>
      <c r="R201" s="462"/>
    </row>
    <row r="202" spans="17:18">
      <c r="Q202" s="462"/>
      <c r="R202" s="462"/>
    </row>
    <row r="203" spans="17:18">
      <c r="Q203" s="462"/>
      <c r="R203" s="462"/>
    </row>
    <row r="204" spans="17:18">
      <c r="Q204" s="462"/>
      <c r="R204" s="462"/>
    </row>
    <row r="205" spans="17:18">
      <c r="Q205" s="462"/>
      <c r="R205" s="462"/>
    </row>
    <row r="206" spans="17:18">
      <c r="Q206" s="462"/>
      <c r="R206" s="462"/>
    </row>
    <row r="207" spans="17:18">
      <c r="Q207" s="462"/>
      <c r="R207" s="462"/>
    </row>
    <row r="208" spans="17:18">
      <c r="Q208" s="462"/>
      <c r="R208" s="462"/>
    </row>
    <row r="209" spans="17:18">
      <c r="Q209" s="462"/>
      <c r="R209" s="462"/>
    </row>
    <row r="210" spans="17:18">
      <c r="Q210" s="462"/>
      <c r="R210" s="462"/>
    </row>
    <row r="211" spans="17:18">
      <c r="Q211" s="462"/>
      <c r="R211" s="462"/>
    </row>
    <row r="212" spans="17:18">
      <c r="Q212" s="462"/>
      <c r="R212" s="462"/>
    </row>
    <row r="213" spans="17:18">
      <c r="Q213" s="462"/>
      <c r="R213" s="462"/>
    </row>
    <row r="214" spans="17:18">
      <c r="Q214" s="462"/>
      <c r="R214" s="462"/>
    </row>
    <row r="215" spans="17:18">
      <c r="Q215" s="462"/>
      <c r="R215" s="462"/>
    </row>
    <row r="216" spans="17:18">
      <c r="Q216" s="462"/>
      <c r="R216" s="462"/>
    </row>
    <row r="217" spans="17:18">
      <c r="Q217" s="462"/>
      <c r="R217" s="462"/>
    </row>
    <row r="218" spans="17:18">
      <c r="Q218" s="462"/>
      <c r="R218" s="462"/>
    </row>
    <row r="219" spans="17:18">
      <c r="Q219" s="462"/>
      <c r="R219" s="462"/>
    </row>
    <row r="220" spans="17:18">
      <c r="Q220" s="462"/>
      <c r="R220" s="462"/>
    </row>
    <row r="221" spans="17:18">
      <c r="Q221" s="462"/>
      <c r="R221" s="462"/>
    </row>
    <row r="222" spans="17:18">
      <c r="Q222" s="462"/>
      <c r="R222" s="462"/>
    </row>
    <row r="223" spans="17:18">
      <c r="Q223" s="462"/>
      <c r="R223" s="462"/>
    </row>
    <row r="224" spans="17:18">
      <c r="Q224" s="462"/>
      <c r="R224" s="462"/>
    </row>
    <row r="225" spans="17:18">
      <c r="Q225" s="462"/>
      <c r="R225" s="462"/>
    </row>
    <row r="226" spans="17:18">
      <c r="Q226" s="462"/>
      <c r="R226" s="462"/>
    </row>
    <row r="227" spans="17:18">
      <c r="Q227" s="462"/>
      <c r="R227" s="462"/>
    </row>
    <row r="228" spans="17:18">
      <c r="Q228" s="462"/>
      <c r="R228" s="462"/>
    </row>
    <row r="229" spans="17:18">
      <c r="Q229" s="462"/>
      <c r="R229" s="462"/>
    </row>
    <row r="230" spans="17:18">
      <c r="Q230" s="462"/>
      <c r="R230" s="462"/>
    </row>
    <row r="231" spans="17:18">
      <c r="Q231" s="462"/>
      <c r="R231" s="462"/>
    </row>
    <row r="232" spans="17:18">
      <c r="Q232" s="462"/>
      <c r="R232" s="462"/>
    </row>
    <row r="233" spans="17:18">
      <c r="Q233" s="462"/>
      <c r="R233" s="462"/>
    </row>
    <row r="234" spans="17:18">
      <c r="Q234" s="462"/>
      <c r="R234" s="462"/>
    </row>
    <row r="235" spans="17:18">
      <c r="Q235" s="462"/>
      <c r="R235" s="462"/>
    </row>
    <row r="236" spans="17:18">
      <c r="Q236" s="462"/>
      <c r="R236" s="462"/>
    </row>
    <row r="237" spans="17:18">
      <c r="Q237" s="462"/>
      <c r="R237" s="462"/>
    </row>
    <row r="238" spans="17:18">
      <c r="Q238" s="462"/>
      <c r="R238" s="462"/>
    </row>
    <row r="239" spans="17:18">
      <c r="Q239" s="462"/>
      <c r="R239" s="462"/>
    </row>
    <row r="240" spans="17:18">
      <c r="Q240" s="462"/>
      <c r="R240" s="462"/>
    </row>
    <row r="241" spans="17:18">
      <c r="Q241" s="462"/>
      <c r="R241" s="462"/>
    </row>
    <row r="242" spans="17:18">
      <c r="Q242" s="462"/>
      <c r="R242" s="462"/>
    </row>
    <row r="243" spans="17:18">
      <c r="Q243" s="462"/>
      <c r="R243" s="462"/>
    </row>
    <row r="244" spans="17:18">
      <c r="Q244" s="462"/>
      <c r="R244" s="462"/>
    </row>
    <row r="245" spans="17:18">
      <c r="Q245" s="462"/>
      <c r="R245" s="462"/>
    </row>
    <row r="246" spans="17:18">
      <c r="Q246" s="462"/>
      <c r="R246" s="462"/>
    </row>
    <row r="247" spans="17:18">
      <c r="Q247" s="462"/>
      <c r="R247" s="462"/>
    </row>
    <row r="248" spans="17:18">
      <c r="Q248" s="462"/>
      <c r="R248" s="462"/>
    </row>
    <row r="249" spans="17:18">
      <c r="Q249" s="462"/>
      <c r="R249" s="462"/>
    </row>
    <row r="250" spans="17:18">
      <c r="Q250" s="462"/>
      <c r="R250" s="462"/>
    </row>
    <row r="251" spans="17:18">
      <c r="Q251" s="462"/>
      <c r="R251" s="462"/>
    </row>
    <row r="252" spans="17:18">
      <c r="Q252" s="462"/>
      <c r="R252" s="462"/>
    </row>
    <row r="253" spans="17:18">
      <c r="Q253" s="462"/>
      <c r="R253" s="462"/>
    </row>
    <row r="254" spans="17:18">
      <c r="Q254" s="462"/>
      <c r="R254" s="462"/>
    </row>
    <row r="255" spans="17:18">
      <c r="Q255" s="462"/>
      <c r="R255" s="462"/>
    </row>
    <row r="256" spans="17:18">
      <c r="Q256" s="462"/>
      <c r="R256" s="462"/>
    </row>
    <row r="257" spans="17:18">
      <c r="Q257" s="462"/>
      <c r="R257" s="462"/>
    </row>
    <row r="258" spans="17:18">
      <c r="Q258" s="462"/>
      <c r="R258" s="462"/>
    </row>
    <row r="259" spans="17:18">
      <c r="Q259" s="462"/>
      <c r="R259" s="462"/>
    </row>
    <row r="260" spans="17:18">
      <c r="Q260" s="462"/>
      <c r="R260" s="462"/>
    </row>
    <row r="261" spans="17:18">
      <c r="Q261" s="462"/>
      <c r="R261" s="462"/>
    </row>
    <row r="262" spans="17:18">
      <c r="Q262" s="462"/>
      <c r="R262" s="462"/>
    </row>
    <row r="263" spans="17:18">
      <c r="Q263" s="462"/>
      <c r="R263" s="462"/>
    </row>
    <row r="264" spans="17:18">
      <c r="Q264" s="462"/>
      <c r="R264" s="462"/>
    </row>
    <row r="265" spans="17:18">
      <c r="Q265" s="462"/>
      <c r="R265" s="462"/>
    </row>
    <row r="266" spans="17:18">
      <c r="Q266" s="462"/>
      <c r="R266" s="462"/>
    </row>
    <row r="267" spans="17:18">
      <c r="Q267" s="462"/>
      <c r="R267" s="462"/>
    </row>
    <row r="268" spans="17:18">
      <c r="Q268" s="462"/>
      <c r="R268" s="462"/>
    </row>
    <row r="269" spans="17:18">
      <c r="Q269" s="462"/>
      <c r="R269" s="462"/>
    </row>
    <row r="270" spans="17:18">
      <c r="Q270" s="462"/>
      <c r="R270" s="462"/>
    </row>
    <row r="271" spans="17:18">
      <c r="Q271" s="462"/>
      <c r="R271" s="462"/>
    </row>
    <row r="272" spans="17:18">
      <c r="Q272" s="462"/>
      <c r="R272" s="462"/>
    </row>
    <row r="290" spans="1:19" ht="11.45" customHeight="1">
      <c r="Q290" s="462"/>
      <c r="R290" s="462"/>
    </row>
    <row r="291" spans="1:19" ht="11.45" customHeight="1">
      <c r="Q291" s="462"/>
      <c r="R291" s="462"/>
    </row>
    <row r="292" spans="1:19" ht="11.45" customHeight="1">
      <c r="Q292" s="462"/>
      <c r="R292" s="462"/>
    </row>
    <row r="293" spans="1:19" ht="11.45" customHeight="1">
      <c r="F293" s="459"/>
      <c r="Q293" s="462"/>
      <c r="R293" s="462"/>
    </row>
    <row r="294" spans="1:19">
      <c r="G294" s="491"/>
      <c r="Q294" s="462"/>
      <c r="R294" s="462"/>
    </row>
    <row r="295" spans="1:19" ht="12.75">
      <c r="G295" s="14"/>
      <c r="Q295" s="462"/>
      <c r="R295" s="462"/>
    </row>
    <row r="296" spans="1:19" ht="12.75">
      <c r="G296" s="14"/>
      <c r="Q296" s="462"/>
      <c r="R296" s="462"/>
    </row>
    <row r="297" spans="1:19" ht="12.75">
      <c r="G297" s="14"/>
      <c r="Q297" s="462"/>
      <c r="R297" s="462"/>
    </row>
    <row r="298" spans="1:19" ht="12.75">
      <c r="G298" s="14"/>
      <c r="Q298" s="462"/>
      <c r="R298" s="462"/>
    </row>
    <row r="299" spans="1:19" ht="12.75">
      <c r="G299" s="14"/>
      <c r="Q299" s="462"/>
      <c r="R299" s="462"/>
    </row>
    <row r="300" spans="1:19" ht="12.75">
      <c r="G300" s="14"/>
      <c r="Q300" s="462"/>
      <c r="R300" s="462"/>
    </row>
    <row r="301" spans="1:19" ht="12.75">
      <c r="G301" s="14"/>
      <c r="Q301" s="462"/>
      <c r="R301" s="462"/>
    </row>
    <row r="302" spans="1:19" ht="12.75">
      <c r="G302" s="14"/>
      <c r="Q302" s="462"/>
      <c r="R302" s="462"/>
    </row>
    <row r="303" spans="1:19" ht="12.75">
      <c r="A303" s="14"/>
      <c r="B303" s="14"/>
      <c r="C303" s="14"/>
      <c r="D303" s="14"/>
      <c r="E303" s="14"/>
      <c r="F303" s="14"/>
      <c r="G303" s="14"/>
      <c r="Q303" s="462"/>
      <c r="R303" s="462"/>
    </row>
    <row r="304" spans="1:19" ht="11.45" customHeight="1">
      <c r="A304" s="14"/>
      <c r="B304" s="14"/>
      <c r="C304" s="14"/>
      <c r="D304" s="14"/>
      <c r="E304" s="14"/>
      <c r="F304" s="14"/>
      <c r="Q304" s="462"/>
      <c r="R304" s="462"/>
      <c r="S304" s="462"/>
    </row>
    <row r="305" spans="1:32" ht="11.45" customHeight="1">
      <c r="A305" s="464"/>
      <c r="B305" s="464"/>
      <c r="C305" s="472"/>
      <c r="D305" s="472"/>
      <c r="E305" s="472"/>
      <c r="F305" s="484"/>
      <c r="G305" s="505"/>
      <c r="H305" s="505"/>
      <c r="I305" s="505"/>
      <c r="J305" s="505"/>
      <c r="K305" s="505"/>
      <c r="L305" s="505"/>
      <c r="M305" s="505"/>
      <c r="N305" s="505"/>
      <c r="O305" s="505"/>
      <c r="P305" s="505"/>
      <c r="Q305" s="506"/>
      <c r="R305" s="506"/>
      <c r="S305" s="506"/>
      <c r="T305" s="506"/>
      <c r="U305" s="506"/>
      <c r="V305" s="506"/>
      <c r="W305" s="506"/>
      <c r="X305" s="506"/>
      <c r="Y305" s="506"/>
      <c r="Z305" s="506"/>
      <c r="AA305" s="506"/>
      <c r="AB305" s="506"/>
      <c r="AC305" s="506"/>
      <c r="AD305" s="506"/>
      <c r="AE305" s="506"/>
      <c r="AF305" s="506"/>
    </row>
    <row r="306" spans="1:32" ht="11.45" customHeight="1">
      <c r="A306" s="472"/>
      <c r="B306" s="472"/>
      <c r="C306" s="464"/>
      <c r="D306" s="464"/>
      <c r="E306" s="464"/>
      <c r="F306" s="505"/>
      <c r="G306" s="507"/>
      <c r="H306" s="507"/>
      <c r="I306" s="507"/>
      <c r="J306" s="507"/>
      <c r="K306" s="507"/>
      <c r="L306" s="507"/>
      <c r="M306" s="507"/>
      <c r="N306" s="507"/>
      <c r="O306" s="507"/>
      <c r="P306" s="507"/>
      <c r="Q306" s="508"/>
      <c r="R306" s="508"/>
      <c r="S306" s="508"/>
      <c r="T306" s="508"/>
      <c r="U306" s="508"/>
      <c r="V306" s="508"/>
      <c r="W306" s="508"/>
      <c r="X306" s="508"/>
      <c r="Y306" s="508"/>
      <c r="Z306" s="508"/>
      <c r="AA306" s="508"/>
      <c r="AB306" s="508"/>
      <c r="AC306" s="508"/>
      <c r="AD306" s="508"/>
      <c r="AE306" s="508"/>
      <c r="AF306" s="508"/>
    </row>
    <row r="307" spans="1:32" ht="11.45" customHeight="1">
      <c r="A307" s="472"/>
      <c r="B307" s="472"/>
      <c r="C307" s="464"/>
      <c r="D307" s="464"/>
      <c r="E307" s="464"/>
      <c r="F307" s="507"/>
      <c r="Q307" s="462"/>
      <c r="R307" s="462"/>
      <c r="S307" s="462"/>
    </row>
    <row r="308" spans="1:32" ht="11.45" customHeight="1">
      <c r="A308" s="464"/>
      <c r="B308" s="464"/>
      <c r="C308" s="472"/>
      <c r="D308" s="472"/>
      <c r="E308" s="472"/>
      <c r="F308" s="484"/>
      <c r="G308" s="472"/>
      <c r="H308" s="472"/>
      <c r="I308" s="472"/>
      <c r="J308" s="472"/>
      <c r="K308" s="472"/>
      <c r="L308" s="472"/>
      <c r="M308" s="472"/>
      <c r="N308" s="472"/>
      <c r="O308" s="472"/>
      <c r="P308" s="472"/>
      <c r="Q308" s="509"/>
      <c r="R308" s="509"/>
      <c r="S308" s="509"/>
      <c r="T308" s="509"/>
      <c r="U308" s="509"/>
      <c r="V308" s="509"/>
      <c r="W308" s="509"/>
      <c r="X308" s="509"/>
      <c r="Y308" s="509"/>
      <c r="Z308" s="509"/>
      <c r="AA308" s="509"/>
      <c r="AB308" s="509"/>
      <c r="AC308" s="509"/>
      <c r="AD308" s="509"/>
      <c r="AE308" s="509"/>
      <c r="AF308" s="509"/>
    </row>
    <row r="309" spans="1:32" ht="11.45" customHeight="1">
      <c r="A309" s="464"/>
      <c r="B309" s="464"/>
      <c r="C309" s="472"/>
      <c r="D309" s="472"/>
      <c r="E309" s="472"/>
      <c r="F309" s="472"/>
      <c r="G309" s="505"/>
      <c r="H309" s="505"/>
      <c r="I309" s="505"/>
      <c r="J309" s="505"/>
      <c r="K309" s="505"/>
      <c r="L309" s="505"/>
      <c r="M309" s="505"/>
      <c r="N309" s="505"/>
      <c r="O309" s="505"/>
      <c r="P309" s="505"/>
      <c r="Q309" s="506"/>
      <c r="R309" s="506"/>
      <c r="S309" s="506"/>
      <c r="T309" s="506"/>
      <c r="U309" s="506"/>
      <c r="V309" s="506"/>
      <c r="W309" s="506"/>
      <c r="X309" s="506"/>
      <c r="Y309" s="506"/>
      <c r="Z309" s="506"/>
      <c r="AA309" s="506"/>
      <c r="AB309" s="506"/>
      <c r="AC309" s="506"/>
      <c r="AD309" s="506"/>
      <c r="AE309" s="506"/>
      <c r="AF309" s="506"/>
    </row>
    <row r="310" spans="1:32" ht="11.45" customHeight="1">
      <c r="A310" s="464"/>
      <c r="B310" s="464"/>
      <c r="C310" s="464"/>
      <c r="D310" s="464"/>
      <c r="E310" s="464"/>
      <c r="F310" s="505"/>
      <c r="G310" s="510"/>
      <c r="H310" s="510"/>
      <c r="I310" s="510"/>
      <c r="J310" s="510"/>
      <c r="K310" s="510"/>
      <c r="L310" s="510"/>
      <c r="M310" s="510"/>
      <c r="N310" s="510"/>
      <c r="O310" s="510"/>
      <c r="P310" s="510"/>
      <c r="Q310" s="511"/>
      <c r="R310" s="511"/>
      <c r="S310" s="511"/>
      <c r="T310" s="511"/>
      <c r="U310" s="511"/>
      <c r="V310" s="511"/>
      <c r="W310" s="511"/>
      <c r="X310" s="511"/>
      <c r="Y310" s="511"/>
      <c r="Z310" s="511"/>
      <c r="AA310" s="511"/>
      <c r="AB310" s="511"/>
      <c r="AC310" s="511"/>
      <c r="AD310" s="511"/>
      <c r="AE310" s="511"/>
      <c r="AF310" s="511"/>
    </row>
    <row r="311" spans="1:32" ht="11.45" customHeight="1">
      <c r="A311" s="464"/>
      <c r="B311" s="464"/>
      <c r="C311" s="472"/>
      <c r="D311" s="472"/>
      <c r="E311" s="472"/>
      <c r="F311" s="472"/>
      <c r="G311" s="510"/>
      <c r="H311" s="510"/>
      <c r="I311" s="510"/>
      <c r="J311" s="510"/>
      <c r="K311" s="510"/>
      <c r="L311" s="510"/>
      <c r="M311" s="510"/>
      <c r="N311" s="510"/>
      <c r="O311" s="510"/>
      <c r="P311" s="510"/>
      <c r="Q311" s="511"/>
      <c r="R311" s="511"/>
      <c r="S311" s="511"/>
      <c r="T311" s="511"/>
      <c r="U311" s="511"/>
      <c r="V311" s="511"/>
      <c r="W311" s="511"/>
      <c r="X311" s="511"/>
      <c r="Y311" s="511"/>
      <c r="Z311" s="511"/>
      <c r="AA311" s="511"/>
      <c r="AB311" s="511"/>
      <c r="AC311" s="511"/>
      <c r="AD311" s="511"/>
      <c r="AE311" s="511"/>
      <c r="AF311" s="511"/>
    </row>
    <row r="312" spans="1:32" ht="11.45" customHeight="1">
      <c r="A312" s="464"/>
      <c r="B312" s="464"/>
      <c r="C312" s="464"/>
      <c r="D312" s="464"/>
      <c r="E312" s="464"/>
      <c r="F312" s="472"/>
      <c r="G312" s="510"/>
      <c r="H312" s="510"/>
      <c r="I312" s="510"/>
      <c r="J312" s="510"/>
      <c r="K312" s="510"/>
      <c r="L312" s="510"/>
      <c r="M312" s="510"/>
      <c r="N312" s="510"/>
      <c r="O312" s="510"/>
      <c r="P312" s="510"/>
      <c r="Q312" s="511"/>
      <c r="R312" s="511"/>
      <c r="S312" s="511"/>
      <c r="T312" s="511"/>
      <c r="U312" s="511"/>
      <c r="V312" s="511"/>
      <c r="W312" s="511"/>
      <c r="X312" s="511"/>
      <c r="Y312" s="511"/>
      <c r="Z312" s="511"/>
      <c r="AA312" s="511"/>
      <c r="AB312" s="511"/>
      <c r="AC312" s="511"/>
      <c r="AD312" s="511"/>
      <c r="AE312" s="511"/>
      <c r="AF312" s="511"/>
    </row>
    <row r="313" spans="1:32">
      <c r="A313" s="464"/>
      <c r="B313" s="464"/>
      <c r="C313" s="464"/>
      <c r="D313" s="464"/>
      <c r="E313" s="464"/>
      <c r="F313" s="472"/>
    </row>
  </sheetData>
  <pageMargins left="0.25" right="0.25" top="0.25" bottom="0.5" header="0" footer="0"/>
  <pageSetup scale="69" orientation="landscape" r:id="rId1"/>
  <headerFooter alignWithMargins="0">
    <oddFooter>&amp;L&amp;D   &amp;T&amp;R&amp;F
&amp;A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5"/>
  <sheetViews>
    <sheetView showGridLines="0" zoomScale="75" zoomScaleNormal="75" workbookViewId="0">
      <selection activeCell="E43" sqref="E43"/>
    </sheetView>
  </sheetViews>
  <sheetFormatPr defaultRowHeight="12.75"/>
  <cols>
    <col min="1" max="1" width="55.7109375" style="14" customWidth="1"/>
    <col min="2" max="2" width="9.7109375" style="14" customWidth="1"/>
    <col min="3" max="3" width="9" style="24" customWidth="1"/>
    <col min="4" max="4" width="14.85546875" style="197" customWidth="1"/>
    <col min="5" max="5" width="14.140625" style="197" customWidth="1"/>
    <col min="6" max="6" width="11.140625" style="197" customWidth="1"/>
    <col min="7" max="9" width="11.5703125" style="197" customWidth="1"/>
    <col min="10" max="10" width="11.28515625" style="197" customWidth="1"/>
    <col min="11" max="11" width="11.5703125" style="197" customWidth="1"/>
    <col min="12" max="12" width="11.28515625" style="197" customWidth="1"/>
    <col min="13" max="14" width="11.5703125" style="197" customWidth="1"/>
    <col min="15" max="15" width="11.140625" style="197" customWidth="1"/>
    <col min="16" max="16" width="10.5703125" style="197" customWidth="1"/>
    <col min="17" max="19" width="11.140625" style="197" customWidth="1"/>
    <col min="20" max="20" width="10.85546875" style="197" customWidth="1"/>
    <col min="21" max="21" width="11.140625" style="197" customWidth="1"/>
    <col min="22" max="22" width="10.85546875" style="197" customWidth="1"/>
    <col min="23" max="24" width="11.140625" style="197" customWidth="1"/>
    <col min="25" max="34" width="11.5703125" style="197" customWidth="1"/>
    <col min="35" max="16384" width="9.140625" style="14"/>
  </cols>
  <sheetData>
    <row r="2" spans="1:34" ht="21" customHeight="1">
      <c r="A2" s="113" t="str">
        <f>Assumptions!B3</f>
        <v>PROJECT NAME: SANTEE COOPER</v>
      </c>
    </row>
    <row r="4" spans="1:34" ht="18.75">
      <c r="A4" s="81" t="s">
        <v>218</v>
      </c>
    </row>
    <row r="6" spans="1:34">
      <c r="D6" s="390">
        <f>'Power Price Assumption'!F9</f>
        <v>0.66849315068493154</v>
      </c>
      <c r="E6" s="390">
        <f>'Power Price Assumption'!G9</f>
        <v>1.6684931506849314</v>
      </c>
      <c r="F6" s="390">
        <f>'Power Price Assumption'!H9</f>
        <v>2.6684931506849314</v>
      </c>
      <c r="G6" s="390">
        <f>'Power Price Assumption'!I9</f>
        <v>3.6684931506849314</v>
      </c>
      <c r="H6" s="390">
        <f>'Power Price Assumption'!J9</f>
        <v>4.668493150684931</v>
      </c>
      <c r="I6" s="390">
        <f>'Power Price Assumption'!K9</f>
        <v>5.668493150684931</v>
      </c>
      <c r="J6" s="390">
        <f>'Power Price Assumption'!L9</f>
        <v>6.668493150684931</v>
      </c>
      <c r="K6" s="390">
        <f>'Power Price Assumption'!M9</f>
        <v>7.668493150684931</v>
      </c>
      <c r="L6" s="390">
        <f>'Power Price Assumption'!N9</f>
        <v>8.668493150684931</v>
      </c>
      <c r="M6" s="390">
        <f>'Power Price Assumption'!O9</f>
        <v>9.668493150684931</v>
      </c>
      <c r="N6" s="390">
        <f>'Power Price Assumption'!P9</f>
        <v>10.668493150684931</v>
      </c>
      <c r="O6" s="390">
        <f>'Power Price Assumption'!Q9</f>
        <v>11.668493150684931</v>
      </c>
      <c r="P6" s="390">
        <f>'Power Price Assumption'!R9</f>
        <v>12.668493150684931</v>
      </c>
      <c r="Q6" s="390">
        <f>'Power Price Assumption'!S9</f>
        <v>13.668493150684931</v>
      </c>
      <c r="R6" s="390">
        <f>'Power Price Assumption'!T9</f>
        <v>14.668493150684931</v>
      </c>
      <c r="S6" s="390">
        <f>'Power Price Assumption'!U9</f>
        <v>15.668493150684931</v>
      </c>
      <c r="T6" s="390">
        <f>'Power Price Assumption'!V9</f>
        <v>16.668493150684931</v>
      </c>
      <c r="U6" s="390">
        <f>'Power Price Assumption'!W9</f>
        <v>17.668493150684931</v>
      </c>
      <c r="V6" s="390">
        <f>'Power Price Assumption'!X9</f>
        <v>18.668493150684931</v>
      </c>
      <c r="W6" s="390">
        <f>'Power Price Assumption'!Y9</f>
        <v>19.668493150684931</v>
      </c>
      <c r="X6" s="390">
        <f>'Power Price Assumption'!Z9</f>
        <v>20.668493150684931</v>
      </c>
      <c r="Y6" s="390">
        <f>'Power Price Assumption'!AA9</f>
        <v>21.668493150684931</v>
      </c>
      <c r="Z6" s="390">
        <f>'Power Price Assumption'!AB9</f>
        <v>22.668493150684931</v>
      </c>
      <c r="AA6" s="390">
        <f>'Power Price Assumption'!AC9</f>
        <v>23.668493150684931</v>
      </c>
      <c r="AB6" s="390">
        <f>'Power Price Assumption'!AD9</f>
        <v>24.668493150684931</v>
      </c>
      <c r="AC6" s="390">
        <f>'Power Price Assumption'!AE9</f>
        <v>25.668493150684931</v>
      </c>
      <c r="AD6" s="390">
        <f>'Power Price Assumption'!AF9</f>
        <v>26.668493150684931</v>
      </c>
      <c r="AE6" s="390">
        <f>'Power Price Assumption'!AG9</f>
        <v>27.668493150684931</v>
      </c>
      <c r="AF6" s="390">
        <f>'Power Price Assumption'!AH9</f>
        <v>28.668493150684931</v>
      </c>
      <c r="AG6" s="390">
        <f>'Power Price Assumption'!AI9</f>
        <v>29.668493150684931</v>
      </c>
      <c r="AH6" s="390">
        <f>'Power Price Assumption'!AJ9</f>
        <v>30.668493150684931</v>
      </c>
    </row>
    <row r="7" spans="1:34" s="25" customFormat="1" ht="13.5" thickBot="1">
      <c r="A7" s="157" t="s">
        <v>73</v>
      </c>
      <c r="B7" s="191"/>
      <c r="C7" s="191"/>
      <c r="D7" s="382">
        <f>'Power Price Assumption'!F10</f>
        <v>2001</v>
      </c>
      <c r="E7" s="382">
        <f>'Power Price Assumption'!G10</f>
        <v>2002</v>
      </c>
      <c r="F7" s="382">
        <f>'Power Price Assumption'!H10</f>
        <v>2003</v>
      </c>
      <c r="G7" s="382">
        <f>'Power Price Assumption'!I10</f>
        <v>2004</v>
      </c>
      <c r="H7" s="382">
        <f>'Power Price Assumption'!J10</f>
        <v>2005</v>
      </c>
      <c r="I7" s="382">
        <f>'Power Price Assumption'!K10</f>
        <v>2006</v>
      </c>
      <c r="J7" s="382">
        <f>'Power Price Assumption'!L10</f>
        <v>2007</v>
      </c>
      <c r="K7" s="382">
        <f>'Power Price Assumption'!M10</f>
        <v>2008</v>
      </c>
      <c r="L7" s="382">
        <f>'Power Price Assumption'!N10</f>
        <v>2009</v>
      </c>
      <c r="M7" s="382">
        <f>'Power Price Assumption'!O10</f>
        <v>2010</v>
      </c>
      <c r="N7" s="382">
        <f>'Power Price Assumption'!P10</f>
        <v>2011</v>
      </c>
      <c r="O7" s="382">
        <f>'Power Price Assumption'!Q10</f>
        <v>2012</v>
      </c>
      <c r="P7" s="382">
        <f>'Power Price Assumption'!R10</f>
        <v>2013</v>
      </c>
      <c r="Q7" s="382">
        <f>'Power Price Assumption'!S10</f>
        <v>2014</v>
      </c>
      <c r="R7" s="382">
        <f>'Power Price Assumption'!T10</f>
        <v>2015</v>
      </c>
      <c r="S7" s="382">
        <f>'Power Price Assumption'!U10</f>
        <v>2016</v>
      </c>
      <c r="T7" s="382">
        <f>'Power Price Assumption'!V10</f>
        <v>2017</v>
      </c>
      <c r="U7" s="382">
        <f>'Power Price Assumption'!W10</f>
        <v>2018</v>
      </c>
      <c r="V7" s="382">
        <f>'Power Price Assumption'!X10</f>
        <v>2019</v>
      </c>
      <c r="W7" s="382">
        <f>'Power Price Assumption'!Y10</f>
        <v>2020</v>
      </c>
      <c r="X7" s="382">
        <f>'Power Price Assumption'!Z10</f>
        <v>2021</v>
      </c>
      <c r="Y7" s="382">
        <f>'Power Price Assumption'!AA10</f>
        <v>2022</v>
      </c>
      <c r="Z7" s="382">
        <f>'Power Price Assumption'!AB10</f>
        <v>2023</v>
      </c>
      <c r="AA7" s="382">
        <f>'Power Price Assumption'!AC10</f>
        <v>2024</v>
      </c>
      <c r="AB7" s="382">
        <f>'Power Price Assumption'!AD10</f>
        <v>2025</v>
      </c>
      <c r="AC7" s="382">
        <f>'Power Price Assumption'!AE10</f>
        <v>2026</v>
      </c>
      <c r="AD7" s="382">
        <f>'Power Price Assumption'!AF10</f>
        <v>2027</v>
      </c>
      <c r="AE7" s="382">
        <f>'Power Price Assumption'!AG10</f>
        <v>2028</v>
      </c>
      <c r="AF7" s="382">
        <f>'Power Price Assumption'!AH10</f>
        <v>2029</v>
      </c>
      <c r="AG7" s="382">
        <f>'Power Price Assumption'!AI10</f>
        <v>2030</v>
      </c>
      <c r="AH7" s="382">
        <f>'Power Price Assumption'!AJ10</f>
        <v>2031</v>
      </c>
    </row>
    <row r="8" spans="1:34" s="25" customFormat="1">
      <c r="A8" s="181"/>
      <c r="B8" s="192"/>
      <c r="C8" s="192"/>
      <c r="D8" s="438">
        <f>Debt!B24</f>
        <v>0</v>
      </c>
      <c r="E8" s="438">
        <f>Debt!C24</f>
        <v>0</v>
      </c>
      <c r="F8" s="438">
        <f>Debt!D24</f>
        <v>0</v>
      </c>
      <c r="G8" s="438">
        <f>Debt!E24</f>
        <v>0</v>
      </c>
      <c r="H8" s="438">
        <f>Debt!F24</f>
        <v>0</v>
      </c>
      <c r="I8" s="438">
        <f>Debt!G24</f>
        <v>0</v>
      </c>
      <c r="J8" s="438">
        <f>Debt!H24</f>
        <v>0</v>
      </c>
      <c r="K8" s="438">
        <f>Debt!I24</f>
        <v>0</v>
      </c>
      <c r="L8" s="438">
        <f>Debt!J24</f>
        <v>0</v>
      </c>
      <c r="M8" s="438">
        <f>Debt!K24</f>
        <v>0</v>
      </c>
      <c r="N8" s="438">
        <f>Debt!L24</f>
        <v>0</v>
      </c>
      <c r="O8" s="438">
        <f>Debt!M24</f>
        <v>0</v>
      </c>
      <c r="P8" s="438">
        <f>Debt!N24</f>
        <v>0</v>
      </c>
      <c r="Q8" s="438">
        <f>Debt!O24</f>
        <v>0</v>
      </c>
      <c r="R8" s="438">
        <f>Debt!P24</f>
        <v>0</v>
      </c>
      <c r="S8" s="438">
        <f>Debt!Q24</f>
        <v>0</v>
      </c>
      <c r="T8" s="438">
        <f>Debt!R24</f>
        <v>0</v>
      </c>
      <c r="U8" s="438">
        <f>Debt!S24</f>
        <v>0</v>
      </c>
      <c r="V8" s="438">
        <f>Debt!T24</f>
        <v>0</v>
      </c>
      <c r="W8" s="438">
        <f>Debt!U24</f>
        <v>0</v>
      </c>
      <c r="X8" s="438">
        <f>Debt!V24</f>
        <v>0</v>
      </c>
      <c r="Y8" s="438">
        <f>Debt!W24</f>
        <v>0</v>
      </c>
      <c r="Z8" s="438">
        <f>Debt!X24</f>
        <v>0</v>
      </c>
      <c r="AA8" s="438">
        <f>Debt!Y24</f>
        <v>0</v>
      </c>
      <c r="AB8" s="438">
        <f>Debt!Z24</f>
        <v>0</v>
      </c>
      <c r="AC8" s="438">
        <f>Debt!AA24</f>
        <v>0</v>
      </c>
      <c r="AD8" s="438">
        <f>Debt!AB24</f>
        <v>0</v>
      </c>
      <c r="AE8" s="438">
        <f>Debt!AC24</f>
        <v>0</v>
      </c>
      <c r="AF8" s="438">
        <f>Debt!AD24</f>
        <v>0</v>
      </c>
      <c r="AG8" s="438">
        <f>Debt!AE24</f>
        <v>0</v>
      </c>
      <c r="AH8" s="438">
        <f>Debt!AF24</f>
        <v>0</v>
      </c>
    </row>
    <row r="9" spans="1:34" s="25" customFormat="1">
      <c r="A9" s="26" t="s">
        <v>198</v>
      </c>
      <c r="B9" s="26"/>
      <c r="C9" s="24"/>
      <c r="D9" s="439">
        <f>Assumptions!J17</f>
        <v>8.0219178082191789</v>
      </c>
      <c r="E9" s="429">
        <v>12</v>
      </c>
      <c r="F9" s="429">
        <v>12</v>
      </c>
      <c r="G9" s="429">
        <v>12</v>
      </c>
      <c r="H9" s="429">
        <v>12</v>
      </c>
      <c r="I9" s="429">
        <v>12</v>
      </c>
      <c r="J9" s="429">
        <v>12</v>
      </c>
      <c r="K9" s="429">
        <v>12</v>
      </c>
      <c r="L9" s="429">
        <v>12</v>
      </c>
      <c r="M9" s="429">
        <v>12</v>
      </c>
      <c r="N9" s="429">
        <v>12</v>
      </c>
      <c r="O9" s="429">
        <v>12</v>
      </c>
      <c r="P9" s="429">
        <v>12</v>
      </c>
      <c r="Q9" s="429">
        <v>12</v>
      </c>
      <c r="R9" s="429">
        <v>12</v>
      </c>
      <c r="S9" s="429">
        <v>12</v>
      </c>
      <c r="T9" s="429">
        <v>12</v>
      </c>
      <c r="U9" s="429">
        <v>12</v>
      </c>
      <c r="V9" s="429">
        <v>12</v>
      </c>
      <c r="W9" s="429">
        <v>12</v>
      </c>
      <c r="X9" s="429">
        <v>12</v>
      </c>
      <c r="Y9" s="430">
        <v>12</v>
      </c>
      <c r="Z9" s="430">
        <v>12</v>
      </c>
      <c r="AA9" s="430">
        <v>12</v>
      </c>
      <c r="AB9" s="430">
        <v>12</v>
      </c>
      <c r="AC9" s="430">
        <v>12</v>
      </c>
      <c r="AD9" s="430">
        <v>12</v>
      </c>
      <c r="AE9" s="430">
        <v>12</v>
      </c>
      <c r="AF9" s="430">
        <v>12</v>
      </c>
      <c r="AG9" s="430">
        <v>12</v>
      </c>
      <c r="AH9" s="430">
        <v>12</v>
      </c>
    </row>
    <row r="10" spans="1:34" s="25" customFormat="1">
      <c r="A10" s="26"/>
      <c r="B10" s="26"/>
      <c r="C10" s="24"/>
      <c r="D10" s="429"/>
      <c r="E10" s="429"/>
      <c r="F10" s="429"/>
      <c r="G10" s="429"/>
      <c r="H10" s="429"/>
      <c r="I10" s="431"/>
      <c r="J10" s="431"/>
      <c r="K10" s="431"/>
      <c r="L10" s="431"/>
      <c r="M10" s="431"/>
      <c r="N10" s="431"/>
      <c r="O10" s="431"/>
      <c r="P10" s="431"/>
      <c r="Q10" s="431"/>
      <c r="R10" s="431"/>
      <c r="S10" s="431"/>
      <c r="T10" s="431"/>
      <c r="U10" s="431"/>
      <c r="V10" s="431"/>
      <c r="W10" s="431"/>
      <c r="X10" s="431"/>
      <c r="Y10" s="431"/>
      <c r="Z10" s="431"/>
      <c r="AA10" s="431"/>
      <c r="AB10" s="431"/>
      <c r="AC10" s="431"/>
      <c r="AD10" s="431"/>
      <c r="AE10" s="431"/>
      <c r="AF10" s="431"/>
      <c r="AG10" s="431"/>
      <c r="AH10" s="431"/>
    </row>
    <row r="11" spans="1:34" ht="15.75">
      <c r="A11" s="27"/>
    </row>
    <row r="12" spans="1:34" s="12" customFormat="1">
      <c r="A12" s="28" t="s">
        <v>119</v>
      </c>
      <c r="B12" s="14"/>
      <c r="C12" s="29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s="12" customFormat="1">
      <c r="A13" s="14"/>
      <c r="B13" s="30" t="s">
        <v>120</v>
      </c>
      <c r="C13" s="24"/>
      <c r="D13" s="432"/>
      <c r="E13" s="433"/>
      <c r="F13" s="433"/>
      <c r="G13" s="433"/>
      <c r="H13" s="433"/>
      <c r="I13" s="433"/>
      <c r="J13" s="433"/>
      <c r="K13" s="433"/>
      <c r="L13" s="433"/>
      <c r="M13" s="433"/>
      <c r="N13" s="433"/>
      <c r="O13" s="433"/>
      <c r="P13" s="433"/>
      <c r="Q13" s="433"/>
      <c r="R13" s="433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</row>
    <row r="14" spans="1:34" s="12" customFormat="1">
      <c r="A14" s="21" t="s">
        <v>121</v>
      </c>
      <c r="B14" s="31">
        <f>Assumptions!$O$46</f>
        <v>15</v>
      </c>
      <c r="C14" s="32"/>
      <c r="D14" s="456">
        <v>0.05</v>
      </c>
      <c r="E14" s="456">
        <v>9.5000000000000001E-2</v>
      </c>
      <c r="F14" s="456">
        <v>8.5500000000000007E-2</v>
      </c>
      <c r="G14" s="456">
        <v>7.6999999999999999E-2</v>
      </c>
      <c r="H14" s="456">
        <v>6.93E-2</v>
      </c>
      <c r="I14" s="456">
        <v>6.2300000000000001E-2</v>
      </c>
      <c r="J14" s="456">
        <v>5.8999999999999997E-2</v>
      </c>
      <c r="K14" s="456">
        <v>5.91E-2</v>
      </c>
      <c r="L14" s="456">
        <v>5.8999999999999997E-2</v>
      </c>
      <c r="M14" s="456">
        <v>5.91E-2</v>
      </c>
      <c r="N14" s="456">
        <v>5.8999999999999997E-2</v>
      </c>
      <c r="O14" s="456">
        <v>5.91E-2</v>
      </c>
      <c r="P14" s="456">
        <v>5.8999999999999997E-2</v>
      </c>
      <c r="Q14" s="456">
        <v>5.91E-2</v>
      </c>
      <c r="R14" s="456">
        <v>5.8999999999999997E-2</v>
      </c>
      <c r="S14" s="456">
        <v>2.9499999999999998E-2</v>
      </c>
      <c r="T14" s="456">
        <v>0</v>
      </c>
      <c r="U14" s="456">
        <v>0</v>
      </c>
      <c r="V14" s="456">
        <v>0</v>
      </c>
      <c r="W14" s="456">
        <v>0</v>
      </c>
      <c r="X14" s="456">
        <v>0</v>
      </c>
      <c r="Y14" s="456">
        <v>0</v>
      </c>
      <c r="Z14" s="456">
        <v>0</v>
      </c>
      <c r="AA14" s="456">
        <v>0</v>
      </c>
      <c r="AB14" s="456">
        <v>0</v>
      </c>
      <c r="AC14" s="456">
        <v>0</v>
      </c>
      <c r="AD14" s="456">
        <v>0</v>
      </c>
      <c r="AE14" s="456">
        <v>0</v>
      </c>
      <c r="AF14" s="456">
        <v>0</v>
      </c>
      <c r="AG14" s="456">
        <v>0</v>
      </c>
      <c r="AH14" s="456">
        <v>0</v>
      </c>
    </row>
    <row r="15" spans="1:34" s="94" customFormat="1">
      <c r="A15" s="22" t="s">
        <v>122</v>
      </c>
      <c r="B15" s="92">
        <f>Assumptions!$O$47</f>
        <v>20</v>
      </c>
      <c r="C15" s="93"/>
      <c r="D15" s="455">
        <f>1/Assumptions!$O$47*D9/12</f>
        <v>3.3424657534246581E-2</v>
      </c>
      <c r="E15" s="455">
        <f>IF(E6=Assumptions!$O$47,1/Assumptions!$O$47-Depreciation!$D$15,IF(E6&lt;Assumptions!$O$47,1/Assumptions!$O$47,0))</f>
        <v>0.05</v>
      </c>
      <c r="F15" s="455">
        <f>IF(F6=Assumptions!$O$47,1/Assumptions!$O$47-Depreciation!$D$15,IF(F6&lt;Assumptions!$O$47,1/Assumptions!$O$47,0))</f>
        <v>0.05</v>
      </c>
      <c r="G15" s="455">
        <f>IF(G6=Assumptions!$O$47,1/Assumptions!$O$47-Depreciation!$D$15,IF(G6&lt;Assumptions!$O$47,1/Assumptions!$O$47,0))</f>
        <v>0.05</v>
      </c>
      <c r="H15" s="455">
        <f>IF(H6=Assumptions!$O$47,1/Assumptions!$O$47-Depreciation!$D$15,IF(H6&lt;Assumptions!$O$47,1/Assumptions!$O$47,0))</f>
        <v>0.05</v>
      </c>
      <c r="I15" s="455">
        <f>IF(I6=Assumptions!$O$47,1/Assumptions!$O$47-Depreciation!$D$15,IF(I6&lt;Assumptions!$O$47,1/Assumptions!$O$47,0))</f>
        <v>0.05</v>
      </c>
      <c r="J15" s="455">
        <f>IF(J6=Assumptions!$O$47,1/Assumptions!$O$47-Depreciation!$D$15,IF(J6&lt;Assumptions!$O$47,1/Assumptions!$O$47,0))</f>
        <v>0.05</v>
      </c>
      <c r="K15" s="455">
        <f>IF(K6=Assumptions!$O$47,1/Assumptions!$O$47-Depreciation!$D$15,IF(K6&lt;Assumptions!$O$47,1/Assumptions!$O$47,0))</f>
        <v>0.05</v>
      </c>
      <c r="L15" s="455">
        <f>IF(L6=Assumptions!$O$47,1/Assumptions!$O$47-Depreciation!$D$15,IF(L6&lt;Assumptions!$O$47,1/Assumptions!$O$47,0))</f>
        <v>0.05</v>
      </c>
      <c r="M15" s="455">
        <f>IF(M6=Assumptions!$O$47,1/Assumptions!$O$47-Depreciation!$D$15,IF(M6&lt;Assumptions!$O$47,1/Assumptions!$O$47,0))</f>
        <v>0.05</v>
      </c>
      <c r="N15" s="455">
        <f>IF(N6=Assumptions!$O$47,1/Assumptions!$O$47-Depreciation!$D$15,IF(N6&lt;Assumptions!$O$47,1/Assumptions!$O$47,0))</f>
        <v>0.05</v>
      </c>
      <c r="O15" s="455">
        <f>IF(O6=Assumptions!$O$47,1/Assumptions!$O$47-Depreciation!$D$15,IF(O6&lt;Assumptions!$O$47,1/Assumptions!$O$47,0))</f>
        <v>0.05</v>
      </c>
      <c r="P15" s="455">
        <f>IF(P6=Assumptions!$O$47,1/Assumptions!$O$47-Depreciation!$D$15,IF(P6&lt;Assumptions!$O$47,1/Assumptions!$O$47,0))</f>
        <v>0.05</v>
      </c>
      <c r="Q15" s="455">
        <f>IF(Q6=Assumptions!$O$47,1/Assumptions!$O$47-Depreciation!$D$15,IF(Q6&lt;Assumptions!$O$47,1/Assumptions!$O$47,0))</f>
        <v>0.05</v>
      </c>
      <c r="R15" s="455">
        <f>IF(R6=Assumptions!$O$47,1/Assumptions!$O$47-Depreciation!$D$15,IF(R6&lt;Assumptions!$O$47,1/Assumptions!$O$47,0))</f>
        <v>0.05</v>
      </c>
      <c r="S15" s="455">
        <f>IF(S6=Assumptions!$O$47,1/Assumptions!$O$47-Depreciation!$D$15,IF(S6&lt;Assumptions!$O$47,1/Assumptions!$O$47,0))</f>
        <v>0.05</v>
      </c>
      <c r="T15" s="455">
        <f>IF(T6=Assumptions!$O$47,1/Assumptions!$O$47-Depreciation!$D$15,IF(T6&lt;Assumptions!$O$47,1/Assumptions!$O$47,0))</f>
        <v>0.05</v>
      </c>
      <c r="U15" s="455">
        <f>IF(U6=Assumptions!$O$47,1/Assumptions!$O$47-Depreciation!$D$15,IF(U6&lt;Assumptions!$O$47,1/Assumptions!$O$47,0))</f>
        <v>0.05</v>
      </c>
      <c r="V15" s="455">
        <f>IF(V6=Assumptions!$O$47,1/Assumptions!$O$47-Depreciation!$D$15,IF(V6&lt;Assumptions!$O$47,1/Assumptions!$O$47,0))</f>
        <v>0.05</v>
      </c>
      <c r="W15" s="455">
        <f>IF(W6=Assumptions!$O$47,1/Assumptions!$O$47-Depreciation!$D$15,IF(W6&lt;Assumptions!$O$47,1/Assumptions!$O$47,0))</f>
        <v>0.05</v>
      </c>
      <c r="X15" s="455">
        <f>IF(X6=Assumptions!$O$47,1/Assumptions!$O$47-Depreciation!$D$15,IF(X6&lt;Assumptions!$O$47,1/Assumptions!$O$47,0))</f>
        <v>0</v>
      </c>
      <c r="Y15" s="455">
        <f>IF(Y6=Assumptions!$O$47,1/Assumptions!$O$47-Depreciation!$D$15,IF(Y6&lt;Assumptions!$O$47,1/Assumptions!$O$47,0))</f>
        <v>0</v>
      </c>
      <c r="Z15" s="455">
        <f>IF(Z6=Assumptions!$O$47,1/Assumptions!$O$47-Depreciation!$D$15,IF(Z6&lt;Assumptions!$O$47,1/Assumptions!$O$47,0))</f>
        <v>0</v>
      </c>
      <c r="AA15" s="455">
        <f>IF(AA6=Assumptions!$O$47,1/Assumptions!$O$47-Depreciation!$D$15,IF(AA6&lt;Assumptions!$O$47,1/Assumptions!$O$47,0))</f>
        <v>0</v>
      </c>
      <c r="AB15" s="455">
        <f>IF(AB6=Assumptions!$O$47,1/Assumptions!$O$47-Depreciation!$D$15,IF(AB6&lt;Assumptions!$O$47,1/Assumptions!$O$47,0))</f>
        <v>0</v>
      </c>
      <c r="AC15" s="455">
        <f>IF(AC6=Assumptions!$O$47,1/Assumptions!$O$47-Depreciation!$D$15,IF(AC6&lt;Assumptions!$O$47,1/Assumptions!$O$47,0))</f>
        <v>0</v>
      </c>
      <c r="AD15" s="455">
        <f>IF(AD6=Assumptions!$O$47,1/Assumptions!$O$47-Depreciation!$D$15,IF(AD6&lt;Assumptions!$O$47,1/Assumptions!$O$47,0))</f>
        <v>0</v>
      </c>
      <c r="AE15" s="455">
        <f>IF(AE6=Assumptions!$O$47,1/Assumptions!$O$47-Depreciation!$D$15,IF(AE6&lt;Assumptions!$O$47,1/Assumptions!$O$47,0))</f>
        <v>0</v>
      </c>
      <c r="AF15" s="455">
        <f>IF(AF6=Assumptions!$O$47,1/Assumptions!$O$47-Depreciation!$D$15,IF(AF6&lt;Assumptions!$O$47,1/Assumptions!$O$47,0))</f>
        <v>0</v>
      </c>
      <c r="AG15" s="455">
        <f>IF(AG6=Assumptions!$O$47,1/Assumptions!$O$47-Depreciation!$D$15,IF(AG6&lt;Assumptions!$O$47,1/Assumptions!$O$47,0))</f>
        <v>0</v>
      </c>
      <c r="AH15" s="455">
        <f>IF(AH6=Assumptions!$O$47,1/Assumptions!$O$47-Depreciation!$D$15,IF(AH6&lt;Assumptions!$O$47,1/Assumptions!$O$47,0))</f>
        <v>0</v>
      </c>
    </row>
    <row r="16" spans="1:34" s="12" customFormat="1">
      <c r="A16" s="14"/>
      <c r="B16" s="33"/>
      <c r="C16" s="24"/>
      <c r="D16" s="433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97"/>
      <c r="AH16" s="197"/>
    </row>
    <row r="17" spans="1:34" s="12" customFormat="1">
      <c r="A17" s="21" t="s">
        <v>123</v>
      </c>
      <c r="B17" s="97">
        <f>Assumptions!D43-Assumptions!D39-Assumptions!D40</f>
        <v>126615.78215518073</v>
      </c>
      <c r="C17" s="98"/>
      <c r="D17" s="434">
        <f>$B$17*D14</f>
        <v>6330.7891077590366</v>
      </c>
      <c r="E17" s="434">
        <f t="shared" ref="E17:Y17" si="0">$B$17*E14</f>
        <v>12028.499304742169</v>
      </c>
      <c r="F17" s="434">
        <f t="shared" si="0"/>
        <v>10825.649374267952</v>
      </c>
      <c r="G17" s="434">
        <f t="shared" si="0"/>
        <v>9749.4152259489165</v>
      </c>
      <c r="H17" s="434">
        <f t="shared" si="0"/>
        <v>8774.4737033540241</v>
      </c>
      <c r="I17" s="434">
        <f t="shared" si="0"/>
        <v>7888.1632282677592</v>
      </c>
      <c r="J17" s="434">
        <f t="shared" si="0"/>
        <v>7470.3311471556626</v>
      </c>
      <c r="K17" s="434">
        <f t="shared" si="0"/>
        <v>7482.9927253711812</v>
      </c>
      <c r="L17" s="434">
        <f t="shared" si="0"/>
        <v>7470.3311471556626</v>
      </c>
      <c r="M17" s="434">
        <f t="shared" si="0"/>
        <v>7482.9927253711812</v>
      </c>
      <c r="N17" s="434">
        <f t="shared" si="0"/>
        <v>7470.3311471556626</v>
      </c>
      <c r="O17" s="434">
        <f t="shared" si="0"/>
        <v>7482.9927253711812</v>
      </c>
      <c r="P17" s="434">
        <f t="shared" si="0"/>
        <v>7470.3311471556626</v>
      </c>
      <c r="Q17" s="434">
        <f t="shared" si="0"/>
        <v>7482.9927253711812</v>
      </c>
      <c r="R17" s="434">
        <f t="shared" si="0"/>
        <v>7470.3311471556626</v>
      </c>
      <c r="S17" s="434">
        <f t="shared" si="0"/>
        <v>3735.1655735778313</v>
      </c>
      <c r="T17" s="434">
        <f t="shared" si="0"/>
        <v>0</v>
      </c>
      <c r="U17" s="434">
        <f t="shared" si="0"/>
        <v>0</v>
      </c>
      <c r="V17" s="434">
        <f t="shared" si="0"/>
        <v>0</v>
      </c>
      <c r="W17" s="434">
        <f t="shared" si="0"/>
        <v>0</v>
      </c>
      <c r="X17" s="434">
        <f t="shared" si="0"/>
        <v>0</v>
      </c>
      <c r="Y17" s="434">
        <f t="shared" si="0"/>
        <v>0</v>
      </c>
      <c r="Z17" s="434">
        <f t="shared" ref="Z17:AH17" si="1">$B$17*Z14</f>
        <v>0</v>
      </c>
      <c r="AA17" s="434">
        <f t="shared" si="1"/>
        <v>0</v>
      </c>
      <c r="AB17" s="434">
        <f t="shared" si="1"/>
        <v>0</v>
      </c>
      <c r="AC17" s="434">
        <f t="shared" si="1"/>
        <v>0</v>
      </c>
      <c r="AD17" s="434">
        <f t="shared" si="1"/>
        <v>0</v>
      </c>
      <c r="AE17" s="434">
        <f t="shared" si="1"/>
        <v>0</v>
      </c>
      <c r="AF17" s="434">
        <f t="shared" si="1"/>
        <v>0</v>
      </c>
      <c r="AG17" s="434">
        <f t="shared" si="1"/>
        <v>0</v>
      </c>
      <c r="AH17" s="434">
        <f t="shared" si="1"/>
        <v>0</v>
      </c>
    </row>
    <row r="18" spans="1:34" s="12" customFormat="1" ht="15">
      <c r="A18" s="22" t="s">
        <v>122</v>
      </c>
      <c r="B18" s="100">
        <f>SUM(Assumptions!D34:D36)</f>
        <v>900</v>
      </c>
      <c r="C18" s="98"/>
      <c r="D18" s="435">
        <f>$B$18*D15</f>
        <v>30.082191780821923</v>
      </c>
      <c r="E18" s="435">
        <f t="shared" ref="E18:Y18" si="2">$B$18*E15</f>
        <v>45</v>
      </c>
      <c r="F18" s="435">
        <f t="shared" si="2"/>
        <v>45</v>
      </c>
      <c r="G18" s="435">
        <f t="shared" si="2"/>
        <v>45</v>
      </c>
      <c r="H18" s="435">
        <f t="shared" si="2"/>
        <v>45</v>
      </c>
      <c r="I18" s="435">
        <f t="shared" si="2"/>
        <v>45</v>
      </c>
      <c r="J18" s="435">
        <f t="shared" si="2"/>
        <v>45</v>
      </c>
      <c r="K18" s="435">
        <f t="shared" si="2"/>
        <v>45</v>
      </c>
      <c r="L18" s="435">
        <f t="shared" si="2"/>
        <v>45</v>
      </c>
      <c r="M18" s="435">
        <f t="shared" si="2"/>
        <v>45</v>
      </c>
      <c r="N18" s="435">
        <f t="shared" si="2"/>
        <v>45</v>
      </c>
      <c r="O18" s="435">
        <f t="shared" si="2"/>
        <v>45</v>
      </c>
      <c r="P18" s="435">
        <f t="shared" si="2"/>
        <v>45</v>
      </c>
      <c r="Q18" s="435">
        <f t="shared" si="2"/>
        <v>45</v>
      </c>
      <c r="R18" s="435">
        <f t="shared" si="2"/>
        <v>45</v>
      </c>
      <c r="S18" s="435">
        <f t="shared" si="2"/>
        <v>45</v>
      </c>
      <c r="T18" s="435">
        <f t="shared" si="2"/>
        <v>45</v>
      </c>
      <c r="U18" s="435">
        <f t="shared" si="2"/>
        <v>45</v>
      </c>
      <c r="V18" s="435">
        <f t="shared" si="2"/>
        <v>45</v>
      </c>
      <c r="W18" s="435">
        <f t="shared" si="2"/>
        <v>45</v>
      </c>
      <c r="X18" s="435">
        <f t="shared" si="2"/>
        <v>0</v>
      </c>
      <c r="Y18" s="435">
        <f t="shared" si="2"/>
        <v>0</v>
      </c>
      <c r="Z18" s="435">
        <f t="shared" ref="Z18:AH18" si="3">$B$18*Z15</f>
        <v>0</v>
      </c>
      <c r="AA18" s="435">
        <f t="shared" si="3"/>
        <v>0</v>
      </c>
      <c r="AB18" s="435">
        <f t="shared" si="3"/>
        <v>0</v>
      </c>
      <c r="AC18" s="435">
        <f t="shared" si="3"/>
        <v>0</v>
      </c>
      <c r="AD18" s="435">
        <f t="shared" si="3"/>
        <v>0</v>
      </c>
      <c r="AE18" s="435">
        <f t="shared" si="3"/>
        <v>0</v>
      </c>
      <c r="AF18" s="435">
        <f t="shared" si="3"/>
        <v>0</v>
      </c>
      <c r="AG18" s="435">
        <f t="shared" si="3"/>
        <v>0</v>
      </c>
      <c r="AH18" s="435">
        <f t="shared" si="3"/>
        <v>0</v>
      </c>
    </row>
    <row r="19" spans="1:34" s="12" customFormat="1">
      <c r="A19" s="22" t="s">
        <v>124</v>
      </c>
      <c r="B19" s="99">
        <f>SUM(B17:B18)</f>
        <v>127515.78215518073</v>
      </c>
      <c r="C19" s="201"/>
      <c r="D19" s="434">
        <f t="shared" ref="D19:AH19" si="4">SUM(D17:D18)</f>
        <v>6360.8712995398582</v>
      </c>
      <c r="E19" s="434">
        <f t="shared" si="4"/>
        <v>12073.499304742169</v>
      </c>
      <c r="F19" s="434">
        <f t="shared" si="4"/>
        <v>10870.649374267952</v>
      </c>
      <c r="G19" s="434">
        <f t="shared" si="4"/>
        <v>9794.4152259489165</v>
      </c>
      <c r="H19" s="434">
        <f t="shared" si="4"/>
        <v>8819.4737033540241</v>
      </c>
      <c r="I19" s="434">
        <f t="shared" si="4"/>
        <v>7933.1632282677592</v>
      </c>
      <c r="J19" s="434">
        <f t="shared" si="4"/>
        <v>7515.3311471556626</v>
      </c>
      <c r="K19" s="434">
        <f t="shared" si="4"/>
        <v>7527.9927253711812</v>
      </c>
      <c r="L19" s="434">
        <f t="shared" si="4"/>
        <v>7515.3311471556626</v>
      </c>
      <c r="M19" s="434">
        <f t="shared" si="4"/>
        <v>7527.9927253711812</v>
      </c>
      <c r="N19" s="434">
        <f t="shared" si="4"/>
        <v>7515.3311471556626</v>
      </c>
      <c r="O19" s="434">
        <f t="shared" si="4"/>
        <v>7527.9927253711812</v>
      </c>
      <c r="P19" s="434">
        <f t="shared" si="4"/>
        <v>7515.3311471556626</v>
      </c>
      <c r="Q19" s="434">
        <f t="shared" si="4"/>
        <v>7527.9927253711812</v>
      </c>
      <c r="R19" s="434">
        <f t="shared" si="4"/>
        <v>7515.3311471556626</v>
      </c>
      <c r="S19" s="434">
        <f t="shared" si="4"/>
        <v>3780.1655735778313</v>
      </c>
      <c r="T19" s="434">
        <f t="shared" si="4"/>
        <v>45</v>
      </c>
      <c r="U19" s="434">
        <f t="shared" si="4"/>
        <v>45</v>
      </c>
      <c r="V19" s="434">
        <f t="shared" si="4"/>
        <v>45</v>
      </c>
      <c r="W19" s="434">
        <f t="shared" si="4"/>
        <v>45</v>
      </c>
      <c r="X19" s="434">
        <f t="shared" si="4"/>
        <v>0</v>
      </c>
      <c r="Y19" s="434">
        <f t="shared" si="4"/>
        <v>0</v>
      </c>
      <c r="Z19" s="434">
        <f t="shared" si="4"/>
        <v>0</v>
      </c>
      <c r="AA19" s="434">
        <f t="shared" si="4"/>
        <v>0</v>
      </c>
      <c r="AB19" s="434">
        <f t="shared" si="4"/>
        <v>0</v>
      </c>
      <c r="AC19" s="434">
        <f t="shared" si="4"/>
        <v>0</v>
      </c>
      <c r="AD19" s="434">
        <f t="shared" si="4"/>
        <v>0</v>
      </c>
      <c r="AE19" s="434">
        <f t="shared" si="4"/>
        <v>0</v>
      </c>
      <c r="AF19" s="434">
        <f t="shared" si="4"/>
        <v>0</v>
      </c>
      <c r="AG19" s="434">
        <f t="shared" si="4"/>
        <v>0</v>
      </c>
      <c r="AH19" s="434">
        <f t="shared" si="4"/>
        <v>0</v>
      </c>
    </row>
    <row r="20" spans="1:34" s="12" customFormat="1">
      <c r="B20" s="99"/>
      <c r="C20" s="98"/>
      <c r="D20" s="434"/>
      <c r="E20" s="434"/>
      <c r="F20" s="434"/>
      <c r="G20" s="434"/>
      <c r="H20" s="434"/>
      <c r="I20" s="434"/>
      <c r="J20" s="434"/>
      <c r="K20" s="434"/>
      <c r="L20" s="434"/>
      <c r="M20" s="434"/>
      <c r="N20" s="434"/>
      <c r="O20" s="434"/>
      <c r="P20" s="434"/>
      <c r="Q20" s="434"/>
      <c r="R20" s="434"/>
      <c r="S20" s="434"/>
      <c r="T20" s="434"/>
      <c r="U20" s="434"/>
      <c r="V20" s="434"/>
      <c r="W20" s="434"/>
      <c r="X20" s="434"/>
      <c r="Y20" s="434"/>
      <c r="Z20" s="434"/>
      <c r="AA20" s="434"/>
      <c r="AB20" s="434"/>
      <c r="AC20" s="434"/>
      <c r="AD20" s="434"/>
      <c r="AE20" s="434"/>
      <c r="AF20" s="434"/>
      <c r="AG20" s="434"/>
      <c r="AH20" s="434"/>
    </row>
    <row r="21" spans="1:34" s="12" customFormat="1">
      <c r="A21" s="14" t="s">
        <v>125</v>
      </c>
      <c r="B21" s="99">
        <f>B19</f>
        <v>127515.78215518073</v>
      </c>
      <c r="C21" s="98"/>
      <c r="D21" s="434">
        <f>B19-D19</f>
        <v>121154.91085564088</v>
      </c>
      <c r="E21" s="434">
        <f>D21-E19</f>
        <v>109081.4115508987</v>
      </c>
      <c r="F21" s="434">
        <f t="shared" ref="F21:X21" si="5">E21-F19</f>
        <v>98210.762176630757</v>
      </c>
      <c r="G21" s="434">
        <f t="shared" si="5"/>
        <v>88416.346950681836</v>
      </c>
      <c r="H21" s="434">
        <f t="shared" si="5"/>
        <v>79596.873247327807</v>
      </c>
      <c r="I21" s="434">
        <f t="shared" si="5"/>
        <v>71663.710019060047</v>
      </c>
      <c r="J21" s="434">
        <f t="shared" si="5"/>
        <v>64148.378871904381</v>
      </c>
      <c r="K21" s="434">
        <f t="shared" si="5"/>
        <v>56620.386146533201</v>
      </c>
      <c r="L21" s="434">
        <f t="shared" si="5"/>
        <v>49105.054999377535</v>
      </c>
      <c r="M21" s="434">
        <f t="shared" si="5"/>
        <v>41577.062274006355</v>
      </c>
      <c r="N21" s="434">
        <f t="shared" si="5"/>
        <v>34061.731126850689</v>
      </c>
      <c r="O21" s="434">
        <f t="shared" si="5"/>
        <v>26533.73840147951</v>
      </c>
      <c r="P21" s="434">
        <f t="shared" si="5"/>
        <v>19018.407254323847</v>
      </c>
      <c r="Q21" s="434">
        <f t="shared" si="5"/>
        <v>11490.414528952666</v>
      </c>
      <c r="R21" s="434">
        <f t="shared" si="5"/>
        <v>3975.0833817970033</v>
      </c>
      <c r="S21" s="434">
        <f t="shared" si="5"/>
        <v>194.917808219172</v>
      </c>
      <c r="T21" s="434">
        <f t="shared" si="5"/>
        <v>149.917808219172</v>
      </c>
      <c r="U21" s="434">
        <f t="shared" si="5"/>
        <v>104.917808219172</v>
      </c>
      <c r="V21" s="434">
        <f t="shared" si="5"/>
        <v>59.917808219172002</v>
      </c>
      <c r="W21" s="434">
        <f t="shared" si="5"/>
        <v>14.917808219172002</v>
      </c>
      <c r="X21" s="434">
        <f t="shared" si="5"/>
        <v>14.917808219172002</v>
      </c>
      <c r="Y21" s="434">
        <f t="shared" ref="Y21:AH21" si="6">X21-Y19</f>
        <v>14.917808219172002</v>
      </c>
      <c r="Z21" s="434">
        <f t="shared" si="6"/>
        <v>14.917808219172002</v>
      </c>
      <c r="AA21" s="434">
        <f t="shared" si="6"/>
        <v>14.917808219172002</v>
      </c>
      <c r="AB21" s="434">
        <f t="shared" si="6"/>
        <v>14.917808219172002</v>
      </c>
      <c r="AC21" s="434">
        <f t="shared" si="6"/>
        <v>14.917808219172002</v>
      </c>
      <c r="AD21" s="434">
        <f t="shared" si="6"/>
        <v>14.917808219172002</v>
      </c>
      <c r="AE21" s="434">
        <f t="shared" si="6"/>
        <v>14.917808219172002</v>
      </c>
      <c r="AF21" s="434">
        <f t="shared" si="6"/>
        <v>14.917808219172002</v>
      </c>
      <c r="AG21" s="434">
        <f t="shared" si="6"/>
        <v>14.917808219172002</v>
      </c>
      <c r="AH21" s="434">
        <f t="shared" si="6"/>
        <v>14.917808219172002</v>
      </c>
    </row>
    <row r="22" spans="1:34" s="12" customFormat="1">
      <c r="A22" s="17"/>
      <c r="B22" s="18"/>
      <c r="C22" s="34"/>
      <c r="D22" s="197"/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97"/>
      <c r="AH22" s="197"/>
    </row>
    <row r="23" spans="1:34" s="12" customFormat="1">
      <c r="A23" s="28" t="s">
        <v>126</v>
      </c>
      <c r="B23" s="35"/>
      <c r="C23" s="24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5"/>
      <c r="P23" s="395"/>
      <c r="Q23" s="395"/>
      <c r="R23" s="395"/>
      <c r="S23" s="395"/>
      <c r="T23" s="395"/>
      <c r="U23" s="395"/>
      <c r="V23" s="395"/>
      <c r="W23" s="395"/>
      <c r="X23" s="395"/>
      <c r="Y23" s="395"/>
      <c r="Z23" s="395"/>
      <c r="AA23" s="395"/>
      <c r="AB23" s="395"/>
      <c r="AC23" s="395"/>
      <c r="AD23" s="395"/>
      <c r="AE23" s="395"/>
      <c r="AF23" s="395"/>
      <c r="AG23" s="395"/>
      <c r="AH23" s="395"/>
    </row>
    <row r="24" spans="1:34" s="12" customFormat="1">
      <c r="A24" s="28"/>
      <c r="B24" s="30" t="s">
        <v>120</v>
      </c>
      <c r="C24" s="24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395"/>
      <c r="P24" s="395"/>
      <c r="Q24" s="395"/>
      <c r="R24" s="395"/>
      <c r="S24" s="395"/>
      <c r="T24" s="395"/>
      <c r="U24" s="395"/>
      <c r="V24" s="395"/>
      <c r="W24" s="395"/>
      <c r="X24" s="395"/>
      <c r="Y24" s="395"/>
      <c r="Z24" s="395"/>
      <c r="AA24" s="395"/>
      <c r="AB24" s="395"/>
      <c r="AC24" s="395"/>
      <c r="AD24" s="395"/>
      <c r="AE24" s="395"/>
      <c r="AF24" s="395"/>
      <c r="AG24" s="395"/>
      <c r="AH24" s="395"/>
    </row>
    <row r="25" spans="1:34" s="12" customFormat="1">
      <c r="A25" s="21" t="s">
        <v>121</v>
      </c>
      <c r="B25" s="31">
        <f>Assumptions!$O$46</f>
        <v>15</v>
      </c>
      <c r="C25" s="32"/>
      <c r="D25" s="432">
        <f>D14</f>
        <v>0.05</v>
      </c>
      <c r="E25" s="432">
        <f t="shared" ref="E25:Y25" si="7">E14</f>
        <v>9.5000000000000001E-2</v>
      </c>
      <c r="F25" s="432">
        <f t="shared" si="7"/>
        <v>8.5500000000000007E-2</v>
      </c>
      <c r="G25" s="432">
        <f t="shared" si="7"/>
        <v>7.6999999999999999E-2</v>
      </c>
      <c r="H25" s="432">
        <f t="shared" si="7"/>
        <v>6.93E-2</v>
      </c>
      <c r="I25" s="432">
        <f t="shared" si="7"/>
        <v>6.2300000000000001E-2</v>
      </c>
      <c r="J25" s="432">
        <f t="shared" si="7"/>
        <v>5.8999999999999997E-2</v>
      </c>
      <c r="K25" s="432">
        <f t="shared" si="7"/>
        <v>5.91E-2</v>
      </c>
      <c r="L25" s="432">
        <f t="shared" si="7"/>
        <v>5.8999999999999997E-2</v>
      </c>
      <c r="M25" s="432">
        <f t="shared" si="7"/>
        <v>5.91E-2</v>
      </c>
      <c r="N25" s="432">
        <f t="shared" si="7"/>
        <v>5.8999999999999997E-2</v>
      </c>
      <c r="O25" s="432">
        <f t="shared" si="7"/>
        <v>5.91E-2</v>
      </c>
      <c r="P25" s="432">
        <f t="shared" si="7"/>
        <v>5.8999999999999997E-2</v>
      </c>
      <c r="Q25" s="432">
        <f t="shared" si="7"/>
        <v>5.91E-2</v>
      </c>
      <c r="R25" s="432">
        <f t="shared" si="7"/>
        <v>5.8999999999999997E-2</v>
      </c>
      <c r="S25" s="432">
        <f t="shared" si="7"/>
        <v>2.9499999999999998E-2</v>
      </c>
      <c r="T25" s="432">
        <f t="shared" si="7"/>
        <v>0</v>
      </c>
      <c r="U25" s="432">
        <f t="shared" si="7"/>
        <v>0</v>
      </c>
      <c r="V25" s="432">
        <f t="shared" si="7"/>
        <v>0</v>
      </c>
      <c r="W25" s="432">
        <f t="shared" si="7"/>
        <v>0</v>
      </c>
      <c r="X25" s="432">
        <f t="shared" si="7"/>
        <v>0</v>
      </c>
      <c r="Y25" s="432">
        <f t="shared" si="7"/>
        <v>0</v>
      </c>
      <c r="Z25" s="432">
        <f t="shared" ref="Z25:AH25" si="8">Z14</f>
        <v>0</v>
      </c>
      <c r="AA25" s="432">
        <f t="shared" si="8"/>
        <v>0</v>
      </c>
      <c r="AB25" s="432">
        <f t="shared" si="8"/>
        <v>0</v>
      </c>
      <c r="AC25" s="432">
        <f t="shared" si="8"/>
        <v>0</v>
      </c>
      <c r="AD25" s="432">
        <f t="shared" si="8"/>
        <v>0</v>
      </c>
      <c r="AE25" s="432">
        <f t="shared" si="8"/>
        <v>0</v>
      </c>
      <c r="AF25" s="432">
        <f t="shared" si="8"/>
        <v>0</v>
      </c>
      <c r="AG25" s="432">
        <f t="shared" si="8"/>
        <v>0</v>
      </c>
      <c r="AH25" s="432">
        <f t="shared" si="8"/>
        <v>0</v>
      </c>
    </row>
    <row r="26" spans="1:34" s="12" customFormat="1">
      <c r="A26" s="22" t="s">
        <v>122</v>
      </c>
      <c r="B26" s="92">
        <f>Assumptions!$O$47</f>
        <v>20</v>
      </c>
      <c r="C26" s="32"/>
      <c r="D26" s="432">
        <f>D15</f>
        <v>3.3424657534246581E-2</v>
      </c>
      <c r="E26" s="432">
        <f t="shared" ref="E26:Y26" si="9">E15</f>
        <v>0.05</v>
      </c>
      <c r="F26" s="432">
        <f t="shared" si="9"/>
        <v>0.05</v>
      </c>
      <c r="G26" s="432">
        <f t="shared" si="9"/>
        <v>0.05</v>
      </c>
      <c r="H26" s="432">
        <f t="shared" si="9"/>
        <v>0.05</v>
      </c>
      <c r="I26" s="432">
        <f t="shared" si="9"/>
        <v>0.05</v>
      </c>
      <c r="J26" s="432">
        <f t="shared" si="9"/>
        <v>0.05</v>
      </c>
      <c r="K26" s="432">
        <f t="shared" si="9"/>
        <v>0.05</v>
      </c>
      <c r="L26" s="432">
        <f t="shared" si="9"/>
        <v>0.05</v>
      </c>
      <c r="M26" s="432">
        <f t="shared" si="9"/>
        <v>0.05</v>
      </c>
      <c r="N26" s="432">
        <f t="shared" si="9"/>
        <v>0.05</v>
      </c>
      <c r="O26" s="432">
        <f t="shared" si="9"/>
        <v>0.05</v>
      </c>
      <c r="P26" s="432">
        <f t="shared" si="9"/>
        <v>0.05</v>
      </c>
      <c r="Q26" s="432">
        <f t="shared" si="9"/>
        <v>0.05</v>
      </c>
      <c r="R26" s="432">
        <f t="shared" si="9"/>
        <v>0.05</v>
      </c>
      <c r="S26" s="432">
        <f t="shared" si="9"/>
        <v>0.05</v>
      </c>
      <c r="T26" s="432">
        <f t="shared" si="9"/>
        <v>0.05</v>
      </c>
      <c r="U26" s="432">
        <f t="shared" si="9"/>
        <v>0.05</v>
      </c>
      <c r="V26" s="432">
        <f t="shared" si="9"/>
        <v>0.05</v>
      </c>
      <c r="W26" s="432">
        <f t="shared" si="9"/>
        <v>0.05</v>
      </c>
      <c r="X26" s="432">
        <f t="shared" si="9"/>
        <v>0</v>
      </c>
      <c r="Y26" s="432">
        <f t="shared" si="9"/>
        <v>0</v>
      </c>
      <c r="Z26" s="432">
        <f t="shared" ref="Z26:AH26" si="10">Z15</f>
        <v>0</v>
      </c>
      <c r="AA26" s="432">
        <f t="shared" si="10"/>
        <v>0</v>
      </c>
      <c r="AB26" s="432">
        <f t="shared" si="10"/>
        <v>0</v>
      </c>
      <c r="AC26" s="432">
        <f t="shared" si="10"/>
        <v>0</v>
      </c>
      <c r="AD26" s="432">
        <f t="shared" si="10"/>
        <v>0</v>
      </c>
      <c r="AE26" s="432">
        <f t="shared" si="10"/>
        <v>0</v>
      </c>
      <c r="AF26" s="432">
        <f t="shared" si="10"/>
        <v>0</v>
      </c>
      <c r="AG26" s="432">
        <f t="shared" si="10"/>
        <v>0</v>
      </c>
      <c r="AH26" s="432">
        <f t="shared" si="10"/>
        <v>0</v>
      </c>
    </row>
    <row r="27" spans="1:34" s="12" customFormat="1">
      <c r="A27" s="17"/>
      <c r="B27" s="31"/>
      <c r="C27" s="24"/>
      <c r="D27" s="432"/>
      <c r="E27" s="432"/>
      <c r="F27" s="432"/>
      <c r="G27" s="432"/>
      <c r="H27" s="432"/>
      <c r="I27" s="432"/>
      <c r="J27" s="432"/>
      <c r="K27" s="432"/>
      <c r="L27" s="432"/>
      <c r="M27" s="432"/>
      <c r="N27" s="432"/>
      <c r="O27" s="432"/>
      <c r="P27" s="432"/>
      <c r="Q27" s="432"/>
      <c r="R27" s="432"/>
      <c r="S27" s="432"/>
      <c r="T27" s="432"/>
      <c r="U27" s="432"/>
      <c r="V27" s="432"/>
      <c r="W27" s="432"/>
      <c r="X27" s="432"/>
      <c r="Y27" s="432"/>
      <c r="Z27" s="432"/>
      <c r="AA27" s="432"/>
      <c r="AB27" s="432"/>
      <c r="AC27" s="432"/>
      <c r="AD27" s="432"/>
      <c r="AE27" s="432"/>
      <c r="AF27" s="432"/>
      <c r="AG27" s="432"/>
      <c r="AH27" s="432"/>
    </row>
    <row r="28" spans="1:34" s="12" customFormat="1">
      <c r="A28" s="14"/>
      <c r="B28" s="30"/>
      <c r="C28" s="24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97"/>
      <c r="AH28" s="197"/>
    </row>
    <row r="29" spans="1:34" s="20" customFormat="1">
      <c r="A29" s="21" t="s">
        <v>123</v>
      </c>
      <c r="B29" s="97">
        <f>B17</f>
        <v>126615.78215518073</v>
      </c>
      <c r="C29" s="98"/>
      <c r="D29" s="434">
        <f>$B$29*D25</f>
        <v>6330.7891077590366</v>
      </c>
      <c r="E29" s="434">
        <f t="shared" ref="E29:Y29" si="11">$B$29*E25</f>
        <v>12028.499304742169</v>
      </c>
      <c r="F29" s="434">
        <f t="shared" si="11"/>
        <v>10825.649374267952</v>
      </c>
      <c r="G29" s="434">
        <f t="shared" si="11"/>
        <v>9749.4152259489165</v>
      </c>
      <c r="H29" s="434">
        <f t="shared" si="11"/>
        <v>8774.4737033540241</v>
      </c>
      <c r="I29" s="434">
        <f t="shared" si="11"/>
        <v>7888.1632282677592</v>
      </c>
      <c r="J29" s="434">
        <f t="shared" si="11"/>
        <v>7470.3311471556626</v>
      </c>
      <c r="K29" s="434">
        <f t="shared" si="11"/>
        <v>7482.9927253711812</v>
      </c>
      <c r="L29" s="434">
        <f t="shared" si="11"/>
        <v>7470.3311471556626</v>
      </c>
      <c r="M29" s="434">
        <f t="shared" si="11"/>
        <v>7482.9927253711812</v>
      </c>
      <c r="N29" s="434">
        <f t="shared" si="11"/>
        <v>7470.3311471556626</v>
      </c>
      <c r="O29" s="434">
        <f t="shared" si="11"/>
        <v>7482.9927253711812</v>
      </c>
      <c r="P29" s="434">
        <f t="shared" si="11"/>
        <v>7470.3311471556626</v>
      </c>
      <c r="Q29" s="434">
        <f t="shared" si="11"/>
        <v>7482.9927253711812</v>
      </c>
      <c r="R29" s="434">
        <f t="shared" si="11"/>
        <v>7470.3311471556626</v>
      </c>
      <c r="S29" s="434">
        <f t="shared" si="11"/>
        <v>3735.1655735778313</v>
      </c>
      <c r="T29" s="434">
        <f t="shared" si="11"/>
        <v>0</v>
      </c>
      <c r="U29" s="434">
        <f t="shared" si="11"/>
        <v>0</v>
      </c>
      <c r="V29" s="434">
        <f t="shared" si="11"/>
        <v>0</v>
      </c>
      <c r="W29" s="434">
        <f t="shared" si="11"/>
        <v>0</v>
      </c>
      <c r="X29" s="434">
        <f t="shared" si="11"/>
        <v>0</v>
      </c>
      <c r="Y29" s="434">
        <f t="shared" si="11"/>
        <v>0</v>
      </c>
      <c r="Z29" s="434">
        <f t="shared" ref="Z29:AH29" si="12">$B$29*Z25</f>
        <v>0</v>
      </c>
      <c r="AA29" s="434">
        <f t="shared" si="12"/>
        <v>0</v>
      </c>
      <c r="AB29" s="434">
        <f t="shared" si="12"/>
        <v>0</v>
      </c>
      <c r="AC29" s="434">
        <f t="shared" si="12"/>
        <v>0</v>
      </c>
      <c r="AD29" s="434">
        <f t="shared" si="12"/>
        <v>0</v>
      </c>
      <c r="AE29" s="434">
        <f t="shared" si="12"/>
        <v>0</v>
      </c>
      <c r="AF29" s="434">
        <f t="shared" si="12"/>
        <v>0</v>
      </c>
      <c r="AG29" s="434">
        <f t="shared" si="12"/>
        <v>0</v>
      </c>
      <c r="AH29" s="434">
        <f t="shared" si="12"/>
        <v>0</v>
      </c>
    </row>
    <row r="30" spans="1:34" s="12" customFormat="1" ht="15">
      <c r="A30" s="22" t="s">
        <v>122</v>
      </c>
      <c r="B30" s="100">
        <f>B18</f>
        <v>900</v>
      </c>
      <c r="C30" s="98"/>
      <c r="D30" s="435">
        <f t="shared" ref="D30:Y30" si="13">$B30*D26</f>
        <v>30.082191780821923</v>
      </c>
      <c r="E30" s="435">
        <f t="shared" si="13"/>
        <v>45</v>
      </c>
      <c r="F30" s="435">
        <f t="shared" si="13"/>
        <v>45</v>
      </c>
      <c r="G30" s="435">
        <f t="shared" si="13"/>
        <v>45</v>
      </c>
      <c r="H30" s="435">
        <f t="shared" si="13"/>
        <v>45</v>
      </c>
      <c r="I30" s="435">
        <f t="shared" si="13"/>
        <v>45</v>
      </c>
      <c r="J30" s="435">
        <f t="shared" si="13"/>
        <v>45</v>
      </c>
      <c r="K30" s="435">
        <f t="shared" si="13"/>
        <v>45</v>
      </c>
      <c r="L30" s="435">
        <f t="shared" si="13"/>
        <v>45</v>
      </c>
      <c r="M30" s="435">
        <f t="shared" si="13"/>
        <v>45</v>
      </c>
      <c r="N30" s="435">
        <f t="shared" si="13"/>
        <v>45</v>
      </c>
      <c r="O30" s="435">
        <f t="shared" si="13"/>
        <v>45</v>
      </c>
      <c r="P30" s="435">
        <f t="shared" si="13"/>
        <v>45</v>
      </c>
      <c r="Q30" s="435">
        <f t="shared" si="13"/>
        <v>45</v>
      </c>
      <c r="R30" s="435">
        <f t="shared" si="13"/>
        <v>45</v>
      </c>
      <c r="S30" s="435">
        <f t="shared" si="13"/>
        <v>45</v>
      </c>
      <c r="T30" s="435">
        <f t="shared" si="13"/>
        <v>45</v>
      </c>
      <c r="U30" s="435">
        <f t="shared" si="13"/>
        <v>45</v>
      </c>
      <c r="V30" s="435">
        <f t="shared" si="13"/>
        <v>45</v>
      </c>
      <c r="W30" s="435">
        <f t="shared" si="13"/>
        <v>45</v>
      </c>
      <c r="X30" s="435">
        <f t="shared" si="13"/>
        <v>0</v>
      </c>
      <c r="Y30" s="435">
        <f t="shared" si="13"/>
        <v>0</v>
      </c>
      <c r="Z30" s="435">
        <f t="shared" ref="Z30:AH30" si="14">$B30*Z26</f>
        <v>0</v>
      </c>
      <c r="AA30" s="435">
        <f t="shared" si="14"/>
        <v>0</v>
      </c>
      <c r="AB30" s="435">
        <f t="shared" si="14"/>
        <v>0</v>
      </c>
      <c r="AC30" s="435">
        <f t="shared" si="14"/>
        <v>0</v>
      </c>
      <c r="AD30" s="435">
        <f t="shared" si="14"/>
        <v>0</v>
      </c>
      <c r="AE30" s="435">
        <f t="shared" si="14"/>
        <v>0</v>
      </c>
      <c r="AF30" s="435">
        <f t="shared" si="14"/>
        <v>0</v>
      </c>
      <c r="AG30" s="435">
        <f t="shared" si="14"/>
        <v>0</v>
      </c>
      <c r="AH30" s="435">
        <f t="shared" si="14"/>
        <v>0</v>
      </c>
    </row>
    <row r="31" spans="1:34" s="12" customFormat="1">
      <c r="A31" s="17" t="s">
        <v>124</v>
      </c>
      <c r="B31" s="99">
        <f>SUM(B29:B30)</f>
        <v>127515.78215518073</v>
      </c>
      <c r="C31" s="98"/>
      <c r="D31" s="434">
        <f t="shared" ref="D31:AH31" si="15">SUM(D29:D30)</f>
        <v>6360.8712995398582</v>
      </c>
      <c r="E31" s="434">
        <f t="shared" si="15"/>
        <v>12073.499304742169</v>
      </c>
      <c r="F31" s="434">
        <f t="shared" si="15"/>
        <v>10870.649374267952</v>
      </c>
      <c r="G31" s="434">
        <f t="shared" si="15"/>
        <v>9794.4152259489165</v>
      </c>
      <c r="H31" s="434">
        <f t="shared" si="15"/>
        <v>8819.4737033540241</v>
      </c>
      <c r="I31" s="434">
        <f t="shared" si="15"/>
        <v>7933.1632282677592</v>
      </c>
      <c r="J31" s="434">
        <f t="shared" si="15"/>
        <v>7515.3311471556626</v>
      </c>
      <c r="K31" s="434">
        <f t="shared" si="15"/>
        <v>7527.9927253711812</v>
      </c>
      <c r="L31" s="434">
        <f t="shared" si="15"/>
        <v>7515.3311471556626</v>
      </c>
      <c r="M31" s="434">
        <f t="shared" si="15"/>
        <v>7527.9927253711812</v>
      </c>
      <c r="N31" s="434">
        <f t="shared" si="15"/>
        <v>7515.3311471556626</v>
      </c>
      <c r="O31" s="434">
        <f t="shared" si="15"/>
        <v>7527.9927253711812</v>
      </c>
      <c r="P31" s="434">
        <f t="shared" si="15"/>
        <v>7515.3311471556626</v>
      </c>
      <c r="Q31" s="434">
        <f t="shared" si="15"/>
        <v>7527.9927253711812</v>
      </c>
      <c r="R31" s="434">
        <f t="shared" si="15"/>
        <v>7515.3311471556626</v>
      </c>
      <c r="S31" s="434">
        <f t="shared" si="15"/>
        <v>3780.1655735778313</v>
      </c>
      <c r="T31" s="434">
        <f t="shared" si="15"/>
        <v>45</v>
      </c>
      <c r="U31" s="434">
        <f t="shared" si="15"/>
        <v>45</v>
      </c>
      <c r="V31" s="434">
        <f t="shared" si="15"/>
        <v>45</v>
      </c>
      <c r="W31" s="434">
        <f t="shared" si="15"/>
        <v>45</v>
      </c>
      <c r="X31" s="434">
        <f t="shared" si="15"/>
        <v>0</v>
      </c>
      <c r="Y31" s="434">
        <f t="shared" si="15"/>
        <v>0</v>
      </c>
      <c r="Z31" s="434">
        <f t="shared" si="15"/>
        <v>0</v>
      </c>
      <c r="AA31" s="434">
        <f t="shared" si="15"/>
        <v>0</v>
      </c>
      <c r="AB31" s="434">
        <f t="shared" si="15"/>
        <v>0</v>
      </c>
      <c r="AC31" s="434">
        <f t="shared" si="15"/>
        <v>0</v>
      </c>
      <c r="AD31" s="434">
        <f t="shared" si="15"/>
        <v>0</v>
      </c>
      <c r="AE31" s="434">
        <f t="shared" si="15"/>
        <v>0</v>
      </c>
      <c r="AF31" s="434">
        <f t="shared" si="15"/>
        <v>0</v>
      </c>
      <c r="AG31" s="434">
        <f t="shared" si="15"/>
        <v>0</v>
      </c>
      <c r="AH31" s="434">
        <f t="shared" si="15"/>
        <v>0</v>
      </c>
    </row>
    <row r="32" spans="1:34" s="12" customFormat="1">
      <c r="A32" s="17"/>
      <c r="B32" s="14"/>
      <c r="C32" s="24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</row>
    <row r="33" spans="1:34" s="12" customFormat="1">
      <c r="A33" s="14" t="s">
        <v>125</v>
      </c>
      <c r="B33" s="90">
        <f>B31</f>
        <v>127515.78215518073</v>
      </c>
      <c r="C33" s="24"/>
      <c r="D33" s="395">
        <f>B31-D31</f>
        <v>121154.91085564088</v>
      </c>
      <c r="E33" s="395">
        <f>D33-E31</f>
        <v>109081.4115508987</v>
      </c>
      <c r="F33" s="395">
        <f t="shared" ref="F33:W33" si="16">E33-F31</f>
        <v>98210.762176630757</v>
      </c>
      <c r="G33" s="395">
        <f t="shared" si="16"/>
        <v>88416.346950681836</v>
      </c>
      <c r="H33" s="395">
        <f t="shared" si="16"/>
        <v>79596.873247327807</v>
      </c>
      <c r="I33" s="395">
        <f t="shared" si="16"/>
        <v>71663.710019060047</v>
      </c>
      <c r="J33" s="395">
        <f t="shared" si="16"/>
        <v>64148.378871904381</v>
      </c>
      <c r="K33" s="395">
        <f t="shared" si="16"/>
        <v>56620.386146533201</v>
      </c>
      <c r="L33" s="395">
        <f t="shared" si="16"/>
        <v>49105.054999377535</v>
      </c>
      <c r="M33" s="395">
        <f t="shared" si="16"/>
        <v>41577.062274006355</v>
      </c>
      <c r="N33" s="395">
        <f t="shared" si="16"/>
        <v>34061.731126850689</v>
      </c>
      <c r="O33" s="395">
        <f t="shared" si="16"/>
        <v>26533.73840147951</v>
      </c>
      <c r="P33" s="395">
        <f t="shared" si="16"/>
        <v>19018.407254323847</v>
      </c>
      <c r="Q33" s="395">
        <f t="shared" si="16"/>
        <v>11490.414528952666</v>
      </c>
      <c r="R33" s="395">
        <f t="shared" si="16"/>
        <v>3975.0833817970033</v>
      </c>
      <c r="S33" s="395">
        <f t="shared" si="16"/>
        <v>194.917808219172</v>
      </c>
      <c r="T33" s="395">
        <f t="shared" si="16"/>
        <v>149.917808219172</v>
      </c>
      <c r="U33" s="395">
        <f t="shared" si="16"/>
        <v>104.917808219172</v>
      </c>
      <c r="V33" s="395">
        <f t="shared" si="16"/>
        <v>59.917808219172002</v>
      </c>
      <c r="W33" s="395">
        <f t="shared" si="16"/>
        <v>14.917808219172002</v>
      </c>
      <c r="X33" s="395">
        <f t="shared" ref="X33:AH33" si="17">W33-X31</f>
        <v>14.917808219172002</v>
      </c>
      <c r="Y33" s="395">
        <f t="shared" si="17"/>
        <v>14.917808219172002</v>
      </c>
      <c r="Z33" s="395">
        <f t="shared" si="17"/>
        <v>14.917808219172002</v>
      </c>
      <c r="AA33" s="395">
        <f t="shared" si="17"/>
        <v>14.917808219172002</v>
      </c>
      <c r="AB33" s="395">
        <f t="shared" si="17"/>
        <v>14.917808219172002</v>
      </c>
      <c r="AC33" s="395">
        <f t="shared" si="17"/>
        <v>14.917808219172002</v>
      </c>
      <c r="AD33" s="395">
        <f t="shared" si="17"/>
        <v>14.917808219172002</v>
      </c>
      <c r="AE33" s="395">
        <f t="shared" si="17"/>
        <v>14.917808219172002</v>
      </c>
      <c r="AF33" s="395">
        <f t="shared" si="17"/>
        <v>14.917808219172002</v>
      </c>
      <c r="AG33" s="395">
        <f t="shared" si="17"/>
        <v>14.917808219172002</v>
      </c>
      <c r="AH33" s="395">
        <f t="shared" si="17"/>
        <v>14.917808219172002</v>
      </c>
    </row>
    <row r="34" spans="1:34" s="12" customFormat="1">
      <c r="A34" s="14"/>
      <c r="B34" s="14"/>
      <c r="C34" s="24"/>
      <c r="D34" s="436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  <c r="AA34" s="197"/>
      <c r="AB34" s="197"/>
      <c r="AC34" s="197"/>
      <c r="AD34" s="197"/>
      <c r="AE34" s="197"/>
      <c r="AF34" s="197"/>
      <c r="AG34" s="197"/>
      <c r="AH34" s="197"/>
    </row>
    <row r="35" spans="1:34" s="12" customFormat="1">
      <c r="A35" s="14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</row>
    <row r="36" spans="1:34" s="12" customFormat="1">
      <c r="A36" s="28" t="s">
        <v>127</v>
      </c>
      <c r="D36" s="437"/>
      <c r="E36" s="437"/>
      <c r="F36" s="437"/>
      <c r="G36" s="437"/>
      <c r="H36" s="437"/>
      <c r="I36" s="437"/>
      <c r="J36" s="437"/>
      <c r="K36" s="437"/>
      <c r="L36" s="437"/>
      <c r="M36" s="437"/>
      <c r="N36" s="437"/>
      <c r="O36" s="437"/>
      <c r="P36" s="437"/>
      <c r="Q36" s="437"/>
      <c r="R36" s="437"/>
      <c r="S36" s="437"/>
      <c r="T36" s="437"/>
      <c r="U36" s="437"/>
      <c r="V36" s="437"/>
      <c r="W36" s="437"/>
      <c r="X36" s="437"/>
      <c r="Y36" s="437"/>
      <c r="Z36" s="437"/>
      <c r="AA36" s="437"/>
      <c r="AB36" s="437"/>
      <c r="AC36" s="437"/>
      <c r="AD36" s="437"/>
      <c r="AE36" s="437"/>
      <c r="AF36" s="437"/>
      <c r="AG36" s="437"/>
      <c r="AH36" s="437"/>
    </row>
    <row r="37" spans="1:34" s="12" customFormat="1">
      <c r="A37" s="28"/>
      <c r="B37" s="30" t="s">
        <v>120</v>
      </c>
      <c r="C37" s="457" t="s">
        <v>128</v>
      </c>
      <c r="D37" s="437"/>
      <c r="E37" s="437"/>
      <c r="F37" s="437"/>
      <c r="G37" s="437"/>
      <c r="H37" s="437"/>
      <c r="I37" s="437"/>
      <c r="J37" s="437"/>
      <c r="K37" s="437"/>
      <c r="L37" s="437"/>
      <c r="M37" s="437"/>
      <c r="N37" s="437"/>
      <c r="O37" s="437"/>
      <c r="P37" s="437"/>
      <c r="Q37" s="437"/>
      <c r="R37" s="437"/>
      <c r="S37" s="437"/>
      <c r="T37" s="437"/>
      <c r="U37" s="437"/>
      <c r="V37" s="437"/>
      <c r="W37" s="437"/>
      <c r="X37" s="437"/>
      <c r="Y37" s="437"/>
      <c r="Z37" s="437"/>
      <c r="AA37" s="437"/>
      <c r="AB37" s="437"/>
      <c r="AC37" s="437"/>
      <c r="AD37" s="437"/>
      <c r="AE37" s="437"/>
      <c r="AF37" s="437"/>
      <c r="AG37" s="437"/>
      <c r="AH37" s="437"/>
    </row>
    <row r="38" spans="1:34" s="12" customFormat="1">
      <c r="A38" s="21" t="s">
        <v>129</v>
      </c>
      <c r="B38" s="31">
        <f>Assumptions!$O$50</f>
        <v>30</v>
      </c>
      <c r="C38" s="458">
        <f>Assumptions!Q50</f>
        <v>0</v>
      </c>
      <c r="D38" s="455">
        <f>1/Assumptions!$O$50*D9/12*(1-$C$38)</f>
        <v>2.2283105022831054E-2</v>
      </c>
      <c r="E38" s="455">
        <f>IF(E6=Assumptions!$O$50,1/Assumptions!$O$50*(1-$C$38)-Depreciation!$D$38,IF(E6&lt;Assumptions!$O$50,1/Assumptions!$O$47*(1-$C$38),0))</f>
        <v>0.05</v>
      </c>
      <c r="F38" s="455">
        <f>IF(F6=Assumptions!$O$50,1/Assumptions!$O$50*(1-$C$38)-Depreciation!$D$38,IF(F6&lt;Assumptions!$O$50,1/Assumptions!$O$47*(1-$C$38),0))</f>
        <v>0.05</v>
      </c>
      <c r="G38" s="455">
        <f>IF(G6=Assumptions!$O$50,1/Assumptions!$O$50*(1-$C$38)-Depreciation!$D$38,IF(G6&lt;Assumptions!$O$50,1/Assumptions!$O$47*(1-$C$38),0))</f>
        <v>0.05</v>
      </c>
      <c r="H38" s="455">
        <f>IF(H6=Assumptions!$O$50,1/Assumptions!$O$50*(1-$C$38)-Depreciation!$D$38,IF(H6&lt;Assumptions!$O$50,1/Assumptions!$O$47*(1-$C$38),0))</f>
        <v>0.05</v>
      </c>
      <c r="I38" s="455">
        <f>IF(I6=Assumptions!$O$50,1/Assumptions!$O$50*(1-$C$38)-Depreciation!$D$38,IF(I6&lt;Assumptions!$O$50,1/Assumptions!$O$47*(1-$C$38),0))</f>
        <v>0.05</v>
      </c>
      <c r="J38" s="455">
        <f>IF(J6=Assumptions!$O$50,1/Assumptions!$O$50*(1-$C$38)-Depreciation!$D$38,IF(J6&lt;Assumptions!$O$50,1/Assumptions!$O$47*(1-$C$38),0))</f>
        <v>0.05</v>
      </c>
      <c r="K38" s="455">
        <f>IF(K6=Assumptions!$O$50,1/Assumptions!$O$50*(1-$C$38)-Depreciation!$D$38,IF(K6&lt;Assumptions!$O$50,1/Assumptions!$O$47*(1-$C$38),0))</f>
        <v>0.05</v>
      </c>
      <c r="L38" s="455">
        <f>IF(L6=Assumptions!$O$50,1/Assumptions!$O$50*(1-$C$38)-Depreciation!$D$38,IF(L6&lt;Assumptions!$O$50,1/Assumptions!$O$47*(1-$C$38),0))</f>
        <v>0.05</v>
      </c>
      <c r="M38" s="455">
        <f>IF(M6=Assumptions!$O$50,1/Assumptions!$O$50*(1-$C$38)-Depreciation!$D$38,IF(M6&lt;Assumptions!$O$50,1/Assumptions!$O$47*(1-$C$38),0))</f>
        <v>0.05</v>
      </c>
      <c r="N38" s="455">
        <f>IF(N6=Assumptions!$O$50,1/Assumptions!$O$50*(1-$C$38)-Depreciation!$D$38,IF(N6&lt;Assumptions!$O$50,1/Assumptions!$O$47*(1-$C$38),0))</f>
        <v>0.05</v>
      </c>
      <c r="O38" s="455">
        <f>IF(O6=Assumptions!$O$50,1/Assumptions!$O$50*(1-$C$38)-Depreciation!$D$38,IF(O6&lt;Assumptions!$O$50,1/Assumptions!$O$47*(1-$C$38),0))</f>
        <v>0.05</v>
      </c>
      <c r="P38" s="455">
        <f>IF(P6=Assumptions!$O$50,1/Assumptions!$O$50*(1-$C$38)-Depreciation!$D$38,IF(P6&lt;Assumptions!$O$50,1/Assumptions!$O$47*(1-$C$38),0))</f>
        <v>0.05</v>
      </c>
      <c r="Q38" s="455">
        <f>IF(Q6=Assumptions!$O$50,1/Assumptions!$O$50*(1-$C$38)-Depreciation!$D$38,IF(Q6&lt;Assumptions!$O$50,1/Assumptions!$O$47*(1-$C$38),0))</f>
        <v>0.05</v>
      </c>
      <c r="R38" s="455">
        <f>IF(R6=Assumptions!$O$50,1/Assumptions!$O$50*(1-$C$38)-Depreciation!$D$38,IF(R6&lt;Assumptions!$O$50,1/Assumptions!$O$47*(1-$C$38),0))</f>
        <v>0.05</v>
      </c>
      <c r="S38" s="455">
        <f>IF(S6=Assumptions!$O$50,1/Assumptions!$O$50*(1-$C$38)-Depreciation!$D$38,IF(S6&lt;Assumptions!$O$50,1/Assumptions!$O$47*(1-$C$38),0))</f>
        <v>0.05</v>
      </c>
      <c r="T38" s="455">
        <f>IF(T6=Assumptions!$O$50,1/Assumptions!$O$50*(1-$C$38)-Depreciation!$D$38,IF(T6&lt;Assumptions!$O$50,1/Assumptions!$O$47*(1-$C$38),0))</f>
        <v>0.05</v>
      </c>
      <c r="U38" s="455">
        <f>IF(U6=Assumptions!$O$50,1/Assumptions!$O$50*(1-$C$38)-Depreciation!$D$38,IF(U6&lt;Assumptions!$O$50,1/Assumptions!$O$47*(1-$C$38),0))</f>
        <v>0.05</v>
      </c>
      <c r="V38" s="455">
        <f>IF(V6=Assumptions!$O$50,1/Assumptions!$O$50*(1-$C$38)-Depreciation!$D$38,IF(V6&lt;Assumptions!$O$50,1/Assumptions!$O$47*(1-$C$38),0))</f>
        <v>0.05</v>
      </c>
      <c r="W38" s="455">
        <f>IF(W6=Assumptions!$O$50,1/Assumptions!$O$50*(1-$C$38)-Depreciation!$D$38,IF(W6&lt;Assumptions!$O$50,1/Assumptions!$O$47*(1-$C$38),0))</f>
        <v>0.05</v>
      </c>
      <c r="X38" s="455">
        <f>IF(X6=Assumptions!$O$50,1/Assumptions!$O$50*(1-$C$38)-Depreciation!$D$38,IF(X6&lt;Assumptions!$O$50,1/Assumptions!$O$47*(1-$C$38),0))</f>
        <v>0.05</v>
      </c>
      <c r="Y38" s="455">
        <f>IF(Y6=Assumptions!$O$50,1/Assumptions!$O$50*(1-$C$38)-Depreciation!$D$38,IF(Y6&lt;Assumptions!$O$50,1/Assumptions!$O$47*(1-$C$38),0))</f>
        <v>0.05</v>
      </c>
      <c r="Z38" s="455">
        <f>IF(Z6=Assumptions!$O$50,1/Assumptions!$O$50*(1-$C$38)-Depreciation!$D$38,IF(Z6&lt;Assumptions!$O$50,1/Assumptions!$O$47*(1-$C$38),0))</f>
        <v>0.05</v>
      </c>
      <c r="AA38" s="455">
        <f>IF(AA6=Assumptions!$O$50,1/Assumptions!$O$50*(1-$C$38)-Depreciation!$D$38,IF(AA6&lt;Assumptions!$O$50,1/Assumptions!$O$47*(1-$C$38),0))</f>
        <v>0.05</v>
      </c>
      <c r="AB38" s="455">
        <f>IF(AB6=Assumptions!$O$50,1/Assumptions!$O$50*(1-$C$38)-Depreciation!$D$38,IF(AB6&lt;Assumptions!$O$50,1/Assumptions!$O$47*(1-$C$38),0))</f>
        <v>0.05</v>
      </c>
      <c r="AC38" s="455">
        <f>IF(AC6=Assumptions!$O$50,1/Assumptions!$O$50*(1-$C$38)-Depreciation!$D$38,IF(AC6&lt;Assumptions!$O$50,1/Assumptions!$O$47*(1-$C$38),0))</f>
        <v>0.05</v>
      </c>
      <c r="AD38" s="455">
        <f>IF(AD6=Assumptions!$O$50,1/Assumptions!$O$50*(1-$C$38)-Depreciation!$D$38,IF(AD6&lt;Assumptions!$O$50,1/Assumptions!$O$47*(1-$C$38),0))</f>
        <v>0.05</v>
      </c>
      <c r="AE38" s="455">
        <f>IF(AE6=Assumptions!$O$50,1/Assumptions!$O$50*(1-$C$38)-Depreciation!$D$38,IF(AE6&lt;Assumptions!$O$50,1/Assumptions!$O$47*(1-$C$38),0))</f>
        <v>0.05</v>
      </c>
      <c r="AF38" s="455">
        <f>IF(AF6=Assumptions!$O$50,1/Assumptions!$O$50*(1-$C$38)-Depreciation!$D$38,IF(AF6&lt;Assumptions!$O$50,1/Assumptions!$O$47*(1-$C$38),0))</f>
        <v>0.05</v>
      </c>
      <c r="AG38" s="455">
        <f>IF(AG6=Assumptions!$O$50,1/Assumptions!$O$50*(1-$C$38)-Depreciation!$D$38,IF(AG6&lt;Assumptions!$O$50,1/Assumptions!$O$47*(1-$C$38),0))</f>
        <v>0.05</v>
      </c>
      <c r="AH38" s="455">
        <f>IF(AH6=Assumptions!$O$50,1/Assumptions!$O$50*(1-$C$38)-Depreciation!$D$38,IF(AH6&lt;Assumptions!$O$50,1/Assumptions!$O$47*(1-$C$38),0))</f>
        <v>0</v>
      </c>
    </row>
    <row r="39" spans="1:34" s="12" customFormat="1">
      <c r="A39" s="22" t="s">
        <v>122</v>
      </c>
      <c r="B39" s="33">
        <f>Assumptions!$O$51</f>
        <v>20</v>
      </c>
      <c r="C39" s="24"/>
      <c r="D39" s="455">
        <f>1/Assumptions!$O$51*D9/12</f>
        <v>3.3424657534246581E-2</v>
      </c>
      <c r="E39" s="455">
        <f>IF(E6=Assumptions!$O$51,1/Assumptions!$O$51-Depreciation!$D$39,IF(E6&lt;Assumptions!$O$51,1/Assumptions!$O$51,0))</f>
        <v>0.05</v>
      </c>
      <c r="F39" s="455">
        <f>IF(F6=Assumptions!$O$51,1/Assumptions!$O$51-Depreciation!$D$39,IF(F6&lt;Assumptions!$O$51,1/Assumptions!$O$51,0))</f>
        <v>0.05</v>
      </c>
      <c r="G39" s="455">
        <f>IF(G6=Assumptions!$O$51,1/Assumptions!$O$51-Depreciation!$D$39,IF(G6&lt;Assumptions!$O$51,1/Assumptions!$O$51,0))</f>
        <v>0.05</v>
      </c>
      <c r="H39" s="455">
        <f>IF(H6=Assumptions!$O$51,1/Assumptions!$O$51-Depreciation!$D$39,IF(H6&lt;Assumptions!$O$51,1/Assumptions!$O$51,0))</f>
        <v>0.05</v>
      </c>
      <c r="I39" s="455">
        <f>IF(I6=Assumptions!$O$51,1/Assumptions!$O$51-Depreciation!$D$39,IF(I6&lt;Assumptions!$O$51,1/Assumptions!$O$51,0))</f>
        <v>0.05</v>
      </c>
      <c r="J39" s="455">
        <f>IF(J6=Assumptions!$O$51,1/Assumptions!$O$51-Depreciation!$D$39,IF(J6&lt;Assumptions!$O$51,1/Assumptions!$O$51,0))</f>
        <v>0.05</v>
      </c>
      <c r="K39" s="455">
        <f>IF(K6=Assumptions!$O$51,1/Assumptions!$O$51-Depreciation!$D$39,IF(K6&lt;Assumptions!$O$51,1/Assumptions!$O$51,0))</f>
        <v>0.05</v>
      </c>
      <c r="L39" s="455">
        <f>IF(L6=Assumptions!$O$51,1/Assumptions!$O$51-Depreciation!$D$39,IF(L6&lt;Assumptions!$O$51,1/Assumptions!$O$51,0))</f>
        <v>0.05</v>
      </c>
      <c r="M39" s="455">
        <f>IF(M6=Assumptions!$O$51,1/Assumptions!$O$51-Depreciation!$D$39,IF(M6&lt;Assumptions!$O$51,1/Assumptions!$O$51,0))</f>
        <v>0.05</v>
      </c>
      <c r="N39" s="455">
        <f>IF(N6=Assumptions!$O$51,1/Assumptions!$O$51-Depreciation!$D$39,IF(N6&lt;Assumptions!$O$51,1/Assumptions!$O$51,0))</f>
        <v>0.05</v>
      </c>
      <c r="O39" s="455">
        <f>IF(O6=Assumptions!$O$51,1/Assumptions!$O$51-Depreciation!$D$39,IF(O6&lt;Assumptions!$O$51,1/Assumptions!$O$51,0))</f>
        <v>0.05</v>
      </c>
      <c r="P39" s="455">
        <f>IF(P6=Assumptions!$O$51,1/Assumptions!$O$51-Depreciation!$D$39,IF(P6&lt;Assumptions!$O$51,1/Assumptions!$O$51,0))</f>
        <v>0.05</v>
      </c>
      <c r="Q39" s="455">
        <f>IF(Q6=Assumptions!$O$51,1/Assumptions!$O$51-Depreciation!$D$39,IF(Q6&lt;Assumptions!$O$51,1/Assumptions!$O$51,0))</f>
        <v>0.05</v>
      </c>
      <c r="R39" s="455">
        <f>IF(R6=Assumptions!$O$51,1/Assumptions!$O$51-Depreciation!$D$39,IF(R6&lt;Assumptions!$O$51,1/Assumptions!$O$51,0))</f>
        <v>0.05</v>
      </c>
      <c r="S39" s="455">
        <f>IF(S6=Assumptions!$O$51,1/Assumptions!$O$51-Depreciation!$D$39,IF(S6&lt;Assumptions!$O$51,1/Assumptions!$O$51,0))</f>
        <v>0.05</v>
      </c>
      <c r="T39" s="455">
        <f>IF(T6=Assumptions!$O$51,1/Assumptions!$O$51-Depreciation!$D$39,IF(T6&lt;Assumptions!$O$51,1/Assumptions!$O$51,0))</f>
        <v>0.05</v>
      </c>
      <c r="U39" s="455">
        <f>IF(U6=Assumptions!$O$51,1/Assumptions!$O$51-Depreciation!$D$39,IF(U6&lt;Assumptions!$O$51,1/Assumptions!$O$51,0))</f>
        <v>0.05</v>
      </c>
      <c r="V39" s="455">
        <f>IF(V6=Assumptions!$O$51,1/Assumptions!$O$51-Depreciation!$D$39,IF(V6&lt;Assumptions!$O$51,1/Assumptions!$O$51,0))</f>
        <v>0.05</v>
      </c>
      <c r="W39" s="455">
        <f>IF(W6=Assumptions!$O$51,1/Assumptions!$O$51-Depreciation!$D$39,IF(W6&lt;Assumptions!$O$51,1/Assumptions!$O$51,0))</f>
        <v>0.05</v>
      </c>
      <c r="X39" s="455">
        <f>IF(X6=Assumptions!$O$51,1/Assumptions!$O$51-Depreciation!$D$39,IF(X6&lt;Assumptions!$O$51,1/Assumptions!$O$51,0))</f>
        <v>0</v>
      </c>
      <c r="Y39" s="455">
        <f>IF(Y6=Assumptions!$O$51,1/Assumptions!$O$51-Depreciation!$D$39,IF(Y6&lt;Assumptions!$O$51,1/Assumptions!$O$51,0))</f>
        <v>0</v>
      </c>
      <c r="Z39" s="455">
        <f>IF(Z6=Assumptions!$O$51,1/Assumptions!$O$51-Depreciation!$D$39,IF(Z6&lt;Assumptions!$O$51,1/Assumptions!$O$51,0))</f>
        <v>0</v>
      </c>
      <c r="AA39" s="455">
        <f>IF(AA6=Assumptions!$O$51,1/Assumptions!$O$51-Depreciation!$D$39,IF(AA6&lt;Assumptions!$O$51,1/Assumptions!$O$51,0))</f>
        <v>0</v>
      </c>
      <c r="AB39" s="455">
        <f>IF(AB6=Assumptions!$O$51,1/Assumptions!$O$51-Depreciation!$D$39,IF(AB6&lt;Assumptions!$O$51,1/Assumptions!$O$51,0))</f>
        <v>0</v>
      </c>
      <c r="AC39" s="455">
        <f>IF(AC6=Assumptions!$O$51,1/Assumptions!$O$51-Depreciation!$D$39,IF(AC6&lt;Assumptions!$O$51,1/Assumptions!$O$51,0))</f>
        <v>0</v>
      </c>
      <c r="AD39" s="455">
        <f>IF(AD6=Assumptions!$O$51,1/Assumptions!$O$51-Depreciation!$D$39,IF(AD6&lt;Assumptions!$O$51,1/Assumptions!$O$51,0))</f>
        <v>0</v>
      </c>
      <c r="AE39" s="455">
        <f>IF(AE6=Assumptions!$O$51,1/Assumptions!$O$51-Depreciation!$D$39,IF(AE6&lt;Assumptions!$O$51,1/Assumptions!$O$51,0))</f>
        <v>0</v>
      </c>
      <c r="AF39" s="455">
        <f>IF(AF6=Assumptions!$O$51,1/Assumptions!$O$51-Depreciation!$D$39,IF(AF6&lt;Assumptions!$O$51,1/Assumptions!$O$51,0))</f>
        <v>0</v>
      </c>
      <c r="AG39" s="455">
        <f>IF(AG6=Assumptions!$O$51,1/Assumptions!$O$51-Depreciation!$D$39,IF(AG6&lt;Assumptions!$O$51,1/Assumptions!$O$51,0))</f>
        <v>0</v>
      </c>
      <c r="AH39" s="455">
        <f>IF(AH6=Assumptions!$O$51,1/Assumptions!$O$51-Depreciation!$D$39,IF(AH6&lt;Assumptions!$O$51,1/Assumptions!$O$51,0))</f>
        <v>0</v>
      </c>
    </row>
    <row r="40" spans="1:34" s="12" customFormat="1">
      <c r="A40" s="14"/>
      <c r="B40" s="30"/>
      <c r="C40" s="24"/>
      <c r="D40" s="437"/>
      <c r="E40" s="437"/>
      <c r="F40" s="437"/>
      <c r="G40" s="437"/>
      <c r="H40" s="437"/>
      <c r="I40" s="437"/>
      <c r="J40" s="437"/>
      <c r="K40" s="437"/>
      <c r="L40" s="437"/>
      <c r="M40" s="437"/>
      <c r="N40" s="437"/>
      <c r="O40" s="437"/>
      <c r="P40" s="437"/>
      <c r="Q40" s="437"/>
      <c r="R40" s="437"/>
      <c r="S40" s="437"/>
      <c r="T40" s="437"/>
      <c r="U40" s="437"/>
      <c r="V40" s="437"/>
      <c r="W40" s="437"/>
      <c r="X40" s="437"/>
      <c r="Y40" s="437"/>
      <c r="Z40" s="437"/>
      <c r="AA40" s="437"/>
      <c r="AB40" s="437"/>
      <c r="AC40" s="437"/>
      <c r="AD40" s="437"/>
      <c r="AE40" s="437"/>
      <c r="AF40" s="437"/>
      <c r="AG40" s="437"/>
      <c r="AH40" s="437"/>
    </row>
    <row r="41" spans="1:34" s="12" customFormat="1">
      <c r="A41" s="21" t="s">
        <v>129</v>
      </c>
      <c r="B41" s="97">
        <f>B17</f>
        <v>126615.78215518073</v>
      </c>
      <c r="C41" s="98"/>
      <c r="D41" s="434">
        <f t="shared" ref="D41:Y41" si="18">D38*$B$41</f>
        <v>2821.3927713117901</v>
      </c>
      <c r="E41" s="434">
        <f t="shared" si="18"/>
        <v>6330.7891077590366</v>
      </c>
      <c r="F41" s="434">
        <f t="shared" si="18"/>
        <v>6330.7891077590366</v>
      </c>
      <c r="G41" s="434">
        <f t="shared" si="18"/>
        <v>6330.7891077590366</v>
      </c>
      <c r="H41" s="434">
        <f t="shared" si="18"/>
        <v>6330.7891077590366</v>
      </c>
      <c r="I41" s="434">
        <f t="shared" si="18"/>
        <v>6330.7891077590366</v>
      </c>
      <c r="J41" s="434">
        <f t="shared" si="18"/>
        <v>6330.7891077590366</v>
      </c>
      <c r="K41" s="434">
        <f t="shared" si="18"/>
        <v>6330.7891077590366</v>
      </c>
      <c r="L41" s="434">
        <f t="shared" si="18"/>
        <v>6330.7891077590366</v>
      </c>
      <c r="M41" s="434">
        <f t="shared" si="18"/>
        <v>6330.7891077590366</v>
      </c>
      <c r="N41" s="434">
        <f t="shared" si="18"/>
        <v>6330.7891077590366</v>
      </c>
      <c r="O41" s="434">
        <f t="shared" si="18"/>
        <v>6330.7891077590366</v>
      </c>
      <c r="P41" s="434">
        <f t="shared" si="18"/>
        <v>6330.7891077590366</v>
      </c>
      <c r="Q41" s="434">
        <f t="shared" si="18"/>
        <v>6330.7891077590366</v>
      </c>
      <c r="R41" s="434">
        <f t="shared" si="18"/>
        <v>6330.7891077590366</v>
      </c>
      <c r="S41" s="434">
        <f t="shared" si="18"/>
        <v>6330.7891077590366</v>
      </c>
      <c r="T41" s="434">
        <f t="shared" si="18"/>
        <v>6330.7891077590366</v>
      </c>
      <c r="U41" s="434">
        <f t="shared" si="18"/>
        <v>6330.7891077590366</v>
      </c>
      <c r="V41" s="434">
        <f t="shared" si="18"/>
        <v>6330.7891077590366</v>
      </c>
      <c r="W41" s="434">
        <f t="shared" si="18"/>
        <v>6330.7891077590366</v>
      </c>
      <c r="X41" s="434">
        <f t="shared" si="18"/>
        <v>6330.7891077590366</v>
      </c>
      <c r="Y41" s="434">
        <f t="shared" si="18"/>
        <v>6330.7891077590366</v>
      </c>
      <c r="Z41" s="434">
        <f t="shared" ref="Z41:AH41" si="19">Z38*$B$41</f>
        <v>6330.7891077590366</v>
      </c>
      <c r="AA41" s="434">
        <f t="shared" si="19"/>
        <v>6330.7891077590366</v>
      </c>
      <c r="AB41" s="434">
        <f t="shared" si="19"/>
        <v>6330.7891077590366</v>
      </c>
      <c r="AC41" s="434">
        <f t="shared" si="19"/>
        <v>6330.7891077590366</v>
      </c>
      <c r="AD41" s="434">
        <f t="shared" si="19"/>
        <v>6330.7891077590366</v>
      </c>
      <c r="AE41" s="434">
        <f t="shared" si="19"/>
        <v>6330.7891077590366</v>
      </c>
      <c r="AF41" s="434">
        <f t="shared" si="19"/>
        <v>6330.7891077590366</v>
      </c>
      <c r="AG41" s="434">
        <f t="shared" si="19"/>
        <v>6330.7891077590366</v>
      </c>
      <c r="AH41" s="434">
        <f t="shared" si="19"/>
        <v>0</v>
      </c>
    </row>
    <row r="42" spans="1:34" s="12" customFormat="1" ht="15">
      <c r="A42" s="22" t="s">
        <v>122</v>
      </c>
      <c r="B42" s="100">
        <f>B18</f>
        <v>900</v>
      </c>
      <c r="C42" s="98"/>
      <c r="D42" s="435">
        <f t="shared" ref="D42:Y42" si="20">D39*$B$42</f>
        <v>30.082191780821923</v>
      </c>
      <c r="E42" s="435">
        <f t="shared" si="20"/>
        <v>45</v>
      </c>
      <c r="F42" s="435">
        <f t="shared" si="20"/>
        <v>45</v>
      </c>
      <c r="G42" s="435">
        <f t="shared" si="20"/>
        <v>45</v>
      </c>
      <c r="H42" s="435">
        <f t="shared" si="20"/>
        <v>45</v>
      </c>
      <c r="I42" s="435">
        <f t="shared" si="20"/>
        <v>45</v>
      </c>
      <c r="J42" s="435">
        <f t="shared" si="20"/>
        <v>45</v>
      </c>
      <c r="K42" s="435">
        <f t="shared" si="20"/>
        <v>45</v>
      </c>
      <c r="L42" s="435">
        <f t="shared" si="20"/>
        <v>45</v>
      </c>
      <c r="M42" s="435">
        <f t="shared" si="20"/>
        <v>45</v>
      </c>
      <c r="N42" s="435">
        <f t="shared" si="20"/>
        <v>45</v>
      </c>
      <c r="O42" s="435">
        <f t="shared" si="20"/>
        <v>45</v>
      </c>
      <c r="P42" s="435">
        <f t="shared" si="20"/>
        <v>45</v>
      </c>
      <c r="Q42" s="435">
        <f t="shared" si="20"/>
        <v>45</v>
      </c>
      <c r="R42" s="435">
        <f t="shared" si="20"/>
        <v>45</v>
      </c>
      <c r="S42" s="435">
        <f t="shared" si="20"/>
        <v>45</v>
      </c>
      <c r="T42" s="435">
        <f t="shared" si="20"/>
        <v>45</v>
      </c>
      <c r="U42" s="435">
        <f t="shared" si="20"/>
        <v>45</v>
      </c>
      <c r="V42" s="435">
        <f t="shared" si="20"/>
        <v>45</v>
      </c>
      <c r="W42" s="435">
        <f t="shared" si="20"/>
        <v>45</v>
      </c>
      <c r="X42" s="435">
        <f t="shared" si="20"/>
        <v>0</v>
      </c>
      <c r="Y42" s="435">
        <f t="shared" si="20"/>
        <v>0</v>
      </c>
      <c r="Z42" s="435">
        <f t="shared" ref="Z42:AH42" si="21">Z39*$B$42</f>
        <v>0</v>
      </c>
      <c r="AA42" s="435">
        <f t="shared" si="21"/>
        <v>0</v>
      </c>
      <c r="AB42" s="435">
        <f t="shared" si="21"/>
        <v>0</v>
      </c>
      <c r="AC42" s="435">
        <f t="shared" si="21"/>
        <v>0</v>
      </c>
      <c r="AD42" s="435">
        <f t="shared" si="21"/>
        <v>0</v>
      </c>
      <c r="AE42" s="435">
        <f t="shared" si="21"/>
        <v>0</v>
      </c>
      <c r="AF42" s="435">
        <f t="shared" si="21"/>
        <v>0</v>
      </c>
      <c r="AG42" s="435">
        <f t="shared" si="21"/>
        <v>0</v>
      </c>
      <c r="AH42" s="435">
        <f t="shared" si="21"/>
        <v>0</v>
      </c>
    </row>
    <row r="43" spans="1:34" s="12" customFormat="1">
      <c r="A43" s="17" t="s">
        <v>124</v>
      </c>
      <c r="B43" s="99">
        <f>SUM(B41:B42)</f>
        <v>127515.78215518073</v>
      </c>
      <c r="C43" s="98"/>
      <c r="D43" s="434">
        <f t="shared" ref="D43:AH43" si="22">SUM(D41:D42)</f>
        <v>2851.4749630926121</v>
      </c>
      <c r="E43" s="434">
        <f t="shared" si="22"/>
        <v>6375.7891077590366</v>
      </c>
      <c r="F43" s="434">
        <f t="shared" si="22"/>
        <v>6375.7891077590366</v>
      </c>
      <c r="G43" s="434">
        <f t="shared" si="22"/>
        <v>6375.7891077590366</v>
      </c>
      <c r="H43" s="434">
        <f t="shared" si="22"/>
        <v>6375.7891077590366</v>
      </c>
      <c r="I43" s="434">
        <f t="shared" si="22"/>
        <v>6375.7891077590366</v>
      </c>
      <c r="J43" s="434">
        <f t="shared" si="22"/>
        <v>6375.7891077590366</v>
      </c>
      <c r="K43" s="434">
        <f t="shared" si="22"/>
        <v>6375.7891077590366</v>
      </c>
      <c r="L43" s="434">
        <f t="shared" si="22"/>
        <v>6375.7891077590366</v>
      </c>
      <c r="M43" s="434">
        <f t="shared" si="22"/>
        <v>6375.7891077590366</v>
      </c>
      <c r="N43" s="434">
        <f t="shared" si="22"/>
        <v>6375.7891077590366</v>
      </c>
      <c r="O43" s="434">
        <f t="shared" si="22"/>
        <v>6375.7891077590366</v>
      </c>
      <c r="P43" s="434">
        <f t="shared" si="22"/>
        <v>6375.7891077590366</v>
      </c>
      <c r="Q43" s="434">
        <f t="shared" si="22"/>
        <v>6375.7891077590366</v>
      </c>
      <c r="R43" s="434">
        <f t="shared" si="22"/>
        <v>6375.7891077590366</v>
      </c>
      <c r="S43" s="434">
        <f t="shared" si="22"/>
        <v>6375.7891077590366</v>
      </c>
      <c r="T43" s="434">
        <f t="shared" si="22"/>
        <v>6375.7891077590366</v>
      </c>
      <c r="U43" s="434">
        <f t="shared" si="22"/>
        <v>6375.7891077590366</v>
      </c>
      <c r="V43" s="434">
        <f t="shared" si="22"/>
        <v>6375.7891077590366</v>
      </c>
      <c r="W43" s="434">
        <f t="shared" si="22"/>
        <v>6375.7891077590366</v>
      </c>
      <c r="X43" s="434">
        <f t="shared" si="22"/>
        <v>6330.7891077590366</v>
      </c>
      <c r="Y43" s="434">
        <f t="shared" si="22"/>
        <v>6330.7891077590366</v>
      </c>
      <c r="Z43" s="434">
        <f t="shared" si="22"/>
        <v>6330.7891077590366</v>
      </c>
      <c r="AA43" s="434">
        <f t="shared" si="22"/>
        <v>6330.7891077590366</v>
      </c>
      <c r="AB43" s="434">
        <f t="shared" si="22"/>
        <v>6330.7891077590366</v>
      </c>
      <c r="AC43" s="434">
        <f t="shared" si="22"/>
        <v>6330.7891077590366</v>
      </c>
      <c r="AD43" s="434">
        <f t="shared" si="22"/>
        <v>6330.7891077590366</v>
      </c>
      <c r="AE43" s="434">
        <f t="shared" si="22"/>
        <v>6330.7891077590366</v>
      </c>
      <c r="AF43" s="434">
        <f t="shared" si="22"/>
        <v>6330.7891077590366</v>
      </c>
      <c r="AG43" s="434">
        <f t="shared" si="22"/>
        <v>6330.7891077590366</v>
      </c>
      <c r="AH43" s="434">
        <f t="shared" si="22"/>
        <v>0</v>
      </c>
    </row>
    <row r="44" spans="1:34">
      <c r="A44" s="22"/>
    </row>
    <row r="45" spans="1:34" s="25" customFormat="1">
      <c r="A45" s="17" t="s">
        <v>130</v>
      </c>
      <c r="B45" s="26">
        <f>B43</f>
        <v>127515.78215518073</v>
      </c>
      <c r="C45" s="24"/>
      <c r="D45" s="434">
        <f>B43-D43</f>
        <v>124664.30719208812</v>
      </c>
      <c r="E45" s="434">
        <f>D45-E43</f>
        <v>118288.51808432909</v>
      </c>
      <c r="F45" s="434">
        <f t="shared" ref="F45:Y45" si="23">E45-F43</f>
        <v>111912.72897657006</v>
      </c>
      <c r="G45" s="434">
        <f t="shared" si="23"/>
        <v>105536.93986881102</v>
      </c>
      <c r="H45" s="434">
        <f t="shared" si="23"/>
        <v>99161.150761051991</v>
      </c>
      <c r="I45" s="434">
        <f t="shared" si="23"/>
        <v>92785.361653292959</v>
      </c>
      <c r="J45" s="434">
        <f t="shared" si="23"/>
        <v>86409.572545533927</v>
      </c>
      <c r="K45" s="434">
        <f t="shared" si="23"/>
        <v>80033.783437774895</v>
      </c>
      <c r="L45" s="434">
        <f t="shared" si="23"/>
        <v>73657.994330015863</v>
      </c>
      <c r="M45" s="434">
        <f t="shared" si="23"/>
        <v>67282.205222256831</v>
      </c>
      <c r="N45" s="434">
        <f t="shared" si="23"/>
        <v>60906.416114497792</v>
      </c>
      <c r="O45" s="434">
        <f t="shared" si="23"/>
        <v>54530.627006738752</v>
      </c>
      <c r="P45" s="434">
        <f t="shared" si="23"/>
        <v>48154.837898979713</v>
      </c>
      <c r="Q45" s="434">
        <f t="shared" si="23"/>
        <v>41779.048791220674</v>
      </c>
      <c r="R45" s="434">
        <f t="shared" si="23"/>
        <v>35403.259683461634</v>
      </c>
      <c r="S45" s="434">
        <f t="shared" si="23"/>
        <v>29027.470575702599</v>
      </c>
      <c r="T45" s="434">
        <f t="shared" si="23"/>
        <v>22651.681467943563</v>
      </c>
      <c r="U45" s="434">
        <f t="shared" si="23"/>
        <v>16275.892360184527</v>
      </c>
      <c r="V45" s="434">
        <f t="shared" si="23"/>
        <v>9900.1032524254915</v>
      </c>
      <c r="W45" s="434">
        <f t="shared" si="23"/>
        <v>3524.3141446664549</v>
      </c>
      <c r="X45" s="434">
        <f t="shared" si="23"/>
        <v>-2806.4749630925817</v>
      </c>
      <c r="Y45" s="434">
        <f t="shared" si="23"/>
        <v>-9137.2640708516192</v>
      </c>
      <c r="Z45" s="434">
        <f t="shared" ref="Z45:AH45" si="24">Y45-Z43</f>
        <v>-15468.053178610655</v>
      </c>
      <c r="AA45" s="434">
        <f t="shared" si="24"/>
        <v>-21798.842286369691</v>
      </c>
      <c r="AB45" s="434">
        <f t="shared" si="24"/>
        <v>-28129.631394128726</v>
      </c>
      <c r="AC45" s="434">
        <f t="shared" si="24"/>
        <v>-34460.420501887762</v>
      </c>
      <c r="AD45" s="434">
        <f t="shared" si="24"/>
        <v>-40791.209609646801</v>
      </c>
      <c r="AE45" s="434">
        <f t="shared" si="24"/>
        <v>-47121.998717405841</v>
      </c>
      <c r="AF45" s="434">
        <f t="shared" si="24"/>
        <v>-53452.78782516488</v>
      </c>
      <c r="AG45" s="434">
        <f t="shared" si="24"/>
        <v>-59783.576932923919</v>
      </c>
      <c r="AH45" s="434">
        <f t="shared" si="24"/>
        <v>-59783.576932923919</v>
      </c>
    </row>
  </sheetData>
  <pageMargins left="0.75" right="0.75" top="1" bottom="1" header="0.5" footer="0.5"/>
  <pageSetup scale="37" orientation="landscape" r:id="rId1"/>
  <headerFooter alignWithMargins="0">
    <oddFooter xml:space="preserve">&amp;L&amp;T, &amp;D&amp;C&amp;F&amp;R&amp;P 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1"/>
  <sheetViews>
    <sheetView showGridLines="0" topLeftCell="A10" zoomScale="75" zoomScaleNormal="75" workbookViewId="0">
      <selection activeCell="F26" sqref="F26"/>
    </sheetView>
  </sheetViews>
  <sheetFormatPr defaultRowHeight="12.75"/>
  <cols>
    <col min="1" max="1" width="51.7109375" style="14" customWidth="1"/>
    <col min="2" max="32" width="12.5703125" style="197" customWidth="1"/>
    <col min="33" max="16384" width="9.140625" style="6"/>
  </cols>
  <sheetData>
    <row r="2" spans="1:32" ht="18.75">
      <c r="A2" s="113" t="str">
        <f>Assumptions!B3</f>
        <v>PROJECT NAME: SANTEE COOPER</v>
      </c>
    </row>
    <row r="4" spans="1:32" ht="18.75">
      <c r="A4" s="82" t="s">
        <v>219</v>
      </c>
      <c r="B4" s="523"/>
      <c r="C4" s="437"/>
      <c r="D4" s="437"/>
      <c r="E4" s="437"/>
      <c r="F4" s="437"/>
      <c r="G4" s="437"/>
      <c r="H4" s="437"/>
      <c r="I4" s="437"/>
      <c r="J4" s="437"/>
      <c r="K4" s="437"/>
      <c r="L4" s="437"/>
      <c r="M4" s="437"/>
      <c r="N4" s="437"/>
      <c r="O4" s="437"/>
      <c r="P4" s="437"/>
      <c r="Q4" s="437"/>
      <c r="R4" s="437"/>
      <c r="S4" s="437"/>
      <c r="T4" s="437"/>
      <c r="U4" s="437"/>
      <c r="V4" s="437"/>
      <c r="W4" s="437"/>
      <c r="X4" s="437"/>
      <c r="Y4" s="437"/>
      <c r="Z4" s="437"/>
      <c r="AA4" s="437"/>
      <c r="AB4" s="437"/>
      <c r="AC4" s="437"/>
      <c r="AD4" s="437"/>
      <c r="AE4" s="437"/>
      <c r="AF4" s="437"/>
    </row>
    <row r="5" spans="1:32">
      <c r="A5" s="87"/>
      <c r="B5" s="524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</row>
    <row r="6" spans="1:32">
      <c r="A6" s="181"/>
      <c r="B6" s="440">
        <f>'Power Price Assumption'!F9</f>
        <v>0.66849315068493154</v>
      </c>
      <c r="C6" s="440">
        <f>'Power Price Assumption'!G9</f>
        <v>1.6684931506849314</v>
      </c>
      <c r="D6" s="440">
        <f>'Power Price Assumption'!H9</f>
        <v>2.6684931506849314</v>
      </c>
      <c r="E6" s="440">
        <f>'Power Price Assumption'!I9</f>
        <v>3.6684931506849314</v>
      </c>
      <c r="F6" s="440">
        <f>'Power Price Assumption'!J9</f>
        <v>4.668493150684931</v>
      </c>
      <c r="G6" s="440">
        <f>'Power Price Assumption'!K9</f>
        <v>5.668493150684931</v>
      </c>
      <c r="H6" s="440">
        <f>'Power Price Assumption'!L9</f>
        <v>6.668493150684931</v>
      </c>
      <c r="I6" s="440">
        <f>'Power Price Assumption'!M9</f>
        <v>7.668493150684931</v>
      </c>
      <c r="J6" s="440">
        <f>'Power Price Assumption'!N9</f>
        <v>8.668493150684931</v>
      </c>
      <c r="K6" s="440">
        <f>'Power Price Assumption'!O9</f>
        <v>9.668493150684931</v>
      </c>
      <c r="L6" s="440">
        <f>'Power Price Assumption'!P9</f>
        <v>10.668493150684931</v>
      </c>
      <c r="M6" s="440">
        <f>'Power Price Assumption'!Q9</f>
        <v>11.668493150684931</v>
      </c>
      <c r="N6" s="440">
        <f>'Power Price Assumption'!R9</f>
        <v>12.668493150684931</v>
      </c>
      <c r="O6" s="440">
        <f>'Power Price Assumption'!S9</f>
        <v>13.668493150684931</v>
      </c>
      <c r="P6" s="440">
        <f>'Power Price Assumption'!T9</f>
        <v>14.668493150684931</v>
      </c>
      <c r="Q6" s="440">
        <f>'Power Price Assumption'!U9</f>
        <v>15.668493150684931</v>
      </c>
      <c r="R6" s="440">
        <f>'Power Price Assumption'!V9</f>
        <v>16.668493150684931</v>
      </c>
      <c r="S6" s="440">
        <f>'Power Price Assumption'!W9</f>
        <v>17.668493150684931</v>
      </c>
      <c r="T6" s="440">
        <f>'Power Price Assumption'!X9</f>
        <v>18.668493150684931</v>
      </c>
      <c r="U6" s="440">
        <f>'Power Price Assumption'!Y9</f>
        <v>19.668493150684931</v>
      </c>
      <c r="V6" s="440">
        <f>'Power Price Assumption'!Z9</f>
        <v>20.668493150684931</v>
      </c>
      <c r="W6" s="440">
        <f>'Power Price Assumption'!AA9</f>
        <v>21.668493150684931</v>
      </c>
      <c r="X6" s="440">
        <f>'Power Price Assumption'!AB9</f>
        <v>22.668493150684931</v>
      </c>
      <c r="Y6" s="440">
        <f>'Power Price Assumption'!AC9</f>
        <v>23.668493150684931</v>
      </c>
      <c r="Z6" s="440">
        <f>'Power Price Assumption'!AD9</f>
        <v>24.668493150684931</v>
      </c>
      <c r="AA6" s="440">
        <f>'Power Price Assumption'!AE9</f>
        <v>25.668493150684931</v>
      </c>
      <c r="AB6" s="440">
        <f>'Power Price Assumption'!AF9</f>
        <v>26.668493150684931</v>
      </c>
      <c r="AC6" s="440">
        <f>'Power Price Assumption'!AG9</f>
        <v>27.668493150684931</v>
      </c>
      <c r="AD6" s="440">
        <f>'Power Price Assumption'!AH9</f>
        <v>28.668493150684931</v>
      </c>
      <c r="AE6" s="440">
        <f>'Power Price Assumption'!AI9</f>
        <v>29.668493150684931</v>
      </c>
      <c r="AF6" s="440">
        <f>'Power Price Assumption'!AJ9</f>
        <v>30.668493150684931</v>
      </c>
    </row>
    <row r="7" spans="1:32" ht="13.5" thickBot="1">
      <c r="A7" s="157" t="s">
        <v>73</v>
      </c>
      <c r="B7" s="382">
        <f>'Power Price Assumption'!F10</f>
        <v>2001</v>
      </c>
      <c r="C7" s="382">
        <f>'Power Price Assumption'!G10</f>
        <v>2002</v>
      </c>
      <c r="D7" s="382">
        <f>'Power Price Assumption'!H10</f>
        <v>2003</v>
      </c>
      <c r="E7" s="382">
        <f>'Power Price Assumption'!I10</f>
        <v>2004</v>
      </c>
      <c r="F7" s="382">
        <f>'Power Price Assumption'!J10</f>
        <v>2005</v>
      </c>
      <c r="G7" s="382">
        <f>'Power Price Assumption'!K10</f>
        <v>2006</v>
      </c>
      <c r="H7" s="382">
        <f>'Power Price Assumption'!L10</f>
        <v>2007</v>
      </c>
      <c r="I7" s="382">
        <f>'Power Price Assumption'!M10</f>
        <v>2008</v>
      </c>
      <c r="J7" s="382">
        <f>'Power Price Assumption'!N10</f>
        <v>2009</v>
      </c>
      <c r="K7" s="382">
        <f>'Power Price Assumption'!O10</f>
        <v>2010</v>
      </c>
      <c r="L7" s="382">
        <f>'Power Price Assumption'!P10</f>
        <v>2011</v>
      </c>
      <c r="M7" s="382">
        <f>'Power Price Assumption'!Q10</f>
        <v>2012</v>
      </c>
      <c r="N7" s="382">
        <f>'Power Price Assumption'!R10</f>
        <v>2013</v>
      </c>
      <c r="O7" s="382">
        <f>'Power Price Assumption'!S10</f>
        <v>2014</v>
      </c>
      <c r="P7" s="382">
        <f>'Power Price Assumption'!T10</f>
        <v>2015</v>
      </c>
      <c r="Q7" s="382">
        <f>'Power Price Assumption'!U10</f>
        <v>2016</v>
      </c>
      <c r="R7" s="382">
        <f>'Power Price Assumption'!V10</f>
        <v>2017</v>
      </c>
      <c r="S7" s="382">
        <f>'Power Price Assumption'!W10</f>
        <v>2018</v>
      </c>
      <c r="T7" s="382">
        <f>'Power Price Assumption'!X10</f>
        <v>2019</v>
      </c>
      <c r="U7" s="382">
        <f>'Power Price Assumption'!Y10</f>
        <v>2020</v>
      </c>
      <c r="V7" s="382">
        <f>'Power Price Assumption'!Z10</f>
        <v>2021</v>
      </c>
      <c r="W7" s="382">
        <f>'Power Price Assumption'!AA10</f>
        <v>2022</v>
      </c>
      <c r="X7" s="382">
        <f>'Power Price Assumption'!AB10</f>
        <v>2023</v>
      </c>
      <c r="Y7" s="382">
        <f>'Power Price Assumption'!AC10</f>
        <v>2024</v>
      </c>
      <c r="Z7" s="382">
        <f>'Power Price Assumption'!AD10</f>
        <v>2025</v>
      </c>
      <c r="AA7" s="382">
        <f>'Power Price Assumption'!AE10</f>
        <v>2026</v>
      </c>
      <c r="AB7" s="382">
        <f>'Power Price Assumption'!AF10</f>
        <v>2027</v>
      </c>
      <c r="AC7" s="382">
        <f>'Power Price Assumption'!AG10</f>
        <v>2028</v>
      </c>
      <c r="AD7" s="382">
        <f>'Power Price Assumption'!AH10</f>
        <v>2029</v>
      </c>
      <c r="AE7" s="382">
        <f>'Power Price Assumption'!AI10</f>
        <v>2030</v>
      </c>
      <c r="AF7" s="382">
        <f>'Power Price Assumption'!AJ10</f>
        <v>2031</v>
      </c>
    </row>
    <row r="8" spans="1:32">
      <c r="A8" s="181"/>
      <c r="B8" s="438">
        <f>Depreciation!D8</f>
        <v>0</v>
      </c>
      <c r="C8" s="438">
        <f>Depreciation!E8</f>
        <v>0</v>
      </c>
      <c r="D8" s="438">
        <f>Depreciation!F8</f>
        <v>0</v>
      </c>
      <c r="E8" s="438">
        <f>Depreciation!G8</f>
        <v>0</v>
      </c>
      <c r="F8" s="438">
        <f>Depreciation!H8</f>
        <v>0</v>
      </c>
      <c r="G8" s="438">
        <f>Depreciation!I8</f>
        <v>0</v>
      </c>
      <c r="H8" s="438">
        <f>Depreciation!J8</f>
        <v>0</v>
      </c>
      <c r="I8" s="438">
        <f>Depreciation!K8</f>
        <v>0</v>
      </c>
      <c r="J8" s="438">
        <f>Depreciation!L8</f>
        <v>0</v>
      </c>
      <c r="K8" s="438">
        <f>Depreciation!M8</f>
        <v>0</v>
      </c>
      <c r="L8" s="438">
        <f>Depreciation!N8</f>
        <v>0</v>
      </c>
      <c r="M8" s="438">
        <f>Depreciation!O8</f>
        <v>0</v>
      </c>
      <c r="N8" s="438">
        <f>Depreciation!P8</f>
        <v>0</v>
      </c>
      <c r="O8" s="438">
        <f>Depreciation!Q8</f>
        <v>0</v>
      </c>
      <c r="P8" s="438">
        <f>Depreciation!R8</f>
        <v>0</v>
      </c>
      <c r="Q8" s="438">
        <f>Depreciation!S8</f>
        <v>0</v>
      </c>
      <c r="R8" s="438">
        <f>Depreciation!T8</f>
        <v>0</v>
      </c>
      <c r="S8" s="438">
        <f>Depreciation!U8</f>
        <v>0</v>
      </c>
      <c r="T8" s="438">
        <f>Depreciation!V8</f>
        <v>0</v>
      </c>
      <c r="U8" s="438">
        <f>Depreciation!W8</f>
        <v>0</v>
      </c>
      <c r="V8" s="438">
        <f>Depreciation!X8</f>
        <v>0</v>
      </c>
      <c r="W8" s="438">
        <f>Depreciation!Y8</f>
        <v>0</v>
      </c>
      <c r="X8" s="438">
        <f>Depreciation!Z8</f>
        <v>0</v>
      </c>
      <c r="Y8" s="438">
        <f>Depreciation!AA8</f>
        <v>0</v>
      </c>
      <c r="Z8" s="438">
        <f>Depreciation!AB8</f>
        <v>0</v>
      </c>
      <c r="AA8" s="438">
        <f>Depreciation!AC8</f>
        <v>0</v>
      </c>
      <c r="AB8" s="438">
        <f>Depreciation!AD8</f>
        <v>0</v>
      </c>
      <c r="AC8" s="438">
        <f>Depreciation!AE8</f>
        <v>0</v>
      </c>
      <c r="AD8" s="438">
        <f>Depreciation!AF8</f>
        <v>0</v>
      </c>
      <c r="AE8" s="438">
        <f>Depreciation!AG8</f>
        <v>0</v>
      </c>
      <c r="AF8" s="438">
        <f>Depreciation!AH8</f>
        <v>0</v>
      </c>
    </row>
    <row r="9" spans="1:32">
      <c r="A9" s="183" t="s">
        <v>131</v>
      </c>
      <c r="B9" s="429"/>
      <c r="C9" s="429"/>
      <c r="D9" s="429"/>
      <c r="E9" s="429"/>
      <c r="F9" s="429"/>
      <c r="G9" s="429"/>
      <c r="H9" s="429"/>
      <c r="I9" s="429"/>
      <c r="J9" s="429"/>
      <c r="K9" s="429"/>
      <c r="L9" s="429"/>
      <c r="M9" s="429"/>
      <c r="N9" s="429"/>
      <c r="O9" s="429"/>
      <c r="P9" s="429"/>
      <c r="Q9" s="429"/>
      <c r="R9" s="429"/>
      <c r="S9" s="429"/>
      <c r="T9" s="429"/>
      <c r="U9" s="429"/>
      <c r="V9" s="429"/>
      <c r="W9" s="429"/>
      <c r="X9" s="429"/>
      <c r="Y9" s="429"/>
      <c r="Z9" s="429"/>
      <c r="AA9" s="429"/>
      <c r="AB9" s="429"/>
      <c r="AC9" s="429"/>
      <c r="AD9" s="429"/>
      <c r="AE9" s="429"/>
      <c r="AF9" s="429"/>
    </row>
    <row r="10" spans="1:32">
      <c r="A10" s="183"/>
      <c r="B10" s="429"/>
      <c r="C10" s="429"/>
      <c r="D10" s="429"/>
      <c r="E10" s="429"/>
      <c r="F10" s="429"/>
      <c r="G10" s="429"/>
      <c r="H10" s="429"/>
      <c r="I10" s="429"/>
      <c r="J10" s="429"/>
      <c r="K10" s="429"/>
      <c r="L10" s="429"/>
      <c r="M10" s="429"/>
      <c r="N10" s="429"/>
      <c r="O10" s="429"/>
      <c r="P10" s="429"/>
      <c r="Q10" s="429"/>
      <c r="R10" s="429"/>
      <c r="S10" s="429"/>
      <c r="T10" s="429"/>
      <c r="U10" s="429"/>
      <c r="V10" s="429"/>
      <c r="W10" s="429"/>
      <c r="X10" s="429"/>
      <c r="Y10" s="429"/>
      <c r="Z10" s="429"/>
      <c r="AA10" s="429"/>
      <c r="AB10" s="429"/>
      <c r="AC10" s="429"/>
      <c r="AD10" s="429"/>
      <c r="AE10" s="429"/>
      <c r="AF10" s="429"/>
    </row>
    <row r="11" spans="1:32">
      <c r="A11" s="183"/>
      <c r="B11" s="408"/>
      <c r="C11" s="408"/>
      <c r="D11" s="408"/>
      <c r="E11" s="408"/>
      <c r="F11" s="408"/>
      <c r="G11" s="408"/>
      <c r="H11" s="408"/>
      <c r="I11" s="408"/>
      <c r="J11" s="408"/>
      <c r="K11" s="408"/>
      <c r="L11" s="408"/>
      <c r="M11" s="408"/>
      <c r="N11" s="408"/>
      <c r="O11" s="408"/>
      <c r="P11" s="408"/>
      <c r="Q11" s="408"/>
      <c r="R11" s="408"/>
      <c r="S11" s="408"/>
      <c r="T11" s="408"/>
      <c r="U11" s="408"/>
      <c r="V11" s="408"/>
      <c r="W11" s="408"/>
      <c r="X11" s="408"/>
      <c r="Y11" s="408"/>
      <c r="Z11" s="408"/>
      <c r="AA11" s="408"/>
      <c r="AB11" s="408"/>
      <c r="AC11" s="408"/>
      <c r="AD11" s="408"/>
      <c r="AE11" s="408"/>
      <c r="AF11" s="408"/>
    </row>
    <row r="12" spans="1:32" ht="13.5">
      <c r="A12" s="23" t="s">
        <v>132</v>
      </c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408"/>
      <c r="P12" s="408"/>
      <c r="Q12" s="408"/>
      <c r="R12" s="408"/>
      <c r="S12" s="408"/>
      <c r="T12" s="408"/>
      <c r="U12" s="408"/>
      <c r="V12" s="408"/>
      <c r="W12" s="408"/>
      <c r="X12" s="408"/>
      <c r="Y12" s="408"/>
      <c r="Z12" s="408"/>
      <c r="AA12" s="408"/>
      <c r="AB12" s="408"/>
      <c r="AC12" s="408"/>
      <c r="AD12" s="408"/>
      <c r="AE12" s="408"/>
      <c r="AF12" s="408"/>
    </row>
    <row r="13" spans="1:32">
      <c r="A13" s="21" t="s">
        <v>133</v>
      </c>
      <c r="B13" s="525">
        <f>IS!D80</f>
        <v>2265.5427717604043</v>
      </c>
      <c r="C13" s="525">
        <f>IS!E80</f>
        <v>-1698.9249702511379</v>
      </c>
      <c r="D13" s="525">
        <f>IS!F80</f>
        <v>-1507.6093225340965</v>
      </c>
      <c r="E13" s="525">
        <f>IS!G80</f>
        <v>-1301.0204258029544</v>
      </c>
      <c r="F13" s="525">
        <f>IS!H80</f>
        <v>-1077.9389750074924</v>
      </c>
      <c r="G13" s="525">
        <f>IS!I80</f>
        <v>-837.04832465578056</v>
      </c>
      <c r="H13" s="525">
        <f>IS!J80</f>
        <v>-576.92671786169467</v>
      </c>
      <c r="I13" s="525">
        <f>IS!K80</f>
        <v>-296.03889501616231</v>
      </c>
      <c r="J13" s="525">
        <f>IS!L80</f>
        <v>7.2729674442261967</v>
      </c>
      <c r="K13" s="525">
        <f>IS!M80</f>
        <v>334.79904165137305</v>
      </c>
      <c r="L13" s="525">
        <f>IS!N80</f>
        <v>688.47241405221303</v>
      </c>
      <c r="M13" s="525">
        <f>IS!O80</f>
        <v>1070.3804946475693</v>
      </c>
      <c r="N13" s="525">
        <f>IS!P80</f>
        <v>1482.7773370616023</v>
      </c>
      <c r="O13" s="525">
        <f>IS!Q80</f>
        <v>1928.0969421559503</v>
      </c>
      <c r="P13" s="525">
        <f>IS!R80</f>
        <v>2408.9676237076055</v>
      </c>
      <c r="Q13" s="525">
        <f>IS!S80</f>
        <v>2928.2275209379595</v>
      </c>
      <c r="R13" s="525">
        <f>IS!T80</f>
        <v>3488.9413494492828</v>
      </c>
      <c r="S13" s="525">
        <f>IS!U80</f>
        <v>4094.4184894340633</v>
      </c>
      <c r="T13" s="525">
        <f>IS!V80</f>
        <v>4280.2699479614867</v>
      </c>
      <c r="U13" s="525">
        <f>IS!W80</f>
        <v>4280.2699479614867</v>
      </c>
      <c r="V13" s="525">
        <f>IS!X80</f>
        <v>4325.2699479614867</v>
      </c>
      <c r="W13" s="525">
        <f>IS!Y80</f>
        <v>4325.2699479614867</v>
      </c>
      <c r="X13" s="525">
        <f>IS!Z80</f>
        <v>4325.2699479614867</v>
      </c>
      <c r="Y13" s="525">
        <f>IS!AA80</f>
        <v>4325.2699479614867</v>
      </c>
      <c r="Z13" s="525">
        <f>IS!AB80</f>
        <v>4325.2699479614867</v>
      </c>
      <c r="AA13" s="525">
        <f>IS!AC80</f>
        <v>-8992.340412038513</v>
      </c>
      <c r="AB13" s="525">
        <f>IS!AD80</f>
        <v>-8992.340412038513</v>
      </c>
      <c r="AC13" s="525">
        <f>IS!AE80</f>
        <v>-8992.340412038513</v>
      </c>
      <c r="AD13" s="525">
        <f>IS!AF80</f>
        <v>-8992.340412038513</v>
      </c>
      <c r="AE13" s="525">
        <f>IS!AG80</f>
        <v>-8992.340412038513</v>
      </c>
      <c r="AF13" s="525">
        <f>IS!AH80</f>
        <v>-2661.551304279476</v>
      </c>
    </row>
    <row r="14" spans="1:32">
      <c r="A14" s="21" t="s">
        <v>134</v>
      </c>
      <c r="B14" s="525">
        <f>IS!D74</f>
        <v>2851.4749630926121</v>
      </c>
      <c r="C14" s="525">
        <f>IS!E74</f>
        <v>6375.7891077590366</v>
      </c>
      <c r="D14" s="525">
        <f>IS!F74</f>
        <v>6375.7891077590366</v>
      </c>
      <c r="E14" s="525">
        <f>IS!G74</f>
        <v>6375.7891077590366</v>
      </c>
      <c r="F14" s="525">
        <f>IS!H74</f>
        <v>6375.7891077590366</v>
      </c>
      <c r="G14" s="525">
        <f>IS!I74</f>
        <v>6375.7891077590366</v>
      </c>
      <c r="H14" s="525">
        <f>IS!J74</f>
        <v>6375.7891077590366</v>
      </c>
      <c r="I14" s="525">
        <f>IS!K74</f>
        <v>6375.7891077590366</v>
      </c>
      <c r="J14" s="525">
        <f>IS!L74</f>
        <v>6375.7891077590366</v>
      </c>
      <c r="K14" s="525">
        <f>IS!M74</f>
        <v>6375.7891077590366</v>
      </c>
      <c r="L14" s="525">
        <f>IS!N74</f>
        <v>6375.7891077590366</v>
      </c>
      <c r="M14" s="525">
        <f>IS!O74</f>
        <v>6375.7891077590366</v>
      </c>
      <c r="N14" s="525">
        <f>IS!P74</f>
        <v>6375.7891077590366</v>
      </c>
      <c r="O14" s="525">
        <f>IS!Q74</f>
        <v>6375.7891077590366</v>
      </c>
      <c r="P14" s="525">
        <f>IS!R74</f>
        <v>6375.7891077590366</v>
      </c>
      <c r="Q14" s="525">
        <f>IS!S74</f>
        <v>6375.7891077590366</v>
      </c>
      <c r="R14" s="525">
        <f>IS!T74</f>
        <v>6375.7891077590366</v>
      </c>
      <c r="S14" s="525">
        <f>IS!U74</f>
        <v>6375.7891077590366</v>
      </c>
      <c r="T14" s="525">
        <f>IS!V74</f>
        <v>6375.7891077590366</v>
      </c>
      <c r="U14" s="525">
        <f>IS!W74</f>
        <v>6375.7891077590366</v>
      </c>
      <c r="V14" s="525">
        <f>IS!X74</f>
        <v>6330.7891077590366</v>
      </c>
      <c r="W14" s="525">
        <f>IS!Y74</f>
        <v>6330.7891077590366</v>
      </c>
      <c r="X14" s="525">
        <f>IS!Z74</f>
        <v>6330.7891077590366</v>
      </c>
      <c r="Y14" s="525">
        <f>IS!AA74</f>
        <v>6330.7891077590366</v>
      </c>
      <c r="Z14" s="525">
        <f>IS!AB74</f>
        <v>6330.7891077590366</v>
      </c>
      <c r="AA14" s="525">
        <f>IS!AC74</f>
        <v>6330.7891077590366</v>
      </c>
      <c r="AB14" s="525">
        <f>IS!AD74</f>
        <v>6330.7891077590366</v>
      </c>
      <c r="AC14" s="525">
        <f>IS!AE74</f>
        <v>6330.7891077590366</v>
      </c>
      <c r="AD14" s="525">
        <f>IS!AF74</f>
        <v>6330.7891077590366</v>
      </c>
      <c r="AE14" s="525">
        <f>IS!AG74</f>
        <v>6330.7891077590366</v>
      </c>
      <c r="AF14" s="525">
        <f>IS!AH74</f>
        <v>0</v>
      </c>
    </row>
    <row r="15" spans="1:32" ht="15">
      <c r="A15" s="21" t="s">
        <v>135</v>
      </c>
      <c r="B15" s="526">
        <f>-Depreciation!D31</f>
        <v>-6360.8712995398582</v>
      </c>
      <c r="C15" s="526">
        <f>-Depreciation!E31</f>
        <v>-12073.499304742169</v>
      </c>
      <c r="D15" s="526">
        <f>-Depreciation!F31</f>
        <v>-10870.649374267952</v>
      </c>
      <c r="E15" s="526">
        <f>-Depreciation!G31</f>
        <v>-9794.4152259489165</v>
      </c>
      <c r="F15" s="526">
        <f>-Depreciation!H31</f>
        <v>-8819.4737033540241</v>
      </c>
      <c r="G15" s="526">
        <f>-Depreciation!I31</f>
        <v>-7933.1632282677592</v>
      </c>
      <c r="H15" s="526">
        <f>-Depreciation!J31</f>
        <v>-7515.3311471556626</v>
      </c>
      <c r="I15" s="526">
        <f>-Depreciation!K31</f>
        <v>-7527.9927253711812</v>
      </c>
      <c r="J15" s="526">
        <f>-Depreciation!L31</f>
        <v>-7515.3311471556626</v>
      </c>
      <c r="K15" s="526">
        <f>-Depreciation!M31</f>
        <v>-7527.9927253711812</v>
      </c>
      <c r="L15" s="526">
        <f>-Depreciation!N31</f>
        <v>-7515.3311471556626</v>
      </c>
      <c r="M15" s="526">
        <f>-Depreciation!O31</f>
        <v>-7527.9927253711812</v>
      </c>
      <c r="N15" s="526">
        <f>-Depreciation!P31</f>
        <v>-7515.3311471556626</v>
      </c>
      <c r="O15" s="526">
        <f>-Depreciation!Q31</f>
        <v>-7527.9927253711812</v>
      </c>
      <c r="P15" s="526">
        <f>-Depreciation!R31</f>
        <v>-7515.3311471556626</v>
      </c>
      <c r="Q15" s="526">
        <f>-Depreciation!S31</f>
        <v>-3780.1655735778313</v>
      </c>
      <c r="R15" s="526">
        <f>-Depreciation!T31</f>
        <v>-45</v>
      </c>
      <c r="S15" s="526">
        <f>-Depreciation!U31</f>
        <v>-45</v>
      </c>
      <c r="T15" s="526">
        <f>-Depreciation!V31</f>
        <v>-45</v>
      </c>
      <c r="U15" s="526">
        <f>-Depreciation!W31</f>
        <v>-45</v>
      </c>
      <c r="V15" s="526">
        <f>-Depreciation!X31</f>
        <v>0</v>
      </c>
      <c r="W15" s="526">
        <f>-Depreciation!Y31</f>
        <v>0</v>
      </c>
      <c r="X15" s="526">
        <f>-Depreciation!Z31</f>
        <v>0</v>
      </c>
      <c r="Y15" s="526">
        <f>-Depreciation!AA31</f>
        <v>0</v>
      </c>
      <c r="Z15" s="526">
        <f>-Depreciation!AB31</f>
        <v>0</v>
      </c>
      <c r="AA15" s="526">
        <f>-Depreciation!AC31</f>
        <v>0</v>
      </c>
      <c r="AB15" s="526">
        <f>-Depreciation!AD31</f>
        <v>0</v>
      </c>
      <c r="AC15" s="526">
        <f>-Depreciation!AE31</f>
        <v>0</v>
      </c>
      <c r="AD15" s="526">
        <f>-Depreciation!AF31</f>
        <v>0</v>
      </c>
      <c r="AE15" s="526">
        <f>-Depreciation!AG31</f>
        <v>0</v>
      </c>
      <c r="AF15" s="526">
        <f>-Depreciation!AH31</f>
        <v>0</v>
      </c>
    </row>
    <row r="16" spans="1:32">
      <c r="A16" s="184" t="s">
        <v>136</v>
      </c>
      <c r="B16" s="408">
        <f>SUM(B13:B15)</f>
        <v>-1243.8535646868422</v>
      </c>
      <c r="C16" s="408">
        <f t="shared" ref="C16:AF16" si="0">SUM(C13:C15)</f>
        <v>-7396.6351672342698</v>
      </c>
      <c r="D16" s="408">
        <f t="shared" si="0"/>
        <v>-6002.4695890430121</v>
      </c>
      <c r="E16" s="408">
        <f t="shared" si="0"/>
        <v>-4719.6465439928343</v>
      </c>
      <c r="F16" s="408">
        <f t="shared" si="0"/>
        <v>-3521.62357060248</v>
      </c>
      <c r="G16" s="408">
        <f t="shared" si="0"/>
        <v>-2394.4224451645032</v>
      </c>
      <c r="H16" s="408">
        <f t="shared" si="0"/>
        <v>-1716.4687572583207</v>
      </c>
      <c r="I16" s="408">
        <f t="shared" si="0"/>
        <v>-1448.2425126283069</v>
      </c>
      <c r="J16" s="408">
        <f t="shared" si="0"/>
        <v>-1132.2690719523998</v>
      </c>
      <c r="K16" s="408">
        <f t="shared" si="0"/>
        <v>-817.40457596077158</v>
      </c>
      <c r="L16" s="408">
        <f t="shared" si="0"/>
        <v>-451.069625344413</v>
      </c>
      <c r="M16" s="408">
        <f t="shared" si="0"/>
        <v>-81.823122964575305</v>
      </c>
      <c r="N16" s="408">
        <f t="shared" si="0"/>
        <v>343.23529766497631</v>
      </c>
      <c r="O16" s="408">
        <f t="shared" si="0"/>
        <v>775.89332454380565</v>
      </c>
      <c r="P16" s="408">
        <f t="shared" si="0"/>
        <v>1269.4255843109786</v>
      </c>
      <c r="Q16" s="408">
        <f t="shared" si="0"/>
        <v>5523.8510551191648</v>
      </c>
      <c r="R16" s="408">
        <f t="shared" si="0"/>
        <v>9819.7304572083194</v>
      </c>
      <c r="S16" s="408">
        <f t="shared" si="0"/>
        <v>10425.207597193101</v>
      </c>
      <c r="T16" s="408">
        <f t="shared" si="0"/>
        <v>10611.059055720523</v>
      </c>
      <c r="U16" s="408">
        <f t="shared" si="0"/>
        <v>10611.059055720523</v>
      </c>
      <c r="V16" s="408">
        <f t="shared" si="0"/>
        <v>10656.059055720523</v>
      </c>
      <c r="W16" s="408">
        <f t="shared" si="0"/>
        <v>10656.059055720523</v>
      </c>
      <c r="X16" s="408">
        <f t="shared" si="0"/>
        <v>10656.059055720523</v>
      </c>
      <c r="Y16" s="408">
        <f t="shared" si="0"/>
        <v>10656.059055720523</v>
      </c>
      <c r="Z16" s="408">
        <f t="shared" si="0"/>
        <v>10656.059055720523</v>
      </c>
      <c r="AA16" s="408">
        <f t="shared" si="0"/>
        <v>-2661.5513042794764</v>
      </c>
      <c r="AB16" s="408">
        <f t="shared" si="0"/>
        <v>-2661.5513042794764</v>
      </c>
      <c r="AC16" s="408">
        <f t="shared" si="0"/>
        <v>-2661.5513042794764</v>
      </c>
      <c r="AD16" s="408">
        <f t="shared" si="0"/>
        <v>-2661.5513042794764</v>
      </c>
      <c r="AE16" s="408">
        <f t="shared" si="0"/>
        <v>-2661.5513042794764</v>
      </c>
      <c r="AF16" s="408">
        <f t="shared" si="0"/>
        <v>-2661.551304279476</v>
      </c>
    </row>
    <row r="17" spans="1:32">
      <c r="A17" s="21"/>
      <c r="B17" s="408"/>
      <c r="C17" s="408"/>
      <c r="D17" s="408"/>
      <c r="E17" s="408"/>
      <c r="F17" s="408"/>
      <c r="G17" s="408"/>
      <c r="H17" s="408"/>
      <c r="I17" s="408"/>
      <c r="J17" s="408"/>
      <c r="K17" s="408"/>
      <c r="L17" s="408"/>
      <c r="M17" s="408"/>
      <c r="N17" s="408"/>
      <c r="O17" s="408"/>
      <c r="P17" s="408"/>
      <c r="Q17" s="408"/>
      <c r="R17" s="408"/>
      <c r="S17" s="408"/>
      <c r="T17" s="408"/>
      <c r="U17" s="408"/>
      <c r="V17" s="408"/>
      <c r="W17" s="408"/>
      <c r="X17" s="408"/>
      <c r="Y17" s="408"/>
      <c r="Z17" s="408"/>
      <c r="AA17" s="408"/>
      <c r="AB17" s="408"/>
      <c r="AC17" s="408"/>
      <c r="AD17" s="408"/>
      <c r="AE17" s="408"/>
      <c r="AF17" s="408"/>
    </row>
    <row r="18" spans="1:32">
      <c r="A18" s="21" t="s">
        <v>136</v>
      </c>
      <c r="B18" s="525">
        <f>B16</f>
        <v>-1243.8535646868422</v>
      </c>
      <c r="C18" s="525">
        <f t="shared" ref="C18:V18" si="1">C16</f>
        <v>-7396.6351672342698</v>
      </c>
      <c r="D18" s="525">
        <f t="shared" si="1"/>
        <v>-6002.4695890430121</v>
      </c>
      <c r="E18" s="525">
        <f t="shared" si="1"/>
        <v>-4719.6465439928343</v>
      </c>
      <c r="F18" s="525">
        <f t="shared" si="1"/>
        <v>-3521.62357060248</v>
      </c>
      <c r="G18" s="525">
        <f t="shared" si="1"/>
        <v>-2394.4224451645032</v>
      </c>
      <c r="H18" s="525">
        <f t="shared" si="1"/>
        <v>-1716.4687572583207</v>
      </c>
      <c r="I18" s="525">
        <f t="shared" si="1"/>
        <v>-1448.2425126283069</v>
      </c>
      <c r="J18" s="525">
        <f t="shared" si="1"/>
        <v>-1132.2690719523998</v>
      </c>
      <c r="K18" s="525">
        <f t="shared" si="1"/>
        <v>-817.40457596077158</v>
      </c>
      <c r="L18" s="525">
        <f t="shared" si="1"/>
        <v>-451.069625344413</v>
      </c>
      <c r="M18" s="525">
        <f t="shared" si="1"/>
        <v>-81.823122964575305</v>
      </c>
      <c r="N18" s="525">
        <f t="shared" si="1"/>
        <v>343.23529766497631</v>
      </c>
      <c r="O18" s="525">
        <f t="shared" si="1"/>
        <v>775.89332454380565</v>
      </c>
      <c r="P18" s="525">
        <f t="shared" si="1"/>
        <v>1269.4255843109786</v>
      </c>
      <c r="Q18" s="525">
        <f t="shared" si="1"/>
        <v>5523.8510551191648</v>
      </c>
      <c r="R18" s="525">
        <f t="shared" si="1"/>
        <v>9819.7304572083194</v>
      </c>
      <c r="S18" s="525">
        <f t="shared" si="1"/>
        <v>10425.207597193101</v>
      </c>
      <c r="T18" s="525">
        <f t="shared" si="1"/>
        <v>10611.059055720523</v>
      </c>
      <c r="U18" s="525">
        <f t="shared" si="1"/>
        <v>10611.059055720523</v>
      </c>
      <c r="V18" s="525">
        <f t="shared" si="1"/>
        <v>10656.059055720523</v>
      </c>
      <c r="W18" s="525">
        <f t="shared" ref="W18:AF18" si="2">W16</f>
        <v>10656.059055720523</v>
      </c>
      <c r="X18" s="525">
        <f t="shared" si="2"/>
        <v>10656.059055720523</v>
      </c>
      <c r="Y18" s="525">
        <f t="shared" si="2"/>
        <v>10656.059055720523</v>
      </c>
      <c r="Z18" s="525">
        <f t="shared" si="2"/>
        <v>10656.059055720523</v>
      </c>
      <c r="AA18" s="525">
        <f t="shared" si="2"/>
        <v>-2661.5513042794764</v>
      </c>
      <c r="AB18" s="525">
        <f t="shared" si="2"/>
        <v>-2661.5513042794764</v>
      </c>
      <c r="AC18" s="525">
        <f t="shared" si="2"/>
        <v>-2661.5513042794764</v>
      </c>
      <c r="AD18" s="525">
        <f t="shared" si="2"/>
        <v>-2661.5513042794764</v>
      </c>
      <c r="AE18" s="525">
        <f t="shared" si="2"/>
        <v>-2661.5513042794764</v>
      </c>
      <c r="AF18" s="525">
        <f t="shared" si="2"/>
        <v>-2661.551304279476</v>
      </c>
    </row>
    <row r="19" spans="1:32">
      <c r="A19" s="21" t="s">
        <v>224</v>
      </c>
      <c r="B19" s="527">
        <f>Assumptions!$Q$56</f>
        <v>0.06</v>
      </c>
      <c r="C19" s="527">
        <f>Assumptions!$Q$56</f>
        <v>0.06</v>
      </c>
      <c r="D19" s="527">
        <f>Assumptions!$Q$56</f>
        <v>0.06</v>
      </c>
      <c r="E19" s="527">
        <f>Assumptions!$Q$56</f>
        <v>0.06</v>
      </c>
      <c r="F19" s="527">
        <f>Assumptions!$Q$56</f>
        <v>0.06</v>
      </c>
      <c r="G19" s="527">
        <f>Assumptions!$Q$56</f>
        <v>0.06</v>
      </c>
      <c r="H19" s="527">
        <f>Assumptions!$Q$56</f>
        <v>0.06</v>
      </c>
      <c r="I19" s="527">
        <f>Assumptions!$Q$56</f>
        <v>0.06</v>
      </c>
      <c r="J19" s="527">
        <f>Assumptions!$Q$56</f>
        <v>0.06</v>
      </c>
      <c r="K19" s="527">
        <f>Assumptions!$Q$56</f>
        <v>0.06</v>
      </c>
      <c r="L19" s="527">
        <f>Assumptions!$Q$56</f>
        <v>0.06</v>
      </c>
      <c r="M19" s="527">
        <f>Assumptions!$Q$56</f>
        <v>0.06</v>
      </c>
      <c r="N19" s="527">
        <f>Assumptions!$Q$56</f>
        <v>0.06</v>
      </c>
      <c r="O19" s="527">
        <f>Assumptions!$Q$56</f>
        <v>0.06</v>
      </c>
      <c r="P19" s="527">
        <f>Assumptions!$Q$56</f>
        <v>0.06</v>
      </c>
      <c r="Q19" s="527">
        <f>Assumptions!$Q$56</f>
        <v>0.06</v>
      </c>
      <c r="R19" s="527">
        <f>Assumptions!$Q$56</f>
        <v>0.06</v>
      </c>
      <c r="S19" s="527">
        <f>Assumptions!$Q$56</f>
        <v>0.06</v>
      </c>
      <c r="T19" s="527">
        <f>Assumptions!$Q$56</f>
        <v>0.06</v>
      </c>
      <c r="U19" s="527">
        <f>Assumptions!$Q$56</f>
        <v>0.06</v>
      </c>
      <c r="V19" s="527">
        <f>Assumptions!$Q$56</f>
        <v>0.06</v>
      </c>
      <c r="W19" s="527">
        <f>Assumptions!$Q$56</f>
        <v>0.06</v>
      </c>
      <c r="X19" s="527">
        <f>Assumptions!$Q$56</f>
        <v>0.06</v>
      </c>
      <c r="Y19" s="527">
        <f>Assumptions!$Q$56</f>
        <v>0.06</v>
      </c>
      <c r="Z19" s="527">
        <f>Assumptions!$Q$56</f>
        <v>0.06</v>
      </c>
      <c r="AA19" s="527">
        <f>Assumptions!$Q$56</f>
        <v>0.06</v>
      </c>
      <c r="AB19" s="527">
        <f>Assumptions!$Q$56</f>
        <v>0.06</v>
      </c>
      <c r="AC19" s="527">
        <f>Assumptions!$Q$56</f>
        <v>0.06</v>
      </c>
      <c r="AD19" s="527">
        <f>Assumptions!$Q$56</f>
        <v>0.06</v>
      </c>
      <c r="AE19" s="527">
        <f>Assumptions!$Q$56</f>
        <v>0.06</v>
      </c>
      <c r="AF19" s="527">
        <f>Assumptions!$Q$56</f>
        <v>0.06</v>
      </c>
    </row>
    <row r="20" spans="1:32">
      <c r="A20" s="21" t="s">
        <v>137</v>
      </c>
      <c r="B20" s="525">
        <f>B18*B19</f>
        <v>-74.631213881210527</v>
      </c>
      <c r="C20" s="525">
        <f t="shared" ref="C20:AF20" si="3">C18*C19</f>
        <v>-443.79811003405615</v>
      </c>
      <c r="D20" s="525">
        <f t="shared" si="3"/>
        <v>-360.14817534258071</v>
      </c>
      <c r="E20" s="525">
        <f t="shared" si="3"/>
        <v>-283.17879263957002</v>
      </c>
      <c r="F20" s="525">
        <f t="shared" si="3"/>
        <v>-211.2974142361488</v>
      </c>
      <c r="G20" s="525">
        <f t="shared" si="3"/>
        <v>-143.66534670987019</v>
      </c>
      <c r="H20" s="525">
        <f t="shared" si="3"/>
        <v>-102.98812543549924</v>
      </c>
      <c r="I20" s="525">
        <f t="shared" si="3"/>
        <v>-86.894550757698411</v>
      </c>
      <c r="J20" s="525">
        <f t="shared" si="3"/>
        <v>-67.936144317143984</v>
      </c>
      <c r="K20" s="525">
        <f t="shared" si="3"/>
        <v>-49.04427455764629</v>
      </c>
      <c r="L20" s="525">
        <f t="shared" si="3"/>
        <v>-27.064177520664778</v>
      </c>
      <c r="M20" s="525">
        <f t="shared" si="3"/>
        <v>-4.9093873778745181</v>
      </c>
      <c r="N20" s="525">
        <f t="shared" si="3"/>
        <v>20.594117859898578</v>
      </c>
      <c r="O20" s="525">
        <f t="shared" si="3"/>
        <v>46.553599472628335</v>
      </c>
      <c r="P20" s="525">
        <f t="shared" si="3"/>
        <v>76.165535058658719</v>
      </c>
      <c r="Q20" s="525">
        <f t="shared" si="3"/>
        <v>331.43106330714988</v>
      </c>
      <c r="R20" s="525">
        <f t="shared" si="3"/>
        <v>589.18382743249913</v>
      </c>
      <c r="S20" s="525">
        <f t="shared" si="3"/>
        <v>625.51245583158607</v>
      </c>
      <c r="T20" s="525">
        <f t="shared" si="3"/>
        <v>636.66354334323137</v>
      </c>
      <c r="U20" s="525">
        <f t="shared" si="3"/>
        <v>636.66354334323137</v>
      </c>
      <c r="V20" s="525">
        <f t="shared" si="3"/>
        <v>639.36354334323141</v>
      </c>
      <c r="W20" s="525">
        <f t="shared" si="3"/>
        <v>639.36354334323141</v>
      </c>
      <c r="X20" s="525">
        <f t="shared" si="3"/>
        <v>639.36354334323141</v>
      </c>
      <c r="Y20" s="525">
        <f t="shared" si="3"/>
        <v>639.36354334323141</v>
      </c>
      <c r="Z20" s="525">
        <f t="shared" si="3"/>
        <v>639.36354334323141</v>
      </c>
      <c r="AA20" s="525">
        <f t="shared" si="3"/>
        <v>-159.69307825676859</v>
      </c>
      <c r="AB20" s="525">
        <f t="shared" si="3"/>
        <v>-159.69307825676859</v>
      </c>
      <c r="AC20" s="525">
        <f t="shared" si="3"/>
        <v>-159.69307825676859</v>
      </c>
      <c r="AD20" s="525">
        <f t="shared" si="3"/>
        <v>-159.69307825676859</v>
      </c>
      <c r="AE20" s="525">
        <f t="shared" si="3"/>
        <v>-159.69307825676859</v>
      </c>
      <c r="AF20" s="525">
        <f t="shared" si="3"/>
        <v>-159.69307825676856</v>
      </c>
    </row>
    <row r="21" spans="1:32">
      <c r="A21" s="21"/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  <c r="V21" s="408"/>
      <c r="W21" s="408"/>
      <c r="X21" s="408"/>
      <c r="Y21" s="408"/>
      <c r="Z21" s="408"/>
      <c r="AA21" s="408"/>
      <c r="AB21" s="408"/>
      <c r="AC21" s="408"/>
      <c r="AD21" s="408"/>
      <c r="AE21" s="408"/>
      <c r="AF21" s="408"/>
    </row>
    <row r="22" spans="1:32">
      <c r="A22" s="21" t="s">
        <v>138</v>
      </c>
      <c r="B22" s="525">
        <v>0</v>
      </c>
      <c r="C22" s="525">
        <f>B26</f>
        <v>74.631213881210527</v>
      </c>
      <c r="D22" s="525">
        <f t="shared" ref="D22:AF22" si="4">C26</f>
        <v>518.42932391526665</v>
      </c>
      <c r="E22" s="525">
        <f t="shared" si="4"/>
        <v>878.57749925784742</v>
      </c>
      <c r="F22" s="525">
        <f t="shared" si="4"/>
        <v>1161.7562918974174</v>
      </c>
      <c r="G22" s="525">
        <f t="shared" si="4"/>
        <v>1373.0537061335663</v>
      </c>
      <c r="H22" s="525">
        <f t="shared" si="4"/>
        <v>1516.7190528434364</v>
      </c>
      <c r="I22" s="525">
        <f t="shared" si="4"/>
        <v>1619.7071782789358</v>
      </c>
      <c r="J22" s="525">
        <f t="shared" si="4"/>
        <v>1706.6017290366342</v>
      </c>
      <c r="K22" s="525">
        <f t="shared" si="4"/>
        <v>1774.5378733537782</v>
      </c>
      <c r="L22" s="525">
        <f t="shared" si="4"/>
        <v>1823.5821479114245</v>
      </c>
      <c r="M22" s="525">
        <f t="shared" si="4"/>
        <v>1850.6463254320893</v>
      </c>
      <c r="N22" s="525">
        <f t="shared" si="4"/>
        <v>1855.5557128099638</v>
      </c>
      <c r="O22" s="525">
        <f t="shared" si="4"/>
        <v>1834.9615949500651</v>
      </c>
      <c r="P22" s="525">
        <f>O26</f>
        <v>1788.4079954774368</v>
      </c>
      <c r="Q22" s="525">
        <f t="shared" si="4"/>
        <v>1712.2424604187781</v>
      </c>
      <c r="R22" s="525">
        <f t="shared" si="4"/>
        <v>1380.8113971116281</v>
      </c>
      <c r="S22" s="525">
        <f t="shared" si="4"/>
        <v>791.62756967912901</v>
      </c>
      <c r="T22" s="525">
        <v>0</v>
      </c>
      <c r="U22" s="525">
        <f t="shared" si="4"/>
        <v>0</v>
      </c>
      <c r="V22" s="525">
        <f t="shared" si="4"/>
        <v>0</v>
      </c>
      <c r="W22" s="525">
        <f t="shared" si="4"/>
        <v>0</v>
      </c>
      <c r="X22" s="525">
        <f t="shared" si="4"/>
        <v>0</v>
      </c>
      <c r="Y22" s="525">
        <f t="shared" si="4"/>
        <v>0</v>
      </c>
      <c r="Z22" s="525">
        <f t="shared" si="4"/>
        <v>0</v>
      </c>
      <c r="AA22" s="525">
        <f t="shared" si="4"/>
        <v>0</v>
      </c>
      <c r="AB22" s="525">
        <f t="shared" si="4"/>
        <v>159.69307825676859</v>
      </c>
      <c r="AC22" s="525">
        <f t="shared" si="4"/>
        <v>319.38615651353717</v>
      </c>
      <c r="AD22" s="525">
        <f t="shared" si="4"/>
        <v>479.07923477030579</v>
      </c>
      <c r="AE22" s="525">
        <f t="shared" si="4"/>
        <v>638.77231302707435</v>
      </c>
      <c r="AF22" s="525">
        <f t="shared" si="4"/>
        <v>798.46539128384291</v>
      </c>
    </row>
    <row r="23" spans="1:32">
      <c r="A23" s="21" t="s">
        <v>139</v>
      </c>
      <c r="B23" s="528">
        <f>IF(B20&lt;0,-B20,0)</f>
        <v>74.631213881210527</v>
      </c>
      <c r="C23" s="528">
        <f t="shared" ref="C23:W23" si="5">IF(C20&lt;0,-C20,0)</f>
        <v>443.79811003405615</v>
      </c>
      <c r="D23" s="528">
        <f t="shared" si="5"/>
        <v>360.14817534258071</v>
      </c>
      <c r="E23" s="528">
        <f t="shared" si="5"/>
        <v>283.17879263957002</v>
      </c>
      <c r="F23" s="528">
        <f t="shared" si="5"/>
        <v>211.2974142361488</v>
      </c>
      <c r="G23" s="528">
        <f t="shared" si="5"/>
        <v>143.66534670987019</v>
      </c>
      <c r="H23" s="528">
        <f t="shared" si="5"/>
        <v>102.98812543549924</v>
      </c>
      <c r="I23" s="528">
        <f t="shared" si="5"/>
        <v>86.894550757698411</v>
      </c>
      <c r="J23" s="528">
        <f t="shared" si="5"/>
        <v>67.936144317143984</v>
      </c>
      <c r="K23" s="528">
        <f t="shared" si="5"/>
        <v>49.04427455764629</v>
      </c>
      <c r="L23" s="528">
        <f t="shared" si="5"/>
        <v>27.064177520664778</v>
      </c>
      <c r="M23" s="528">
        <f t="shared" si="5"/>
        <v>4.9093873778745181</v>
      </c>
      <c r="N23" s="528">
        <f t="shared" si="5"/>
        <v>0</v>
      </c>
      <c r="O23" s="528">
        <f t="shared" si="5"/>
        <v>0</v>
      </c>
      <c r="P23" s="528">
        <f t="shared" si="5"/>
        <v>0</v>
      </c>
      <c r="Q23" s="528">
        <f t="shared" si="5"/>
        <v>0</v>
      </c>
      <c r="R23" s="528">
        <f t="shared" si="5"/>
        <v>0</v>
      </c>
      <c r="S23" s="528">
        <f t="shared" si="5"/>
        <v>0</v>
      </c>
      <c r="T23" s="528">
        <f t="shared" si="5"/>
        <v>0</v>
      </c>
      <c r="U23" s="528">
        <f t="shared" si="5"/>
        <v>0</v>
      </c>
      <c r="V23" s="528">
        <f t="shared" si="5"/>
        <v>0</v>
      </c>
      <c r="W23" s="528">
        <f t="shared" si="5"/>
        <v>0</v>
      </c>
      <c r="X23" s="528">
        <f t="shared" ref="X23:AF23" si="6">IF(X20&lt;0,-X20,0)</f>
        <v>0</v>
      </c>
      <c r="Y23" s="528">
        <f t="shared" si="6"/>
        <v>0</v>
      </c>
      <c r="Z23" s="528">
        <f t="shared" si="6"/>
        <v>0</v>
      </c>
      <c r="AA23" s="528">
        <f t="shared" si="6"/>
        <v>159.69307825676859</v>
      </c>
      <c r="AB23" s="528">
        <f t="shared" si="6"/>
        <v>159.69307825676859</v>
      </c>
      <c r="AC23" s="528">
        <f t="shared" si="6"/>
        <v>159.69307825676859</v>
      </c>
      <c r="AD23" s="528">
        <f t="shared" si="6"/>
        <v>159.69307825676859</v>
      </c>
      <c r="AE23" s="528">
        <f t="shared" si="6"/>
        <v>159.69307825676859</v>
      </c>
      <c r="AF23" s="528">
        <f t="shared" si="6"/>
        <v>159.69307825676856</v>
      </c>
    </row>
    <row r="24" spans="1:32">
      <c r="A24" s="21" t="s">
        <v>140</v>
      </c>
      <c r="B24" s="529">
        <v>0</v>
      </c>
      <c r="C24" s="529">
        <v>0</v>
      </c>
      <c r="D24" s="529">
        <v>0</v>
      </c>
      <c r="E24" s="529">
        <v>0</v>
      </c>
      <c r="F24" s="529">
        <v>0</v>
      </c>
      <c r="G24" s="529">
        <v>0</v>
      </c>
      <c r="H24" s="529">
        <v>0</v>
      </c>
      <c r="I24" s="529">
        <v>0</v>
      </c>
      <c r="J24" s="529">
        <v>0</v>
      </c>
      <c r="K24" s="529">
        <v>0</v>
      </c>
      <c r="L24" s="529">
        <v>0</v>
      </c>
      <c r="M24" s="529">
        <v>0</v>
      </c>
      <c r="N24" s="529">
        <v>0</v>
      </c>
      <c r="O24" s="529">
        <v>0</v>
      </c>
      <c r="P24" s="529">
        <v>0</v>
      </c>
      <c r="Q24" s="529">
        <v>0</v>
      </c>
      <c r="R24" s="529">
        <v>0</v>
      </c>
      <c r="S24" s="529">
        <v>0</v>
      </c>
      <c r="T24" s="529">
        <v>0</v>
      </c>
      <c r="U24" s="529">
        <v>0</v>
      </c>
      <c r="V24" s="525">
        <f t="shared" ref="V24:AF24" si="7">IF(N23&gt;(SUM(O25:U25)+SUM(N24:U24))*-1,N23-(SUM(N25:U25)+SUM(N24:U24))*-1,0)</f>
        <v>0</v>
      </c>
      <c r="W24" s="525">
        <f t="shared" si="7"/>
        <v>0</v>
      </c>
      <c r="X24" s="525">
        <f t="shared" si="7"/>
        <v>0</v>
      </c>
      <c r="Y24" s="525">
        <f t="shared" si="7"/>
        <v>0</v>
      </c>
      <c r="Z24" s="525">
        <f t="shared" si="7"/>
        <v>0</v>
      </c>
      <c r="AA24" s="525">
        <f t="shared" si="7"/>
        <v>0</v>
      </c>
      <c r="AB24" s="525">
        <f t="shared" si="7"/>
        <v>0</v>
      </c>
      <c r="AC24" s="525">
        <f t="shared" si="7"/>
        <v>0</v>
      </c>
      <c r="AD24" s="525">
        <f t="shared" si="7"/>
        <v>0</v>
      </c>
      <c r="AE24" s="525">
        <f t="shared" si="7"/>
        <v>0</v>
      </c>
      <c r="AF24" s="525">
        <f t="shared" si="7"/>
        <v>0</v>
      </c>
    </row>
    <row r="25" spans="1:32">
      <c r="A25" s="15" t="s">
        <v>141</v>
      </c>
      <c r="B25" s="530">
        <f>IF(B20&lt;0,0,IF(B22&gt;B20,-B20,-B22))</f>
        <v>0</v>
      </c>
      <c r="C25" s="530">
        <f t="shared" ref="C25:V25" si="8">IF(C20&lt;0,0,IF(C22&gt;C20,-C20,-C22))</f>
        <v>0</v>
      </c>
      <c r="D25" s="530">
        <f t="shared" si="8"/>
        <v>0</v>
      </c>
      <c r="E25" s="530">
        <f t="shared" si="8"/>
        <v>0</v>
      </c>
      <c r="F25" s="530">
        <f t="shared" si="8"/>
        <v>0</v>
      </c>
      <c r="G25" s="530">
        <f t="shared" si="8"/>
        <v>0</v>
      </c>
      <c r="H25" s="530">
        <f t="shared" si="8"/>
        <v>0</v>
      </c>
      <c r="I25" s="530">
        <f t="shared" si="8"/>
        <v>0</v>
      </c>
      <c r="J25" s="530">
        <f t="shared" si="8"/>
        <v>0</v>
      </c>
      <c r="K25" s="530">
        <f t="shared" si="8"/>
        <v>0</v>
      </c>
      <c r="L25" s="530">
        <f t="shared" si="8"/>
        <v>0</v>
      </c>
      <c r="M25" s="530">
        <f t="shared" si="8"/>
        <v>0</v>
      </c>
      <c r="N25" s="530">
        <f t="shared" si="8"/>
        <v>-20.594117859898578</v>
      </c>
      <c r="O25" s="530">
        <f t="shared" si="8"/>
        <v>-46.553599472628335</v>
      </c>
      <c r="P25" s="530">
        <f t="shared" si="8"/>
        <v>-76.165535058658719</v>
      </c>
      <c r="Q25" s="530">
        <f t="shared" si="8"/>
        <v>-331.43106330714988</v>
      </c>
      <c r="R25" s="530">
        <f t="shared" si="8"/>
        <v>-589.18382743249913</v>
      </c>
      <c r="S25" s="530">
        <f t="shared" si="8"/>
        <v>-625.51245583158607</v>
      </c>
      <c r="T25" s="530">
        <f t="shared" si="8"/>
        <v>0</v>
      </c>
      <c r="U25" s="530">
        <f t="shared" si="8"/>
        <v>0</v>
      </c>
      <c r="V25" s="530">
        <f t="shared" si="8"/>
        <v>0</v>
      </c>
      <c r="W25" s="530">
        <f t="shared" ref="W25:AF25" si="9">IF(W20&lt;0,0,IF(W22&gt;W20,-W20,-W22))</f>
        <v>0</v>
      </c>
      <c r="X25" s="530">
        <f t="shared" si="9"/>
        <v>0</v>
      </c>
      <c r="Y25" s="530">
        <f t="shared" si="9"/>
        <v>0</v>
      </c>
      <c r="Z25" s="530">
        <f t="shared" si="9"/>
        <v>0</v>
      </c>
      <c r="AA25" s="530">
        <f t="shared" si="9"/>
        <v>0</v>
      </c>
      <c r="AB25" s="530">
        <f t="shared" si="9"/>
        <v>0</v>
      </c>
      <c r="AC25" s="530">
        <f t="shared" si="9"/>
        <v>0</v>
      </c>
      <c r="AD25" s="530">
        <f t="shared" si="9"/>
        <v>0</v>
      </c>
      <c r="AE25" s="530">
        <f t="shared" si="9"/>
        <v>0</v>
      </c>
      <c r="AF25" s="530">
        <f t="shared" si="9"/>
        <v>0</v>
      </c>
    </row>
    <row r="26" spans="1:32">
      <c r="A26" s="15" t="s">
        <v>142</v>
      </c>
      <c r="B26" s="530">
        <f t="shared" ref="B26:AF26" si="10">SUM(B22:B25)</f>
        <v>74.631213881210527</v>
      </c>
      <c r="C26" s="530">
        <f t="shared" si="10"/>
        <v>518.42932391526665</v>
      </c>
      <c r="D26" s="530">
        <f t="shared" si="10"/>
        <v>878.57749925784742</v>
      </c>
      <c r="E26" s="530">
        <f t="shared" si="10"/>
        <v>1161.7562918974174</v>
      </c>
      <c r="F26" s="530">
        <f t="shared" si="10"/>
        <v>1373.0537061335663</v>
      </c>
      <c r="G26" s="530">
        <f t="shared" si="10"/>
        <v>1516.7190528434364</v>
      </c>
      <c r="H26" s="530">
        <f t="shared" si="10"/>
        <v>1619.7071782789358</v>
      </c>
      <c r="I26" s="530">
        <f t="shared" si="10"/>
        <v>1706.6017290366342</v>
      </c>
      <c r="J26" s="530">
        <f t="shared" si="10"/>
        <v>1774.5378733537782</v>
      </c>
      <c r="K26" s="530">
        <f t="shared" si="10"/>
        <v>1823.5821479114245</v>
      </c>
      <c r="L26" s="530">
        <f t="shared" si="10"/>
        <v>1850.6463254320893</v>
      </c>
      <c r="M26" s="530">
        <f t="shared" si="10"/>
        <v>1855.5557128099638</v>
      </c>
      <c r="N26" s="530">
        <f t="shared" si="10"/>
        <v>1834.9615949500651</v>
      </c>
      <c r="O26" s="530">
        <f t="shared" si="10"/>
        <v>1788.4079954774368</v>
      </c>
      <c r="P26" s="530">
        <f t="shared" si="10"/>
        <v>1712.2424604187781</v>
      </c>
      <c r="Q26" s="530">
        <f t="shared" si="10"/>
        <v>1380.8113971116281</v>
      </c>
      <c r="R26" s="530">
        <f t="shared" si="10"/>
        <v>791.62756967912901</v>
      </c>
      <c r="S26" s="530">
        <f t="shared" si="10"/>
        <v>166.11511384754294</v>
      </c>
      <c r="T26" s="530">
        <f t="shared" si="10"/>
        <v>0</v>
      </c>
      <c r="U26" s="530">
        <f t="shared" si="10"/>
        <v>0</v>
      </c>
      <c r="V26" s="530">
        <f t="shared" si="10"/>
        <v>0</v>
      </c>
      <c r="W26" s="530">
        <f t="shared" si="10"/>
        <v>0</v>
      </c>
      <c r="X26" s="530">
        <f t="shared" si="10"/>
        <v>0</v>
      </c>
      <c r="Y26" s="530">
        <f t="shared" si="10"/>
        <v>0</v>
      </c>
      <c r="Z26" s="530">
        <f t="shared" si="10"/>
        <v>0</v>
      </c>
      <c r="AA26" s="530">
        <f t="shared" si="10"/>
        <v>159.69307825676859</v>
      </c>
      <c r="AB26" s="530">
        <f t="shared" si="10"/>
        <v>319.38615651353717</v>
      </c>
      <c r="AC26" s="530">
        <f t="shared" si="10"/>
        <v>479.07923477030579</v>
      </c>
      <c r="AD26" s="530">
        <f t="shared" si="10"/>
        <v>638.77231302707435</v>
      </c>
      <c r="AE26" s="530">
        <f t="shared" si="10"/>
        <v>798.46539128384291</v>
      </c>
      <c r="AF26" s="530">
        <f t="shared" si="10"/>
        <v>958.15846954061146</v>
      </c>
    </row>
    <row r="27" spans="1:32">
      <c r="A27" s="15"/>
      <c r="B27" s="408"/>
      <c r="C27" s="408"/>
      <c r="D27" s="408"/>
      <c r="E27" s="408"/>
      <c r="F27" s="408"/>
      <c r="G27" s="408"/>
      <c r="H27" s="408"/>
      <c r="I27" s="408"/>
      <c r="J27" s="408"/>
      <c r="K27" s="408"/>
      <c r="L27" s="408"/>
      <c r="M27" s="408"/>
      <c r="N27" s="408"/>
      <c r="O27" s="408"/>
      <c r="P27" s="408"/>
      <c r="Q27" s="408"/>
      <c r="R27" s="408"/>
      <c r="S27" s="408"/>
      <c r="T27" s="408"/>
      <c r="U27" s="408"/>
      <c r="V27" s="408"/>
      <c r="W27" s="408"/>
      <c r="X27" s="408"/>
      <c r="Y27" s="408"/>
      <c r="Z27" s="408"/>
      <c r="AA27" s="408"/>
      <c r="AB27" s="408"/>
      <c r="AC27" s="408"/>
      <c r="AD27" s="408"/>
      <c r="AE27" s="408"/>
      <c r="AF27" s="408"/>
    </row>
    <row r="28" spans="1:32">
      <c r="A28" s="42" t="s">
        <v>143</v>
      </c>
      <c r="B28" s="408">
        <f>IF(B20&lt;0,0,B20+B25)</f>
        <v>0</v>
      </c>
      <c r="C28" s="408">
        <f t="shared" ref="C28:V28" si="11">IF(C20&lt;0,0,C20+C25)</f>
        <v>0</v>
      </c>
      <c r="D28" s="408">
        <f t="shared" si="11"/>
        <v>0</v>
      </c>
      <c r="E28" s="408">
        <f t="shared" si="11"/>
        <v>0</v>
      </c>
      <c r="F28" s="408">
        <f t="shared" si="11"/>
        <v>0</v>
      </c>
      <c r="G28" s="408">
        <f t="shared" si="11"/>
        <v>0</v>
      </c>
      <c r="H28" s="408">
        <f t="shared" si="11"/>
        <v>0</v>
      </c>
      <c r="I28" s="408">
        <f t="shared" si="11"/>
        <v>0</v>
      </c>
      <c r="J28" s="408">
        <f t="shared" si="11"/>
        <v>0</v>
      </c>
      <c r="K28" s="408">
        <f t="shared" si="11"/>
        <v>0</v>
      </c>
      <c r="L28" s="408">
        <f t="shared" si="11"/>
        <v>0</v>
      </c>
      <c r="M28" s="408">
        <f t="shared" si="11"/>
        <v>0</v>
      </c>
      <c r="N28" s="408">
        <f t="shared" si="11"/>
        <v>0</v>
      </c>
      <c r="O28" s="408">
        <f t="shared" si="11"/>
        <v>0</v>
      </c>
      <c r="P28" s="408">
        <f t="shared" si="11"/>
        <v>0</v>
      </c>
      <c r="Q28" s="408">
        <f t="shared" si="11"/>
        <v>0</v>
      </c>
      <c r="R28" s="408">
        <f t="shared" si="11"/>
        <v>0</v>
      </c>
      <c r="S28" s="408">
        <f t="shared" si="11"/>
        <v>0</v>
      </c>
      <c r="T28" s="408">
        <f t="shared" si="11"/>
        <v>636.66354334323137</v>
      </c>
      <c r="U28" s="408">
        <f t="shared" si="11"/>
        <v>636.66354334323137</v>
      </c>
      <c r="V28" s="408">
        <f t="shared" si="11"/>
        <v>639.36354334323141</v>
      </c>
      <c r="W28" s="408">
        <f t="shared" ref="W28:AF28" si="12">IF(W20&lt;0,0,W20+W25)</f>
        <v>639.36354334323141</v>
      </c>
      <c r="X28" s="408">
        <f t="shared" si="12"/>
        <v>639.36354334323141</v>
      </c>
      <c r="Y28" s="408">
        <f t="shared" si="12"/>
        <v>639.36354334323141</v>
      </c>
      <c r="Z28" s="408">
        <f t="shared" si="12"/>
        <v>639.36354334323141</v>
      </c>
      <c r="AA28" s="408">
        <f t="shared" si="12"/>
        <v>0</v>
      </c>
      <c r="AB28" s="408">
        <f t="shared" si="12"/>
        <v>0</v>
      </c>
      <c r="AC28" s="408">
        <f t="shared" si="12"/>
        <v>0</v>
      </c>
      <c r="AD28" s="408">
        <f t="shared" si="12"/>
        <v>0</v>
      </c>
      <c r="AE28" s="408">
        <f t="shared" si="12"/>
        <v>0</v>
      </c>
      <c r="AF28" s="408">
        <f t="shared" si="12"/>
        <v>0</v>
      </c>
    </row>
    <row r="29" spans="1:32">
      <c r="A29" s="15" t="s">
        <v>225</v>
      </c>
      <c r="B29" s="531">
        <v>0</v>
      </c>
      <c r="C29" s="531">
        <v>0</v>
      </c>
      <c r="D29" s="531">
        <v>0</v>
      </c>
      <c r="E29" s="531">
        <v>0</v>
      </c>
      <c r="F29" s="531">
        <v>0</v>
      </c>
      <c r="G29" s="531">
        <v>0</v>
      </c>
      <c r="H29" s="531">
        <v>0</v>
      </c>
      <c r="I29" s="531">
        <v>0</v>
      </c>
      <c r="J29" s="531">
        <v>0</v>
      </c>
      <c r="K29" s="531">
        <v>0</v>
      </c>
      <c r="L29" s="531">
        <v>0</v>
      </c>
      <c r="M29" s="531">
        <v>0</v>
      </c>
      <c r="N29" s="531">
        <v>0</v>
      </c>
      <c r="O29" s="531">
        <v>0</v>
      </c>
      <c r="P29" s="531">
        <v>0</v>
      </c>
      <c r="Q29" s="531">
        <v>0</v>
      </c>
      <c r="R29" s="531">
        <v>0</v>
      </c>
      <c r="S29" s="531">
        <v>0</v>
      </c>
      <c r="T29" s="531">
        <v>0</v>
      </c>
      <c r="U29" s="531">
        <v>0</v>
      </c>
      <c r="V29" s="531">
        <v>0</v>
      </c>
      <c r="W29" s="531">
        <v>0</v>
      </c>
      <c r="X29" s="531">
        <v>0</v>
      </c>
      <c r="Y29" s="531">
        <v>0</v>
      </c>
      <c r="Z29" s="531">
        <v>0</v>
      </c>
      <c r="AA29" s="531">
        <v>0</v>
      </c>
      <c r="AB29" s="531">
        <v>0</v>
      </c>
      <c r="AC29" s="531">
        <v>0</v>
      </c>
      <c r="AD29" s="531">
        <v>0</v>
      </c>
      <c r="AE29" s="531">
        <v>0</v>
      </c>
      <c r="AF29" s="531">
        <v>0</v>
      </c>
    </row>
    <row r="30" spans="1:32">
      <c r="A30" s="42" t="s">
        <v>144</v>
      </c>
      <c r="B30" s="532">
        <f t="shared" ref="B30:AF30" si="13">SUM(B28:B29)</f>
        <v>0</v>
      </c>
      <c r="C30" s="533">
        <f t="shared" si="13"/>
        <v>0</v>
      </c>
      <c r="D30" s="533">
        <f t="shared" si="13"/>
        <v>0</v>
      </c>
      <c r="E30" s="533">
        <f t="shared" si="13"/>
        <v>0</v>
      </c>
      <c r="F30" s="533">
        <f t="shared" si="13"/>
        <v>0</v>
      </c>
      <c r="G30" s="533">
        <f t="shared" si="13"/>
        <v>0</v>
      </c>
      <c r="H30" s="533">
        <f t="shared" si="13"/>
        <v>0</v>
      </c>
      <c r="I30" s="533">
        <f t="shared" si="13"/>
        <v>0</v>
      </c>
      <c r="J30" s="533">
        <f t="shared" si="13"/>
        <v>0</v>
      </c>
      <c r="K30" s="533">
        <f t="shared" si="13"/>
        <v>0</v>
      </c>
      <c r="L30" s="534">
        <f t="shared" si="13"/>
        <v>0</v>
      </c>
      <c r="M30" s="532">
        <f t="shared" si="13"/>
        <v>0</v>
      </c>
      <c r="N30" s="533">
        <f t="shared" si="13"/>
        <v>0</v>
      </c>
      <c r="O30" s="533">
        <f t="shared" si="13"/>
        <v>0</v>
      </c>
      <c r="P30" s="533">
        <f t="shared" si="13"/>
        <v>0</v>
      </c>
      <c r="Q30" s="533">
        <f t="shared" si="13"/>
        <v>0</v>
      </c>
      <c r="R30" s="533">
        <f t="shared" si="13"/>
        <v>0</v>
      </c>
      <c r="S30" s="533">
        <f t="shared" si="13"/>
        <v>0</v>
      </c>
      <c r="T30" s="533">
        <f t="shared" si="13"/>
        <v>636.66354334323137</v>
      </c>
      <c r="U30" s="533">
        <f t="shared" si="13"/>
        <v>636.66354334323137</v>
      </c>
      <c r="V30" s="533">
        <f t="shared" si="13"/>
        <v>639.36354334323141</v>
      </c>
      <c r="W30" s="533">
        <f t="shared" si="13"/>
        <v>639.36354334323141</v>
      </c>
      <c r="X30" s="533">
        <f t="shared" si="13"/>
        <v>639.36354334323141</v>
      </c>
      <c r="Y30" s="533">
        <f t="shared" si="13"/>
        <v>639.36354334323141</v>
      </c>
      <c r="Z30" s="533">
        <f t="shared" si="13"/>
        <v>639.36354334323141</v>
      </c>
      <c r="AA30" s="533">
        <f t="shared" si="13"/>
        <v>0</v>
      </c>
      <c r="AB30" s="533">
        <f t="shared" si="13"/>
        <v>0</v>
      </c>
      <c r="AC30" s="533">
        <f t="shared" si="13"/>
        <v>0</v>
      </c>
      <c r="AD30" s="533">
        <f t="shared" si="13"/>
        <v>0</v>
      </c>
      <c r="AE30" s="533">
        <f t="shared" si="13"/>
        <v>0</v>
      </c>
      <c r="AF30" s="533">
        <f t="shared" si="13"/>
        <v>0</v>
      </c>
    </row>
    <row r="31" spans="1:32">
      <c r="A31" s="42"/>
      <c r="B31" s="535"/>
      <c r="C31" s="535"/>
      <c r="D31" s="535"/>
      <c r="E31" s="535"/>
      <c r="F31" s="535"/>
      <c r="G31" s="535"/>
      <c r="H31" s="535"/>
      <c r="I31" s="535"/>
      <c r="J31" s="535"/>
      <c r="K31" s="535"/>
      <c r="L31" s="535"/>
      <c r="M31" s="535"/>
      <c r="N31" s="535"/>
      <c r="O31" s="535"/>
      <c r="P31" s="535"/>
      <c r="Q31" s="535"/>
      <c r="R31" s="535"/>
      <c r="S31" s="535"/>
      <c r="T31" s="535"/>
      <c r="U31" s="535"/>
      <c r="V31" s="535"/>
      <c r="W31" s="535"/>
      <c r="X31" s="535"/>
      <c r="Y31" s="535"/>
      <c r="Z31" s="535"/>
      <c r="AA31" s="535"/>
      <c r="AB31" s="535"/>
      <c r="AC31" s="535"/>
      <c r="AD31" s="535"/>
      <c r="AE31" s="535"/>
      <c r="AF31" s="535"/>
    </row>
    <row r="32" spans="1:32">
      <c r="A32" s="21"/>
      <c r="B32" s="525"/>
      <c r="C32" s="525"/>
      <c r="D32" s="525"/>
      <c r="E32" s="525"/>
      <c r="F32" s="525"/>
      <c r="G32" s="525"/>
      <c r="H32" s="525"/>
      <c r="I32" s="525"/>
      <c r="J32" s="525"/>
      <c r="K32" s="525"/>
      <c r="L32" s="525"/>
      <c r="M32" s="525"/>
      <c r="N32" s="525"/>
      <c r="O32" s="525"/>
      <c r="P32" s="525"/>
      <c r="Q32" s="525"/>
      <c r="R32" s="525"/>
      <c r="S32" s="525"/>
      <c r="T32" s="525"/>
      <c r="U32" s="525"/>
      <c r="V32" s="525"/>
      <c r="W32" s="525"/>
      <c r="X32" s="525"/>
      <c r="Y32" s="525"/>
      <c r="Z32" s="525"/>
      <c r="AA32" s="525"/>
      <c r="AB32" s="525"/>
      <c r="AC32" s="525"/>
      <c r="AD32" s="525"/>
      <c r="AE32" s="525"/>
      <c r="AF32" s="525"/>
    </row>
    <row r="33" spans="1:32">
      <c r="A33" s="183" t="s">
        <v>145</v>
      </c>
      <c r="B33" s="408"/>
      <c r="C33" s="408"/>
      <c r="D33" s="408"/>
      <c r="E33" s="408"/>
      <c r="F33" s="408"/>
      <c r="G33" s="408"/>
      <c r="H33" s="408"/>
      <c r="I33" s="408"/>
      <c r="J33" s="408"/>
      <c r="K33" s="408"/>
      <c r="L33" s="408"/>
      <c r="M33" s="408"/>
      <c r="N33" s="408"/>
      <c r="O33" s="408"/>
      <c r="P33" s="408"/>
      <c r="Q33" s="408"/>
      <c r="R33" s="408"/>
      <c r="S33" s="408"/>
      <c r="T33" s="408"/>
      <c r="U33" s="408"/>
      <c r="V33" s="408"/>
      <c r="W33" s="408"/>
      <c r="X33" s="408"/>
      <c r="Y33" s="408"/>
      <c r="Z33" s="408"/>
      <c r="AA33" s="408"/>
      <c r="AB33" s="408"/>
      <c r="AC33" s="408"/>
      <c r="AD33" s="408"/>
      <c r="AE33" s="408"/>
      <c r="AF33" s="408"/>
    </row>
    <row r="34" spans="1:32">
      <c r="A34" s="21" t="s">
        <v>133</v>
      </c>
      <c r="B34" s="525">
        <f>B13</f>
        <v>2265.5427717604043</v>
      </c>
      <c r="C34" s="525">
        <f t="shared" ref="C34:V34" si="14">C13</f>
        <v>-1698.9249702511379</v>
      </c>
      <c r="D34" s="525">
        <f t="shared" si="14"/>
        <v>-1507.6093225340965</v>
      </c>
      <c r="E34" s="525">
        <f t="shared" si="14"/>
        <v>-1301.0204258029544</v>
      </c>
      <c r="F34" s="525">
        <f t="shared" si="14"/>
        <v>-1077.9389750074924</v>
      </c>
      <c r="G34" s="525">
        <f t="shared" si="14"/>
        <v>-837.04832465578056</v>
      </c>
      <c r="H34" s="525">
        <f t="shared" si="14"/>
        <v>-576.92671786169467</v>
      </c>
      <c r="I34" s="525">
        <f t="shared" si="14"/>
        <v>-296.03889501616231</v>
      </c>
      <c r="J34" s="525">
        <f t="shared" si="14"/>
        <v>7.2729674442261967</v>
      </c>
      <c r="K34" s="525">
        <f t="shared" si="14"/>
        <v>334.79904165137305</v>
      </c>
      <c r="L34" s="525">
        <f t="shared" si="14"/>
        <v>688.47241405221303</v>
      </c>
      <c r="M34" s="525">
        <f t="shared" si="14"/>
        <v>1070.3804946475693</v>
      </c>
      <c r="N34" s="525">
        <f t="shared" si="14"/>
        <v>1482.7773370616023</v>
      </c>
      <c r="O34" s="525">
        <f t="shared" si="14"/>
        <v>1928.0969421559503</v>
      </c>
      <c r="P34" s="525">
        <f t="shared" si="14"/>
        <v>2408.9676237076055</v>
      </c>
      <c r="Q34" s="525">
        <f t="shared" si="14"/>
        <v>2928.2275209379595</v>
      </c>
      <c r="R34" s="525">
        <f t="shared" si="14"/>
        <v>3488.9413494492828</v>
      </c>
      <c r="S34" s="525">
        <f t="shared" si="14"/>
        <v>4094.4184894340633</v>
      </c>
      <c r="T34" s="525">
        <f t="shared" si="14"/>
        <v>4280.2699479614867</v>
      </c>
      <c r="U34" s="525">
        <f t="shared" si="14"/>
        <v>4280.2699479614867</v>
      </c>
      <c r="V34" s="525">
        <f t="shared" si="14"/>
        <v>4325.2699479614867</v>
      </c>
      <c r="W34" s="525">
        <f t="shared" ref="W34:AF34" si="15">W13</f>
        <v>4325.2699479614867</v>
      </c>
      <c r="X34" s="525">
        <f t="shared" si="15"/>
        <v>4325.2699479614867</v>
      </c>
      <c r="Y34" s="525">
        <f t="shared" si="15"/>
        <v>4325.2699479614867</v>
      </c>
      <c r="Z34" s="525">
        <f t="shared" si="15"/>
        <v>4325.2699479614867</v>
      </c>
      <c r="AA34" s="525">
        <f t="shared" si="15"/>
        <v>-8992.340412038513</v>
      </c>
      <c r="AB34" s="525">
        <f t="shared" si="15"/>
        <v>-8992.340412038513</v>
      </c>
      <c r="AC34" s="525">
        <f t="shared" si="15"/>
        <v>-8992.340412038513</v>
      </c>
      <c r="AD34" s="525">
        <f t="shared" si="15"/>
        <v>-8992.340412038513</v>
      </c>
      <c r="AE34" s="525">
        <f t="shared" si="15"/>
        <v>-8992.340412038513</v>
      </c>
      <c r="AF34" s="525">
        <f t="shared" si="15"/>
        <v>-2661.551304279476</v>
      </c>
    </row>
    <row r="35" spans="1:32">
      <c r="A35" s="21" t="s">
        <v>134</v>
      </c>
      <c r="B35" s="525">
        <f>B14</f>
        <v>2851.4749630926121</v>
      </c>
      <c r="C35" s="525">
        <f t="shared" ref="C35:V35" si="16">C14</f>
        <v>6375.7891077590366</v>
      </c>
      <c r="D35" s="525">
        <f t="shared" si="16"/>
        <v>6375.7891077590366</v>
      </c>
      <c r="E35" s="525">
        <f t="shared" si="16"/>
        <v>6375.7891077590366</v>
      </c>
      <c r="F35" s="525">
        <f t="shared" si="16"/>
        <v>6375.7891077590366</v>
      </c>
      <c r="G35" s="525">
        <f t="shared" si="16"/>
        <v>6375.7891077590366</v>
      </c>
      <c r="H35" s="525">
        <f t="shared" si="16"/>
        <v>6375.7891077590366</v>
      </c>
      <c r="I35" s="525">
        <f t="shared" si="16"/>
        <v>6375.7891077590366</v>
      </c>
      <c r="J35" s="525">
        <f t="shared" si="16"/>
        <v>6375.7891077590366</v>
      </c>
      <c r="K35" s="525">
        <f t="shared" si="16"/>
        <v>6375.7891077590366</v>
      </c>
      <c r="L35" s="525">
        <f t="shared" si="16"/>
        <v>6375.7891077590366</v>
      </c>
      <c r="M35" s="525">
        <f t="shared" si="16"/>
        <v>6375.7891077590366</v>
      </c>
      <c r="N35" s="525">
        <f t="shared" si="16"/>
        <v>6375.7891077590366</v>
      </c>
      <c r="O35" s="525">
        <f t="shared" si="16"/>
        <v>6375.7891077590366</v>
      </c>
      <c r="P35" s="525">
        <f t="shared" si="16"/>
        <v>6375.7891077590366</v>
      </c>
      <c r="Q35" s="525">
        <f t="shared" si="16"/>
        <v>6375.7891077590366</v>
      </c>
      <c r="R35" s="525">
        <f t="shared" si="16"/>
        <v>6375.7891077590366</v>
      </c>
      <c r="S35" s="525">
        <f t="shared" si="16"/>
        <v>6375.7891077590366</v>
      </c>
      <c r="T35" s="525">
        <f t="shared" si="16"/>
        <v>6375.7891077590366</v>
      </c>
      <c r="U35" s="525">
        <f t="shared" si="16"/>
        <v>6375.7891077590366</v>
      </c>
      <c r="V35" s="525">
        <f t="shared" si="16"/>
        <v>6330.7891077590366</v>
      </c>
      <c r="W35" s="525">
        <f t="shared" ref="W35:AF35" si="17">W14</f>
        <v>6330.7891077590366</v>
      </c>
      <c r="X35" s="525">
        <f t="shared" si="17"/>
        <v>6330.7891077590366</v>
      </c>
      <c r="Y35" s="525">
        <f t="shared" si="17"/>
        <v>6330.7891077590366</v>
      </c>
      <c r="Z35" s="525">
        <f t="shared" si="17"/>
        <v>6330.7891077590366</v>
      </c>
      <c r="AA35" s="525">
        <f t="shared" si="17"/>
        <v>6330.7891077590366</v>
      </c>
      <c r="AB35" s="525">
        <f t="shared" si="17"/>
        <v>6330.7891077590366</v>
      </c>
      <c r="AC35" s="525">
        <f t="shared" si="17"/>
        <v>6330.7891077590366</v>
      </c>
      <c r="AD35" s="525">
        <f t="shared" si="17"/>
        <v>6330.7891077590366</v>
      </c>
      <c r="AE35" s="525">
        <f t="shared" si="17"/>
        <v>6330.7891077590366</v>
      </c>
      <c r="AF35" s="525">
        <f t="shared" si="17"/>
        <v>0</v>
      </c>
    </row>
    <row r="36" spans="1:32">
      <c r="A36" s="21" t="s">
        <v>146</v>
      </c>
      <c r="B36" s="525">
        <f>-Depreciation!D19</f>
        <v>-6360.8712995398582</v>
      </c>
      <c r="C36" s="525">
        <f>-Depreciation!E19</f>
        <v>-12073.499304742169</v>
      </c>
      <c r="D36" s="525">
        <f>-Depreciation!F19</f>
        <v>-10870.649374267952</v>
      </c>
      <c r="E36" s="525">
        <f>-Depreciation!G19</f>
        <v>-9794.4152259489165</v>
      </c>
      <c r="F36" s="525">
        <f>-Depreciation!H19</f>
        <v>-8819.4737033540241</v>
      </c>
      <c r="G36" s="525">
        <f>-Depreciation!I19</f>
        <v>-7933.1632282677592</v>
      </c>
      <c r="H36" s="525">
        <f>-Depreciation!J19</f>
        <v>-7515.3311471556626</v>
      </c>
      <c r="I36" s="525">
        <f>-Depreciation!K19</f>
        <v>-7527.9927253711812</v>
      </c>
      <c r="J36" s="525">
        <f>-Depreciation!L19</f>
        <v>-7515.3311471556626</v>
      </c>
      <c r="K36" s="525">
        <f>-Depreciation!M19</f>
        <v>-7527.9927253711812</v>
      </c>
      <c r="L36" s="525">
        <f>-Depreciation!N19</f>
        <v>-7515.3311471556626</v>
      </c>
      <c r="M36" s="525">
        <f>-Depreciation!O19</f>
        <v>-7527.9927253711812</v>
      </c>
      <c r="N36" s="525">
        <f>-Depreciation!P19</f>
        <v>-7515.3311471556626</v>
      </c>
      <c r="O36" s="525">
        <f>-Depreciation!Q19</f>
        <v>-7527.9927253711812</v>
      </c>
      <c r="P36" s="525">
        <f>-Depreciation!R19</f>
        <v>-7515.3311471556626</v>
      </c>
      <c r="Q36" s="525">
        <f>-Depreciation!S19</f>
        <v>-3780.1655735778313</v>
      </c>
      <c r="R36" s="525">
        <f>-Depreciation!T19</f>
        <v>-45</v>
      </c>
      <c r="S36" s="525">
        <f>-Depreciation!U19</f>
        <v>-45</v>
      </c>
      <c r="T36" s="525">
        <f>-Depreciation!V19</f>
        <v>-45</v>
      </c>
      <c r="U36" s="525">
        <f>-Depreciation!W19</f>
        <v>-45</v>
      </c>
      <c r="V36" s="525">
        <f>-Depreciation!X19</f>
        <v>0</v>
      </c>
      <c r="W36" s="525">
        <f>-Depreciation!Y19</f>
        <v>0</v>
      </c>
      <c r="X36" s="525">
        <f>-Depreciation!Z19</f>
        <v>0</v>
      </c>
      <c r="Y36" s="525">
        <f>-Depreciation!AA19</f>
        <v>0</v>
      </c>
      <c r="Z36" s="525">
        <f>-Depreciation!AB19</f>
        <v>0</v>
      </c>
      <c r="AA36" s="525">
        <f>-Depreciation!AC19</f>
        <v>0</v>
      </c>
      <c r="AB36" s="525">
        <f>-Depreciation!AD19</f>
        <v>0</v>
      </c>
      <c r="AC36" s="525">
        <f>-Depreciation!AE19</f>
        <v>0</v>
      </c>
      <c r="AD36" s="525">
        <f>-Depreciation!AF19</f>
        <v>0</v>
      </c>
      <c r="AE36" s="525">
        <f>-Depreciation!AG19</f>
        <v>0</v>
      </c>
      <c r="AF36" s="525">
        <f>-Depreciation!AH19</f>
        <v>0</v>
      </c>
    </row>
    <row r="37" spans="1:32" ht="15">
      <c r="A37" s="21" t="s">
        <v>147</v>
      </c>
      <c r="B37" s="536">
        <f>-B30</f>
        <v>0</v>
      </c>
      <c r="C37" s="536">
        <f t="shared" ref="C37:V37" si="18">-C30</f>
        <v>0</v>
      </c>
      <c r="D37" s="536">
        <f t="shared" si="18"/>
        <v>0</v>
      </c>
      <c r="E37" s="536">
        <f t="shared" si="18"/>
        <v>0</v>
      </c>
      <c r="F37" s="536">
        <f t="shared" si="18"/>
        <v>0</v>
      </c>
      <c r="G37" s="536">
        <f t="shared" si="18"/>
        <v>0</v>
      </c>
      <c r="H37" s="536">
        <f t="shared" si="18"/>
        <v>0</v>
      </c>
      <c r="I37" s="536">
        <f t="shared" si="18"/>
        <v>0</v>
      </c>
      <c r="J37" s="536">
        <f t="shared" si="18"/>
        <v>0</v>
      </c>
      <c r="K37" s="536">
        <f t="shared" si="18"/>
        <v>0</v>
      </c>
      <c r="L37" s="536">
        <f t="shared" si="18"/>
        <v>0</v>
      </c>
      <c r="M37" s="536">
        <f t="shared" si="18"/>
        <v>0</v>
      </c>
      <c r="N37" s="536">
        <f t="shared" si="18"/>
        <v>0</v>
      </c>
      <c r="O37" s="536">
        <f t="shared" si="18"/>
        <v>0</v>
      </c>
      <c r="P37" s="536">
        <f t="shared" si="18"/>
        <v>0</v>
      </c>
      <c r="Q37" s="536">
        <f t="shared" si="18"/>
        <v>0</v>
      </c>
      <c r="R37" s="536">
        <f t="shared" si="18"/>
        <v>0</v>
      </c>
      <c r="S37" s="536">
        <f t="shared" si="18"/>
        <v>0</v>
      </c>
      <c r="T37" s="536">
        <f t="shared" si="18"/>
        <v>-636.66354334323137</v>
      </c>
      <c r="U37" s="536">
        <f t="shared" si="18"/>
        <v>-636.66354334323137</v>
      </c>
      <c r="V37" s="536">
        <f t="shared" si="18"/>
        <v>-639.36354334323141</v>
      </c>
      <c r="W37" s="536">
        <f t="shared" ref="W37:AF37" si="19">-W30</f>
        <v>-639.36354334323141</v>
      </c>
      <c r="X37" s="536">
        <f t="shared" si="19"/>
        <v>-639.36354334323141</v>
      </c>
      <c r="Y37" s="536">
        <f t="shared" si="19"/>
        <v>-639.36354334323141</v>
      </c>
      <c r="Z37" s="536">
        <f t="shared" si="19"/>
        <v>-639.36354334323141</v>
      </c>
      <c r="AA37" s="536">
        <f t="shared" si="19"/>
        <v>0</v>
      </c>
      <c r="AB37" s="536">
        <f t="shared" si="19"/>
        <v>0</v>
      </c>
      <c r="AC37" s="536">
        <f t="shared" si="19"/>
        <v>0</v>
      </c>
      <c r="AD37" s="536">
        <f t="shared" si="19"/>
        <v>0</v>
      </c>
      <c r="AE37" s="536">
        <f t="shared" si="19"/>
        <v>0</v>
      </c>
      <c r="AF37" s="536">
        <f t="shared" si="19"/>
        <v>0</v>
      </c>
    </row>
    <row r="38" spans="1:32">
      <c r="A38" s="184" t="s">
        <v>148</v>
      </c>
      <c r="B38" s="537">
        <f>SUM(B34:B37)</f>
        <v>-1243.8535646868422</v>
      </c>
      <c r="C38" s="537">
        <f t="shared" ref="C38:AF38" si="20">SUM(C34:C37)</f>
        <v>-7396.6351672342698</v>
      </c>
      <c r="D38" s="537">
        <f t="shared" si="20"/>
        <v>-6002.4695890430121</v>
      </c>
      <c r="E38" s="537">
        <f t="shared" si="20"/>
        <v>-4719.6465439928343</v>
      </c>
      <c r="F38" s="537">
        <f t="shared" si="20"/>
        <v>-3521.62357060248</v>
      </c>
      <c r="G38" s="537">
        <f t="shared" si="20"/>
        <v>-2394.4224451645032</v>
      </c>
      <c r="H38" s="537">
        <f t="shared" si="20"/>
        <v>-1716.4687572583207</v>
      </c>
      <c r="I38" s="537">
        <f t="shared" si="20"/>
        <v>-1448.2425126283069</v>
      </c>
      <c r="J38" s="537">
        <f t="shared" si="20"/>
        <v>-1132.2690719523998</v>
      </c>
      <c r="K38" s="537">
        <f t="shared" si="20"/>
        <v>-817.40457596077158</v>
      </c>
      <c r="L38" s="537">
        <f t="shared" si="20"/>
        <v>-451.069625344413</v>
      </c>
      <c r="M38" s="537">
        <f t="shared" si="20"/>
        <v>-81.823122964575305</v>
      </c>
      <c r="N38" s="537">
        <f t="shared" si="20"/>
        <v>343.23529766497631</v>
      </c>
      <c r="O38" s="537">
        <f t="shared" si="20"/>
        <v>775.89332454380565</v>
      </c>
      <c r="P38" s="537">
        <f t="shared" si="20"/>
        <v>1269.4255843109786</v>
      </c>
      <c r="Q38" s="537">
        <f t="shared" si="20"/>
        <v>5523.8510551191648</v>
      </c>
      <c r="R38" s="537">
        <f t="shared" si="20"/>
        <v>9819.7304572083194</v>
      </c>
      <c r="S38" s="537">
        <f t="shared" si="20"/>
        <v>10425.207597193101</v>
      </c>
      <c r="T38" s="537">
        <f t="shared" si="20"/>
        <v>9974.3955123772921</v>
      </c>
      <c r="U38" s="537">
        <f t="shared" si="20"/>
        <v>9974.3955123772921</v>
      </c>
      <c r="V38" s="537">
        <f t="shared" si="20"/>
        <v>10016.695512377291</v>
      </c>
      <c r="W38" s="537">
        <f t="shared" si="20"/>
        <v>10016.695512377291</v>
      </c>
      <c r="X38" s="537">
        <f t="shared" si="20"/>
        <v>10016.695512377291</v>
      </c>
      <c r="Y38" s="537">
        <f t="shared" si="20"/>
        <v>10016.695512377291</v>
      </c>
      <c r="Z38" s="537">
        <f t="shared" si="20"/>
        <v>10016.695512377291</v>
      </c>
      <c r="AA38" s="537">
        <f t="shared" si="20"/>
        <v>-2661.5513042794764</v>
      </c>
      <c r="AB38" s="537">
        <f t="shared" si="20"/>
        <v>-2661.5513042794764</v>
      </c>
      <c r="AC38" s="537">
        <f t="shared" si="20"/>
        <v>-2661.5513042794764</v>
      </c>
      <c r="AD38" s="537">
        <f t="shared" si="20"/>
        <v>-2661.5513042794764</v>
      </c>
      <c r="AE38" s="537">
        <f t="shared" si="20"/>
        <v>-2661.5513042794764</v>
      </c>
      <c r="AF38" s="537">
        <f t="shared" si="20"/>
        <v>-2661.551304279476</v>
      </c>
    </row>
    <row r="39" spans="1:32">
      <c r="A39" s="184"/>
      <c r="B39" s="537"/>
      <c r="C39" s="537"/>
      <c r="D39" s="537"/>
      <c r="E39" s="537"/>
      <c r="F39" s="537"/>
      <c r="G39" s="537"/>
      <c r="H39" s="537"/>
      <c r="I39" s="537"/>
      <c r="J39" s="537"/>
      <c r="K39" s="537"/>
      <c r="L39" s="537"/>
      <c r="M39" s="537"/>
      <c r="N39" s="537"/>
      <c r="O39" s="537"/>
      <c r="P39" s="537"/>
      <c r="Q39" s="537"/>
      <c r="R39" s="537"/>
      <c r="S39" s="537"/>
      <c r="T39" s="537"/>
      <c r="U39" s="537"/>
      <c r="V39" s="537"/>
      <c r="W39" s="537"/>
      <c r="X39" s="537"/>
      <c r="Y39" s="537"/>
      <c r="Z39" s="537"/>
      <c r="AA39" s="537"/>
      <c r="AB39" s="537"/>
      <c r="AC39" s="537"/>
      <c r="AD39" s="537"/>
      <c r="AE39" s="537"/>
      <c r="AF39" s="537"/>
    </row>
    <row r="40" spans="1:32">
      <c r="A40" s="21" t="s">
        <v>149</v>
      </c>
      <c r="B40" s="538">
        <f>Assumptions!$Q$55</f>
        <v>0.35</v>
      </c>
      <c r="C40" s="538">
        <f>Assumptions!$Q$55</f>
        <v>0.35</v>
      </c>
      <c r="D40" s="538">
        <f>Assumptions!$Q$55</f>
        <v>0.35</v>
      </c>
      <c r="E40" s="538">
        <f>Assumptions!$Q$55</f>
        <v>0.35</v>
      </c>
      <c r="F40" s="538">
        <f>Assumptions!$Q$55</f>
        <v>0.35</v>
      </c>
      <c r="G40" s="538">
        <f>Assumptions!$Q$55</f>
        <v>0.35</v>
      </c>
      <c r="H40" s="538">
        <f>Assumptions!$Q$55</f>
        <v>0.35</v>
      </c>
      <c r="I40" s="538">
        <f>Assumptions!$Q$55</f>
        <v>0.35</v>
      </c>
      <c r="J40" s="538">
        <f>Assumptions!$Q$55</f>
        <v>0.35</v>
      </c>
      <c r="K40" s="538">
        <f>Assumptions!$Q$55</f>
        <v>0.35</v>
      </c>
      <c r="L40" s="538">
        <f>Assumptions!$Q$55</f>
        <v>0.35</v>
      </c>
      <c r="M40" s="538">
        <f>Assumptions!$Q$55</f>
        <v>0.35</v>
      </c>
      <c r="N40" s="538">
        <f>Assumptions!$Q$55</f>
        <v>0.35</v>
      </c>
      <c r="O40" s="538">
        <f>Assumptions!$Q$55</f>
        <v>0.35</v>
      </c>
      <c r="P40" s="538">
        <f>Assumptions!$Q$55</f>
        <v>0.35</v>
      </c>
      <c r="Q40" s="538">
        <f>Assumptions!$Q$55</f>
        <v>0.35</v>
      </c>
      <c r="R40" s="538">
        <f>Assumptions!$Q$55</f>
        <v>0.35</v>
      </c>
      <c r="S40" s="538">
        <f>Assumptions!$Q$55</f>
        <v>0.35</v>
      </c>
      <c r="T40" s="538">
        <f>Assumptions!$Q$55</f>
        <v>0.35</v>
      </c>
      <c r="U40" s="538">
        <f>Assumptions!$Q$55</f>
        <v>0.35</v>
      </c>
      <c r="V40" s="538">
        <f>Assumptions!$Q$55</f>
        <v>0.35</v>
      </c>
      <c r="W40" s="538">
        <f>Assumptions!$Q$55</f>
        <v>0.35</v>
      </c>
      <c r="X40" s="538">
        <f>Assumptions!$Q$55</f>
        <v>0.35</v>
      </c>
      <c r="Y40" s="538">
        <f>Assumptions!$Q$55</f>
        <v>0.35</v>
      </c>
      <c r="Z40" s="538">
        <f>Assumptions!$Q$55</f>
        <v>0.35</v>
      </c>
      <c r="AA40" s="538">
        <f>Assumptions!$Q$55</f>
        <v>0.35</v>
      </c>
      <c r="AB40" s="538">
        <f>Assumptions!$Q$55</f>
        <v>0.35</v>
      </c>
      <c r="AC40" s="538">
        <f>Assumptions!$Q$55</f>
        <v>0.35</v>
      </c>
      <c r="AD40" s="538">
        <f>Assumptions!$Q$55</f>
        <v>0.35</v>
      </c>
      <c r="AE40" s="538">
        <f>Assumptions!$Q$55</f>
        <v>0.35</v>
      </c>
      <c r="AF40" s="538">
        <f>Assumptions!$Q$55</f>
        <v>0.35</v>
      </c>
    </row>
    <row r="41" spans="1:32">
      <c r="A41" s="21" t="s">
        <v>150</v>
      </c>
      <c r="B41" s="539">
        <f>B38*B40</f>
        <v>-435.34874764039478</v>
      </c>
      <c r="C41" s="540">
        <f t="shared" ref="C41:AF41" si="21">C38*C40</f>
        <v>-2588.8223085319942</v>
      </c>
      <c r="D41" s="540">
        <f t="shared" si="21"/>
        <v>-2100.8643561650542</v>
      </c>
      <c r="E41" s="540">
        <f t="shared" si="21"/>
        <v>-1651.8762903974919</v>
      </c>
      <c r="F41" s="540">
        <f t="shared" si="21"/>
        <v>-1232.5682497108678</v>
      </c>
      <c r="G41" s="540">
        <f t="shared" si="21"/>
        <v>-838.04785580757607</v>
      </c>
      <c r="H41" s="540">
        <f t="shared" si="21"/>
        <v>-600.76406504041222</v>
      </c>
      <c r="I41" s="540">
        <f t="shared" si="21"/>
        <v>-506.88487941990741</v>
      </c>
      <c r="J41" s="540">
        <f t="shared" si="21"/>
        <v>-396.29417518333992</v>
      </c>
      <c r="K41" s="540">
        <f t="shared" si="21"/>
        <v>-286.09160158627003</v>
      </c>
      <c r="L41" s="541">
        <f t="shared" si="21"/>
        <v>-157.87436887054454</v>
      </c>
      <c r="M41" s="539">
        <f t="shared" si="21"/>
        <v>-28.638093037601354</v>
      </c>
      <c r="N41" s="540">
        <f t="shared" si="21"/>
        <v>120.13235418274171</v>
      </c>
      <c r="O41" s="540">
        <f t="shared" si="21"/>
        <v>271.56266359033197</v>
      </c>
      <c r="P41" s="540">
        <f t="shared" si="21"/>
        <v>444.29895450884248</v>
      </c>
      <c r="Q41" s="540">
        <f t="shared" si="21"/>
        <v>1933.3478692917076</v>
      </c>
      <c r="R41" s="540">
        <f t="shared" si="21"/>
        <v>3436.9056600229114</v>
      </c>
      <c r="S41" s="540">
        <f t="shared" si="21"/>
        <v>3648.822659017585</v>
      </c>
      <c r="T41" s="540">
        <f t="shared" si="21"/>
        <v>3491.0384293320521</v>
      </c>
      <c r="U41" s="540">
        <f t="shared" si="21"/>
        <v>3491.0384293320521</v>
      </c>
      <c r="V41" s="540">
        <f t="shared" si="21"/>
        <v>3505.843429332052</v>
      </c>
      <c r="W41" s="540">
        <f t="shared" si="21"/>
        <v>3505.843429332052</v>
      </c>
      <c r="X41" s="540">
        <f t="shared" si="21"/>
        <v>3505.843429332052</v>
      </c>
      <c r="Y41" s="540">
        <f t="shared" si="21"/>
        <v>3505.843429332052</v>
      </c>
      <c r="Z41" s="540">
        <f t="shared" si="21"/>
        <v>3505.843429332052</v>
      </c>
      <c r="AA41" s="540">
        <f t="shared" si="21"/>
        <v>-931.5429564978167</v>
      </c>
      <c r="AB41" s="540">
        <f t="shared" si="21"/>
        <v>-931.5429564978167</v>
      </c>
      <c r="AC41" s="540">
        <f t="shared" si="21"/>
        <v>-931.5429564978167</v>
      </c>
      <c r="AD41" s="540">
        <f t="shared" si="21"/>
        <v>-931.5429564978167</v>
      </c>
      <c r="AE41" s="540">
        <f t="shared" si="21"/>
        <v>-931.5429564978167</v>
      </c>
      <c r="AF41" s="540">
        <f t="shared" si="21"/>
        <v>-931.54295649781648</v>
      </c>
    </row>
    <row r="42" spans="1:32">
      <c r="A42" s="15"/>
      <c r="B42" s="408"/>
      <c r="C42" s="408"/>
      <c r="D42" s="408"/>
      <c r="E42" s="408"/>
      <c r="F42" s="408"/>
      <c r="G42" s="408"/>
      <c r="H42" s="408"/>
      <c r="I42" s="408"/>
      <c r="J42" s="408"/>
      <c r="K42" s="408"/>
      <c r="L42" s="408"/>
      <c r="M42" s="408"/>
      <c r="N42" s="408"/>
      <c r="O42" s="408"/>
      <c r="P42" s="408"/>
      <c r="Q42" s="408"/>
      <c r="R42" s="408"/>
      <c r="S42" s="408"/>
      <c r="T42" s="408"/>
      <c r="U42" s="408"/>
      <c r="V42" s="408"/>
      <c r="W42" s="408"/>
      <c r="X42" s="408"/>
      <c r="Y42" s="408"/>
      <c r="Z42" s="408"/>
      <c r="AA42" s="408"/>
      <c r="AB42" s="408"/>
      <c r="AC42" s="408"/>
      <c r="AD42" s="408"/>
      <c r="AE42" s="408"/>
      <c r="AF42" s="408"/>
    </row>
    <row r="43" spans="1:32">
      <c r="A43" s="15" t="s">
        <v>151</v>
      </c>
      <c r="B43" s="528">
        <f>IF(B41&lt;0,-B41+B44,0)</f>
        <v>435.34874764039478</v>
      </c>
      <c r="C43" s="528">
        <f>IF(C41&lt;0,-C41+B43-B44,B43-B44)</f>
        <v>3024.1710561723889</v>
      </c>
      <c r="D43" s="528">
        <f>IF(D41&lt;0,-D41+C43-C44,C43-C44)</f>
        <v>5125.0354123374436</v>
      </c>
      <c r="E43" s="528">
        <f>IF(E41&lt;0,-E41+D43-D44,D43-D44)</f>
        <v>6776.9117027349357</v>
      </c>
      <c r="F43" s="528">
        <f t="shared" ref="F43:AF43" si="22">IF(F41&lt;0,-F41+E43-E44,E43-E44)</f>
        <v>8009.4799524458031</v>
      </c>
      <c r="G43" s="528">
        <f t="shared" si="22"/>
        <v>8847.5278082533787</v>
      </c>
      <c r="H43" s="528">
        <f t="shared" si="22"/>
        <v>9448.2918732937906</v>
      </c>
      <c r="I43" s="528">
        <f t="shared" si="22"/>
        <v>9955.1767527136981</v>
      </c>
      <c r="J43" s="528">
        <f t="shared" si="22"/>
        <v>10351.470927897039</v>
      </c>
      <c r="K43" s="528">
        <f t="shared" si="22"/>
        <v>10637.562529483308</v>
      </c>
      <c r="L43" s="528">
        <f t="shared" si="22"/>
        <v>10795.436898353853</v>
      </c>
      <c r="M43" s="528">
        <f t="shared" si="22"/>
        <v>10824.074991391455</v>
      </c>
      <c r="N43" s="528">
        <f t="shared" si="22"/>
        <v>10824.074991391455</v>
      </c>
      <c r="O43" s="528">
        <f t="shared" si="22"/>
        <v>10703.942637208713</v>
      </c>
      <c r="P43" s="528">
        <f t="shared" si="22"/>
        <v>10432.379973618381</v>
      </c>
      <c r="Q43" s="528">
        <f t="shared" si="22"/>
        <v>9988.0810191095388</v>
      </c>
      <c r="R43" s="528">
        <f t="shared" si="22"/>
        <v>8054.733149817831</v>
      </c>
      <c r="S43" s="528">
        <f t="shared" si="22"/>
        <v>4617.8274897949195</v>
      </c>
      <c r="T43" s="528">
        <f t="shared" si="22"/>
        <v>969.00483077733452</v>
      </c>
      <c r="U43" s="528">
        <f t="shared" si="22"/>
        <v>0</v>
      </c>
      <c r="V43" s="528">
        <f t="shared" si="22"/>
        <v>0</v>
      </c>
      <c r="W43" s="528">
        <f t="shared" si="22"/>
        <v>0</v>
      </c>
      <c r="X43" s="528">
        <f t="shared" si="22"/>
        <v>0</v>
      </c>
      <c r="Y43" s="528">
        <f t="shared" si="22"/>
        <v>0</v>
      </c>
      <c r="Z43" s="528">
        <f t="shared" si="22"/>
        <v>0</v>
      </c>
      <c r="AA43" s="528">
        <f t="shared" si="22"/>
        <v>931.5429564978167</v>
      </c>
      <c r="AB43" s="528">
        <f t="shared" si="22"/>
        <v>1863.0859129956334</v>
      </c>
      <c r="AC43" s="528">
        <f t="shared" si="22"/>
        <v>2794.6288694934501</v>
      </c>
      <c r="AD43" s="528">
        <f t="shared" si="22"/>
        <v>3726.1718259912668</v>
      </c>
      <c r="AE43" s="528">
        <f t="shared" si="22"/>
        <v>4657.7147824890835</v>
      </c>
      <c r="AF43" s="528">
        <f t="shared" si="22"/>
        <v>5589.2577389869002</v>
      </c>
    </row>
    <row r="44" spans="1:32">
      <c r="A44" s="15" t="s">
        <v>141</v>
      </c>
      <c r="B44" s="525">
        <v>0</v>
      </c>
      <c r="C44" s="525">
        <f>IF(C41&lt;0,0,IF(C43&gt;C41,C41,C43))</f>
        <v>0</v>
      </c>
      <c r="D44" s="525">
        <f t="shared" ref="D44:AF44" si="23">IF(D41&lt;0,0,IF(D43&gt;D41,D41,D43))</f>
        <v>0</v>
      </c>
      <c r="E44" s="525">
        <f t="shared" si="23"/>
        <v>0</v>
      </c>
      <c r="F44" s="525">
        <f t="shared" si="23"/>
        <v>0</v>
      </c>
      <c r="G44" s="525">
        <f t="shared" si="23"/>
        <v>0</v>
      </c>
      <c r="H44" s="525">
        <f t="shared" si="23"/>
        <v>0</v>
      </c>
      <c r="I44" s="525">
        <f t="shared" si="23"/>
        <v>0</v>
      </c>
      <c r="J44" s="528">
        <f t="shared" si="23"/>
        <v>0</v>
      </c>
      <c r="K44" s="528">
        <f t="shared" si="23"/>
        <v>0</v>
      </c>
      <c r="L44" s="528">
        <f t="shared" si="23"/>
        <v>0</v>
      </c>
      <c r="M44" s="528">
        <f t="shared" si="23"/>
        <v>0</v>
      </c>
      <c r="N44" s="528">
        <f t="shared" si="23"/>
        <v>120.13235418274171</v>
      </c>
      <c r="O44" s="528">
        <f t="shared" si="23"/>
        <v>271.56266359033197</v>
      </c>
      <c r="P44" s="528">
        <f t="shared" si="23"/>
        <v>444.29895450884248</v>
      </c>
      <c r="Q44" s="528">
        <f t="shared" si="23"/>
        <v>1933.3478692917076</v>
      </c>
      <c r="R44" s="528">
        <f t="shared" si="23"/>
        <v>3436.9056600229114</v>
      </c>
      <c r="S44" s="528">
        <f t="shared" si="23"/>
        <v>3648.822659017585</v>
      </c>
      <c r="T44" s="528">
        <f t="shared" si="23"/>
        <v>969.00483077733452</v>
      </c>
      <c r="U44" s="528">
        <f t="shared" si="23"/>
        <v>0</v>
      </c>
      <c r="V44" s="528">
        <f t="shared" si="23"/>
        <v>0</v>
      </c>
      <c r="W44" s="528">
        <f t="shared" si="23"/>
        <v>0</v>
      </c>
      <c r="X44" s="528">
        <f t="shared" si="23"/>
        <v>0</v>
      </c>
      <c r="Y44" s="528">
        <f t="shared" si="23"/>
        <v>0</v>
      </c>
      <c r="Z44" s="528">
        <f t="shared" si="23"/>
        <v>0</v>
      </c>
      <c r="AA44" s="528">
        <f t="shared" si="23"/>
        <v>0</v>
      </c>
      <c r="AB44" s="528">
        <f t="shared" si="23"/>
        <v>0</v>
      </c>
      <c r="AC44" s="528">
        <f t="shared" si="23"/>
        <v>0</v>
      </c>
      <c r="AD44" s="528">
        <f t="shared" si="23"/>
        <v>0</v>
      </c>
      <c r="AE44" s="528">
        <f t="shared" si="23"/>
        <v>0</v>
      </c>
      <c r="AF44" s="528">
        <f t="shared" si="23"/>
        <v>0</v>
      </c>
    </row>
    <row r="45" spans="1:32">
      <c r="A45" s="15"/>
      <c r="B45" s="525"/>
      <c r="C45" s="525"/>
      <c r="D45" s="525"/>
      <c r="E45" s="525"/>
      <c r="F45" s="525"/>
      <c r="G45" s="525"/>
      <c r="H45" s="525"/>
      <c r="I45" s="525"/>
      <c r="J45" s="525"/>
      <c r="K45" s="525"/>
      <c r="L45" s="525"/>
      <c r="M45" s="525"/>
      <c r="N45" s="525"/>
      <c r="O45" s="525"/>
      <c r="P45" s="525"/>
      <c r="Q45" s="525"/>
      <c r="R45" s="525"/>
      <c r="S45" s="525"/>
      <c r="T45" s="525"/>
      <c r="U45" s="525"/>
      <c r="V45" s="525"/>
      <c r="W45" s="525"/>
      <c r="X45" s="525"/>
      <c r="Y45" s="525"/>
      <c r="Z45" s="525"/>
      <c r="AA45" s="525"/>
      <c r="AB45" s="525"/>
      <c r="AC45" s="525"/>
      <c r="AD45" s="525"/>
      <c r="AE45" s="525"/>
      <c r="AF45" s="525"/>
    </row>
    <row r="46" spans="1:32">
      <c r="A46" s="42" t="s">
        <v>152</v>
      </c>
      <c r="B46" s="542">
        <f t="shared" ref="B46:V46" si="24">IF(B41&lt;0,0,(B41-B44))</f>
        <v>0</v>
      </c>
      <c r="C46" s="542">
        <f t="shared" si="24"/>
        <v>0</v>
      </c>
      <c r="D46" s="542">
        <f t="shared" si="24"/>
        <v>0</v>
      </c>
      <c r="E46" s="542">
        <f t="shared" si="24"/>
        <v>0</v>
      </c>
      <c r="F46" s="542">
        <f t="shared" si="24"/>
        <v>0</v>
      </c>
      <c r="G46" s="542">
        <f t="shared" si="24"/>
        <v>0</v>
      </c>
      <c r="H46" s="542">
        <f t="shared" si="24"/>
        <v>0</v>
      </c>
      <c r="I46" s="542">
        <f t="shared" si="24"/>
        <v>0</v>
      </c>
      <c r="J46" s="542">
        <f t="shared" si="24"/>
        <v>0</v>
      </c>
      <c r="K46" s="542">
        <f t="shared" si="24"/>
        <v>0</v>
      </c>
      <c r="L46" s="542">
        <f t="shared" si="24"/>
        <v>0</v>
      </c>
      <c r="M46" s="542">
        <f t="shared" si="24"/>
        <v>0</v>
      </c>
      <c r="N46" s="542">
        <f t="shared" si="24"/>
        <v>0</v>
      </c>
      <c r="O46" s="542">
        <f t="shared" si="24"/>
        <v>0</v>
      </c>
      <c r="P46" s="542">
        <f t="shared" si="24"/>
        <v>0</v>
      </c>
      <c r="Q46" s="542">
        <f t="shared" si="24"/>
        <v>0</v>
      </c>
      <c r="R46" s="542">
        <f t="shared" si="24"/>
        <v>0</v>
      </c>
      <c r="S46" s="542">
        <f t="shared" si="24"/>
        <v>0</v>
      </c>
      <c r="T46" s="542">
        <f t="shared" si="24"/>
        <v>2522.0335985547176</v>
      </c>
      <c r="U46" s="542">
        <f t="shared" si="24"/>
        <v>3491.0384293320521</v>
      </c>
      <c r="V46" s="542">
        <f t="shared" si="24"/>
        <v>3505.843429332052</v>
      </c>
      <c r="W46" s="542">
        <f t="shared" ref="W46:AF46" si="25">IF(W41&lt;0,0,(W41-W44))</f>
        <v>3505.843429332052</v>
      </c>
      <c r="X46" s="542">
        <f t="shared" si="25"/>
        <v>3505.843429332052</v>
      </c>
      <c r="Y46" s="542">
        <f t="shared" si="25"/>
        <v>3505.843429332052</v>
      </c>
      <c r="Z46" s="542">
        <f t="shared" si="25"/>
        <v>3505.843429332052</v>
      </c>
      <c r="AA46" s="542">
        <f t="shared" si="25"/>
        <v>0</v>
      </c>
      <c r="AB46" s="542">
        <f t="shared" si="25"/>
        <v>0</v>
      </c>
      <c r="AC46" s="542">
        <f t="shared" si="25"/>
        <v>0</v>
      </c>
      <c r="AD46" s="542">
        <f t="shared" si="25"/>
        <v>0</v>
      </c>
      <c r="AE46" s="542">
        <f t="shared" si="25"/>
        <v>0</v>
      </c>
      <c r="AF46" s="542">
        <f t="shared" si="25"/>
        <v>0</v>
      </c>
    </row>
    <row r="47" spans="1:32">
      <c r="A47" s="42"/>
      <c r="B47" s="542"/>
      <c r="C47" s="542"/>
      <c r="D47" s="542"/>
      <c r="E47" s="542"/>
      <c r="F47" s="542"/>
      <c r="G47" s="542"/>
      <c r="H47" s="542"/>
      <c r="I47" s="542"/>
      <c r="J47" s="542"/>
      <c r="K47" s="542"/>
      <c r="L47" s="542"/>
      <c r="M47" s="542"/>
      <c r="N47" s="542"/>
      <c r="O47" s="542"/>
      <c r="P47" s="542"/>
      <c r="Q47" s="542"/>
      <c r="R47" s="542"/>
      <c r="S47" s="542"/>
      <c r="T47" s="542"/>
      <c r="U47" s="542"/>
      <c r="V47" s="542"/>
      <c r="W47" s="542"/>
      <c r="X47" s="542"/>
      <c r="Y47" s="542"/>
      <c r="Z47" s="542"/>
      <c r="AA47" s="542"/>
      <c r="AB47" s="542"/>
      <c r="AC47" s="542"/>
      <c r="AD47" s="542"/>
      <c r="AE47" s="542"/>
      <c r="AF47" s="542"/>
    </row>
    <row r="48" spans="1:32">
      <c r="A48"/>
      <c r="B48" s="381"/>
      <c r="C48" s="543"/>
      <c r="D48" s="543"/>
      <c r="E48" s="543"/>
      <c r="F48" s="543"/>
      <c r="G48" s="543"/>
      <c r="H48" s="543"/>
      <c r="I48" s="543"/>
      <c r="J48" s="543"/>
      <c r="K48" s="543"/>
      <c r="L48" s="543"/>
      <c r="M48" s="543"/>
      <c r="N48" s="543"/>
      <c r="O48" s="543"/>
      <c r="P48" s="543"/>
      <c r="Q48" s="543"/>
      <c r="R48" s="543"/>
      <c r="S48" s="543"/>
      <c r="T48" s="543"/>
      <c r="U48" s="543"/>
      <c r="V48" s="543"/>
      <c r="W48" s="543"/>
      <c r="X48" s="543"/>
      <c r="Y48" s="543"/>
      <c r="Z48" s="543"/>
      <c r="AA48" s="543"/>
      <c r="AB48" s="543"/>
      <c r="AC48" s="543"/>
      <c r="AD48" s="543"/>
      <c r="AE48" s="543"/>
      <c r="AF48" s="543"/>
    </row>
    <row r="49" spans="1:3">
      <c r="A49"/>
      <c r="B49" s="381"/>
    </row>
    <row r="50" spans="1:3">
      <c r="A50"/>
      <c r="B50" s="381"/>
      <c r="C50" s="544"/>
    </row>
    <row r="51" spans="1:3">
      <c r="A51"/>
      <c r="B51" s="381"/>
    </row>
  </sheetData>
  <pageMargins left="0.75" right="0.75" top="1" bottom="1" header="0.5" footer="0.5"/>
  <pageSetup scale="42" orientation="landscape" r:id="rId1"/>
  <headerFooter alignWithMargins="0">
    <oddFooter xml:space="preserve">&amp;L&amp;T, &amp;D&amp;C&amp;F&amp;R&amp;P 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2.75"/>
  <sheetData>
    <row r="1" spans="1:2">
      <c r="A1" s="547" t="s">
        <v>350</v>
      </c>
    </row>
    <row r="4" spans="1:2">
      <c r="A4">
        <v>1</v>
      </c>
      <c r="B4" t="s">
        <v>348</v>
      </c>
    </row>
    <row r="5" spans="1:2">
      <c r="B5" t="s">
        <v>349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19"/>
  <sheetViews>
    <sheetView showGridLines="0" zoomScale="75" zoomScaleNormal="75" workbookViewId="0">
      <selection activeCell="B19" sqref="B19"/>
    </sheetView>
  </sheetViews>
  <sheetFormatPr defaultColWidth="9.28515625" defaultRowHeight="12.75"/>
  <cols>
    <col min="1" max="1" width="63.85546875" style="14" bestFit="1" customWidth="1"/>
    <col min="2" max="6" width="24.5703125" style="14" customWidth="1"/>
    <col min="7" max="16384" width="9.28515625" style="14"/>
  </cols>
  <sheetData>
    <row r="2" spans="1:5" ht="18.75">
      <c r="A2" s="113" t="str">
        <f>Assumptions!B3</f>
        <v>PROJECT NAME: SANTEE COOPER</v>
      </c>
    </row>
    <row r="4" spans="1:5" ht="18.75">
      <c r="A4" s="332" t="s">
        <v>274</v>
      </c>
    </row>
    <row r="6" spans="1:5" ht="13.5" thickBot="1"/>
    <row r="7" spans="1:5" ht="21" thickBot="1">
      <c r="A7" s="247"/>
      <c r="B7" s="248" t="s">
        <v>256</v>
      </c>
      <c r="C7" s="248" t="s">
        <v>256</v>
      </c>
      <c r="D7" s="154" t="s">
        <v>6</v>
      </c>
      <c r="E7" s="155"/>
    </row>
    <row r="8" spans="1:5" ht="16.5" thickBot="1">
      <c r="A8" s="128"/>
      <c r="B8" s="218" t="s">
        <v>284</v>
      </c>
      <c r="C8" s="218" t="s">
        <v>286</v>
      </c>
      <c r="D8" s="154" t="s">
        <v>271</v>
      </c>
      <c r="E8" s="155"/>
    </row>
    <row r="9" spans="1:5" ht="15.75">
      <c r="A9" s="321"/>
      <c r="B9" s="322" t="s">
        <v>285</v>
      </c>
      <c r="C9" s="322" t="s">
        <v>285</v>
      </c>
      <c r="D9" s="322" t="s">
        <v>8</v>
      </c>
      <c r="E9" s="323" t="s">
        <v>272</v>
      </c>
    </row>
    <row r="10" spans="1:5" ht="16.5" thickBot="1">
      <c r="A10" s="326" t="s">
        <v>273</v>
      </c>
      <c r="B10" s="327">
        <f>Assumptions!J36</f>
        <v>0</v>
      </c>
      <c r="C10" s="327">
        <f>Assumptions!J37</f>
        <v>0</v>
      </c>
      <c r="D10" s="328">
        <v>1.2888963749231688</v>
      </c>
      <c r="E10" s="329">
        <v>1.3927921351860328</v>
      </c>
    </row>
    <row r="11" spans="1:5" ht="15.75">
      <c r="A11" s="334"/>
      <c r="C11" s="324"/>
      <c r="D11" s="325"/>
      <c r="E11" s="325"/>
    </row>
    <row r="12" spans="1:5" ht="13.5" thickBot="1"/>
    <row r="13" spans="1:5" ht="15.75">
      <c r="A13" s="335" t="s">
        <v>275</v>
      </c>
      <c r="B13" s="336">
        <v>0.26886137127876286</v>
      </c>
      <c r="C13" s="336">
        <v>0.26886137127876286</v>
      </c>
      <c r="D13" s="330">
        <v>1.2888963749231688</v>
      </c>
      <c r="E13" s="331">
        <v>1.3927921351860328</v>
      </c>
    </row>
    <row r="14" spans="1:5" ht="15.75">
      <c r="A14" s="40" t="s">
        <v>301</v>
      </c>
      <c r="B14" s="15"/>
      <c r="C14" s="337"/>
      <c r="D14" s="123"/>
      <c r="E14" s="129"/>
    </row>
    <row r="15" spans="1:5" ht="15.75">
      <c r="A15" s="40" t="s">
        <v>342</v>
      </c>
      <c r="B15" s="15"/>
      <c r="C15" s="337"/>
      <c r="D15" s="123"/>
      <c r="E15" s="129"/>
    </row>
    <row r="16" spans="1:5" ht="15.75">
      <c r="A16" s="40"/>
      <c r="B16" s="15"/>
      <c r="C16" s="337"/>
      <c r="D16" s="123"/>
      <c r="E16" s="129"/>
    </row>
    <row r="17" spans="1:5" ht="15.75">
      <c r="A17" s="40"/>
      <c r="B17" s="15"/>
      <c r="C17" s="337"/>
      <c r="D17" s="123"/>
      <c r="E17" s="129"/>
    </row>
    <row r="18" spans="1:5" ht="15.75">
      <c r="A18" s="40"/>
      <c r="B18" s="15"/>
      <c r="C18" s="337"/>
      <c r="D18" s="123"/>
      <c r="E18" s="129"/>
    </row>
    <row r="19" spans="1:5" ht="16.5" thickBot="1">
      <c r="A19" s="258"/>
      <c r="B19" s="41"/>
      <c r="C19" s="338"/>
      <c r="D19" s="131"/>
      <c r="E19" s="339"/>
    </row>
  </sheetData>
  <pageMargins left="0.75" right="0.75" top="1" bottom="1" header="0.5" footer="0.5"/>
  <pageSetup scale="76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view="pageBreakPreview" zoomScale="60" zoomScaleNormal="100" workbookViewId="0">
      <selection sqref="A1:J1"/>
    </sheetView>
  </sheetViews>
  <sheetFormatPr defaultColWidth="16.140625" defaultRowHeight="18"/>
  <cols>
    <col min="1" max="1" width="32.28515625" style="642" customWidth="1"/>
    <col min="2" max="2" width="24.28515625" style="642" customWidth="1"/>
    <col min="3" max="3" width="16.140625" style="642" customWidth="1"/>
    <col min="4" max="4" width="13.5703125" style="642" customWidth="1"/>
    <col min="5" max="5" width="16.140625" style="642" customWidth="1"/>
    <col min="6" max="6" width="20.85546875" style="642" customWidth="1"/>
    <col min="7" max="7" width="16.140625" style="642" customWidth="1"/>
    <col min="8" max="8" width="20.7109375" style="642" customWidth="1"/>
    <col min="9" max="16384" width="16.140625" style="642"/>
  </cols>
  <sheetData>
    <row r="1" spans="1:10" ht="29.25" customHeight="1">
      <c r="A1" s="698"/>
      <c r="B1" s="698"/>
      <c r="C1" s="698"/>
      <c r="D1" s="698"/>
      <c r="E1" s="698"/>
      <c r="F1" s="698"/>
      <c r="G1" s="698"/>
      <c r="H1" s="698"/>
      <c r="I1" s="698"/>
      <c r="J1" s="698"/>
    </row>
    <row r="2" spans="1:10" ht="26.25" customHeight="1">
      <c r="A2" s="697"/>
      <c r="B2" s="697"/>
      <c r="C2" s="697"/>
      <c r="D2" s="697"/>
      <c r="E2" s="697"/>
      <c r="F2" s="697"/>
      <c r="G2" s="697"/>
      <c r="H2" s="697"/>
      <c r="I2" s="697"/>
      <c r="J2" s="697"/>
    </row>
    <row r="8" spans="1:10" ht="26.25" customHeight="1">
      <c r="A8" s="655" t="s">
        <v>432</v>
      </c>
      <c r="B8" s="656"/>
    </row>
    <row r="9" spans="1:10">
      <c r="G9" s="695" t="s">
        <v>423</v>
      </c>
      <c r="I9" s="695" t="s">
        <v>426</v>
      </c>
    </row>
    <row r="10" spans="1:10" ht="36.75" customHeight="1" thickBot="1">
      <c r="E10" s="643" t="s">
        <v>422</v>
      </c>
      <c r="G10" s="696"/>
      <c r="I10" s="696"/>
    </row>
    <row r="12" spans="1:10">
      <c r="B12" s="657" t="s">
        <v>424</v>
      </c>
      <c r="E12" s="645">
        <v>129927.39331262856</v>
      </c>
      <c r="G12" s="653">
        <v>115000</v>
      </c>
      <c r="I12" s="645">
        <v>129927</v>
      </c>
    </row>
    <row r="13" spans="1:10">
      <c r="B13" s="657"/>
      <c r="E13" s="645"/>
      <c r="G13" s="645"/>
      <c r="I13" s="645"/>
    </row>
    <row r="14" spans="1:10">
      <c r="B14" s="657"/>
      <c r="E14" s="646"/>
      <c r="I14" s="647"/>
    </row>
    <row r="15" spans="1:10">
      <c r="B15" s="657" t="s">
        <v>411</v>
      </c>
      <c r="E15" s="645">
        <v>564.90171005490674</v>
      </c>
      <c r="G15" s="645">
        <v>500</v>
      </c>
      <c r="I15" s="645">
        <v>565</v>
      </c>
    </row>
    <row r="16" spans="1:10">
      <c r="B16" s="657"/>
      <c r="E16" s="645"/>
      <c r="G16" s="645"/>
      <c r="I16" s="645"/>
    </row>
    <row r="17" spans="2:9">
      <c r="B17" s="657"/>
    </row>
    <row r="18" spans="2:9">
      <c r="B18" s="657" t="s">
        <v>413</v>
      </c>
      <c r="E18" s="648">
        <v>4.5</v>
      </c>
      <c r="G18" s="648">
        <v>4.5</v>
      </c>
      <c r="I18" s="652">
        <v>5.96</v>
      </c>
    </row>
    <row r="19" spans="2:9">
      <c r="B19" s="657"/>
      <c r="E19" s="648"/>
      <c r="G19" s="648"/>
      <c r="I19" s="648"/>
    </row>
    <row r="20" spans="2:9">
      <c r="B20" s="657"/>
    </row>
    <row r="21" spans="2:9">
      <c r="B21" s="657" t="s">
        <v>412</v>
      </c>
      <c r="E21" s="648">
        <v>2.25</v>
      </c>
      <c r="G21" s="648">
        <v>2.25</v>
      </c>
      <c r="I21" s="648">
        <v>2.25</v>
      </c>
    </row>
    <row r="22" spans="2:9">
      <c r="B22" s="657"/>
      <c r="E22" s="648"/>
      <c r="G22" s="648"/>
      <c r="I22" s="648"/>
    </row>
    <row r="23" spans="2:9">
      <c r="B23" s="654"/>
    </row>
    <row r="24" spans="2:9">
      <c r="B24" s="657" t="s">
        <v>416</v>
      </c>
    </row>
    <row r="25" spans="2:9">
      <c r="B25" s="657" t="s">
        <v>431</v>
      </c>
      <c r="D25" s="644" t="s">
        <v>415</v>
      </c>
      <c r="E25" s="670">
        <v>0.39</v>
      </c>
      <c r="F25" s="659"/>
      <c r="G25" s="671">
        <v>0.3</v>
      </c>
      <c r="H25" s="659"/>
      <c r="I25" s="672">
        <v>0.17</v>
      </c>
    </row>
    <row r="26" spans="2:9">
      <c r="B26" s="654"/>
      <c r="D26" s="644" t="s">
        <v>414</v>
      </c>
      <c r="E26" s="673">
        <v>0.61</v>
      </c>
      <c r="F26" s="667"/>
      <c r="G26" s="674">
        <v>0.7</v>
      </c>
      <c r="H26" s="667"/>
      <c r="I26" s="675">
        <v>0.83</v>
      </c>
    </row>
    <row r="27" spans="2:9">
      <c r="B27" s="654"/>
      <c r="D27" s="644"/>
      <c r="E27" s="649"/>
      <c r="G27" s="649"/>
      <c r="I27" s="649"/>
    </row>
    <row r="28" spans="2:9">
      <c r="B28" s="654"/>
    </row>
    <row r="29" spans="2:9">
      <c r="B29" s="657" t="s">
        <v>417</v>
      </c>
    </row>
    <row r="31" spans="2:9">
      <c r="D31" s="644" t="s">
        <v>418</v>
      </c>
      <c r="E31" s="658">
        <v>5.9574559330940247E-2</v>
      </c>
      <c r="F31" s="659"/>
      <c r="G31" s="660">
        <v>9.1083374619483973E-2</v>
      </c>
      <c r="H31" s="659"/>
      <c r="I31" s="661">
        <v>0.1859150230884552</v>
      </c>
    </row>
    <row r="32" spans="2:9">
      <c r="D32" s="644" t="s">
        <v>419</v>
      </c>
      <c r="E32" s="662">
        <v>3.5761579871177673E-2</v>
      </c>
      <c r="F32" s="663"/>
      <c r="G32" s="664">
        <v>6.3039526343345628E-2</v>
      </c>
      <c r="H32" s="663"/>
      <c r="I32" s="665">
        <v>0.17033160328865055</v>
      </c>
    </row>
    <row r="33" spans="1:9">
      <c r="D33" s="644" t="s">
        <v>420</v>
      </c>
      <c r="E33" s="666">
        <v>-2.1971240639686589E-3</v>
      </c>
      <c r="F33" s="667"/>
      <c r="G33" s="668">
        <v>2.5111600756645206E-2</v>
      </c>
      <c r="H33" s="667"/>
      <c r="I33" s="669">
        <v>0.15023313164711002</v>
      </c>
    </row>
    <row r="34" spans="1:9">
      <c r="D34" s="644"/>
      <c r="E34" s="650"/>
      <c r="G34" s="650"/>
      <c r="I34" s="650"/>
    </row>
    <row r="36" spans="1:9">
      <c r="B36" s="657" t="s">
        <v>425</v>
      </c>
      <c r="E36" s="645">
        <v>50671.6833919251</v>
      </c>
      <c r="G36" s="645">
        <v>34500</v>
      </c>
      <c r="I36" s="645">
        <v>3122.0255639972902</v>
      </c>
    </row>
    <row r="37" spans="1:9">
      <c r="B37" s="657" t="s">
        <v>421</v>
      </c>
      <c r="E37" s="649">
        <f>+E36/E12</f>
        <v>0.38999999999999974</v>
      </c>
      <c r="G37" s="649">
        <f>+G36/G12</f>
        <v>0.3</v>
      </c>
      <c r="I37" s="649">
        <f>+I36/I12</f>
        <v>2.4029074511050744E-2</v>
      </c>
    </row>
    <row r="42" spans="1:9" ht="25.5" customHeight="1">
      <c r="A42" s="655" t="s">
        <v>433</v>
      </c>
      <c r="B42" s="656"/>
    </row>
    <row r="43" spans="1:9">
      <c r="G43" s="695" t="s">
        <v>423</v>
      </c>
      <c r="I43" s="695" t="s">
        <v>426</v>
      </c>
    </row>
    <row r="44" spans="1:9" ht="36" customHeight="1" thickBot="1">
      <c r="E44" s="643" t="s">
        <v>422</v>
      </c>
      <c r="G44" s="696"/>
      <c r="I44" s="696"/>
    </row>
    <row r="46" spans="1:9">
      <c r="B46" s="657" t="s">
        <v>424</v>
      </c>
      <c r="E46" s="645">
        <v>129927.39331262856</v>
      </c>
      <c r="G46" s="653">
        <v>115000</v>
      </c>
      <c r="I46" s="645">
        <v>129927</v>
      </c>
    </row>
    <row r="47" spans="1:9">
      <c r="B47" s="657"/>
      <c r="E47" s="645"/>
      <c r="G47" s="645"/>
      <c r="I47" s="645"/>
    </row>
    <row r="48" spans="1:9">
      <c r="B48" s="657"/>
      <c r="E48" s="646"/>
      <c r="I48" s="647"/>
    </row>
    <row r="49" spans="2:9">
      <c r="B49" s="657" t="s">
        <v>411</v>
      </c>
      <c r="E49" s="645">
        <v>564.90171005490674</v>
      </c>
      <c r="G49" s="645">
        <v>500</v>
      </c>
      <c r="I49" s="645">
        <v>565</v>
      </c>
    </row>
    <row r="50" spans="2:9">
      <c r="B50" s="657"/>
      <c r="E50" s="645"/>
      <c r="G50" s="645"/>
      <c r="I50" s="645"/>
    </row>
    <row r="51" spans="2:9">
      <c r="B51" s="657"/>
    </row>
    <row r="52" spans="2:9">
      <c r="B52" s="657" t="s">
        <v>413</v>
      </c>
      <c r="E52" s="648">
        <v>4.5</v>
      </c>
      <c r="G52" s="648">
        <v>4.5</v>
      </c>
      <c r="I52" s="652">
        <v>5.81</v>
      </c>
    </row>
    <row r="53" spans="2:9">
      <c r="B53" s="657"/>
      <c r="E53" s="648"/>
      <c r="G53" s="648"/>
      <c r="I53" s="648"/>
    </row>
    <row r="54" spans="2:9">
      <c r="B54" s="657"/>
    </row>
    <row r="55" spans="2:9">
      <c r="B55" s="657" t="s">
        <v>412</v>
      </c>
      <c r="E55" s="648">
        <v>2.25</v>
      </c>
      <c r="G55" s="648">
        <v>2.25</v>
      </c>
      <c r="I55" s="648">
        <v>2.25</v>
      </c>
    </row>
    <row r="56" spans="2:9">
      <c r="B56" s="657"/>
      <c r="E56" s="648"/>
      <c r="G56" s="648"/>
      <c r="I56" s="648"/>
    </row>
    <row r="57" spans="2:9">
      <c r="B57" s="654"/>
    </row>
    <row r="58" spans="2:9">
      <c r="B58" s="657" t="s">
        <v>416</v>
      </c>
    </row>
    <row r="59" spans="2:9">
      <c r="B59" s="657" t="s">
        <v>431</v>
      </c>
      <c r="D59" s="644" t="s">
        <v>415</v>
      </c>
      <c r="E59" s="670">
        <v>0.37</v>
      </c>
      <c r="F59" s="659"/>
      <c r="G59" s="671">
        <v>0.28000000000000003</v>
      </c>
      <c r="H59" s="659"/>
      <c r="I59" s="672">
        <v>0.17</v>
      </c>
    </row>
    <row r="60" spans="2:9">
      <c r="B60" s="654"/>
      <c r="D60" s="644" t="s">
        <v>414</v>
      </c>
      <c r="E60" s="673">
        <v>0.63</v>
      </c>
      <c r="F60" s="667"/>
      <c r="G60" s="674">
        <v>0.72</v>
      </c>
      <c r="H60" s="667"/>
      <c r="I60" s="675">
        <v>0.83</v>
      </c>
    </row>
    <row r="61" spans="2:9">
      <c r="B61" s="654"/>
      <c r="D61" s="644"/>
      <c r="E61" s="649"/>
      <c r="G61" s="649"/>
      <c r="I61" s="649"/>
    </row>
    <row r="62" spans="2:9">
      <c r="B62" s="654"/>
    </row>
    <row r="63" spans="2:9">
      <c r="B63" s="657" t="s">
        <v>417</v>
      </c>
    </row>
    <row r="65" spans="2:9">
      <c r="D65" s="644" t="s">
        <v>418</v>
      </c>
      <c r="E65" s="658">
        <v>6.7229732871055603E-2</v>
      </c>
      <c r="F65" s="659"/>
      <c r="G65" s="660">
        <v>0.10319468379020691</v>
      </c>
      <c r="H65" s="659"/>
      <c r="I65" s="661">
        <v>0.18644338250160217</v>
      </c>
    </row>
    <row r="66" spans="2:9">
      <c r="D66" s="644" t="s">
        <v>419</v>
      </c>
      <c r="E66" s="662">
        <v>4.2305603623390212E-2</v>
      </c>
      <c r="F66" s="663"/>
      <c r="G66" s="664">
        <v>7.478202283382418E-2</v>
      </c>
      <c r="H66" s="663"/>
      <c r="I66" s="665">
        <v>0.16989410519599918</v>
      </c>
    </row>
    <row r="67" spans="2:9">
      <c r="D67" s="644" t="s">
        <v>420</v>
      </c>
      <c r="E67" s="666">
        <v>4.5883446931838994E-3</v>
      </c>
      <c r="F67" s="667"/>
      <c r="G67" s="668">
        <v>3.8866892457008376E-2</v>
      </c>
      <c r="H67" s="667"/>
      <c r="I67" s="669">
        <v>0.1496945679187775</v>
      </c>
    </row>
    <row r="68" spans="2:9">
      <c r="D68" s="644"/>
      <c r="E68" s="650"/>
      <c r="G68" s="650"/>
      <c r="I68" s="650"/>
    </row>
    <row r="70" spans="2:9">
      <c r="B70" s="657" t="s">
        <v>425</v>
      </c>
      <c r="E70" s="645">
        <v>48073.135525672602</v>
      </c>
      <c r="G70" s="645">
        <v>32200</v>
      </c>
      <c r="I70" s="645">
        <v>13019.1422285231</v>
      </c>
    </row>
    <row r="71" spans="2:9">
      <c r="B71" s="657" t="s">
        <v>421</v>
      </c>
      <c r="E71" s="649">
        <f>+E70/E46</f>
        <v>0.37000000000000027</v>
      </c>
      <c r="G71" s="649">
        <f>+G70/G46</f>
        <v>0.28000000000000003</v>
      </c>
      <c r="I71" s="649">
        <f>+I70/I46</f>
        <v>0.10020351603995398</v>
      </c>
    </row>
  </sheetData>
  <mergeCells count="6">
    <mergeCell ref="G43:G44"/>
    <mergeCell ref="I43:I44"/>
    <mergeCell ref="G9:G10"/>
    <mergeCell ref="I9:I10"/>
    <mergeCell ref="A2:J2"/>
    <mergeCell ref="A1:J1"/>
  </mergeCells>
  <pageMargins left="0.5" right="0.5" top="0.75" bottom="1" header="0.5" footer="0.5"/>
  <pageSetup scale="47" orientation="portrait" r:id="rId1"/>
  <headerFooter alignWithMargins="0">
    <oddHeader>&amp;C&amp;"Arial,Bold"&amp;20SANTEE COOPER
5 X LM6000s</oddHeader>
    <oddFooter>&amp;L&amp;D&amp;CSantee Cooper&amp;R&amp;P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M170"/>
  <sheetViews>
    <sheetView showGridLines="0" view="pageBreakPreview" topLeftCell="H10" zoomScale="85" zoomScaleNormal="75" workbookViewId="0">
      <selection activeCell="J57" sqref="J57"/>
    </sheetView>
  </sheetViews>
  <sheetFormatPr defaultRowHeight="12.75"/>
  <cols>
    <col min="1" max="1" width="3.140625" style="14" customWidth="1"/>
    <col min="2" max="2" width="54.42578125" style="14" customWidth="1"/>
    <col min="3" max="3" width="21.5703125" style="14" customWidth="1"/>
    <col min="4" max="4" width="23.7109375" style="14" customWidth="1"/>
    <col min="5" max="5" width="17.85546875" style="14" customWidth="1"/>
    <col min="6" max="6" width="20.140625" style="14" customWidth="1"/>
    <col min="7" max="7" width="10.140625" style="14" customWidth="1"/>
    <col min="8" max="8" width="35" style="14" customWidth="1"/>
    <col min="9" max="10" width="14.42578125" style="14" customWidth="1"/>
    <col min="11" max="11" width="12" style="14" customWidth="1"/>
    <col min="12" max="12" width="11.42578125" style="14" customWidth="1"/>
    <col min="13" max="13" width="12.5703125" style="14" customWidth="1"/>
    <col min="14" max="14" width="32" style="14" customWidth="1"/>
    <col min="15" max="15" width="23.140625" style="14" customWidth="1"/>
    <col min="16" max="17" width="12.85546875" style="14" customWidth="1"/>
    <col min="18" max="18" width="2.140625" style="14" customWidth="1"/>
    <col min="19" max="19" width="17.5703125" style="14" customWidth="1"/>
    <col min="20" max="26" width="12.85546875" style="14" customWidth="1"/>
    <col min="27" max="34" width="12" style="14" customWidth="1"/>
    <col min="35" max="35" width="9.140625" style="14"/>
    <col min="36" max="38" width="10" style="14" customWidth="1"/>
    <col min="39" max="39" width="12" style="14" customWidth="1"/>
    <col min="40" max="40" width="17.5703125" style="14" customWidth="1"/>
    <col min="41" max="41" width="22.42578125" style="14" customWidth="1"/>
    <col min="42" max="42" width="19" style="14" customWidth="1"/>
    <col min="43" max="43" width="10.28515625" style="14" customWidth="1"/>
    <col min="44" max="63" width="13.140625" style="14" customWidth="1"/>
    <col min="64" max="64" width="9.140625" style="14"/>
    <col min="65" max="74" width="10" style="14" customWidth="1"/>
    <col min="75" max="75" width="9.140625" style="14"/>
    <col min="76" max="81" width="10" style="14" customWidth="1"/>
    <col min="82" max="82" width="9.140625" style="14"/>
    <col min="83" max="88" width="10" style="14" customWidth="1"/>
    <col min="89" max="16384" width="9.140625" style="14"/>
  </cols>
  <sheetData>
    <row r="1" spans="2:39" ht="25.5" hidden="1">
      <c r="B1" s="234" t="s">
        <v>166</v>
      </c>
      <c r="K1" s="104"/>
      <c r="AM1" s="104"/>
    </row>
    <row r="2" spans="2:39" ht="13.5" customHeight="1">
      <c r="B2" s="234"/>
      <c r="K2" s="104"/>
      <c r="AM2" s="104"/>
    </row>
    <row r="3" spans="2:39" ht="19.5" customHeight="1">
      <c r="B3" s="554" t="s">
        <v>293</v>
      </c>
      <c r="K3" s="104"/>
      <c r="AM3" s="104"/>
    </row>
    <row r="4" spans="2:39" s="6" customFormat="1" ht="19.5" customHeight="1">
      <c r="B4" s="280"/>
      <c r="D4"/>
      <c r="E4"/>
      <c r="F4" s="1"/>
      <c r="K4" s="281"/>
      <c r="AM4" s="281"/>
    </row>
    <row r="5" spans="2:39" ht="19.5" customHeight="1">
      <c r="B5" s="240" t="s">
        <v>18</v>
      </c>
      <c r="C5" s="6"/>
      <c r="D5"/>
      <c r="E5"/>
      <c r="F5" s="13"/>
    </row>
    <row r="6" spans="2:39">
      <c r="D6"/>
      <c r="E6"/>
      <c r="F6" s="13"/>
    </row>
    <row r="7" spans="2:39" ht="13.5" thickBot="1"/>
    <row r="8" spans="2:39" ht="15.75">
      <c r="B8" s="118" t="s">
        <v>19</v>
      </c>
      <c r="C8" s="37"/>
      <c r="D8" s="37"/>
      <c r="E8" s="120"/>
      <c r="F8" s="298"/>
      <c r="G8" s="15"/>
      <c r="H8" s="117" t="s">
        <v>199</v>
      </c>
      <c r="I8" s="142"/>
      <c r="J8" s="143"/>
      <c r="K8" s="362"/>
      <c r="L8" s="38"/>
      <c r="N8" s="117" t="s">
        <v>20</v>
      </c>
      <c r="O8" s="679" t="str">
        <f>IF($Q$16=1,"SENSITIVITY IS ACTIVE","")</f>
        <v/>
      </c>
      <c r="P8" s="370"/>
      <c r="Q8" s="38"/>
    </row>
    <row r="9" spans="2:39" ht="15.75">
      <c r="B9" s="40"/>
      <c r="C9" s="15"/>
      <c r="D9" s="15"/>
      <c r="E9" s="15"/>
      <c r="F9" s="39"/>
      <c r="G9" s="15"/>
      <c r="H9" s="146"/>
      <c r="I9" s="277"/>
      <c r="J9" s="277"/>
      <c r="K9" s="15"/>
      <c r="L9" s="39"/>
      <c r="N9" s="680"/>
      <c r="O9" s="205"/>
      <c r="P9" s="139"/>
      <c r="Q9" s="39"/>
      <c r="T9" s="616" t="s">
        <v>407</v>
      </c>
      <c r="U9" s="616" t="s">
        <v>408</v>
      </c>
    </row>
    <row r="10" spans="2:39" ht="15.75">
      <c r="B10" s="121" t="s">
        <v>21</v>
      </c>
      <c r="C10" s="122" t="s">
        <v>22</v>
      </c>
      <c r="D10" s="341" t="s">
        <v>364</v>
      </c>
      <c r="E10" s="373" t="s">
        <v>363</v>
      </c>
      <c r="F10" s="39"/>
      <c r="G10" s="15"/>
      <c r="H10" s="146" t="s">
        <v>239</v>
      </c>
      <c r="I10" s="15"/>
      <c r="J10" s="350" t="s">
        <v>260</v>
      </c>
      <c r="K10" s="15"/>
      <c r="L10" s="39"/>
      <c r="N10" s="128" t="s">
        <v>290</v>
      </c>
      <c r="O10" s="15"/>
      <c r="P10" s="356">
        <f>+NetMW*J12</f>
        <v>230</v>
      </c>
      <c r="Q10" s="39"/>
      <c r="R10" s="44" t="s">
        <v>406</v>
      </c>
      <c r="S10" s="44"/>
      <c r="T10" s="615">
        <v>25000</v>
      </c>
      <c r="U10" s="615">
        <v>1400</v>
      </c>
    </row>
    <row r="11" spans="2:39" ht="15.75">
      <c r="B11" s="124" t="s">
        <v>23</v>
      </c>
      <c r="C11" s="202">
        <f>1-C12</f>
        <v>0.39</v>
      </c>
      <c r="D11" s="348">
        <f>D14-D12</f>
        <v>50555.66308188434</v>
      </c>
      <c r="E11" s="374">
        <f>D11/$P$12</f>
        <v>219.80723079080147</v>
      </c>
      <c r="F11" s="39"/>
      <c r="G11" s="15"/>
      <c r="H11" s="146" t="s">
        <v>25</v>
      </c>
      <c r="I11" s="277"/>
      <c r="J11" s="351">
        <v>5</v>
      </c>
      <c r="K11" s="139"/>
      <c r="L11" s="39"/>
      <c r="N11" s="128" t="s">
        <v>187</v>
      </c>
      <c r="O11" s="15"/>
      <c r="P11" s="351">
        <v>0</v>
      </c>
      <c r="Q11" s="39"/>
      <c r="R11" s="44"/>
      <c r="S11" s="44"/>
      <c r="T11" s="615">
        <v>50000</v>
      </c>
      <c r="U11" s="615">
        <v>3000</v>
      </c>
    </row>
    <row r="12" spans="2:39" ht="15.75">
      <c r="B12" s="124" t="s">
        <v>176</v>
      </c>
      <c r="C12" s="158">
        <v>0.61</v>
      </c>
      <c r="D12" s="348">
        <f>D14*C12</f>
        <v>79074.242256280646</v>
      </c>
      <c r="E12" s="374">
        <f>D12/$P$12</f>
        <v>343.80105328817672</v>
      </c>
      <c r="F12" s="39"/>
      <c r="G12" s="15"/>
      <c r="H12" s="146" t="s">
        <v>200</v>
      </c>
      <c r="I12" s="277"/>
      <c r="J12" s="352">
        <v>46</v>
      </c>
      <c r="K12" s="139"/>
      <c r="L12" s="39"/>
      <c r="N12" s="128" t="s">
        <v>291</v>
      </c>
      <c r="O12" s="15"/>
      <c r="P12" s="357">
        <f>SUM(P10:P11)</f>
        <v>230</v>
      </c>
      <c r="Q12" s="39"/>
    </row>
    <row r="13" spans="2:39" ht="15.75">
      <c r="B13" s="126"/>
      <c r="C13" s="125"/>
      <c r="D13" s="343"/>
      <c r="E13" s="374"/>
      <c r="F13" s="39"/>
      <c r="G13" s="15"/>
      <c r="H13" s="146" t="s">
        <v>201</v>
      </c>
      <c r="I13" s="277"/>
      <c r="J13" s="351">
        <v>10915</v>
      </c>
      <c r="K13" s="139"/>
      <c r="L13" s="39"/>
      <c r="N13" s="128" t="s">
        <v>296</v>
      </c>
      <c r="O13" s="15"/>
      <c r="P13" s="351">
        <v>0</v>
      </c>
      <c r="Q13" s="39"/>
    </row>
    <row r="14" spans="2:39" ht="15.75">
      <c r="B14" s="127" t="s">
        <v>24</v>
      </c>
      <c r="C14" s="199">
        <f>+C12+C11</f>
        <v>1</v>
      </c>
      <c r="D14" s="344">
        <f>+D43</f>
        <v>129629.90533816499</v>
      </c>
      <c r="E14" s="375">
        <f>D14/$P$12</f>
        <v>563.60828407897816</v>
      </c>
      <c r="F14" s="39"/>
      <c r="G14" s="15"/>
      <c r="H14" s="146" t="s">
        <v>28</v>
      </c>
      <c r="I14" s="277"/>
      <c r="J14" s="351">
        <v>1400</v>
      </c>
      <c r="K14" s="139"/>
      <c r="L14" s="39"/>
      <c r="N14" s="128" t="s">
        <v>442</v>
      </c>
      <c r="O14" s="15"/>
      <c r="P14" s="351">
        <v>100</v>
      </c>
      <c r="Q14" s="694">
        <v>280</v>
      </c>
    </row>
    <row r="15" spans="2:39" ht="15.75">
      <c r="B15" s="40"/>
      <c r="C15" s="60" t="str">
        <f>IF($Q$16=1,"SENSITIVITY IS ACTIVE","")</f>
        <v/>
      </c>
      <c r="D15" s="15"/>
      <c r="E15" s="108"/>
      <c r="F15" s="39"/>
      <c r="G15" s="15"/>
      <c r="H15" s="146"/>
      <c r="I15" s="277"/>
      <c r="J15" s="353"/>
      <c r="K15" s="139"/>
      <c r="L15" s="39"/>
      <c r="N15" s="128" t="s">
        <v>297</v>
      </c>
      <c r="O15" s="15"/>
      <c r="P15" s="351">
        <v>0</v>
      </c>
      <c r="Q15" s="39"/>
    </row>
    <row r="16" spans="2:39" ht="15.75">
      <c r="B16" s="40"/>
      <c r="C16" s="15"/>
      <c r="D16" s="15"/>
      <c r="E16" s="108"/>
      <c r="F16" s="39"/>
      <c r="G16" s="15"/>
      <c r="H16" s="146" t="s">
        <v>202</v>
      </c>
      <c r="I16" s="277"/>
      <c r="J16" s="354">
        <v>37256</v>
      </c>
      <c r="K16" s="139"/>
      <c r="L16" s="39"/>
      <c r="N16" s="128" t="s">
        <v>369</v>
      </c>
      <c r="O16" s="15"/>
      <c r="P16" s="681">
        <v>500</v>
      </c>
      <c r="Q16" s="682">
        <v>0</v>
      </c>
      <c r="R16" s="60" t="str">
        <f>IF($Q$16=1,"SENSITIVITY IS ACTIVE","")</f>
        <v/>
      </c>
    </row>
    <row r="17" spans="2:29" ht="16.5" thickBot="1">
      <c r="B17" s="121" t="s">
        <v>236</v>
      </c>
      <c r="C17" s="122"/>
      <c r="D17" s="345"/>
      <c r="E17" s="374"/>
      <c r="F17" s="39"/>
      <c r="G17" s="15"/>
      <c r="H17" s="128" t="s">
        <v>174</v>
      </c>
      <c r="I17" s="123"/>
      <c r="J17" s="608">
        <f>(J16-J18)/365*12</f>
        <v>8.0219178082191789</v>
      </c>
      <c r="K17" s="139"/>
      <c r="L17" s="39"/>
      <c r="N17" s="130" t="s">
        <v>366</v>
      </c>
      <c r="O17" s="41"/>
      <c r="P17" s="683">
        <v>8760</v>
      </c>
      <c r="Q17" s="105"/>
    </row>
    <row r="18" spans="2:29" ht="16.5" thickBot="1">
      <c r="B18" s="299"/>
      <c r="C18" s="236"/>
      <c r="D18" s="15"/>
      <c r="E18" s="108"/>
      <c r="F18" s="39"/>
      <c r="G18" s="15"/>
      <c r="H18" s="146" t="s">
        <v>241</v>
      </c>
      <c r="I18" s="277"/>
      <c r="J18" s="354">
        <v>37012</v>
      </c>
      <c r="K18" s="139"/>
      <c r="L18" s="39"/>
    </row>
    <row r="19" spans="2:29" ht="15.75">
      <c r="B19" s="124" t="s">
        <v>238</v>
      </c>
      <c r="C19" s="15"/>
      <c r="D19" s="15"/>
      <c r="E19" s="108"/>
      <c r="F19" s="39"/>
      <c r="G19" s="15"/>
      <c r="H19" s="146" t="s">
        <v>242</v>
      </c>
      <c r="I19" s="15"/>
      <c r="J19" s="354">
        <v>46022</v>
      </c>
      <c r="K19" s="139"/>
      <c r="L19" s="39"/>
      <c r="N19" s="119" t="s">
        <v>62</v>
      </c>
      <c r="O19" s="151"/>
      <c r="P19" s="37"/>
      <c r="Q19" s="38"/>
    </row>
    <row r="20" spans="2:29" ht="15.75">
      <c r="B20" s="128" t="s">
        <v>244</v>
      </c>
      <c r="C20" s="237">
        <f t="shared" ref="C20:C31" si="0">D20/$D$43</f>
        <v>0.55161486054197062</v>
      </c>
      <c r="D20" s="342">
        <f>+IDC!D43</f>
        <v>71505.782155180728</v>
      </c>
      <c r="E20" s="374">
        <f t="shared" ref="E20:E30" si="1">D20/$P$12</f>
        <v>310.89470502252493</v>
      </c>
      <c r="F20" s="39"/>
      <c r="G20" s="15"/>
      <c r="H20" s="146" t="s">
        <v>240</v>
      </c>
      <c r="I20" s="287"/>
      <c r="J20" s="445">
        <f>(J19-J18)/365.25</f>
        <v>24.668035592060232</v>
      </c>
      <c r="K20" s="139"/>
      <c r="L20" s="39"/>
      <c r="N20" s="40"/>
      <c r="O20" s="15"/>
      <c r="P20" s="15"/>
      <c r="Q20" s="367" t="s">
        <v>277</v>
      </c>
    </row>
    <row r="21" spans="2:29" ht="15.75">
      <c r="B21" s="128" t="s">
        <v>245</v>
      </c>
      <c r="C21" s="237">
        <f t="shared" si="0"/>
        <v>0.30580906386212414</v>
      </c>
      <c r="D21" s="342">
        <v>39642</v>
      </c>
      <c r="E21" s="374">
        <f t="shared" si="1"/>
        <v>172.35652173913044</v>
      </c>
      <c r="F21" s="39"/>
      <c r="G21" s="15"/>
      <c r="H21" s="146" t="s">
        <v>302</v>
      </c>
      <c r="I21" s="651"/>
      <c r="J21" s="353">
        <v>0.2</v>
      </c>
      <c r="K21" s="612"/>
      <c r="L21" s="39"/>
      <c r="N21" s="150" t="s">
        <v>65</v>
      </c>
      <c r="O21" s="15"/>
      <c r="P21" s="361">
        <v>0</v>
      </c>
      <c r="Q21" s="364"/>
    </row>
    <row r="22" spans="2:29" ht="16.5" thickBot="1">
      <c r="B22" s="128" t="s">
        <v>246</v>
      </c>
      <c r="C22" s="237">
        <f t="shared" si="0"/>
        <v>3.0857077227397622E-3</v>
      </c>
      <c r="D22" s="342">
        <v>400</v>
      </c>
      <c r="E22" s="374">
        <f t="shared" si="1"/>
        <v>1.7391304347826086</v>
      </c>
      <c r="F22" s="39"/>
      <c r="G22" s="15"/>
      <c r="H22" s="372" t="s">
        <v>401</v>
      </c>
      <c r="I22" s="613"/>
      <c r="J22" s="415">
        <v>5</v>
      </c>
      <c r="K22" s="141"/>
      <c r="L22" s="614"/>
      <c r="N22" s="128"/>
      <c r="O22" s="15"/>
      <c r="P22" s="15"/>
      <c r="Q22" s="364"/>
    </row>
    <row r="23" spans="2:29" ht="16.5" thickBot="1">
      <c r="B23" s="128" t="s">
        <v>247</v>
      </c>
      <c r="C23" s="237">
        <f t="shared" si="0"/>
        <v>1.0298549524643956E-2</v>
      </c>
      <c r="D23" s="342">
        <v>1335</v>
      </c>
      <c r="E23" s="374">
        <f t="shared" si="1"/>
        <v>5.8043478260869561</v>
      </c>
      <c r="F23" s="39"/>
      <c r="G23" s="15"/>
      <c r="N23" s="150" t="s">
        <v>184</v>
      </c>
      <c r="O23" s="15"/>
      <c r="P23" s="123"/>
      <c r="Q23" s="364"/>
    </row>
    <row r="24" spans="2:29" ht="15.75">
      <c r="B24" s="128" t="s">
        <v>248</v>
      </c>
      <c r="C24" s="237">
        <f t="shared" si="0"/>
        <v>2.1900810562145462E-2</v>
      </c>
      <c r="D24" s="342">
        <f>4613-1774</f>
        <v>2839</v>
      </c>
      <c r="E24" s="374">
        <f t="shared" si="1"/>
        <v>12.343478260869565</v>
      </c>
      <c r="F24" s="39"/>
      <c r="G24" s="15"/>
      <c r="H24" s="119" t="s">
        <v>61</v>
      </c>
      <c r="I24" s="151"/>
      <c r="J24" s="151"/>
      <c r="K24" s="151"/>
      <c r="L24" s="152"/>
      <c r="N24" s="40"/>
      <c r="O24" s="15"/>
      <c r="P24" s="15"/>
      <c r="Q24" s="364"/>
      <c r="R24"/>
      <c r="S24"/>
      <c r="T24"/>
      <c r="U24"/>
      <c r="AC24"/>
    </row>
    <row r="25" spans="2:29" ht="15.75">
      <c r="B25" s="128" t="s">
        <v>249</v>
      </c>
      <c r="C25" s="237">
        <f t="shared" si="0"/>
        <v>0</v>
      </c>
      <c r="D25" s="342">
        <v>0</v>
      </c>
      <c r="E25" s="374">
        <f t="shared" si="1"/>
        <v>0</v>
      </c>
      <c r="F25" s="39"/>
      <c r="G25" s="15"/>
      <c r="H25" s="128"/>
      <c r="I25" s="123"/>
      <c r="J25" s="123"/>
      <c r="K25" s="123"/>
      <c r="L25" s="129"/>
      <c r="N25" s="128" t="s">
        <v>365</v>
      </c>
      <c r="O25" s="15"/>
      <c r="P25" s="558">
        <f>0.35917*236/225.4</f>
        <v>0.37606086956521734</v>
      </c>
      <c r="Q25" s="368">
        <f>(IS!E59/Assumptions!P12)</f>
        <v>4.4224758260869557</v>
      </c>
      <c r="R25"/>
      <c r="S25"/>
      <c r="T25"/>
      <c r="U25"/>
      <c r="AC25"/>
    </row>
    <row r="26" spans="2:29" ht="15.75">
      <c r="B26" s="128" t="s">
        <v>250</v>
      </c>
      <c r="C26" s="237">
        <f t="shared" si="0"/>
        <v>0</v>
      </c>
      <c r="D26" s="342">
        <v>0</v>
      </c>
      <c r="E26" s="374">
        <f t="shared" si="1"/>
        <v>0</v>
      </c>
      <c r="F26" s="39"/>
      <c r="G26" s="15"/>
      <c r="H26" s="132" t="s">
        <v>295</v>
      </c>
      <c r="I26" s="137"/>
      <c r="J26" s="122" t="s">
        <v>64</v>
      </c>
      <c r="K26" s="122" t="s">
        <v>63</v>
      </c>
      <c r="L26" s="39"/>
      <c r="N26" s="128" t="s">
        <v>367</v>
      </c>
      <c r="O26" s="15"/>
      <c r="P26" s="355"/>
      <c r="Q26" s="368">
        <f>+IS!E60/Assumptions!P12</f>
        <v>0.43483513043478261</v>
      </c>
      <c r="R26"/>
      <c r="S26"/>
      <c r="T26"/>
      <c r="U26"/>
      <c r="AC26"/>
    </row>
    <row r="27" spans="2:29" ht="15.75">
      <c r="B27" s="128" t="s">
        <v>251</v>
      </c>
      <c r="C27" s="237">
        <f t="shared" si="0"/>
        <v>0</v>
      </c>
      <c r="D27" s="342">
        <v>0</v>
      </c>
      <c r="E27" s="374">
        <f t="shared" si="1"/>
        <v>0</v>
      </c>
      <c r="F27" s="39"/>
      <c r="G27" s="15"/>
      <c r="H27" s="40"/>
      <c r="I27" s="123"/>
      <c r="J27" s="138">
        <f>Debt!B113</f>
        <v>1.3557743704100402</v>
      </c>
      <c r="K27" s="138">
        <f>Debt!B114</f>
        <v>1.2722663000400305</v>
      </c>
      <c r="L27" s="39"/>
      <c r="N27" s="687" t="s">
        <v>435</v>
      </c>
      <c r="O27" s="15"/>
      <c r="P27" s="561">
        <f>(0.3027*236/225.4)</f>
        <v>0.31693522626441883</v>
      </c>
      <c r="Q27" s="365"/>
      <c r="R27"/>
      <c r="S27"/>
      <c r="T27"/>
      <c r="U27"/>
      <c r="AC27"/>
    </row>
    <row r="28" spans="2:29" ht="15.75">
      <c r="B28" s="128" t="s">
        <v>252</v>
      </c>
      <c r="C28" s="237">
        <f t="shared" si="0"/>
        <v>1.0352549409791901E-2</v>
      </c>
      <c r="D28" s="342">
        <v>1342</v>
      </c>
      <c r="E28" s="374">
        <f t="shared" si="1"/>
        <v>5.8347826086956518</v>
      </c>
      <c r="F28" s="39"/>
      <c r="G28" s="15"/>
      <c r="H28" s="40"/>
      <c r="I28" s="15"/>
      <c r="J28" s="15"/>
      <c r="K28" s="15"/>
      <c r="L28" s="39"/>
      <c r="N28" s="687" t="s">
        <v>259</v>
      </c>
      <c r="O28" s="15"/>
      <c r="P28" s="561">
        <f>(0.3027*236/225.4)</f>
        <v>0.31693522626441883</v>
      </c>
      <c r="Q28" s="365"/>
      <c r="R28"/>
      <c r="S28"/>
      <c r="T28"/>
      <c r="U28"/>
      <c r="AC28"/>
    </row>
    <row r="29" spans="2:29" ht="15.75">
      <c r="B29" s="128" t="s">
        <v>253</v>
      </c>
      <c r="C29" s="237">
        <f t="shared" si="0"/>
        <v>3.7869348027323731E-2</v>
      </c>
      <c r="D29" s="342">
        <v>4909</v>
      </c>
      <c r="E29" s="374">
        <f t="shared" si="1"/>
        <v>21.343478260869563</v>
      </c>
      <c r="F29" s="39"/>
      <c r="G29" s="15"/>
      <c r="H29" s="132" t="s">
        <v>281</v>
      </c>
      <c r="I29" s="174"/>
      <c r="J29" s="416" t="s">
        <v>294</v>
      </c>
      <c r="K29" s="174"/>
      <c r="L29" s="377"/>
      <c r="N29" s="685" t="s">
        <v>434</v>
      </c>
      <c r="O29" s="15"/>
      <c r="P29" s="561">
        <f>+(1.2076*236/225.4)</f>
        <v>1.2643904170363798</v>
      </c>
      <c r="Q29" s="368">
        <f>P29/$P$12</f>
        <v>5.4973496392886076E-3</v>
      </c>
      <c r="R29"/>
      <c r="S29" t="s">
        <v>429</v>
      </c>
      <c r="T29" t="s">
        <v>430</v>
      </c>
      <c r="U29"/>
      <c r="V29" s="14">
        <f>56.67*5</f>
        <v>283.35000000000002</v>
      </c>
      <c r="AC29"/>
    </row>
    <row r="30" spans="2:29" ht="15.75">
      <c r="B30" s="128" t="s">
        <v>254</v>
      </c>
      <c r="C30" s="297">
        <f t="shared" si="0"/>
        <v>1.1903117540468631E-2</v>
      </c>
      <c r="D30" s="346">
        <v>1543</v>
      </c>
      <c r="E30" s="375">
        <f t="shared" si="1"/>
        <v>6.7086956521739127</v>
      </c>
      <c r="F30" s="39"/>
      <c r="G30" s="15"/>
      <c r="H30" s="128" t="s">
        <v>280</v>
      </c>
      <c r="I30" s="123"/>
      <c r="J30" s="140">
        <f>E31</f>
        <v>537.02513980513356</v>
      </c>
      <c r="K30" s="174"/>
      <c r="L30" s="377"/>
      <c r="N30" s="128" t="s">
        <v>68</v>
      </c>
      <c r="O30" s="15"/>
      <c r="P30" s="355">
        <f>255.76*5/8</f>
        <v>159.85</v>
      </c>
      <c r="Q30" s="368">
        <f>+P30/P12</f>
        <v>0.69499999999999995</v>
      </c>
      <c r="R30"/>
      <c r="S30"/>
      <c r="T30"/>
      <c r="U30"/>
      <c r="AC30"/>
    </row>
    <row r="31" spans="2:29" ht="15.75">
      <c r="B31" s="128" t="s">
        <v>243</v>
      </c>
      <c r="C31" s="237">
        <f t="shared" si="0"/>
        <v>0.95283400719120814</v>
      </c>
      <c r="D31" s="347">
        <f>SUM(D20:D30)</f>
        <v>123515.78215518073</v>
      </c>
      <c r="E31" s="374">
        <f>D31/$P$12</f>
        <v>537.02513980513356</v>
      </c>
      <c r="F31" s="39"/>
      <c r="G31" s="15"/>
      <c r="H31" s="128" t="s">
        <v>306</v>
      </c>
      <c r="I31" s="15"/>
      <c r="J31" s="140">
        <f>SUM(E34:E36)+SUM(E39:E41)</f>
        <v>26.583144273844596</v>
      </c>
      <c r="K31" s="42"/>
      <c r="L31" s="377"/>
      <c r="N31" s="128" t="s">
        <v>439</v>
      </c>
      <c r="O31" s="15"/>
      <c r="P31" s="686">
        <f>+U32</f>
        <v>1.5283842794759825</v>
      </c>
      <c r="Q31" s="368">
        <f>+P31/P12</f>
        <v>6.645149041199924E-3</v>
      </c>
      <c r="R31"/>
      <c r="S31">
        <v>458</v>
      </c>
      <c r="T31" t="s">
        <v>437</v>
      </c>
      <c r="U31"/>
      <c r="AC31"/>
    </row>
    <row r="32" spans="2:29" ht="16.5" thickBot="1">
      <c r="B32" s="40"/>
      <c r="C32" s="15"/>
      <c r="D32" s="15"/>
      <c r="E32" s="108"/>
      <c r="F32" s="39"/>
      <c r="G32" s="15"/>
      <c r="H32" s="128" t="s">
        <v>3</v>
      </c>
      <c r="I32" s="15"/>
      <c r="J32" s="140">
        <f>SUM(Q21:Q40)</f>
        <v>6.423453536723966</v>
      </c>
      <c r="K32" s="42"/>
      <c r="L32" s="377"/>
      <c r="N32" s="128" t="s">
        <v>70</v>
      </c>
      <c r="O32" s="15"/>
      <c r="P32" s="355">
        <f>44.11203*5/8</f>
        <v>27.570018749999999</v>
      </c>
      <c r="Q32" s="368">
        <f>+P32/P12</f>
        <v>0.11986964673913043</v>
      </c>
      <c r="R32"/>
      <c r="S32">
        <v>700</v>
      </c>
      <c r="T32" t="s">
        <v>438</v>
      </c>
      <c r="U32" s="688">
        <f>+S32/S31</f>
        <v>1.5283842794759825</v>
      </c>
      <c r="AC32"/>
    </row>
    <row r="33" spans="2:29" ht="16.5" thickBot="1">
      <c r="B33" s="124" t="s">
        <v>232</v>
      </c>
      <c r="C33" s="15"/>
      <c r="D33" s="15"/>
      <c r="E33" s="108"/>
      <c r="F33" s="39"/>
      <c r="G33" s="15"/>
      <c r="H33" s="150" t="s">
        <v>32</v>
      </c>
      <c r="I33" s="42"/>
      <c r="J33" s="366">
        <f>SUM(J25:J32)</f>
        <v>571.38751198611214</v>
      </c>
      <c r="K33" s="42"/>
      <c r="L33" s="377"/>
      <c r="N33" s="128" t="s">
        <v>81</v>
      </c>
      <c r="O33" s="15"/>
      <c r="P33" s="355">
        <v>0</v>
      </c>
      <c r="Q33" s="368">
        <f>+P33/P12</f>
        <v>0</v>
      </c>
      <c r="R33"/>
      <c r="S33"/>
      <c r="T33"/>
      <c r="U33"/>
      <c r="AC33"/>
    </row>
    <row r="34" spans="2:29" ht="15.75">
      <c r="B34" s="124" t="s">
        <v>237</v>
      </c>
      <c r="C34" s="237">
        <f>D34/$D$43</f>
        <v>3.8571346534247027E-3</v>
      </c>
      <c r="D34" s="342">
        <v>500</v>
      </c>
      <c r="E34" s="374">
        <f>D34/$P$12</f>
        <v>2.1739130434782608</v>
      </c>
      <c r="F34" s="39"/>
      <c r="G34" s="15"/>
      <c r="H34" s="40"/>
      <c r="I34" s="15"/>
      <c r="J34" s="15"/>
      <c r="K34" s="15"/>
      <c r="L34" s="39"/>
      <c r="N34" s="128" t="s">
        <v>436</v>
      </c>
      <c r="O34" s="15"/>
      <c r="P34" s="355">
        <v>0</v>
      </c>
      <c r="Q34" s="368">
        <f>+P34/P12</f>
        <v>0</v>
      </c>
      <c r="R34"/>
      <c r="S34"/>
      <c r="T34"/>
      <c r="U34"/>
      <c r="AC34"/>
    </row>
    <row r="35" spans="2:29" ht="15.75">
      <c r="B35" s="124" t="s">
        <v>233</v>
      </c>
      <c r="C35" s="237">
        <f>D35/$D$43</f>
        <v>3.0857077227397622E-3</v>
      </c>
      <c r="D35" s="342">
        <v>400</v>
      </c>
      <c r="E35" s="374">
        <f>D35/$P$12</f>
        <v>1.7391304347826086</v>
      </c>
      <c r="F35" s="39"/>
      <c r="G35" s="15"/>
      <c r="H35" s="132"/>
      <c r="I35" s="15"/>
      <c r="J35" s="15"/>
      <c r="K35" s="15"/>
      <c r="L35" s="39"/>
      <c r="N35" s="128" t="s">
        <v>71</v>
      </c>
      <c r="O35" s="15"/>
      <c r="P35" s="355">
        <v>160</v>
      </c>
      <c r="Q35" s="368">
        <f>+P35/P12</f>
        <v>0.69565217391304346</v>
      </c>
      <c r="R35"/>
      <c r="S35"/>
      <c r="T35"/>
      <c r="U35"/>
      <c r="AC35"/>
    </row>
    <row r="36" spans="2:29" ht="15.75">
      <c r="B36" s="128" t="s">
        <v>234</v>
      </c>
      <c r="C36" s="297">
        <f>D36/$D$43</f>
        <v>0</v>
      </c>
      <c r="D36" s="346">
        <v>0</v>
      </c>
      <c r="E36" s="375">
        <f>D36/$P$12</f>
        <v>0</v>
      </c>
      <c r="F36" s="39"/>
      <c r="G36" s="15"/>
      <c r="H36" s="128"/>
      <c r="I36" s="123"/>
      <c r="J36" s="195"/>
      <c r="K36" s="15"/>
      <c r="L36" s="39"/>
      <c r="N36" s="128"/>
      <c r="O36" s="15"/>
      <c r="P36" s="222"/>
      <c r="Q36" s="364"/>
      <c r="R36"/>
      <c r="S36"/>
      <c r="T36"/>
      <c r="U36"/>
      <c r="AC36"/>
    </row>
    <row r="37" spans="2:29" ht="15.75">
      <c r="B37" s="128" t="s">
        <v>243</v>
      </c>
      <c r="C37" s="237">
        <f>D37/$D$43</f>
        <v>6.9428423761644644E-3</v>
      </c>
      <c r="D37" s="140">
        <f>SUM(D34:D36)</f>
        <v>900</v>
      </c>
      <c r="E37" s="374">
        <f>D37/$P$12</f>
        <v>3.9130434782608696</v>
      </c>
      <c r="F37" s="39"/>
      <c r="G37" s="15"/>
      <c r="H37" s="128"/>
      <c r="I37" s="15"/>
      <c r="J37" s="195"/>
      <c r="K37" s="123"/>
      <c r="L37" s="39"/>
      <c r="N37" s="150" t="s">
        <v>185</v>
      </c>
      <c r="O37" s="15"/>
      <c r="P37" s="222"/>
      <c r="Q37" s="364"/>
      <c r="R37"/>
      <c r="S37"/>
      <c r="T37"/>
      <c r="U37"/>
      <c r="AC37"/>
    </row>
    <row r="38" spans="2:29" ht="15.75">
      <c r="B38" s="40"/>
      <c r="C38" s="15"/>
      <c r="D38" s="15"/>
      <c r="E38" s="374"/>
      <c r="F38" s="39"/>
      <c r="G38" s="15"/>
      <c r="H38" s="128"/>
      <c r="I38" s="123"/>
      <c r="J38" s="195"/>
      <c r="K38" s="123"/>
      <c r="L38" s="39"/>
      <c r="N38" s="128" t="s">
        <v>278</v>
      </c>
      <c r="O38" s="15"/>
      <c r="P38" s="355">
        <v>0</v>
      </c>
      <c r="Q38" s="368">
        <v>0</v>
      </c>
      <c r="R38"/>
      <c r="S38"/>
      <c r="T38"/>
      <c r="U38"/>
      <c r="AC38"/>
    </row>
    <row r="39" spans="2:29" ht="15.75">
      <c r="B39" s="128" t="s">
        <v>441</v>
      </c>
      <c r="C39" s="237">
        <f>D39/$D$43</f>
        <v>2.2480331026873749E-2</v>
      </c>
      <c r="D39" s="348">
        <f>+IDC!D16</f>
        <v>2914.1231829842573</v>
      </c>
      <c r="E39" s="374">
        <f>D39/$P$12</f>
        <v>12.670100795583727</v>
      </c>
      <c r="F39" s="39"/>
      <c r="G39" s="15"/>
      <c r="H39" s="132" t="s">
        <v>181</v>
      </c>
      <c r="I39" s="122">
        <v>2000</v>
      </c>
      <c r="J39" s="122">
        <v>2001</v>
      </c>
      <c r="K39" s="122">
        <v>2002</v>
      </c>
      <c r="L39" s="241">
        <v>2003</v>
      </c>
      <c r="N39" s="128" t="s">
        <v>186</v>
      </c>
      <c r="O39" s="15"/>
      <c r="P39" s="355">
        <v>10</v>
      </c>
      <c r="Q39" s="368">
        <f>+P39/P12</f>
        <v>4.3478260869565216E-2</v>
      </c>
      <c r="R39"/>
      <c r="S39"/>
      <c r="T39"/>
      <c r="U39"/>
      <c r="AC39"/>
    </row>
    <row r="40" spans="2:29" ht="16.5" thickBot="1">
      <c r="B40" s="128" t="s">
        <v>440</v>
      </c>
      <c r="C40" s="237">
        <f>D40/$D$43</f>
        <v>7.7142693068494054E-4</v>
      </c>
      <c r="D40" s="342">
        <v>100</v>
      </c>
      <c r="E40" s="374">
        <f>D40/$P$12</f>
        <v>0.43478260869565216</v>
      </c>
      <c r="F40" s="39"/>
      <c r="G40" s="15"/>
      <c r="H40" s="128" t="s">
        <v>228</v>
      </c>
      <c r="I40" s="140">
        <f>IS!E72</f>
        <v>10656.059055720523</v>
      </c>
      <c r="J40" s="140">
        <f>IS!F72</f>
        <v>10656.059055720523</v>
      </c>
      <c r="K40" s="140">
        <f>IS!G72</f>
        <v>10656.059055720523</v>
      </c>
      <c r="L40" s="235">
        <f>IS!H72</f>
        <v>10656.059055720523</v>
      </c>
      <c r="N40" s="130" t="s">
        <v>279</v>
      </c>
      <c r="O40" s="41"/>
      <c r="P40" s="378">
        <v>0</v>
      </c>
      <c r="Q40" s="369">
        <f>P36/$J$12</f>
        <v>0</v>
      </c>
      <c r="R40"/>
      <c r="S40"/>
      <c r="T40"/>
      <c r="U40"/>
      <c r="AA40"/>
      <c r="AB40"/>
      <c r="AC40"/>
    </row>
    <row r="41" spans="2:29" ht="16.5" thickBot="1">
      <c r="B41" s="124" t="s">
        <v>427</v>
      </c>
      <c r="C41" s="237">
        <f>D41/$D$43</f>
        <v>1.6971392475068691E-2</v>
      </c>
      <c r="D41" s="342">
        <v>2200</v>
      </c>
      <c r="E41" s="374">
        <f>D41/$P$12</f>
        <v>9.5652173913043477</v>
      </c>
      <c r="F41" s="39"/>
      <c r="G41" s="15"/>
      <c r="H41" s="128" t="s">
        <v>229</v>
      </c>
      <c r="I41" s="140">
        <f>IS!E85</f>
        <v>-1038.0431568234453</v>
      </c>
      <c r="J41" s="140">
        <f>IS!F85</f>
        <v>-921.14929606833289</v>
      </c>
      <c r="K41" s="140">
        <f>IS!G85</f>
        <v>-794.92348016560527</v>
      </c>
      <c r="L41" s="235">
        <f>IS!H85</f>
        <v>-658.62071372957791</v>
      </c>
      <c r="P41" s="349"/>
      <c r="R41"/>
      <c r="S41"/>
      <c r="T41"/>
      <c r="U41"/>
      <c r="AC41"/>
    </row>
    <row r="42" spans="2:29" ht="15.75">
      <c r="B42" s="128"/>
      <c r="C42" s="15"/>
      <c r="D42" s="348"/>
      <c r="E42" s="374"/>
      <c r="F42" s="39"/>
      <c r="G42" s="15"/>
      <c r="H42" s="128" t="s">
        <v>230</v>
      </c>
      <c r="I42" s="140">
        <f>CF!D18</f>
        <v>6468.2333405438958</v>
      </c>
      <c r="J42" s="140">
        <f>CF!E18</f>
        <v>2280.4076253672702</v>
      </c>
      <c r="K42" s="140">
        <f>CF!F18</f>
        <v>2280.4076253672702</v>
      </c>
      <c r="L42" s="235">
        <f>CF!G18</f>
        <v>2280.4076253672702</v>
      </c>
      <c r="N42" s="117" t="s">
        <v>45</v>
      </c>
      <c r="O42" s="143"/>
      <c r="P42" s="143"/>
      <c r="Q42" s="152"/>
      <c r="R42"/>
      <c r="S42"/>
      <c r="T42"/>
      <c r="U42"/>
      <c r="AC42"/>
    </row>
    <row r="43" spans="2:29" ht="16.5" thickBot="1">
      <c r="B43" s="693" t="s">
        <v>235</v>
      </c>
      <c r="C43" s="692">
        <f>IF(Q16=1,"SENSITIVITY",C41+C40+C39+C37+C31)</f>
        <v>1</v>
      </c>
      <c r="D43" s="690">
        <f>IF(Q16=1,$P$16*$P$12,SUM(D39:D41,D37,D31))</f>
        <v>129629.90533816499</v>
      </c>
      <c r="E43" s="691">
        <f>D43/P12</f>
        <v>563.60828407897816</v>
      </c>
      <c r="F43" s="105"/>
      <c r="G43" s="15"/>
      <c r="H43" s="130" t="s">
        <v>231</v>
      </c>
      <c r="I43" s="141">
        <f>CF!D23</f>
        <v>9057.05564907589</v>
      </c>
      <c r="J43" s="141">
        <f>CF!E23</f>
        <v>4381.2719815323244</v>
      </c>
      <c r="K43" s="141">
        <f>CF!F23</f>
        <v>3932.2839157647622</v>
      </c>
      <c r="L43" s="315">
        <f>CF!G23</f>
        <v>3512.975875078138</v>
      </c>
      <c r="N43" s="40"/>
      <c r="O43" s="239"/>
      <c r="P43" s="15"/>
      <c r="Q43" s="39"/>
      <c r="R43"/>
      <c r="S43"/>
      <c r="T43"/>
      <c r="U43"/>
      <c r="AC43"/>
    </row>
    <row r="44" spans="2:29" ht="16.5" thickBot="1">
      <c r="B44" s="15"/>
      <c r="C44" s="15"/>
      <c r="D44" s="15"/>
      <c r="E44" s="15"/>
      <c r="F44" s="186"/>
      <c r="G44" s="15"/>
      <c r="L44"/>
      <c r="N44" s="128"/>
      <c r="O44" s="198" t="s">
        <v>47</v>
      </c>
      <c r="P44" s="198" t="s">
        <v>48</v>
      </c>
      <c r="Q44" s="241" t="s">
        <v>49</v>
      </c>
      <c r="R44"/>
      <c r="S44"/>
      <c r="T44"/>
      <c r="U44"/>
      <c r="AC44"/>
    </row>
    <row r="45" spans="2:29" ht="16.5" thickBot="1">
      <c r="B45" s="15"/>
      <c r="C45" s="15"/>
      <c r="D45" s="15"/>
      <c r="E45" s="15"/>
      <c r="F45" s="186"/>
      <c r="G45" s="15"/>
      <c r="H45" s="117" t="s">
        <v>214</v>
      </c>
      <c r="I45" s="142"/>
      <c r="J45" s="151"/>
      <c r="K45" s="370"/>
      <c r="L45" s="38"/>
      <c r="N45" s="144" t="s">
        <v>50</v>
      </c>
      <c r="O45" s="145"/>
      <c r="P45" s="145"/>
      <c r="Q45" s="129"/>
      <c r="R45"/>
      <c r="S45"/>
      <c r="T45"/>
      <c r="U45"/>
      <c r="AC45"/>
    </row>
    <row r="46" spans="2:29" ht="15.75">
      <c r="B46" s="119" t="s">
        <v>257</v>
      </c>
      <c r="C46" s="37"/>
      <c r="D46" s="37"/>
      <c r="E46" s="110"/>
      <c r="F46" s="38"/>
      <c r="G46" s="15"/>
      <c r="H46" s="40"/>
      <c r="I46" s="15"/>
      <c r="J46" s="15"/>
      <c r="K46" s="139"/>
      <c r="L46" s="333"/>
      <c r="N46" s="146" t="s">
        <v>51</v>
      </c>
      <c r="O46" s="194">
        <v>15</v>
      </c>
      <c r="P46" s="271" t="s">
        <v>52</v>
      </c>
      <c r="Q46" s="310">
        <v>0</v>
      </c>
      <c r="R46"/>
      <c r="S46"/>
      <c r="T46"/>
      <c r="U46"/>
      <c r="AC46"/>
    </row>
    <row r="47" spans="2:29" ht="15.75">
      <c r="B47" s="301" t="s">
        <v>255</v>
      </c>
      <c r="C47" s="15"/>
      <c r="D47" s="15"/>
      <c r="E47" s="42"/>
      <c r="F47" s="39"/>
      <c r="G47" s="15"/>
      <c r="H47" s="150" t="s">
        <v>298</v>
      </c>
      <c r="I47" s="15"/>
      <c r="J47" s="354">
        <v>37012</v>
      </c>
      <c r="K47" s="139"/>
      <c r="L47" s="39"/>
      <c r="N47" s="146" t="s">
        <v>53</v>
      </c>
      <c r="O47" s="194">
        <v>20</v>
      </c>
      <c r="P47" s="271" t="s">
        <v>54</v>
      </c>
      <c r="Q47" s="310">
        <v>0</v>
      </c>
      <c r="R47"/>
      <c r="S47"/>
      <c r="T47"/>
      <c r="U47"/>
      <c r="AC47"/>
    </row>
    <row r="48" spans="2:29" ht="15.75">
      <c r="B48" s="300" t="s">
        <v>167</v>
      </c>
      <c r="C48" s="238">
        <v>36739</v>
      </c>
      <c r="D48" s="15"/>
      <c r="E48" s="15"/>
      <c r="F48" s="103"/>
      <c r="G48" s="88"/>
      <c r="H48" s="150" t="s">
        <v>299</v>
      </c>
      <c r="I48" s="15"/>
      <c r="J48" s="354">
        <v>37986</v>
      </c>
      <c r="K48" s="139"/>
      <c r="L48" s="39"/>
      <c r="N48" s="146"/>
      <c r="O48" s="147"/>
      <c r="P48" s="147"/>
      <c r="Q48" s="311"/>
      <c r="R48"/>
      <c r="S48"/>
      <c r="T48"/>
      <c r="U48"/>
      <c r="AC48"/>
    </row>
    <row r="49" spans="2:29" ht="15.75">
      <c r="B49" s="300" t="s">
        <v>287</v>
      </c>
      <c r="C49" s="238">
        <v>36557</v>
      </c>
      <c r="D49" s="15"/>
      <c r="E49" s="15"/>
      <c r="F49" s="39"/>
      <c r="G49" s="42"/>
      <c r="H49" s="40"/>
      <c r="I49" s="15"/>
      <c r="J49" s="15"/>
      <c r="K49" s="139"/>
      <c r="L49" s="39"/>
      <c r="N49" s="144" t="s">
        <v>56</v>
      </c>
      <c r="O49" s="148"/>
      <c r="P49" s="147"/>
      <c r="Q49" s="312"/>
      <c r="R49"/>
      <c r="S49"/>
      <c r="T49"/>
      <c r="U49"/>
      <c r="AC49"/>
    </row>
    <row r="50" spans="2:29" ht="15.75">
      <c r="B50" s="40"/>
      <c r="C50" s="15"/>
      <c r="D50" s="15"/>
      <c r="E50" s="15"/>
      <c r="F50" s="39"/>
      <c r="G50" s="15"/>
      <c r="H50" s="132" t="s">
        <v>316</v>
      </c>
      <c r="I50" s="15"/>
      <c r="J50" s="15"/>
      <c r="K50" s="139"/>
      <c r="L50" s="39"/>
      <c r="N50" s="146" t="s">
        <v>51</v>
      </c>
      <c r="O50" s="194">
        <v>30</v>
      </c>
      <c r="P50" s="271" t="s">
        <v>54</v>
      </c>
      <c r="Q50" s="313">
        <v>0</v>
      </c>
      <c r="R50"/>
      <c r="S50"/>
      <c r="T50"/>
      <c r="U50"/>
      <c r="AC50"/>
    </row>
    <row r="51" spans="2:29" ht="16.5" thickBot="1">
      <c r="B51" s="132" t="s">
        <v>33</v>
      </c>
      <c r="C51" s="153" t="s">
        <v>29</v>
      </c>
      <c r="D51" s="153" t="s">
        <v>30</v>
      </c>
      <c r="E51" s="153" t="s">
        <v>31</v>
      </c>
      <c r="F51" s="302" t="s">
        <v>32</v>
      </c>
      <c r="G51" s="111"/>
      <c r="H51" s="128" t="s">
        <v>258</v>
      </c>
      <c r="I51" s="15"/>
      <c r="J51" s="352">
        <f>(J48-J47)/365.25</f>
        <v>2.6666666666666665</v>
      </c>
      <c r="K51" s="139"/>
      <c r="L51" s="39"/>
      <c r="N51" s="149" t="s">
        <v>53</v>
      </c>
      <c r="O51" s="200">
        <v>20</v>
      </c>
      <c r="P51" s="272" t="s">
        <v>54</v>
      </c>
      <c r="Q51" s="314">
        <v>0</v>
      </c>
      <c r="R51"/>
      <c r="S51"/>
      <c r="T51"/>
      <c r="U51"/>
      <c r="AA51"/>
      <c r="AB51"/>
      <c r="AC51"/>
    </row>
    <row r="52" spans="2:29" ht="16.5" thickBot="1">
      <c r="B52" s="133" t="s">
        <v>34</v>
      </c>
      <c r="C52" s="259">
        <f>+D12</f>
        <v>79074.242256280646</v>
      </c>
      <c r="D52" s="259">
        <v>0</v>
      </c>
      <c r="E52" s="259">
        <v>0</v>
      </c>
      <c r="F52" s="303">
        <f>SUM(C52:E52)</f>
        <v>79074.242256280646</v>
      </c>
      <c r="G52" s="111"/>
      <c r="H52" s="128" t="s">
        <v>213</v>
      </c>
      <c r="I52" s="123"/>
      <c r="J52" s="352">
        <v>4.5</v>
      </c>
      <c r="K52" s="139"/>
      <c r="L52" s="39"/>
      <c r="R52"/>
      <c r="S52"/>
      <c r="T52"/>
      <c r="U52"/>
      <c r="AA52"/>
      <c r="AB52"/>
      <c r="AC52"/>
    </row>
    <row r="53" spans="2:29" ht="15.75">
      <c r="B53" s="133" t="s">
        <v>35</v>
      </c>
      <c r="C53" s="260">
        <v>18</v>
      </c>
      <c r="D53" s="260">
        <v>0</v>
      </c>
      <c r="E53" s="260">
        <v>0</v>
      </c>
      <c r="F53" s="304">
        <f>MAX(C53:E53)</f>
        <v>18</v>
      </c>
      <c r="G53" s="15"/>
      <c r="H53" s="128" t="s">
        <v>38</v>
      </c>
      <c r="I53" s="123"/>
      <c r="J53" s="352">
        <v>2.25</v>
      </c>
      <c r="K53" s="139"/>
      <c r="L53" s="39"/>
      <c r="N53" s="117" t="s">
        <v>55</v>
      </c>
      <c r="O53" s="143"/>
      <c r="P53" s="370"/>
      <c r="Q53" s="38"/>
      <c r="R53"/>
      <c r="S53"/>
      <c r="T53"/>
      <c r="U53"/>
      <c r="AA53"/>
      <c r="AB53"/>
      <c r="AC53"/>
    </row>
    <row r="54" spans="2:29" ht="15.75">
      <c r="B54" s="133" t="s">
        <v>36</v>
      </c>
      <c r="C54" s="261">
        <v>43312</v>
      </c>
      <c r="D54" s="261">
        <v>0</v>
      </c>
      <c r="E54" s="261">
        <v>0</v>
      </c>
      <c r="F54" s="376">
        <f>MAX(C54:E54)</f>
        <v>43312</v>
      </c>
      <c r="G54" s="15"/>
      <c r="H54" s="128" t="s">
        <v>40</v>
      </c>
      <c r="I54" s="123"/>
      <c r="J54" s="351">
        <v>0</v>
      </c>
      <c r="K54" s="139"/>
      <c r="L54" s="39"/>
      <c r="N54" s="128"/>
      <c r="O54" s="277"/>
      <c r="P54" s="139"/>
      <c r="Q54" s="39"/>
      <c r="R54"/>
      <c r="S54"/>
      <c r="T54"/>
      <c r="U54"/>
      <c r="AA54"/>
      <c r="AB54"/>
      <c r="AC54"/>
    </row>
    <row r="55" spans="2:29" ht="15.75">
      <c r="B55" s="133" t="s">
        <v>37</v>
      </c>
      <c r="C55" s="156">
        <f>IF(ISERROR(Debt!F9),"NA",Debt!F9)</f>
        <v>11.820431960615442</v>
      </c>
      <c r="D55" s="156" t="str">
        <f>IF(ISERROR(Debt!L9),"NA",Debt!L9)</f>
        <v>NA</v>
      </c>
      <c r="E55" s="156" t="str">
        <f>IF(ISERROR(Debt!R9),"NA",Debt!R9)</f>
        <v>NA</v>
      </c>
      <c r="F55" s="305"/>
      <c r="G55" s="15"/>
      <c r="H55" s="128" t="s">
        <v>270</v>
      </c>
      <c r="I55" s="287"/>
      <c r="J55" s="359">
        <v>0.02</v>
      </c>
      <c r="K55" s="139"/>
      <c r="L55" s="39"/>
      <c r="N55" s="128" t="s">
        <v>57</v>
      </c>
      <c r="O55" s="15"/>
      <c r="Q55" s="417">
        <v>0.35</v>
      </c>
      <c r="R55"/>
      <c r="S55"/>
      <c r="T55"/>
      <c r="U55"/>
      <c r="AA55"/>
      <c r="AB55"/>
      <c r="AC55"/>
    </row>
    <row r="56" spans="2:29" ht="15.75">
      <c r="B56" s="133"/>
      <c r="C56" s="15"/>
      <c r="D56" s="15"/>
      <c r="E56" s="15"/>
      <c r="F56" s="303"/>
      <c r="G56" s="15"/>
      <c r="H56" s="128" t="s">
        <v>276</v>
      </c>
      <c r="I56" s="287"/>
      <c r="J56" s="360">
        <f>P12*(1-J55)</f>
        <v>225.4</v>
      </c>
      <c r="K56" s="139"/>
      <c r="L56" s="39"/>
      <c r="N56" s="128" t="s">
        <v>58</v>
      </c>
      <c r="O56" s="15"/>
      <c r="Q56" s="418">
        <v>0.06</v>
      </c>
      <c r="R56"/>
      <c r="S56"/>
      <c r="T56"/>
      <c r="U56"/>
      <c r="AA56"/>
      <c r="AB56"/>
      <c r="AC56"/>
    </row>
    <row r="57" spans="2:29" ht="15.75">
      <c r="B57" s="132" t="s">
        <v>309</v>
      </c>
      <c r="C57" s="15"/>
      <c r="D57" s="137" t="s">
        <v>340</v>
      </c>
      <c r="F57" s="303"/>
      <c r="G57" s="15"/>
      <c r="H57" s="128" t="s">
        <v>307</v>
      </c>
      <c r="I57" s="15"/>
      <c r="J57" s="222">
        <f>J56*J14</f>
        <v>315560</v>
      </c>
      <c r="K57" s="139"/>
      <c r="L57" s="333"/>
      <c r="N57" s="278" t="s">
        <v>59</v>
      </c>
      <c r="O57" s="15"/>
      <c r="Q57" s="419">
        <v>2.5000000000000001E-3</v>
      </c>
      <c r="R57"/>
      <c r="S57"/>
      <c r="T57"/>
      <c r="U57"/>
      <c r="AA57"/>
      <c r="AB57"/>
      <c r="AC57"/>
    </row>
    <row r="58" spans="2:29" ht="15.75">
      <c r="B58" s="128" t="s">
        <v>311</v>
      </c>
      <c r="C58" s="448">
        <v>1</v>
      </c>
      <c r="D58" s="44" t="s">
        <v>339</v>
      </c>
      <c r="E58" s="448">
        <v>9</v>
      </c>
      <c r="F58" s="303" t="s">
        <v>358</v>
      </c>
      <c r="G58" s="15"/>
      <c r="H58" s="40"/>
      <c r="I58" s="15"/>
      <c r="J58" s="15"/>
      <c r="K58" s="139"/>
      <c r="L58" s="39"/>
      <c r="N58" s="128" t="s">
        <v>60</v>
      </c>
      <c r="O58" s="15"/>
      <c r="Q58" s="418">
        <v>0.03</v>
      </c>
      <c r="R58"/>
      <c r="S58"/>
      <c r="T58"/>
      <c r="U58"/>
      <c r="AA58"/>
      <c r="AB58"/>
      <c r="AC58"/>
    </row>
    <row r="59" spans="2:29" ht="15.75">
      <c r="B59" s="128"/>
      <c r="D59" s="44" t="s">
        <v>359</v>
      </c>
      <c r="E59" s="261">
        <v>36739</v>
      </c>
      <c r="F59" s="303"/>
      <c r="G59" s="15"/>
      <c r="H59" s="150" t="s">
        <v>300</v>
      </c>
      <c r="I59" s="15"/>
      <c r="J59" s="354">
        <v>37987</v>
      </c>
      <c r="K59" s="139"/>
      <c r="L59" s="39"/>
      <c r="N59" s="278" t="s">
        <v>203</v>
      </c>
      <c r="O59" s="15"/>
      <c r="Q59" s="419">
        <v>0.01</v>
      </c>
      <c r="R59"/>
      <c r="S59"/>
      <c r="T59"/>
      <c r="U59"/>
      <c r="AA59"/>
      <c r="AB59"/>
      <c r="AC59"/>
    </row>
    <row r="60" spans="2:29" ht="15.75">
      <c r="B60" s="133" t="s">
        <v>315</v>
      </c>
      <c r="F60" s="303"/>
      <c r="G60" s="15"/>
      <c r="H60" s="150" t="s">
        <v>303</v>
      </c>
      <c r="I60" s="15"/>
      <c r="J60" s="354">
        <v>43465</v>
      </c>
      <c r="K60" s="139"/>
      <c r="L60" s="39"/>
      <c r="N60" s="278" t="s">
        <v>204</v>
      </c>
      <c r="O60" s="15"/>
      <c r="Q60" s="427">
        <v>0</v>
      </c>
      <c r="R60"/>
      <c r="S60"/>
      <c r="T60"/>
      <c r="U60"/>
      <c r="X60"/>
      <c r="Y60"/>
      <c r="AA60"/>
      <c r="AB60"/>
      <c r="AC60"/>
    </row>
    <row r="61" spans="2:29" ht="15.75">
      <c r="B61" s="684" t="s">
        <v>312</v>
      </c>
      <c r="C61" s="448">
        <v>35</v>
      </c>
      <c r="F61" s="303"/>
      <c r="G61" s="15"/>
      <c r="H61" s="40"/>
      <c r="I61" s="15"/>
      <c r="J61" s="15"/>
      <c r="K61" s="139"/>
      <c r="L61" s="39"/>
      <c r="N61" s="278" t="s">
        <v>205</v>
      </c>
      <c r="O61" s="15"/>
      <c r="Q61" s="427">
        <v>0</v>
      </c>
      <c r="R61"/>
      <c r="S61"/>
      <c r="T61"/>
      <c r="U61"/>
      <c r="AA61"/>
      <c r="AB61"/>
      <c r="AC61"/>
    </row>
    <row r="62" spans="2:29" ht="15.75">
      <c r="B62" s="40"/>
      <c r="C62" s="380"/>
      <c r="F62" s="303"/>
      <c r="G62" s="15"/>
      <c r="H62" s="132" t="s">
        <v>317</v>
      </c>
      <c r="I62" s="15"/>
      <c r="J62" s="15"/>
      <c r="K62" s="139"/>
      <c r="L62" s="39"/>
      <c r="N62" s="278" t="s">
        <v>206</v>
      </c>
      <c r="O62" s="15"/>
      <c r="Q62" s="427">
        <v>0</v>
      </c>
      <c r="R62"/>
      <c r="S62"/>
      <c r="T62"/>
      <c r="U62"/>
      <c r="AA62"/>
      <c r="AB62"/>
      <c r="AC62"/>
    </row>
    <row r="63" spans="2:29" ht="15.75">
      <c r="B63" s="133" t="s">
        <v>314</v>
      </c>
      <c r="F63" s="303"/>
      <c r="G63" s="15"/>
      <c r="H63" s="128" t="s">
        <v>258</v>
      </c>
      <c r="I63" s="15"/>
      <c r="J63" s="351">
        <v>15</v>
      </c>
      <c r="K63" s="139"/>
      <c r="L63" s="39"/>
      <c r="N63" s="278" t="s">
        <v>207</v>
      </c>
      <c r="O63" s="15"/>
      <c r="Q63" s="427">
        <v>0</v>
      </c>
      <c r="R63"/>
      <c r="S63"/>
      <c r="T63"/>
      <c r="U63"/>
      <c r="AA63"/>
      <c r="AB63"/>
      <c r="AC63"/>
    </row>
    <row r="64" spans="2:29" ht="15.75">
      <c r="B64" s="685" t="s">
        <v>313</v>
      </c>
      <c r="F64" s="303"/>
      <c r="G64" s="15"/>
      <c r="H64" s="128" t="s">
        <v>213</v>
      </c>
      <c r="I64" s="123"/>
      <c r="J64" s="352">
        <v>4.5</v>
      </c>
      <c r="K64" s="139"/>
      <c r="L64" s="39"/>
      <c r="N64" s="278" t="s">
        <v>208</v>
      </c>
      <c r="O64" s="15"/>
      <c r="Q64" s="427">
        <v>0</v>
      </c>
      <c r="R64"/>
      <c r="S64"/>
      <c r="T64"/>
      <c r="U64"/>
      <c r="AA64"/>
      <c r="AB64"/>
      <c r="AC64"/>
    </row>
    <row r="65" spans="2:29" ht="15.75">
      <c r="B65" s="40"/>
      <c r="F65" s="303"/>
      <c r="G65" s="15"/>
      <c r="H65" s="128" t="s">
        <v>38</v>
      </c>
      <c r="I65" s="123"/>
      <c r="J65" s="352">
        <v>2.25</v>
      </c>
      <c r="K65" s="139"/>
      <c r="L65" s="333"/>
      <c r="N65" s="278" t="s">
        <v>209</v>
      </c>
      <c r="O65" s="15"/>
      <c r="Q65" s="427">
        <v>0</v>
      </c>
      <c r="R65"/>
      <c r="S65"/>
      <c r="T65"/>
      <c r="U65"/>
      <c r="AA65"/>
      <c r="AB65"/>
      <c r="AC65"/>
    </row>
    <row r="66" spans="2:29" ht="15.75">
      <c r="B66" s="135" t="s">
        <v>39</v>
      </c>
      <c r="C66" s="265">
        <v>6.83E-2</v>
      </c>
      <c r="D66" s="265">
        <v>0</v>
      </c>
      <c r="E66" s="265">
        <v>0</v>
      </c>
      <c r="F66" s="306">
        <f>SUMPRODUCT(C66:E66,$C$52:$E$52)/SUM($C$52:$E$52)</f>
        <v>6.83E-2</v>
      </c>
      <c r="G66" s="15"/>
      <c r="H66" s="128" t="s">
        <v>40</v>
      </c>
      <c r="I66" s="123"/>
      <c r="J66" s="351">
        <v>0</v>
      </c>
      <c r="K66" s="139"/>
      <c r="L66" s="333"/>
      <c r="N66" s="278" t="s">
        <v>210</v>
      </c>
      <c r="O66" s="15"/>
      <c r="Q66" s="427">
        <v>0</v>
      </c>
      <c r="R66"/>
      <c r="S66"/>
      <c r="T66"/>
      <c r="U66"/>
      <c r="AA66"/>
      <c r="AB66"/>
      <c r="AC66"/>
    </row>
    <row r="67" spans="2:29" ht="15.75">
      <c r="B67" s="135" t="s">
        <v>41</v>
      </c>
      <c r="C67" s="266">
        <v>0.01</v>
      </c>
      <c r="D67" s="266">
        <v>0</v>
      </c>
      <c r="E67" s="266">
        <v>0</v>
      </c>
      <c r="F67" s="307">
        <f>SUMPRODUCT(C67:E67,$C$52:$E$52)/SUM($C$52:$E$52)</f>
        <v>0.01</v>
      </c>
      <c r="G67" s="15"/>
      <c r="H67" s="128" t="s">
        <v>270</v>
      </c>
      <c r="I67" s="287"/>
      <c r="J67" s="359">
        <v>0.02</v>
      </c>
      <c r="K67" s="139"/>
      <c r="L67" s="333"/>
      <c r="N67" s="278" t="s">
        <v>211</v>
      </c>
      <c r="O67" s="15"/>
      <c r="Q67" s="427">
        <v>0</v>
      </c>
      <c r="R67"/>
      <c r="S67"/>
      <c r="T67"/>
      <c r="U67"/>
      <c r="AA67"/>
      <c r="AB67"/>
      <c r="AC67"/>
    </row>
    <row r="68" spans="2:29" ht="16.5" thickBot="1">
      <c r="B68" s="133" t="s">
        <v>42</v>
      </c>
      <c r="C68" s="136">
        <f>Debt!F7</f>
        <v>7.8299999999999995E-2</v>
      </c>
      <c r="D68" s="136">
        <f>Debt!L7</f>
        <v>0</v>
      </c>
      <c r="E68" s="136">
        <f>Debt!R7</f>
        <v>0</v>
      </c>
      <c r="F68" s="306">
        <f>SUMPRODUCT(C68:E68,$C$52:$E$52)/SUM($C$52:$E$52)</f>
        <v>7.8299999999999995E-2</v>
      </c>
      <c r="G68" s="15"/>
      <c r="H68" s="128" t="s">
        <v>276</v>
      </c>
      <c r="I68" s="287"/>
      <c r="J68" s="360">
        <f>P12*(1-J55)</f>
        <v>225.4</v>
      </c>
      <c r="K68" s="139"/>
      <c r="L68" s="333"/>
      <c r="N68" s="279" t="s">
        <v>212</v>
      </c>
      <c r="O68" s="41"/>
      <c r="P68" s="41"/>
      <c r="Q68" s="428">
        <v>0</v>
      </c>
      <c r="R68"/>
      <c r="S68"/>
      <c r="T68"/>
      <c r="U68"/>
      <c r="AA68"/>
      <c r="AB68"/>
      <c r="AC68"/>
    </row>
    <row r="69" spans="2:29" ht="15.75">
      <c r="B69" s="128"/>
      <c r="C69" s="123"/>
      <c r="D69" s="123"/>
      <c r="E69" s="123"/>
      <c r="F69" s="308"/>
      <c r="G69" s="15"/>
      <c r="H69" s="128" t="s">
        <v>307</v>
      </c>
      <c r="I69" s="15"/>
      <c r="J69" s="222">
        <f>J56*J14</f>
        <v>315560</v>
      </c>
      <c r="K69" s="139"/>
      <c r="L69" s="333"/>
      <c r="P69"/>
      <c r="Q69"/>
      <c r="R69"/>
      <c r="S69"/>
      <c r="T69"/>
      <c r="U69"/>
      <c r="X69"/>
      <c r="Y69"/>
      <c r="Z69"/>
      <c r="AA69"/>
      <c r="AB69"/>
      <c r="AC69"/>
    </row>
    <row r="70" spans="2:29" ht="15.75">
      <c r="B70" s="128" t="s">
        <v>288</v>
      </c>
      <c r="C70" s="134">
        <f>MAX(Debt!B104:W104)*D70/12</f>
        <v>0</v>
      </c>
      <c r="D70" s="259">
        <v>0</v>
      </c>
      <c r="E70" s="123" t="s">
        <v>289</v>
      </c>
      <c r="F70" s="309"/>
      <c r="G70" s="15"/>
      <c r="H70" s="40"/>
      <c r="I70" s="15"/>
      <c r="J70" s="15"/>
      <c r="K70" s="15"/>
      <c r="L70" s="39"/>
      <c r="R70"/>
      <c r="S70"/>
      <c r="T70"/>
      <c r="U70"/>
      <c r="X70"/>
      <c r="Y70"/>
      <c r="Z70"/>
      <c r="AA70"/>
      <c r="AB70"/>
      <c r="AC70"/>
    </row>
    <row r="71" spans="2:29" ht="15.75">
      <c r="B71" s="128" t="s">
        <v>43</v>
      </c>
      <c r="C71" s="160">
        <v>0</v>
      </c>
      <c r="D71" s="123"/>
      <c r="E71" s="123"/>
      <c r="F71" s="309"/>
      <c r="H71" s="150" t="s">
        <v>304</v>
      </c>
      <c r="I71" s="15"/>
      <c r="J71" s="354">
        <v>43466</v>
      </c>
      <c r="K71" s="7"/>
      <c r="L71" s="420"/>
      <c r="P71"/>
      <c r="Q71"/>
      <c r="R71"/>
      <c r="S71"/>
      <c r="T71"/>
      <c r="U71"/>
      <c r="X71"/>
      <c r="Y71"/>
      <c r="Z71"/>
      <c r="AA71"/>
      <c r="AB71"/>
      <c r="AC71"/>
    </row>
    <row r="72" spans="2:29" ht="16.5" thickBot="1">
      <c r="B72" s="130" t="s">
        <v>44</v>
      </c>
      <c r="C72" s="676">
        <v>0</v>
      </c>
      <c r="D72" s="41"/>
      <c r="E72" s="41"/>
      <c r="F72" s="105"/>
      <c r="G72" s="123"/>
      <c r="H72" s="677" t="s">
        <v>305</v>
      </c>
      <c r="I72" s="41"/>
      <c r="J72" s="678">
        <v>46022</v>
      </c>
      <c r="K72" s="425"/>
      <c r="L72" s="426"/>
      <c r="P72"/>
      <c r="Q72"/>
      <c r="R72"/>
      <c r="S72"/>
      <c r="T72"/>
      <c r="U72"/>
      <c r="X72"/>
      <c r="Y72"/>
      <c r="Z72"/>
      <c r="AA72"/>
      <c r="AB72"/>
      <c r="AC72"/>
    </row>
    <row r="73" spans="2:29" ht="15.75">
      <c r="B73" s="40"/>
      <c r="C73" s="15"/>
      <c r="D73" s="15"/>
      <c r="E73" s="15"/>
      <c r="F73" s="39"/>
      <c r="G73" s="123"/>
      <c r="H73" s="40"/>
      <c r="K73" s="7"/>
      <c r="L73" s="420"/>
      <c r="M73"/>
      <c r="P73"/>
      <c r="Q73"/>
      <c r="R73"/>
      <c r="S73"/>
      <c r="T73"/>
      <c r="U73"/>
    </row>
    <row r="74" spans="2:29" ht="15.75">
      <c r="B74" s="301" t="s">
        <v>256</v>
      </c>
      <c r="C74" s="15"/>
      <c r="D74" s="15"/>
      <c r="E74" s="15"/>
      <c r="F74" s="39"/>
      <c r="G74" s="15"/>
      <c r="H74" s="132" t="s">
        <v>259</v>
      </c>
      <c r="I74" s="15"/>
      <c r="J74" s="15"/>
      <c r="K74" s="7"/>
      <c r="L74" s="420"/>
      <c r="M74"/>
      <c r="R74"/>
      <c r="S74"/>
      <c r="T74"/>
      <c r="U74"/>
    </row>
    <row r="75" spans="2:29" ht="15.75">
      <c r="B75" s="196" t="s">
        <v>173</v>
      </c>
      <c r="C75" s="238">
        <v>37377</v>
      </c>
      <c r="D75" s="15"/>
      <c r="E75" s="15"/>
      <c r="F75" s="39"/>
      <c r="G75" s="15"/>
      <c r="H75" s="128" t="s">
        <v>258</v>
      </c>
      <c r="I75" s="15"/>
      <c r="J75" s="450">
        <f>ROUND(J20-J51-J63,1)</f>
        <v>7</v>
      </c>
      <c r="K75" s="7"/>
      <c r="L75" s="420"/>
      <c r="M75"/>
      <c r="R75"/>
      <c r="S75"/>
      <c r="T75"/>
      <c r="U75"/>
    </row>
    <row r="76" spans="2:29" ht="15.75">
      <c r="B76" s="128" t="s">
        <v>26</v>
      </c>
      <c r="C76" s="158">
        <v>0</v>
      </c>
      <c r="D76" s="193">
        <f>C76*D11</f>
        <v>0</v>
      </c>
      <c r="E76" s="15"/>
      <c r="F76" s="39"/>
      <c r="G76" s="15"/>
      <c r="H76" s="128" t="s">
        <v>38</v>
      </c>
      <c r="I76" s="15"/>
      <c r="J76" s="352">
        <v>2.25</v>
      </c>
      <c r="K76" s="7"/>
      <c r="L76" s="420"/>
      <c r="M76"/>
      <c r="Q76"/>
      <c r="R76"/>
      <c r="S76"/>
      <c r="T76"/>
      <c r="U76"/>
    </row>
    <row r="77" spans="2:29" ht="15.75">
      <c r="B77" s="128" t="s">
        <v>343</v>
      </c>
      <c r="C77" s="158">
        <v>0</v>
      </c>
      <c r="D77" s="193"/>
      <c r="F77" s="39"/>
      <c r="G77" s="15"/>
      <c r="H77" s="128" t="s">
        <v>40</v>
      </c>
      <c r="I77" s="123"/>
      <c r="J77" s="351">
        <v>0</v>
      </c>
      <c r="K77" s="7"/>
      <c r="L77" s="420"/>
      <c r="M77"/>
      <c r="Q77"/>
      <c r="R77"/>
      <c r="S77"/>
      <c r="T77"/>
      <c r="U77"/>
    </row>
    <row r="78" spans="2:29" ht="15.75">
      <c r="B78" s="128" t="s">
        <v>27</v>
      </c>
      <c r="C78" s="545">
        <f>1-C76</f>
        <v>1</v>
      </c>
      <c r="D78" s="193">
        <f>C78*D11</f>
        <v>50555.66308188434</v>
      </c>
      <c r="E78" s="15"/>
      <c r="F78" s="39"/>
      <c r="G78" s="15"/>
      <c r="H78" s="128" t="s">
        <v>270</v>
      </c>
      <c r="I78" s="15"/>
      <c r="J78" s="359">
        <v>0.02</v>
      </c>
      <c r="K78" s="7"/>
      <c r="L78" s="420"/>
      <c r="M78"/>
      <c r="Q78"/>
      <c r="R78"/>
      <c r="S78"/>
      <c r="T78"/>
      <c r="U78"/>
    </row>
    <row r="79" spans="2:29" ht="16.5" thickBot="1">
      <c r="B79" s="130" t="s">
        <v>345</v>
      </c>
      <c r="C79" s="546">
        <v>1</v>
      </c>
      <c r="D79" s="41"/>
      <c r="E79" s="41"/>
      <c r="F79" s="105"/>
      <c r="G79" s="15"/>
      <c r="H79" s="128" t="s">
        <v>276</v>
      </c>
      <c r="I79" s="287"/>
      <c r="J79" s="360">
        <f>P12*(1-J78)</f>
        <v>225.4</v>
      </c>
      <c r="K79" s="7"/>
      <c r="L79" s="420"/>
      <c r="M79"/>
      <c r="Q79"/>
      <c r="R79"/>
      <c r="S79"/>
      <c r="T79"/>
      <c r="U79"/>
    </row>
    <row r="80" spans="2:29" ht="15.75">
      <c r="G80" s="15"/>
      <c r="H80" s="128" t="s">
        <v>307</v>
      </c>
      <c r="I80" s="15"/>
      <c r="J80" s="222">
        <f>J79*J14</f>
        <v>315560</v>
      </c>
      <c r="K80" s="7"/>
      <c r="L80" s="420"/>
      <c r="M80"/>
      <c r="Q80"/>
      <c r="R80"/>
      <c r="S80"/>
      <c r="T80"/>
      <c r="U80"/>
    </row>
    <row r="81" spans="5:21">
      <c r="G81" s="15"/>
      <c r="H81" s="40"/>
      <c r="I81" s="15"/>
      <c r="J81" s="15"/>
      <c r="K81" s="7"/>
      <c r="L81" s="420"/>
      <c r="M81"/>
      <c r="Q81"/>
      <c r="R81"/>
      <c r="S81"/>
      <c r="T81"/>
      <c r="U81"/>
    </row>
    <row r="82" spans="5:21" ht="15.75">
      <c r="G82" s="44"/>
      <c r="H82" s="128" t="s">
        <v>46</v>
      </c>
      <c r="I82" s="123"/>
      <c r="J82" s="352">
        <v>0</v>
      </c>
      <c r="K82" s="7"/>
      <c r="L82" s="420"/>
      <c r="M82"/>
      <c r="Q82"/>
      <c r="R82"/>
      <c r="S82"/>
      <c r="T82"/>
      <c r="U82"/>
    </row>
    <row r="83" spans="5:21" ht="15.75">
      <c r="H83" s="128" t="s">
        <v>269</v>
      </c>
      <c r="I83" s="15"/>
      <c r="J83" s="359">
        <v>0.02</v>
      </c>
      <c r="K83" s="7"/>
      <c r="L83" s="420"/>
      <c r="M83"/>
      <c r="Q83"/>
      <c r="R83"/>
      <c r="S83"/>
      <c r="T83"/>
      <c r="U83"/>
    </row>
    <row r="84" spans="5:21" ht="16.5" thickBot="1">
      <c r="G84" s="123"/>
      <c r="H84" s="130" t="s">
        <v>1</v>
      </c>
      <c r="I84" s="131"/>
      <c r="J84" s="363">
        <v>0.03</v>
      </c>
      <c r="K84" s="425"/>
      <c r="L84" s="426"/>
      <c r="M84"/>
      <c r="Q84"/>
      <c r="R84"/>
      <c r="S84"/>
      <c r="T84"/>
      <c r="U84"/>
    </row>
    <row r="85" spans="5:21" ht="15.75">
      <c r="G85" s="123"/>
      <c r="H85" s="277"/>
      <c r="I85" s="7"/>
      <c r="J85" s="358"/>
      <c r="K85" s="7"/>
      <c r="L85" s="7"/>
      <c r="M85"/>
      <c r="Q85"/>
      <c r="R85"/>
      <c r="S85"/>
      <c r="T85"/>
      <c r="U85"/>
    </row>
    <row r="86" spans="5:21" ht="15.75">
      <c r="G86" s="123"/>
      <c r="H86" s="277"/>
      <c r="I86" s="7"/>
      <c r="J86" s="421"/>
      <c r="K86" s="7"/>
      <c r="L86" s="114"/>
      <c r="M86"/>
      <c r="Q86"/>
      <c r="R86"/>
      <c r="S86"/>
      <c r="T86"/>
      <c r="U86"/>
    </row>
    <row r="87" spans="5:21" ht="15.75">
      <c r="G87" s="123"/>
      <c r="H87" s="277"/>
      <c r="I87" s="7"/>
      <c r="J87" s="145"/>
      <c r="K87" s="7"/>
      <c r="L87" s="114"/>
      <c r="M87"/>
      <c r="Q87"/>
      <c r="R87"/>
      <c r="S87"/>
      <c r="T87"/>
      <c r="U87"/>
    </row>
    <row r="88" spans="5:21" ht="15.75">
      <c r="G88" s="15"/>
      <c r="H88" s="277"/>
      <c r="I88" s="7"/>
      <c r="J88" s="423"/>
      <c r="K88" s="7"/>
      <c r="L88" s="114"/>
      <c r="M88"/>
      <c r="Q88"/>
    </row>
    <row r="89" spans="5:21" ht="15.75">
      <c r="G89" s="123"/>
      <c r="H89" s="277"/>
      <c r="I89" s="7"/>
      <c r="J89" s="424"/>
      <c r="K89" s="7"/>
      <c r="L89" s="114"/>
      <c r="M89"/>
      <c r="Q89"/>
    </row>
    <row r="90" spans="5:21" ht="15.75">
      <c r="G90" s="123"/>
      <c r="H90" s="7"/>
      <c r="I90" s="7"/>
      <c r="J90" s="7"/>
      <c r="K90" s="7"/>
      <c r="L90" s="114"/>
      <c r="M90"/>
      <c r="Q90"/>
    </row>
    <row r="91" spans="5:21" ht="15.75">
      <c r="G91" s="15"/>
      <c r="H91" s="277"/>
      <c r="I91" s="7"/>
      <c r="J91" s="422"/>
      <c r="K91" s="7"/>
      <c r="L91" s="114"/>
      <c r="M91"/>
    </row>
    <row r="92" spans="5:21" ht="15.75">
      <c r="G92" s="15"/>
      <c r="H92" s="277"/>
      <c r="I92" s="7"/>
      <c r="J92" s="145"/>
      <c r="K92" s="7"/>
      <c r="L92" s="114"/>
      <c r="M92"/>
    </row>
    <row r="93" spans="5:21" ht="15.75">
      <c r="G93" s="123"/>
      <c r="H93" s="277"/>
      <c r="I93" s="7"/>
      <c r="J93" s="145"/>
      <c r="K93" s="7"/>
      <c r="L93" s="114"/>
      <c r="M93"/>
    </row>
    <row r="94" spans="5:21" ht="15.75">
      <c r="G94" s="123"/>
      <c r="L94"/>
      <c r="M94"/>
    </row>
    <row r="95" spans="5:21" ht="15.75">
      <c r="G95" s="123"/>
      <c r="L95"/>
      <c r="M95"/>
    </row>
    <row r="96" spans="5:21" ht="15.75">
      <c r="E96"/>
      <c r="F96"/>
      <c r="G96" s="122"/>
      <c r="L96"/>
      <c r="M96"/>
    </row>
    <row r="97" spans="5:16" ht="15.75">
      <c r="E97"/>
      <c r="F97"/>
      <c r="G97" s="140"/>
      <c r="K97" s="349"/>
      <c r="L97"/>
      <c r="M97"/>
    </row>
    <row r="98" spans="5:16" ht="15.75">
      <c r="E98"/>
      <c r="F98"/>
      <c r="G98" s="140"/>
      <c r="K98" s="213"/>
      <c r="L98"/>
      <c r="M98"/>
    </row>
    <row r="99" spans="5:16" ht="15.75">
      <c r="E99"/>
      <c r="F99"/>
      <c r="G99" s="140"/>
      <c r="M99"/>
    </row>
    <row r="100" spans="5:16" ht="15.75">
      <c r="E100"/>
      <c r="F100"/>
      <c r="G100" s="140"/>
      <c r="K100" s="213"/>
      <c r="L100"/>
      <c r="M100"/>
    </row>
    <row r="101" spans="5:16">
      <c r="E101"/>
      <c r="F101"/>
      <c r="H101"/>
      <c r="I101"/>
      <c r="J101"/>
      <c r="K101"/>
      <c r="L101"/>
      <c r="M101"/>
    </row>
    <row r="102" spans="5:16">
      <c r="E102"/>
      <c r="F102"/>
      <c r="H102"/>
      <c r="I102"/>
      <c r="J102"/>
      <c r="K102"/>
      <c r="L102"/>
      <c r="M102"/>
      <c r="N102"/>
      <c r="O102"/>
      <c r="P102"/>
    </row>
    <row r="103" spans="5:16">
      <c r="H103"/>
      <c r="I103"/>
      <c r="J103"/>
      <c r="K103"/>
      <c r="L103"/>
      <c r="M103"/>
      <c r="N103"/>
      <c r="O103"/>
      <c r="P103"/>
    </row>
    <row r="104" spans="5:16">
      <c r="H104"/>
      <c r="I104"/>
      <c r="J104"/>
      <c r="K104"/>
      <c r="L104"/>
      <c r="M104"/>
      <c r="N104"/>
      <c r="O104"/>
      <c r="P104"/>
    </row>
    <row r="105" spans="5:16">
      <c r="H105"/>
      <c r="I105"/>
      <c r="J105"/>
      <c r="K105"/>
      <c r="L105"/>
      <c r="M105"/>
      <c r="N105"/>
      <c r="O105"/>
      <c r="P105"/>
    </row>
    <row r="106" spans="5:16">
      <c r="H106"/>
      <c r="I106"/>
      <c r="J106"/>
      <c r="K106"/>
      <c r="L106"/>
      <c r="M106"/>
      <c r="N106"/>
      <c r="O106"/>
      <c r="P106"/>
    </row>
    <row r="107" spans="5:16">
      <c r="M107"/>
      <c r="N107"/>
      <c r="O107"/>
      <c r="P107"/>
    </row>
    <row r="108" spans="5:16">
      <c r="H108"/>
      <c r="I108"/>
      <c r="J108"/>
      <c r="K108"/>
      <c r="L108"/>
      <c r="M108"/>
      <c r="N108"/>
      <c r="O108"/>
      <c r="P108"/>
    </row>
    <row r="109" spans="5:16">
      <c r="H109"/>
      <c r="I109"/>
      <c r="J109"/>
      <c r="K109"/>
      <c r="L109"/>
      <c r="M109"/>
      <c r="N109"/>
      <c r="O109"/>
      <c r="P109"/>
    </row>
    <row r="110" spans="5:16">
      <c r="H110"/>
      <c r="I110"/>
      <c r="J110"/>
      <c r="K110"/>
      <c r="L110"/>
      <c r="M110"/>
      <c r="N110"/>
      <c r="O110"/>
      <c r="P110"/>
    </row>
    <row r="111" spans="5:16">
      <c r="H111"/>
      <c r="I111"/>
      <c r="J111"/>
      <c r="K111"/>
      <c r="L111"/>
      <c r="M111"/>
      <c r="N111"/>
      <c r="O111"/>
      <c r="P111"/>
    </row>
    <row r="112" spans="5:16">
      <c r="H112"/>
      <c r="I112"/>
      <c r="J112"/>
      <c r="K112"/>
      <c r="L112"/>
      <c r="M112"/>
      <c r="N112"/>
      <c r="O112"/>
      <c r="P112"/>
    </row>
    <row r="113" spans="5:26">
      <c r="H113"/>
      <c r="I113"/>
      <c r="J113"/>
      <c r="K113"/>
      <c r="L113"/>
      <c r="M113"/>
      <c r="N113"/>
      <c r="O113"/>
      <c r="P113"/>
    </row>
    <row r="114" spans="5:26">
      <c r="L114"/>
      <c r="M114"/>
      <c r="N114"/>
      <c r="O114"/>
      <c r="P114"/>
    </row>
    <row r="115" spans="5:26">
      <c r="E115"/>
      <c r="F115"/>
      <c r="L115"/>
      <c r="M115"/>
      <c r="N115"/>
      <c r="O115"/>
      <c r="P115"/>
    </row>
    <row r="116" spans="5:26" ht="15.75">
      <c r="K116" s="213"/>
      <c r="L116"/>
      <c r="M116"/>
      <c r="N116"/>
      <c r="O116"/>
      <c r="P116"/>
    </row>
    <row r="117" spans="5:26" ht="15.75">
      <c r="K117" s="213"/>
      <c r="L117"/>
      <c r="M117"/>
      <c r="N117"/>
      <c r="O117"/>
      <c r="P117"/>
    </row>
    <row r="118" spans="5:26" ht="15.75">
      <c r="K118" s="213"/>
      <c r="L118"/>
      <c r="M118"/>
      <c r="N118"/>
      <c r="O118"/>
      <c r="P118"/>
    </row>
    <row r="119" spans="5:26" ht="15.75">
      <c r="K119" s="213"/>
      <c r="L119"/>
      <c r="M119"/>
      <c r="N119"/>
      <c r="O119"/>
      <c r="P119"/>
    </row>
    <row r="120" spans="5:26" ht="15.75">
      <c r="K120" s="213"/>
      <c r="L120"/>
      <c r="M120"/>
      <c r="N120"/>
      <c r="O120"/>
      <c r="P120"/>
    </row>
    <row r="121" spans="5:26" ht="15.75">
      <c r="K121" s="213"/>
      <c r="L121"/>
      <c r="M121"/>
      <c r="N121"/>
      <c r="O121"/>
      <c r="P121"/>
    </row>
    <row r="122" spans="5:26" ht="15.75">
      <c r="K122" s="213"/>
      <c r="L122"/>
      <c r="M122"/>
      <c r="N122"/>
      <c r="O122"/>
      <c r="P122"/>
    </row>
    <row r="123" spans="5:26" ht="15.75">
      <c r="K123" s="213"/>
      <c r="L123"/>
      <c r="M123"/>
      <c r="N123"/>
      <c r="O123"/>
      <c r="P123"/>
    </row>
    <row r="124" spans="5:26">
      <c r="L124"/>
      <c r="M124"/>
      <c r="N124"/>
      <c r="O124"/>
      <c r="P124"/>
    </row>
    <row r="128" spans="5:26"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1:26"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1:26" ht="15.75">
      <c r="K130"/>
      <c r="L130" s="214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1:26">
      <c r="K131"/>
      <c r="L131" s="15"/>
      <c r="M131" s="15"/>
      <c r="N131" s="109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1:26">
      <c r="K132"/>
      <c r="L132" s="15"/>
      <c r="M132" s="15"/>
      <c r="N132" s="109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1:26">
      <c r="K133"/>
      <c r="L133" s="15"/>
      <c r="M133" s="15"/>
      <c r="N133" s="109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1:26" ht="15.75">
      <c r="K134"/>
      <c r="L134" s="15"/>
      <c r="M134" s="15"/>
      <c r="N134" s="208"/>
      <c r="O134" s="207"/>
      <c r="P134" s="207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1:26" ht="15.75">
      <c r="K135"/>
      <c r="L135" s="207"/>
      <c r="M135" s="207"/>
      <c r="N135" s="206"/>
      <c r="O135" s="209"/>
      <c r="P135" s="209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1:26" ht="15.75">
      <c r="K136"/>
      <c r="L136" s="209"/>
      <c r="M136" s="209"/>
      <c r="N136" s="211"/>
      <c r="O136" s="210"/>
      <c r="P136" s="210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1:26" ht="15.75">
      <c r="K137"/>
      <c r="L137" s="210"/>
      <c r="M137" s="210"/>
      <c r="N137" s="211"/>
      <c r="O137" s="210"/>
      <c r="P137" s="210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1:26" ht="15.75">
      <c r="K138"/>
      <c r="L138" s="210"/>
      <c r="M138" s="210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1:26">
      <c r="K139"/>
      <c r="L139" s="15"/>
      <c r="M139" s="15"/>
    </row>
    <row r="140" spans="11:26">
      <c r="K140"/>
    </row>
    <row r="141" spans="11:26" ht="15.75">
      <c r="K141"/>
      <c r="L141" s="214"/>
    </row>
    <row r="142" spans="11:26">
      <c r="K142"/>
      <c r="L142" s="15"/>
    </row>
    <row r="143" spans="11:26">
      <c r="K143"/>
      <c r="L143" s="15"/>
    </row>
    <row r="144" spans="11:26">
      <c r="K144"/>
      <c r="L144" s="15"/>
    </row>
    <row r="145" spans="5:12">
      <c r="K145"/>
      <c r="L145" s="15"/>
    </row>
    <row r="146" spans="5:12">
      <c r="K146"/>
      <c r="L146" s="15"/>
    </row>
    <row r="147" spans="5:12">
      <c r="K147"/>
      <c r="L147" s="15"/>
    </row>
    <row r="148" spans="5:12" ht="15.75">
      <c r="K148"/>
      <c r="L148" s="207"/>
    </row>
    <row r="149" spans="5:12" ht="15.75">
      <c r="K149"/>
      <c r="L149" s="209"/>
    </row>
    <row r="150" spans="5:12" ht="15.75">
      <c r="K150"/>
      <c r="L150" s="210"/>
    </row>
    <row r="151" spans="5:12" ht="15.75">
      <c r="K151"/>
      <c r="L151" s="210"/>
    </row>
    <row r="152" spans="5:12">
      <c r="K152"/>
    </row>
    <row r="153" spans="5:12">
      <c r="K153"/>
    </row>
    <row r="154" spans="5:12">
      <c r="K154"/>
    </row>
    <row r="155" spans="5:12">
      <c r="K155"/>
    </row>
    <row r="156" spans="5:12">
      <c r="K156"/>
    </row>
    <row r="157" spans="5:12">
      <c r="H157"/>
      <c r="I157"/>
      <c r="J157"/>
      <c r="K157"/>
    </row>
    <row r="158" spans="5:12">
      <c r="H158"/>
      <c r="I158"/>
      <c r="J158"/>
    </row>
    <row r="159" spans="5:12">
      <c r="E159"/>
      <c r="F159"/>
      <c r="H159"/>
      <c r="I159"/>
      <c r="J159"/>
    </row>
    <row r="160" spans="5:12">
      <c r="E160"/>
      <c r="F160"/>
      <c r="H160"/>
      <c r="I160"/>
      <c r="J160"/>
    </row>
    <row r="161" spans="5:10">
      <c r="E161"/>
      <c r="F161"/>
      <c r="H161"/>
      <c r="I161"/>
      <c r="J161"/>
    </row>
    <row r="162" spans="5:10">
      <c r="E162"/>
      <c r="F162"/>
      <c r="H162"/>
      <c r="I162"/>
      <c r="J162"/>
    </row>
    <row r="165" spans="5:10">
      <c r="H165"/>
      <c r="I165"/>
      <c r="J165"/>
    </row>
    <row r="166" spans="5:10">
      <c r="H166"/>
      <c r="I166"/>
      <c r="J166"/>
    </row>
    <row r="167" spans="5:10">
      <c r="H167"/>
      <c r="I167"/>
      <c r="J167"/>
    </row>
    <row r="168" spans="5:10">
      <c r="H168"/>
      <c r="I168"/>
      <c r="J168"/>
    </row>
    <row r="169" spans="5:10">
      <c r="H169"/>
      <c r="I169"/>
      <c r="J169"/>
    </row>
    <row r="170" spans="5:10">
      <c r="H170"/>
      <c r="I170"/>
      <c r="J170"/>
    </row>
  </sheetData>
  <pageMargins left="0.25" right="0.25" top="0.5" bottom="0.5" header="0.5" footer="0.5"/>
  <pageSetup paperSize="5" scale="49" firstPageNumber="2" orientation="landscape" copies="2" r:id="rId1"/>
  <headerFooter alignWithMargins="0">
    <oddFooter xml:space="preserve">&amp;L&amp;T, &amp;D&amp;CSantee Cooper&amp;R&amp;P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T39"/>
  <sheetViews>
    <sheetView showGridLines="0" zoomScale="75" zoomScaleNormal="75" workbookViewId="0">
      <selection activeCell="G25" sqref="G25"/>
    </sheetView>
  </sheetViews>
  <sheetFormatPr defaultColWidth="9.28515625" defaultRowHeight="15.75"/>
  <cols>
    <col min="1" max="1" width="9.5703125" style="44" customWidth="1"/>
    <col min="2" max="2" width="37.28515625" style="44" bestFit="1" customWidth="1"/>
    <col min="3" max="3" width="11.140625" style="44" customWidth="1"/>
    <col min="4" max="4" width="3.7109375" style="44" customWidth="1"/>
    <col min="5" max="5" width="9.85546875" style="44" customWidth="1"/>
    <col min="6" max="36" width="10.28515625" style="44" customWidth="1"/>
    <col min="37" max="16384" width="9.28515625" style="44"/>
  </cols>
  <sheetData>
    <row r="2" spans="1:36" ht="18.75">
      <c r="A2" s="113" t="str">
        <f>Assumptions!B3</f>
        <v>PROJECT NAME: SANTEE COOPER</v>
      </c>
    </row>
    <row r="3" spans="1:36" ht="12" customHeight="1">
      <c r="A3" s="27"/>
      <c r="E3" s="161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36" ht="18.75">
      <c r="A4" s="240" t="s">
        <v>215</v>
      </c>
      <c r="B4" s="163"/>
      <c r="C4" s="91"/>
      <c r="D4" s="91"/>
      <c r="E4" s="161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36" ht="18.75">
      <c r="A5" s="379" t="s">
        <v>292</v>
      </c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</row>
    <row r="6" spans="1:36">
      <c r="A6" s="186"/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</row>
    <row r="7" spans="1:36">
      <c r="A7" s="186"/>
      <c r="B7" s="174" t="s">
        <v>188</v>
      </c>
      <c r="C7" s="317">
        <f>Assumptions!P21</f>
        <v>0</v>
      </c>
      <c r="D7" s="182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</row>
    <row r="8" spans="1:36">
      <c r="A8" s="123"/>
      <c r="B8" s="164"/>
      <c r="C8" s="165"/>
      <c r="D8" s="165"/>
      <c r="E8" s="123"/>
      <c r="F8" s="123"/>
      <c r="G8" s="123"/>
      <c r="H8" s="123"/>
      <c r="I8" s="166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 spans="1:36">
      <c r="A9" s="185"/>
      <c r="B9" s="123"/>
      <c r="C9" s="123"/>
      <c r="D9" s="123"/>
      <c r="E9" s="167"/>
      <c r="F9" s="320">
        <f>(Assumptions!J17/12)</f>
        <v>0.66849315068493154</v>
      </c>
      <c r="G9" s="320">
        <f>F9+1</f>
        <v>1.6684931506849314</v>
      </c>
      <c r="H9" s="320">
        <f t="shared" ref="H9:AA9" si="0">G9+1</f>
        <v>2.6684931506849314</v>
      </c>
      <c r="I9" s="320">
        <f t="shared" si="0"/>
        <v>3.6684931506849314</v>
      </c>
      <c r="J9" s="320">
        <f t="shared" si="0"/>
        <v>4.668493150684931</v>
      </c>
      <c r="K9" s="320">
        <f t="shared" si="0"/>
        <v>5.668493150684931</v>
      </c>
      <c r="L9" s="320">
        <f t="shared" si="0"/>
        <v>6.668493150684931</v>
      </c>
      <c r="M9" s="320">
        <f t="shared" si="0"/>
        <v>7.668493150684931</v>
      </c>
      <c r="N9" s="320">
        <f t="shared" si="0"/>
        <v>8.668493150684931</v>
      </c>
      <c r="O9" s="320">
        <f t="shared" si="0"/>
        <v>9.668493150684931</v>
      </c>
      <c r="P9" s="320">
        <f t="shared" si="0"/>
        <v>10.668493150684931</v>
      </c>
      <c r="Q9" s="320">
        <f t="shared" si="0"/>
        <v>11.668493150684931</v>
      </c>
      <c r="R9" s="320">
        <f t="shared" si="0"/>
        <v>12.668493150684931</v>
      </c>
      <c r="S9" s="320">
        <f t="shared" si="0"/>
        <v>13.668493150684931</v>
      </c>
      <c r="T9" s="320">
        <f t="shared" si="0"/>
        <v>14.668493150684931</v>
      </c>
      <c r="U9" s="320">
        <f t="shared" si="0"/>
        <v>15.668493150684931</v>
      </c>
      <c r="V9" s="320">
        <f t="shared" si="0"/>
        <v>16.668493150684931</v>
      </c>
      <c r="W9" s="320">
        <f t="shared" si="0"/>
        <v>17.668493150684931</v>
      </c>
      <c r="X9" s="320">
        <f t="shared" si="0"/>
        <v>18.668493150684931</v>
      </c>
      <c r="Y9" s="320">
        <f t="shared" si="0"/>
        <v>19.668493150684931</v>
      </c>
      <c r="Z9" s="320">
        <f t="shared" si="0"/>
        <v>20.668493150684931</v>
      </c>
      <c r="AA9" s="320">
        <f t="shared" si="0"/>
        <v>21.668493150684931</v>
      </c>
      <c r="AB9" s="320">
        <f t="shared" ref="AB9:AJ9" si="1">AA9+1</f>
        <v>22.668493150684931</v>
      </c>
      <c r="AC9" s="320">
        <f t="shared" si="1"/>
        <v>23.668493150684931</v>
      </c>
      <c r="AD9" s="320">
        <f t="shared" si="1"/>
        <v>24.668493150684931</v>
      </c>
      <c r="AE9" s="320">
        <f t="shared" si="1"/>
        <v>25.668493150684931</v>
      </c>
      <c r="AF9" s="320">
        <f t="shared" si="1"/>
        <v>26.668493150684931</v>
      </c>
      <c r="AG9" s="320">
        <f t="shared" si="1"/>
        <v>27.668493150684931</v>
      </c>
      <c r="AH9" s="320">
        <f t="shared" si="1"/>
        <v>28.668493150684931</v>
      </c>
      <c r="AI9" s="320">
        <f t="shared" si="1"/>
        <v>29.668493150684931</v>
      </c>
      <c r="AJ9" s="320">
        <f t="shared" si="1"/>
        <v>30.668493150684931</v>
      </c>
    </row>
    <row r="10" spans="1:36">
      <c r="A10" s="123"/>
      <c r="B10" s="123"/>
      <c r="C10" s="123"/>
      <c r="D10" s="123"/>
      <c r="E10" s="168"/>
      <c r="F10" s="168">
        <f>YEAR(Assumptions!J16)</f>
        <v>2001</v>
      </c>
      <c r="G10" s="168">
        <f t="shared" ref="G10:Z10" si="2">F10+1</f>
        <v>2002</v>
      </c>
      <c r="H10" s="168">
        <f t="shared" si="2"/>
        <v>2003</v>
      </c>
      <c r="I10" s="168">
        <f t="shared" si="2"/>
        <v>2004</v>
      </c>
      <c r="J10" s="168">
        <f t="shared" si="2"/>
        <v>2005</v>
      </c>
      <c r="K10" s="168">
        <f t="shared" si="2"/>
        <v>2006</v>
      </c>
      <c r="L10" s="168">
        <f t="shared" si="2"/>
        <v>2007</v>
      </c>
      <c r="M10" s="168">
        <f t="shared" si="2"/>
        <v>2008</v>
      </c>
      <c r="N10" s="168">
        <f t="shared" si="2"/>
        <v>2009</v>
      </c>
      <c r="O10" s="168">
        <f t="shared" si="2"/>
        <v>2010</v>
      </c>
      <c r="P10" s="168">
        <f t="shared" si="2"/>
        <v>2011</v>
      </c>
      <c r="Q10" s="168">
        <f t="shared" si="2"/>
        <v>2012</v>
      </c>
      <c r="R10" s="168">
        <f t="shared" si="2"/>
        <v>2013</v>
      </c>
      <c r="S10" s="168">
        <f t="shared" si="2"/>
        <v>2014</v>
      </c>
      <c r="T10" s="168">
        <f t="shared" si="2"/>
        <v>2015</v>
      </c>
      <c r="U10" s="168">
        <f t="shared" si="2"/>
        <v>2016</v>
      </c>
      <c r="V10" s="168">
        <f t="shared" si="2"/>
        <v>2017</v>
      </c>
      <c r="W10" s="168">
        <f t="shared" si="2"/>
        <v>2018</v>
      </c>
      <c r="X10" s="168">
        <f t="shared" si="2"/>
        <v>2019</v>
      </c>
      <c r="Y10" s="168">
        <f t="shared" si="2"/>
        <v>2020</v>
      </c>
      <c r="Z10" s="168">
        <f t="shared" si="2"/>
        <v>2021</v>
      </c>
      <c r="AA10" s="168">
        <f>Z10+1</f>
        <v>2022</v>
      </c>
      <c r="AB10" s="168">
        <f t="shared" ref="AB10:AJ10" si="3">AA10+1</f>
        <v>2023</v>
      </c>
      <c r="AC10" s="168">
        <f t="shared" si="3"/>
        <v>2024</v>
      </c>
      <c r="AD10" s="168">
        <f t="shared" si="3"/>
        <v>2025</v>
      </c>
      <c r="AE10" s="168">
        <f t="shared" si="3"/>
        <v>2026</v>
      </c>
      <c r="AF10" s="168">
        <f t="shared" si="3"/>
        <v>2027</v>
      </c>
      <c r="AG10" s="168">
        <f t="shared" si="3"/>
        <v>2028</v>
      </c>
      <c r="AH10" s="168">
        <f t="shared" si="3"/>
        <v>2029</v>
      </c>
      <c r="AI10" s="168">
        <f t="shared" si="3"/>
        <v>2030</v>
      </c>
      <c r="AJ10" s="168">
        <f t="shared" si="3"/>
        <v>2031</v>
      </c>
    </row>
    <row r="11" spans="1:36">
      <c r="A11" s="123"/>
      <c r="B11" s="123"/>
      <c r="C11" s="123"/>
      <c r="D11" s="123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</row>
    <row r="12" spans="1:36">
      <c r="A12" s="187" t="s">
        <v>189</v>
      </c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</row>
    <row r="13" spans="1:36">
      <c r="A13" s="123"/>
      <c r="B13" s="123" t="s">
        <v>193</v>
      </c>
      <c r="C13" s="169"/>
      <c r="D13" s="169"/>
      <c r="E13" s="170"/>
      <c r="F13" s="283">
        <v>62.135922330097088</v>
      </c>
      <c r="G13" s="283">
        <v>64</v>
      </c>
      <c r="H13" s="283">
        <v>62</v>
      </c>
      <c r="I13" s="283">
        <v>61</v>
      </c>
      <c r="J13" s="283">
        <v>59</v>
      </c>
      <c r="K13" s="283">
        <v>58</v>
      </c>
      <c r="L13" s="283">
        <v>57</v>
      </c>
      <c r="M13" s="283">
        <v>56</v>
      </c>
      <c r="N13" s="283">
        <v>56</v>
      </c>
      <c r="O13" s="283">
        <v>55</v>
      </c>
      <c r="P13" s="283">
        <v>55</v>
      </c>
      <c r="Q13" s="283">
        <v>54</v>
      </c>
      <c r="R13" s="283">
        <v>54</v>
      </c>
      <c r="S13" s="283">
        <v>53</v>
      </c>
      <c r="T13" s="283">
        <v>52</v>
      </c>
      <c r="U13" s="283">
        <v>51</v>
      </c>
      <c r="V13" s="283">
        <v>50</v>
      </c>
      <c r="W13" s="283">
        <v>49</v>
      </c>
      <c r="X13" s="283">
        <v>48</v>
      </c>
      <c r="Y13" s="283">
        <v>47</v>
      </c>
      <c r="Z13" s="283">
        <v>46</v>
      </c>
      <c r="AA13" s="283">
        <v>45</v>
      </c>
      <c r="AB13" s="283">
        <v>45</v>
      </c>
      <c r="AC13" s="283">
        <v>45</v>
      </c>
      <c r="AD13" s="283">
        <v>45</v>
      </c>
      <c r="AE13" s="283">
        <v>45</v>
      </c>
      <c r="AF13" s="283">
        <v>45</v>
      </c>
      <c r="AG13" s="283">
        <v>45</v>
      </c>
      <c r="AH13" s="283">
        <v>45</v>
      </c>
      <c r="AI13" s="283">
        <v>45</v>
      </c>
      <c r="AJ13" s="283">
        <v>45</v>
      </c>
    </row>
    <row r="14" spans="1:36">
      <c r="A14" s="123"/>
      <c r="B14" s="123" t="s">
        <v>192</v>
      </c>
      <c r="C14" s="123"/>
      <c r="D14" s="123"/>
      <c r="E14" s="170"/>
      <c r="F14" s="283">
        <v>49.514563106796118</v>
      </c>
      <c r="G14" s="283">
        <v>51</v>
      </c>
      <c r="H14" s="283">
        <v>52</v>
      </c>
      <c r="I14" s="283">
        <v>52</v>
      </c>
      <c r="J14" s="283">
        <v>52</v>
      </c>
      <c r="K14" s="283">
        <v>52</v>
      </c>
      <c r="L14" s="283">
        <v>52</v>
      </c>
      <c r="M14" s="283">
        <v>50</v>
      </c>
      <c r="N14" s="283">
        <v>48</v>
      </c>
      <c r="O14" s="283">
        <v>45</v>
      </c>
      <c r="P14" s="283">
        <v>43</v>
      </c>
      <c r="Q14" s="283">
        <v>41</v>
      </c>
      <c r="R14" s="283">
        <v>40</v>
      </c>
      <c r="S14" s="283">
        <v>39</v>
      </c>
      <c r="T14" s="283">
        <v>37</v>
      </c>
      <c r="U14" s="283">
        <v>36</v>
      </c>
      <c r="V14" s="283">
        <v>35</v>
      </c>
      <c r="W14" s="283">
        <v>35</v>
      </c>
      <c r="X14" s="283">
        <v>35</v>
      </c>
      <c r="Y14" s="283">
        <v>34</v>
      </c>
      <c r="Z14" s="283">
        <v>34</v>
      </c>
      <c r="AA14" s="283">
        <v>34</v>
      </c>
      <c r="AB14" s="283">
        <v>34</v>
      </c>
      <c r="AC14" s="283">
        <v>34</v>
      </c>
      <c r="AD14" s="283">
        <v>34</v>
      </c>
      <c r="AE14" s="283">
        <v>34</v>
      </c>
      <c r="AF14" s="283">
        <v>34</v>
      </c>
      <c r="AG14" s="283">
        <v>34</v>
      </c>
      <c r="AH14" s="283">
        <v>34</v>
      </c>
      <c r="AI14" s="283">
        <v>34</v>
      </c>
      <c r="AJ14" s="283">
        <v>34</v>
      </c>
    </row>
    <row r="15" spans="1:36">
      <c r="A15" s="123"/>
      <c r="B15" s="123"/>
      <c r="C15" s="123"/>
      <c r="D15" s="123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</row>
    <row r="16" spans="1:36">
      <c r="A16" s="187" t="s">
        <v>190</v>
      </c>
      <c r="B16" s="123"/>
      <c r="C16" s="123"/>
      <c r="D16" s="123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</row>
    <row r="17" spans="1:46">
      <c r="A17" s="123"/>
      <c r="B17" s="123" t="s">
        <v>191</v>
      </c>
      <c r="C17" s="172"/>
      <c r="D17" s="172"/>
      <c r="E17" s="170"/>
      <c r="F17" s="283">
        <v>65.92</v>
      </c>
      <c r="G17" s="283">
        <v>67.897599999999997</v>
      </c>
      <c r="H17" s="283">
        <v>67.749074000000007</v>
      </c>
      <c r="I17" s="283">
        <v>68.656037409999996</v>
      </c>
      <c r="J17" s="283">
        <v>68.397170383699986</v>
      </c>
      <c r="K17" s="283">
        <v>69.255033198682</v>
      </c>
      <c r="L17" s="283">
        <v>70.10281032921759</v>
      </c>
      <c r="M17" s="283">
        <v>70.939124557706492</v>
      </c>
      <c r="N17" s="283">
        <v>73.067298294437691</v>
      </c>
      <c r="O17" s="283">
        <v>73.915400863926692</v>
      </c>
      <c r="P17" s="283">
        <v>76.132862889844503</v>
      </c>
      <c r="Q17" s="283">
        <v>76.991087889693645</v>
      </c>
      <c r="R17" s="283">
        <v>79.300820526384456</v>
      </c>
      <c r="S17" s="283">
        <v>80.167255417320888</v>
      </c>
      <c r="T17" s="283">
        <v>81.014305663239753</v>
      </c>
      <c r="U17" s="283">
        <v>81.840028394038143</v>
      </c>
      <c r="V17" s="283">
        <v>82.642381613587531</v>
      </c>
      <c r="W17" s="283">
        <v>83.41922000075526</v>
      </c>
      <c r="X17" s="283">
        <v>84.168290547700821</v>
      </c>
      <c r="Y17" s="283">
        <v>84.88722802946242</v>
      </c>
      <c r="Z17" s="283">
        <v>85.573550298636789</v>
      </c>
      <c r="AA17" s="283">
        <v>86.224653398735114</v>
      </c>
      <c r="AB17" s="283">
        <v>86.224653398735114</v>
      </c>
      <c r="AC17" s="283">
        <v>86.224653398735114</v>
      </c>
      <c r="AD17" s="283">
        <v>86.224653398735114</v>
      </c>
      <c r="AE17" s="283">
        <v>86.224653398735114</v>
      </c>
      <c r="AF17" s="283">
        <v>86.224653398735114</v>
      </c>
      <c r="AG17" s="283">
        <v>86.224653398735114</v>
      </c>
      <c r="AH17" s="283">
        <v>86.224653398735114</v>
      </c>
      <c r="AI17" s="283">
        <v>86.224653398735114</v>
      </c>
      <c r="AJ17" s="283">
        <v>86.224653398735114</v>
      </c>
    </row>
    <row r="18" spans="1:46">
      <c r="A18" s="123"/>
      <c r="B18" s="123" t="s">
        <v>192</v>
      </c>
      <c r="C18" s="123"/>
      <c r="D18" s="123"/>
      <c r="E18" s="170"/>
      <c r="F18" s="283">
        <v>52.53</v>
      </c>
      <c r="G18" s="283">
        <v>54.105899999999998</v>
      </c>
      <c r="H18" s="283">
        <v>56.821804</v>
      </c>
      <c r="I18" s="283">
        <v>58.526458119999994</v>
      </c>
      <c r="J18" s="283">
        <v>60.282251863599996</v>
      </c>
      <c r="K18" s="283">
        <v>62.090719419507991</v>
      </c>
      <c r="L18" s="283">
        <v>63.953441002093243</v>
      </c>
      <c r="M18" s="283">
        <v>63.338504069380789</v>
      </c>
      <c r="N18" s="283">
        <v>62.629112823803737</v>
      </c>
      <c r="O18" s="283">
        <v>60.476237070485482</v>
      </c>
      <c r="P18" s="283">
        <v>59.522056441151157</v>
      </c>
      <c r="Q18" s="283">
        <v>58.456196360693326</v>
      </c>
      <c r="R18" s="283">
        <v>58.741348538062553</v>
      </c>
      <c r="S18" s="283">
        <v>58.990999269349331</v>
      </c>
      <c r="T18" s="283">
        <v>57.644794414228286</v>
      </c>
      <c r="U18" s="283">
        <v>57.769431807556337</v>
      </c>
      <c r="V18" s="283">
        <v>57.849667129511275</v>
      </c>
      <c r="W18" s="283">
        <v>59.585157143396614</v>
      </c>
      <c r="X18" s="283">
        <v>61.372711857698505</v>
      </c>
      <c r="Y18" s="283">
        <v>61.407781978760056</v>
      </c>
      <c r="Z18" s="283">
        <v>63.250015438122844</v>
      </c>
      <c r="AA18" s="283">
        <v>65.14751590126653</v>
      </c>
      <c r="AB18" s="283">
        <v>65.14751590126653</v>
      </c>
      <c r="AC18" s="283">
        <v>65.14751590126653</v>
      </c>
      <c r="AD18" s="283">
        <v>65.14751590126653</v>
      </c>
      <c r="AE18" s="283">
        <v>65.14751590126653</v>
      </c>
      <c r="AF18" s="283">
        <v>65.14751590126653</v>
      </c>
      <c r="AG18" s="283">
        <v>65.14751590126653</v>
      </c>
      <c r="AH18" s="283">
        <v>65.14751590126653</v>
      </c>
      <c r="AI18" s="283">
        <v>65.14751590126653</v>
      </c>
      <c r="AJ18" s="283">
        <v>65.14751590126653</v>
      </c>
    </row>
    <row r="19" spans="1:46">
      <c r="A19" s="187" t="s">
        <v>268</v>
      </c>
      <c r="B19" s="123"/>
      <c r="C19" s="123"/>
      <c r="D19" s="123"/>
      <c r="E19" s="123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6"/>
      <c r="AJ19" s="166"/>
    </row>
    <row r="20" spans="1:46">
      <c r="A20" s="380">
        <v>1</v>
      </c>
      <c r="B20" s="123" t="s">
        <v>194</v>
      </c>
      <c r="C20" s="123"/>
      <c r="D20" s="123"/>
      <c r="E20" s="173"/>
      <c r="F20" s="173">
        <f>F17/12</f>
        <v>5.4933333333333332</v>
      </c>
      <c r="G20" s="173">
        <f t="shared" ref="G20:Z20" si="4">G17/12</f>
        <v>5.6581333333333328</v>
      </c>
      <c r="H20" s="173">
        <f t="shared" si="4"/>
        <v>5.6457561666666676</v>
      </c>
      <c r="I20" s="173">
        <f t="shared" si="4"/>
        <v>5.7213364508333333</v>
      </c>
      <c r="J20" s="173">
        <f t="shared" si="4"/>
        <v>5.6997641986416658</v>
      </c>
      <c r="K20" s="173">
        <f t="shared" si="4"/>
        <v>5.7712527665568336</v>
      </c>
      <c r="L20" s="173">
        <f t="shared" si="4"/>
        <v>5.8419008607681322</v>
      </c>
      <c r="M20" s="173">
        <f t="shared" si="4"/>
        <v>5.9115937131422074</v>
      </c>
      <c r="N20" s="173">
        <f t="shared" si="4"/>
        <v>6.088941524536474</v>
      </c>
      <c r="O20" s="173">
        <f t="shared" si="4"/>
        <v>6.1596167386605574</v>
      </c>
      <c r="P20" s="173">
        <f t="shared" si="4"/>
        <v>6.3444052408203753</v>
      </c>
      <c r="Q20" s="173">
        <f t="shared" si="4"/>
        <v>6.4159239908078041</v>
      </c>
      <c r="R20" s="173">
        <f t="shared" si="4"/>
        <v>6.6084017105320383</v>
      </c>
      <c r="S20" s="173">
        <f t="shared" si="4"/>
        <v>6.680604618110074</v>
      </c>
      <c r="T20" s="173">
        <f t="shared" si="4"/>
        <v>6.7511921386033125</v>
      </c>
      <c r="U20" s="173">
        <f t="shared" si="4"/>
        <v>6.8200023661698452</v>
      </c>
      <c r="V20" s="173">
        <f t="shared" si="4"/>
        <v>6.8868651344656273</v>
      </c>
      <c r="W20" s="173">
        <f t="shared" si="4"/>
        <v>6.951601666729605</v>
      </c>
      <c r="X20" s="173">
        <f t="shared" si="4"/>
        <v>7.014024212308402</v>
      </c>
      <c r="Y20" s="173">
        <f t="shared" si="4"/>
        <v>7.0739356691218687</v>
      </c>
      <c r="Z20" s="173">
        <f t="shared" si="4"/>
        <v>7.1311291915530655</v>
      </c>
      <c r="AA20" s="173">
        <f t="shared" ref="AA20:AJ20" si="5">AA17/12</f>
        <v>7.1853877832279265</v>
      </c>
      <c r="AB20" s="173">
        <f t="shared" si="5"/>
        <v>7.1853877832279265</v>
      </c>
      <c r="AC20" s="173">
        <f t="shared" si="5"/>
        <v>7.1853877832279265</v>
      </c>
      <c r="AD20" s="173">
        <f t="shared" si="5"/>
        <v>7.1853877832279265</v>
      </c>
      <c r="AE20" s="173">
        <f t="shared" si="5"/>
        <v>7.1853877832279265</v>
      </c>
      <c r="AF20" s="173">
        <f t="shared" si="5"/>
        <v>7.1853877832279265</v>
      </c>
      <c r="AG20" s="173">
        <f t="shared" si="5"/>
        <v>7.1853877832279265</v>
      </c>
      <c r="AH20" s="173">
        <f t="shared" si="5"/>
        <v>7.1853877832279265</v>
      </c>
      <c r="AI20" s="173">
        <f t="shared" si="5"/>
        <v>7.1853877832279265</v>
      </c>
      <c r="AJ20" s="173">
        <f t="shared" si="5"/>
        <v>7.1853877832279265</v>
      </c>
    </row>
    <row r="21" spans="1:46">
      <c r="A21" s="380">
        <v>2</v>
      </c>
      <c r="B21" s="123" t="s">
        <v>195</v>
      </c>
      <c r="C21" s="123"/>
      <c r="D21" s="123"/>
      <c r="E21" s="173"/>
      <c r="F21" s="173">
        <f>F18/12</f>
        <v>4.3775000000000004</v>
      </c>
      <c r="G21" s="173">
        <f t="shared" ref="G21:Z21" si="6">G18/12</f>
        <v>4.5088249999999999</v>
      </c>
      <c r="H21" s="173">
        <f t="shared" si="6"/>
        <v>4.7351503333333334</v>
      </c>
      <c r="I21" s="173">
        <f t="shared" si="6"/>
        <v>4.8772048433333328</v>
      </c>
      <c r="J21" s="173">
        <f t="shared" si="6"/>
        <v>5.023520988633333</v>
      </c>
      <c r="K21" s="173">
        <f t="shared" si="6"/>
        <v>5.1742266182923329</v>
      </c>
      <c r="L21" s="173">
        <f t="shared" si="6"/>
        <v>5.3294534168411039</v>
      </c>
      <c r="M21" s="173">
        <f t="shared" si="6"/>
        <v>5.2782086724483994</v>
      </c>
      <c r="N21" s="173">
        <f t="shared" si="6"/>
        <v>5.2190927353169778</v>
      </c>
      <c r="O21" s="173">
        <f t="shared" si="6"/>
        <v>5.0396864225404565</v>
      </c>
      <c r="P21" s="173">
        <f t="shared" si="6"/>
        <v>4.9601713700959298</v>
      </c>
      <c r="Q21" s="173">
        <f t="shared" si="6"/>
        <v>4.8713496967244438</v>
      </c>
      <c r="R21" s="173">
        <f t="shared" si="6"/>
        <v>4.8951123781718797</v>
      </c>
      <c r="S21" s="173">
        <f t="shared" si="6"/>
        <v>4.9159166057791106</v>
      </c>
      <c r="T21" s="173">
        <f t="shared" si="6"/>
        <v>4.8037328678523572</v>
      </c>
      <c r="U21" s="173">
        <f t="shared" si="6"/>
        <v>4.8141193172963614</v>
      </c>
      <c r="V21" s="173">
        <f t="shared" si="6"/>
        <v>4.8208055941259396</v>
      </c>
      <c r="W21" s="173">
        <f t="shared" si="6"/>
        <v>4.9654297619497179</v>
      </c>
      <c r="X21" s="173">
        <f t="shared" si="6"/>
        <v>5.114392654808209</v>
      </c>
      <c r="Y21" s="173">
        <f t="shared" si="6"/>
        <v>5.117315164896671</v>
      </c>
      <c r="Z21" s="173">
        <f t="shared" si="6"/>
        <v>5.27083461984357</v>
      </c>
      <c r="AA21" s="173">
        <f t="shared" ref="AA21:AJ21" si="7">AA18/12</f>
        <v>5.4289596584388775</v>
      </c>
      <c r="AB21" s="173">
        <f t="shared" si="7"/>
        <v>5.4289596584388775</v>
      </c>
      <c r="AC21" s="173">
        <f t="shared" si="7"/>
        <v>5.4289596584388775</v>
      </c>
      <c r="AD21" s="173">
        <f t="shared" si="7"/>
        <v>5.4289596584388775</v>
      </c>
      <c r="AE21" s="173">
        <f t="shared" si="7"/>
        <v>5.4289596584388775</v>
      </c>
      <c r="AF21" s="173">
        <f t="shared" si="7"/>
        <v>5.4289596584388775</v>
      </c>
      <c r="AG21" s="173">
        <f t="shared" si="7"/>
        <v>5.4289596584388775</v>
      </c>
      <c r="AH21" s="173">
        <f t="shared" si="7"/>
        <v>5.4289596584388775</v>
      </c>
      <c r="AI21" s="173">
        <f t="shared" si="7"/>
        <v>5.4289596584388775</v>
      </c>
      <c r="AJ21" s="173">
        <f t="shared" si="7"/>
        <v>5.4289596584388775</v>
      </c>
    </row>
    <row r="22" spans="1:46">
      <c r="A22" s="380">
        <v>3</v>
      </c>
      <c r="B22" s="123" t="s">
        <v>197</v>
      </c>
      <c r="C22" s="123"/>
      <c r="D22" s="123"/>
      <c r="E22" s="173"/>
      <c r="F22" s="283">
        <v>0</v>
      </c>
      <c r="G22" s="283">
        <v>0</v>
      </c>
      <c r="H22" s="283">
        <v>0</v>
      </c>
      <c r="I22" s="283">
        <v>0</v>
      </c>
      <c r="J22" s="283">
        <v>0</v>
      </c>
      <c r="K22" s="283">
        <v>0</v>
      </c>
      <c r="L22" s="283">
        <v>0</v>
      </c>
      <c r="M22" s="283">
        <v>0</v>
      </c>
      <c r="N22" s="283">
        <v>0</v>
      </c>
      <c r="O22" s="283">
        <v>0</v>
      </c>
      <c r="P22" s="283">
        <v>0</v>
      </c>
      <c r="Q22" s="283">
        <v>0</v>
      </c>
      <c r="R22" s="283">
        <v>0</v>
      </c>
      <c r="S22" s="283">
        <v>0</v>
      </c>
      <c r="T22" s="283">
        <v>0</v>
      </c>
      <c r="U22" s="283">
        <v>0</v>
      </c>
      <c r="V22" s="283">
        <v>0</v>
      </c>
      <c r="W22" s="283">
        <v>0</v>
      </c>
      <c r="X22" s="283">
        <v>0</v>
      </c>
      <c r="Y22" s="283">
        <v>0</v>
      </c>
      <c r="Z22" s="283">
        <v>0</v>
      </c>
      <c r="AA22" s="283">
        <v>0</v>
      </c>
      <c r="AB22" s="283">
        <v>0</v>
      </c>
      <c r="AC22" s="283">
        <v>0</v>
      </c>
      <c r="AD22" s="283">
        <v>0</v>
      </c>
      <c r="AE22" s="283">
        <v>0</v>
      </c>
      <c r="AF22" s="283">
        <v>0</v>
      </c>
      <c r="AG22" s="283">
        <v>0</v>
      </c>
      <c r="AH22" s="283">
        <v>0</v>
      </c>
      <c r="AI22" s="283">
        <v>0</v>
      </c>
      <c r="AJ22" s="283">
        <v>0</v>
      </c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</row>
    <row r="23" spans="1:46">
      <c r="A23" s="380">
        <v>4</v>
      </c>
      <c r="B23" s="123" t="s">
        <v>72</v>
      </c>
      <c r="C23" s="123"/>
      <c r="D23" s="123"/>
      <c r="E23" s="173"/>
      <c r="F23" s="283">
        <v>4.5</v>
      </c>
      <c r="G23" s="283">
        <f>+F23</f>
        <v>4.5</v>
      </c>
      <c r="H23" s="283">
        <f t="shared" ref="H23:AJ23" si="8">+G23</f>
        <v>4.5</v>
      </c>
      <c r="I23" s="283">
        <f t="shared" si="8"/>
        <v>4.5</v>
      </c>
      <c r="J23" s="283">
        <f t="shared" si="8"/>
        <v>4.5</v>
      </c>
      <c r="K23" s="283">
        <f t="shared" si="8"/>
        <v>4.5</v>
      </c>
      <c r="L23" s="283">
        <f t="shared" si="8"/>
        <v>4.5</v>
      </c>
      <c r="M23" s="283">
        <f t="shared" si="8"/>
        <v>4.5</v>
      </c>
      <c r="N23" s="283">
        <f t="shared" si="8"/>
        <v>4.5</v>
      </c>
      <c r="O23" s="283">
        <f t="shared" si="8"/>
        <v>4.5</v>
      </c>
      <c r="P23" s="283">
        <f t="shared" si="8"/>
        <v>4.5</v>
      </c>
      <c r="Q23" s="283">
        <f t="shared" si="8"/>
        <v>4.5</v>
      </c>
      <c r="R23" s="283">
        <f t="shared" si="8"/>
        <v>4.5</v>
      </c>
      <c r="S23" s="283">
        <f t="shared" si="8"/>
        <v>4.5</v>
      </c>
      <c r="T23" s="283">
        <f t="shared" si="8"/>
        <v>4.5</v>
      </c>
      <c r="U23" s="283">
        <f t="shared" si="8"/>
        <v>4.5</v>
      </c>
      <c r="V23" s="283">
        <f t="shared" si="8"/>
        <v>4.5</v>
      </c>
      <c r="W23" s="283">
        <f t="shared" si="8"/>
        <v>4.5</v>
      </c>
      <c r="X23" s="283">
        <f t="shared" si="8"/>
        <v>4.5</v>
      </c>
      <c r="Y23" s="283">
        <f t="shared" si="8"/>
        <v>4.5</v>
      </c>
      <c r="Z23" s="283">
        <f t="shared" si="8"/>
        <v>4.5</v>
      </c>
      <c r="AA23" s="283">
        <f t="shared" si="8"/>
        <v>4.5</v>
      </c>
      <c r="AB23" s="283">
        <f t="shared" si="8"/>
        <v>4.5</v>
      </c>
      <c r="AC23" s="283">
        <f t="shared" si="8"/>
        <v>4.5</v>
      </c>
      <c r="AD23" s="283">
        <f t="shared" si="8"/>
        <v>4.5</v>
      </c>
      <c r="AE23" s="283">
        <f t="shared" si="8"/>
        <v>4.5</v>
      </c>
      <c r="AF23" s="283">
        <f t="shared" si="8"/>
        <v>4.5</v>
      </c>
      <c r="AG23" s="283">
        <f t="shared" si="8"/>
        <v>4.5</v>
      </c>
      <c r="AH23" s="283">
        <f t="shared" si="8"/>
        <v>4.5</v>
      </c>
      <c r="AI23" s="283">
        <f t="shared" si="8"/>
        <v>4.5</v>
      </c>
      <c r="AJ23" s="283">
        <f t="shared" si="8"/>
        <v>4.5</v>
      </c>
    </row>
    <row r="24" spans="1:46">
      <c r="A24" s="123"/>
      <c r="B24" s="123"/>
      <c r="C24" s="123"/>
      <c r="D24" s="12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</row>
    <row r="25" spans="1:46">
      <c r="A25" s="123"/>
      <c r="B25" s="174" t="s">
        <v>268</v>
      </c>
      <c r="C25" s="188">
        <v>4</v>
      </c>
      <c r="D25" s="175"/>
      <c r="F25" s="319">
        <f>CHOOSE($C$25,F20,F21,F22,F23)</f>
        <v>4.5</v>
      </c>
      <c r="G25" s="319">
        <f t="shared" ref="G25:AA25" si="9">CHOOSE($C$25,G20,G21,G22,G23)</f>
        <v>4.5</v>
      </c>
      <c r="H25" s="319">
        <f t="shared" si="9"/>
        <v>4.5</v>
      </c>
      <c r="I25" s="319">
        <f t="shared" si="9"/>
        <v>4.5</v>
      </c>
      <c r="J25" s="319">
        <f t="shared" si="9"/>
        <v>4.5</v>
      </c>
      <c r="K25" s="319">
        <f t="shared" si="9"/>
        <v>4.5</v>
      </c>
      <c r="L25" s="319">
        <f t="shared" si="9"/>
        <v>4.5</v>
      </c>
      <c r="M25" s="319">
        <f t="shared" si="9"/>
        <v>4.5</v>
      </c>
      <c r="N25" s="319">
        <f t="shared" si="9"/>
        <v>4.5</v>
      </c>
      <c r="O25" s="319">
        <f t="shared" si="9"/>
        <v>4.5</v>
      </c>
      <c r="P25" s="319">
        <f t="shared" si="9"/>
        <v>4.5</v>
      </c>
      <c r="Q25" s="319">
        <f t="shared" si="9"/>
        <v>4.5</v>
      </c>
      <c r="R25" s="319">
        <f t="shared" si="9"/>
        <v>4.5</v>
      </c>
      <c r="S25" s="319">
        <f t="shared" si="9"/>
        <v>4.5</v>
      </c>
      <c r="T25" s="319">
        <f t="shared" si="9"/>
        <v>4.5</v>
      </c>
      <c r="U25" s="319">
        <f t="shared" si="9"/>
        <v>4.5</v>
      </c>
      <c r="V25" s="319">
        <f t="shared" si="9"/>
        <v>4.5</v>
      </c>
      <c r="W25" s="319">
        <f t="shared" si="9"/>
        <v>4.5</v>
      </c>
      <c r="X25" s="319">
        <f t="shared" si="9"/>
        <v>4.5</v>
      </c>
      <c r="Y25" s="319">
        <f t="shared" si="9"/>
        <v>4.5</v>
      </c>
      <c r="Z25" s="319">
        <f t="shared" si="9"/>
        <v>4.5</v>
      </c>
      <c r="AA25" s="319">
        <f t="shared" si="9"/>
        <v>4.5</v>
      </c>
      <c r="AB25" s="319">
        <f t="shared" ref="AB25:AJ25" si="10">CHOOSE($C$25,AB20,AB21,AB22,AB23)</f>
        <v>4.5</v>
      </c>
      <c r="AC25" s="319">
        <f t="shared" si="10"/>
        <v>4.5</v>
      </c>
      <c r="AD25" s="319">
        <f t="shared" si="10"/>
        <v>4.5</v>
      </c>
      <c r="AE25" s="319">
        <f t="shared" si="10"/>
        <v>4.5</v>
      </c>
      <c r="AF25" s="319">
        <f t="shared" si="10"/>
        <v>4.5</v>
      </c>
      <c r="AG25" s="319">
        <f t="shared" si="10"/>
        <v>4.5</v>
      </c>
      <c r="AH25" s="319">
        <f t="shared" si="10"/>
        <v>4.5</v>
      </c>
      <c r="AI25" s="319">
        <f t="shared" si="10"/>
        <v>4.5</v>
      </c>
      <c r="AJ25" s="319">
        <f t="shared" si="10"/>
        <v>4.5</v>
      </c>
    </row>
    <row r="26" spans="1:46">
      <c r="A26" s="123"/>
      <c r="B26" s="174"/>
      <c r="C26" s="175"/>
      <c r="D26" s="175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1"/>
      <c r="AB26" s="177"/>
      <c r="AC26" s="177"/>
    </row>
    <row r="27" spans="1:46">
      <c r="A27" s="123"/>
      <c r="B27" s="123"/>
      <c r="C27" s="175"/>
      <c r="D27" s="175"/>
      <c r="E27" s="178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46">
      <c r="A28" s="123"/>
      <c r="B28" s="123"/>
      <c r="C28" s="175"/>
      <c r="D28" s="175"/>
      <c r="E28" s="178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</row>
    <row r="29" spans="1:46">
      <c r="A29" s="123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</row>
    <row r="30" spans="1:46">
      <c r="A30" s="123"/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</row>
    <row r="31" spans="1:46" ht="18.75">
      <c r="A31" s="240" t="s">
        <v>351</v>
      </c>
      <c r="B31" s="548"/>
      <c r="C31" s="123"/>
      <c r="D31" s="123"/>
      <c r="E31" s="123"/>
      <c r="F31" s="320">
        <f>(Assumptions!J17/12)</f>
        <v>0.66849315068493154</v>
      </c>
      <c r="G31" s="320">
        <f>F31+1</f>
        <v>1.6684931506849314</v>
      </c>
      <c r="H31" s="320">
        <f t="shared" ref="H31:AJ31" si="11">G31+1</f>
        <v>2.6684931506849314</v>
      </c>
      <c r="I31" s="320">
        <f t="shared" si="11"/>
        <v>3.6684931506849314</v>
      </c>
      <c r="J31" s="320">
        <f t="shared" si="11"/>
        <v>4.668493150684931</v>
      </c>
      <c r="K31" s="320">
        <f t="shared" si="11"/>
        <v>5.668493150684931</v>
      </c>
      <c r="L31" s="320">
        <f t="shared" si="11"/>
        <v>6.668493150684931</v>
      </c>
      <c r="M31" s="320">
        <f t="shared" si="11"/>
        <v>7.668493150684931</v>
      </c>
      <c r="N31" s="320">
        <f t="shared" si="11"/>
        <v>8.668493150684931</v>
      </c>
      <c r="O31" s="320">
        <f t="shared" si="11"/>
        <v>9.668493150684931</v>
      </c>
      <c r="P31" s="320">
        <f t="shared" si="11"/>
        <v>10.668493150684931</v>
      </c>
      <c r="Q31" s="320">
        <f t="shared" si="11"/>
        <v>11.668493150684931</v>
      </c>
      <c r="R31" s="320">
        <f t="shared" si="11"/>
        <v>12.668493150684931</v>
      </c>
      <c r="S31" s="320">
        <f t="shared" si="11"/>
        <v>13.668493150684931</v>
      </c>
      <c r="T31" s="320">
        <f t="shared" si="11"/>
        <v>14.668493150684931</v>
      </c>
      <c r="U31" s="320">
        <f t="shared" si="11"/>
        <v>15.668493150684931</v>
      </c>
      <c r="V31" s="320">
        <f t="shared" si="11"/>
        <v>16.668493150684931</v>
      </c>
      <c r="W31" s="320">
        <f t="shared" si="11"/>
        <v>17.668493150684931</v>
      </c>
      <c r="X31" s="320">
        <f t="shared" si="11"/>
        <v>18.668493150684931</v>
      </c>
      <c r="Y31" s="320">
        <f t="shared" si="11"/>
        <v>19.668493150684931</v>
      </c>
      <c r="Z31" s="320">
        <f t="shared" si="11"/>
        <v>20.668493150684931</v>
      </c>
      <c r="AA31" s="320">
        <f t="shared" si="11"/>
        <v>21.668493150684931</v>
      </c>
      <c r="AB31" s="320">
        <f t="shared" si="11"/>
        <v>22.668493150684931</v>
      </c>
      <c r="AC31" s="320">
        <f t="shared" si="11"/>
        <v>23.668493150684931</v>
      </c>
      <c r="AD31" s="320">
        <f t="shared" si="11"/>
        <v>24.668493150684931</v>
      </c>
      <c r="AE31" s="320">
        <f t="shared" si="11"/>
        <v>25.668493150684931</v>
      </c>
      <c r="AF31" s="320">
        <f t="shared" si="11"/>
        <v>26.668493150684931</v>
      </c>
      <c r="AG31" s="320">
        <f t="shared" si="11"/>
        <v>27.668493150684931</v>
      </c>
      <c r="AH31" s="320">
        <f t="shared" si="11"/>
        <v>28.668493150684931</v>
      </c>
      <c r="AI31" s="320">
        <f t="shared" si="11"/>
        <v>29.668493150684931</v>
      </c>
      <c r="AJ31" s="320">
        <f t="shared" si="11"/>
        <v>30.668493150684931</v>
      </c>
    </row>
    <row r="32" spans="1:46">
      <c r="A32" s="123"/>
      <c r="B32" s="123"/>
      <c r="C32" s="123"/>
      <c r="D32" s="123"/>
      <c r="E32" s="123"/>
      <c r="F32" s="168">
        <f>YEAR(Assumptions!J16)</f>
        <v>2001</v>
      </c>
      <c r="G32" s="168">
        <f t="shared" ref="G32:Z32" si="12">F32+1</f>
        <v>2002</v>
      </c>
      <c r="H32" s="168">
        <f t="shared" si="12"/>
        <v>2003</v>
      </c>
      <c r="I32" s="168">
        <f t="shared" si="12"/>
        <v>2004</v>
      </c>
      <c r="J32" s="168">
        <f t="shared" si="12"/>
        <v>2005</v>
      </c>
      <c r="K32" s="168">
        <f t="shared" si="12"/>
        <v>2006</v>
      </c>
      <c r="L32" s="168">
        <f t="shared" si="12"/>
        <v>2007</v>
      </c>
      <c r="M32" s="168">
        <f t="shared" si="12"/>
        <v>2008</v>
      </c>
      <c r="N32" s="168">
        <f t="shared" si="12"/>
        <v>2009</v>
      </c>
      <c r="O32" s="168">
        <f t="shared" si="12"/>
        <v>2010</v>
      </c>
      <c r="P32" s="168">
        <f t="shared" si="12"/>
        <v>2011</v>
      </c>
      <c r="Q32" s="168">
        <f t="shared" si="12"/>
        <v>2012</v>
      </c>
      <c r="R32" s="168">
        <f t="shared" si="12"/>
        <v>2013</v>
      </c>
      <c r="S32" s="168">
        <f t="shared" si="12"/>
        <v>2014</v>
      </c>
      <c r="T32" s="168">
        <f t="shared" si="12"/>
        <v>2015</v>
      </c>
      <c r="U32" s="168">
        <f t="shared" si="12"/>
        <v>2016</v>
      </c>
      <c r="V32" s="168">
        <f t="shared" si="12"/>
        <v>2017</v>
      </c>
      <c r="W32" s="168">
        <f t="shared" si="12"/>
        <v>2018</v>
      </c>
      <c r="X32" s="168">
        <f t="shared" si="12"/>
        <v>2019</v>
      </c>
      <c r="Y32" s="168">
        <f t="shared" si="12"/>
        <v>2020</v>
      </c>
      <c r="Z32" s="168">
        <f t="shared" si="12"/>
        <v>2021</v>
      </c>
      <c r="AA32" s="168">
        <f>Z32+1</f>
        <v>2022</v>
      </c>
      <c r="AB32" s="168">
        <f t="shared" ref="AB32:AJ32" si="13">AA32+1</f>
        <v>2023</v>
      </c>
      <c r="AC32" s="168">
        <f t="shared" si="13"/>
        <v>2024</v>
      </c>
      <c r="AD32" s="168">
        <f t="shared" si="13"/>
        <v>2025</v>
      </c>
      <c r="AE32" s="168">
        <f t="shared" si="13"/>
        <v>2026</v>
      </c>
      <c r="AF32" s="168">
        <f t="shared" si="13"/>
        <v>2027</v>
      </c>
      <c r="AG32" s="168">
        <f t="shared" si="13"/>
        <v>2028</v>
      </c>
      <c r="AH32" s="168">
        <f t="shared" si="13"/>
        <v>2029</v>
      </c>
      <c r="AI32" s="168">
        <f t="shared" si="13"/>
        <v>2030</v>
      </c>
      <c r="AJ32" s="168">
        <f t="shared" si="13"/>
        <v>2031</v>
      </c>
    </row>
    <row r="33" spans="1:36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34" spans="1:36">
      <c r="A34" s="187" t="s">
        <v>352</v>
      </c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</row>
    <row r="35" spans="1:36">
      <c r="A35" s="123">
        <v>1</v>
      </c>
      <c r="B35" s="123" t="s">
        <v>353</v>
      </c>
      <c r="C35" s="169"/>
      <c r="D35" s="169"/>
      <c r="E35" s="170"/>
      <c r="F35" s="283">
        <v>2.2000000000000002</v>
      </c>
      <c r="G35" s="283">
        <v>2.2000000000000002</v>
      </c>
      <c r="H35" s="283">
        <v>2.2000000000000002</v>
      </c>
      <c r="I35" s="283">
        <v>2.2000000000000002</v>
      </c>
      <c r="J35" s="283">
        <v>2.2000000000000002</v>
      </c>
      <c r="K35" s="283">
        <v>2.2000000000000002</v>
      </c>
      <c r="L35" s="283">
        <v>2.2000000000000002</v>
      </c>
      <c r="M35" s="283">
        <v>2.2000000000000002</v>
      </c>
      <c r="N35" s="283">
        <v>2.2000000000000002</v>
      </c>
      <c r="O35" s="283">
        <v>2.2000000000000002</v>
      </c>
      <c r="P35" s="283">
        <v>2.2000000000000002</v>
      </c>
      <c r="Q35" s="283">
        <v>2.2000000000000002</v>
      </c>
      <c r="R35" s="283">
        <v>2.2000000000000002</v>
      </c>
      <c r="S35" s="283">
        <v>2.2000000000000002</v>
      </c>
      <c r="T35" s="283">
        <v>2.2000000000000002</v>
      </c>
      <c r="U35" s="283">
        <v>2.2000000000000002</v>
      </c>
      <c r="V35" s="283">
        <v>2.2000000000000002</v>
      </c>
      <c r="W35" s="283">
        <v>2.2000000000000002</v>
      </c>
      <c r="X35" s="283">
        <v>2.2000000000000002</v>
      </c>
      <c r="Y35" s="283">
        <v>2.2000000000000002</v>
      </c>
      <c r="Z35" s="283">
        <v>2.2000000000000002</v>
      </c>
      <c r="AA35" s="283">
        <v>2.2000000000000002</v>
      </c>
      <c r="AB35" s="283">
        <v>2.2000000000000002</v>
      </c>
      <c r="AC35" s="283">
        <v>2.2000000000000002</v>
      </c>
      <c r="AD35" s="283">
        <v>2.2000000000000002</v>
      </c>
      <c r="AE35" s="283">
        <v>2.2000000000000002</v>
      </c>
      <c r="AF35" s="283">
        <v>2.2000000000000002</v>
      </c>
      <c r="AG35" s="283">
        <v>2.2000000000000002</v>
      </c>
      <c r="AH35" s="283">
        <v>2.2000000000000002</v>
      </c>
      <c r="AI35" s="283">
        <v>2.2000000000000002</v>
      </c>
      <c r="AJ35" s="283">
        <v>2.2000000000000002</v>
      </c>
    </row>
    <row r="36" spans="1:36">
      <c r="A36" s="123">
        <v>2</v>
      </c>
      <c r="B36" s="123" t="s">
        <v>354</v>
      </c>
      <c r="C36" s="123"/>
      <c r="D36" s="123"/>
      <c r="E36" s="170"/>
      <c r="F36" s="283">
        <v>2</v>
      </c>
      <c r="G36" s="283">
        <v>2</v>
      </c>
      <c r="H36" s="283">
        <v>2</v>
      </c>
      <c r="I36" s="283">
        <v>2</v>
      </c>
      <c r="J36" s="283">
        <v>2</v>
      </c>
      <c r="K36" s="283">
        <v>2</v>
      </c>
      <c r="L36" s="283">
        <v>2</v>
      </c>
      <c r="M36" s="283">
        <v>2</v>
      </c>
      <c r="N36" s="283">
        <v>2</v>
      </c>
      <c r="O36" s="283">
        <v>2</v>
      </c>
      <c r="P36" s="283">
        <v>2</v>
      </c>
      <c r="Q36" s="283">
        <v>2</v>
      </c>
      <c r="R36" s="283">
        <v>2</v>
      </c>
      <c r="S36" s="283">
        <v>2</v>
      </c>
      <c r="T36" s="283">
        <v>2</v>
      </c>
      <c r="U36" s="283">
        <v>2</v>
      </c>
      <c r="V36" s="283">
        <v>2</v>
      </c>
      <c r="W36" s="283">
        <v>2</v>
      </c>
      <c r="X36" s="283">
        <v>2</v>
      </c>
      <c r="Y36" s="283">
        <v>2</v>
      </c>
      <c r="Z36" s="283">
        <v>2</v>
      </c>
      <c r="AA36" s="283">
        <v>2</v>
      </c>
      <c r="AB36" s="283">
        <v>2</v>
      </c>
      <c r="AC36" s="283">
        <v>2</v>
      </c>
      <c r="AD36" s="283">
        <v>2</v>
      </c>
      <c r="AE36" s="283">
        <v>2</v>
      </c>
      <c r="AF36" s="283">
        <v>2</v>
      </c>
      <c r="AG36" s="283">
        <v>2</v>
      </c>
      <c r="AH36" s="283">
        <v>2</v>
      </c>
      <c r="AI36" s="283">
        <v>2</v>
      </c>
      <c r="AJ36" s="283">
        <v>2</v>
      </c>
    </row>
    <row r="37" spans="1:36">
      <c r="A37" s="123"/>
      <c r="B37" s="123" t="s">
        <v>355</v>
      </c>
      <c r="C37" s="123"/>
      <c r="D37" s="123"/>
      <c r="E37" s="123"/>
      <c r="F37" s="549">
        <v>0</v>
      </c>
      <c r="G37" s="549">
        <v>0</v>
      </c>
      <c r="H37" s="549">
        <v>0</v>
      </c>
      <c r="I37" s="549">
        <v>0</v>
      </c>
      <c r="J37" s="549">
        <v>0</v>
      </c>
      <c r="K37" s="549">
        <v>0</v>
      </c>
      <c r="L37" s="549">
        <v>0</v>
      </c>
      <c r="M37" s="549">
        <v>0</v>
      </c>
      <c r="N37" s="549">
        <v>0</v>
      </c>
      <c r="O37" s="549">
        <v>0</v>
      </c>
      <c r="P37" s="549">
        <v>0</v>
      </c>
      <c r="Q37" s="549">
        <v>0</v>
      </c>
      <c r="R37" s="549">
        <v>0</v>
      </c>
      <c r="S37" s="549">
        <v>0</v>
      </c>
      <c r="T37" s="549">
        <v>0</v>
      </c>
      <c r="U37" s="549">
        <v>0</v>
      </c>
      <c r="V37" s="549">
        <v>0</v>
      </c>
      <c r="W37" s="549">
        <v>0</v>
      </c>
      <c r="X37" s="549">
        <v>0</v>
      </c>
      <c r="Y37" s="549">
        <v>0</v>
      </c>
      <c r="Z37" s="549">
        <v>0</v>
      </c>
      <c r="AA37" s="549">
        <v>0</v>
      </c>
      <c r="AB37" s="549">
        <v>0</v>
      </c>
      <c r="AC37" s="549">
        <v>0</v>
      </c>
      <c r="AD37" s="549">
        <v>0</v>
      </c>
      <c r="AE37" s="549">
        <v>0</v>
      </c>
      <c r="AF37" s="549">
        <v>0</v>
      </c>
      <c r="AG37" s="549">
        <v>0</v>
      </c>
      <c r="AH37" s="549">
        <v>0</v>
      </c>
      <c r="AI37" s="549">
        <v>0</v>
      </c>
      <c r="AJ37" s="549">
        <v>0</v>
      </c>
    </row>
    <row r="38" spans="1:36">
      <c r="A38" s="123"/>
      <c r="B38" s="123"/>
      <c r="C38" s="123"/>
      <c r="D38" s="123"/>
    </row>
    <row r="39" spans="1:36">
      <c r="A39" s="123"/>
      <c r="B39" s="174" t="s">
        <v>268</v>
      </c>
      <c r="C39" s="188">
        <v>1</v>
      </c>
      <c r="D39" s="123"/>
      <c r="F39" s="319">
        <f>CHOOSE($C$39,F35+F37,F36+F37)</f>
        <v>2.2000000000000002</v>
      </c>
      <c r="G39" s="319">
        <f t="shared" ref="G39:AJ39" si="14">CHOOSE($C$39,G35+G37,G36+G37)</f>
        <v>2.2000000000000002</v>
      </c>
      <c r="H39" s="319">
        <f t="shared" si="14"/>
        <v>2.2000000000000002</v>
      </c>
      <c r="I39" s="319">
        <f t="shared" si="14"/>
        <v>2.2000000000000002</v>
      </c>
      <c r="J39" s="319">
        <f t="shared" si="14"/>
        <v>2.2000000000000002</v>
      </c>
      <c r="K39" s="319">
        <f t="shared" si="14"/>
        <v>2.2000000000000002</v>
      </c>
      <c r="L39" s="319">
        <f t="shared" si="14"/>
        <v>2.2000000000000002</v>
      </c>
      <c r="M39" s="319">
        <f t="shared" si="14"/>
        <v>2.2000000000000002</v>
      </c>
      <c r="N39" s="319">
        <f t="shared" si="14"/>
        <v>2.2000000000000002</v>
      </c>
      <c r="O39" s="319">
        <f t="shared" si="14"/>
        <v>2.2000000000000002</v>
      </c>
      <c r="P39" s="319">
        <f t="shared" si="14"/>
        <v>2.2000000000000002</v>
      </c>
      <c r="Q39" s="319">
        <f t="shared" si="14"/>
        <v>2.2000000000000002</v>
      </c>
      <c r="R39" s="319">
        <f t="shared" si="14"/>
        <v>2.2000000000000002</v>
      </c>
      <c r="S39" s="319">
        <f t="shared" si="14"/>
        <v>2.2000000000000002</v>
      </c>
      <c r="T39" s="319">
        <f t="shared" si="14"/>
        <v>2.2000000000000002</v>
      </c>
      <c r="U39" s="319">
        <f t="shared" si="14"/>
        <v>2.2000000000000002</v>
      </c>
      <c r="V39" s="319">
        <f t="shared" si="14"/>
        <v>2.2000000000000002</v>
      </c>
      <c r="W39" s="319">
        <f t="shared" si="14"/>
        <v>2.2000000000000002</v>
      </c>
      <c r="X39" s="319">
        <f t="shared" si="14"/>
        <v>2.2000000000000002</v>
      </c>
      <c r="Y39" s="319">
        <f t="shared" si="14"/>
        <v>2.2000000000000002</v>
      </c>
      <c r="Z39" s="319">
        <f t="shared" si="14"/>
        <v>2.2000000000000002</v>
      </c>
      <c r="AA39" s="319">
        <f t="shared" si="14"/>
        <v>2.2000000000000002</v>
      </c>
      <c r="AB39" s="319">
        <f t="shared" si="14"/>
        <v>2.2000000000000002</v>
      </c>
      <c r="AC39" s="319">
        <f t="shared" si="14"/>
        <v>2.2000000000000002</v>
      </c>
      <c r="AD39" s="319">
        <f t="shared" si="14"/>
        <v>2.2000000000000002</v>
      </c>
      <c r="AE39" s="319">
        <f t="shared" si="14"/>
        <v>2.2000000000000002</v>
      </c>
      <c r="AF39" s="319">
        <f t="shared" si="14"/>
        <v>2.2000000000000002</v>
      </c>
      <c r="AG39" s="319">
        <f t="shared" si="14"/>
        <v>2.2000000000000002</v>
      </c>
      <c r="AH39" s="319">
        <f t="shared" si="14"/>
        <v>2.2000000000000002</v>
      </c>
      <c r="AI39" s="319">
        <f t="shared" si="14"/>
        <v>2.2000000000000002</v>
      </c>
      <c r="AJ39" s="319">
        <f t="shared" si="14"/>
        <v>2.2000000000000002</v>
      </c>
    </row>
  </sheetData>
  <pageMargins left="0.75" right="0.75" top="1" bottom="1" header="0.5" footer="0.5"/>
  <pageSetup scale="31" orientation="landscape" r:id="rId1"/>
  <headerFooter alignWithMargins="0">
    <oddFooter xml:space="preserve">&amp;L&amp;T, &amp;D&amp;C&amp;F&amp;R&amp;P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V103"/>
  <sheetViews>
    <sheetView showGridLines="0" view="pageBreakPreview" topLeftCell="A23" zoomScaleNormal="100" workbookViewId="0">
      <selection activeCell="D33" sqref="D33"/>
    </sheetView>
  </sheetViews>
  <sheetFormatPr defaultRowHeight="12.75" outlineLevelRow="1" outlineLevelCol="1"/>
  <cols>
    <col min="1" max="1" width="34.42578125" style="14" customWidth="1"/>
    <col min="2" max="2" width="11.28515625" style="14" bestFit="1" customWidth="1"/>
    <col min="3" max="3" width="9.140625" style="14"/>
    <col min="4" max="28" width="12.42578125" style="197" customWidth="1"/>
    <col min="29" max="29" width="12.42578125" style="197" hidden="1" customWidth="1" outlineLevel="1"/>
    <col min="30" max="34" width="12.42578125" style="14" hidden="1" customWidth="1" outlineLevel="1"/>
    <col min="35" max="35" width="9.140625" style="14" collapsed="1"/>
    <col min="36" max="16384" width="9.140625" style="14"/>
  </cols>
  <sheetData>
    <row r="2" spans="1:34" ht="18.75">
      <c r="A2" s="113" t="str">
        <f>Assumptions!B3</f>
        <v>PROJECT NAME: SANTEE COOPER</v>
      </c>
    </row>
    <row r="3" spans="1:34">
      <c r="D3" s="618"/>
    </row>
    <row r="4" spans="1:34" ht="18.75">
      <c r="A4" s="81" t="s">
        <v>216</v>
      </c>
      <c r="B4" s="6"/>
      <c r="D4" s="619"/>
    </row>
    <row r="6" spans="1:34">
      <c r="A6" s="14" t="s">
        <v>318</v>
      </c>
      <c r="D6" s="390">
        <f>'Power Price Assumption'!F9</f>
        <v>0.66849315068493154</v>
      </c>
      <c r="E6" s="390">
        <f>'Power Price Assumption'!G9</f>
        <v>1.6684931506849314</v>
      </c>
      <c r="F6" s="390">
        <f>'Power Price Assumption'!H9</f>
        <v>2.6684931506849314</v>
      </c>
      <c r="G6" s="390">
        <f>'Power Price Assumption'!I9</f>
        <v>3.6684931506849314</v>
      </c>
      <c r="H6" s="390">
        <f>'Power Price Assumption'!J9</f>
        <v>4.668493150684931</v>
      </c>
      <c r="I6" s="390">
        <f>'Power Price Assumption'!K9</f>
        <v>5.668493150684931</v>
      </c>
      <c r="J6" s="390">
        <f>'Power Price Assumption'!L9</f>
        <v>6.668493150684931</v>
      </c>
      <c r="K6" s="390">
        <f>'Power Price Assumption'!M9</f>
        <v>7.668493150684931</v>
      </c>
      <c r="L6" s="390">
        <f>'Power Price Assumption'!N9</f>
        <v>8.668493150684931</v>
      </c>
      <c r="M6" s="390">
        <f>'Power Price Assumption'!O9</f>
        <v>9.668493150684931</v>
      </c>
      <c r="N6" s="390">
        <f>'Power Price Assumption'!P9</f>
        <v>10.668493150684931</v>
      </c>
      <c r="O6" s="390">
        <f>'Power Price Assumption'!Q9</f>
        <v>11.668493150684931</v>
      </c>
      <c r="P6" s="390">
        <f>'Power Price Assumption'!R9</f>
        <v>12.668493150684931</v>
      </c>
      <c r="Q6" s="390">
        <f>'Power Price Assumption'!S9</f>
        <v>13.668493150684931</v>
      </c>
      <c r="R6" s="390">
        <f>'Power Price Assumption'!T9</f>
        <v>14.668493150684931</v>
      </c>
      <c r="S6" s="390">
        <f>'Power Price Assumption'!U9</f>
        <v>15.668493150684931</v>
      </c>
      <c r="T6" s="390">
        <f>'Power Price Assumption'!V9</f>
        <v>16.668493150684931</v>
      </c>
      <c r="U6" s="390">
        <f>'Power Price Assumption'!W9</f>
        <v>17.668493150684931</v>
      </c>
      <c r="V6" s="390">
        <f>'Power Price Assumption'!X9</f>
        <v>18.668493150684931</v>
      </c>
      <c r="W6" s="390">
        <f>'Power Price Assumption'!Y9</f>
        <v>19.668493150684931</v>
      </c>
      <c r="X6" s="390">
        <f>'Power Price Assumption'!Z9</f>
        <v>20.668493150684931</v>
      </c>
      <c r="Y6" s="390">
        <f>'Power Price Assumption'!AA9</f>
        <v>21.668493150684931</v>
      </c>
      <c r="Z6" s="390">
        <f>'Power Price Assumption'!AB9</f>
        <v>22.668493150684931</v>
      </c>
      <c r="AA6" s="390">
        <f>'Power Price Assumption'!AC9</f>
        <v>23.668493150684931</v>
      </c>
      <c r="AB6" s="390">
        <f>'Power Price Assumption'!AD9</f>
        <v>24.668493150684931</v>
      </c>
      <c r="AC6" s="390">
        <f>'Power Price Assumption'!AE9</f>
        <v>25.668493150684931</v>
      </c>
      <c r="AD6" s="390">
        <f>'Power Price Assumption'!AF9</f>
        <v>26.668493150684931</v>
      </c>
      <c r="AE6" s="390">
        <f>'Power Price Assumption'!AG9</f>
        <v>27.668493150684931</v>
      </c>
      <c r="AF6" s="390">
        <f>'Power Price Assumption'!AH9</f>
        <v>28.668493150684931</v>
      </c>
      <c r="AG6" s="390">
        <f>'Power Price Assumption'!AI9</f>
        <v>29.668493150684931</v>
      </c>
      <c r="AH6" s="390">
        <f>'Power Price Assumption'!AJ9</f>
        <v>30.668493150684931</v>
      </c>
    </row>
    <row r="7" spans="1:34" s="7" customFormat="1" ht="13.5" thickBot="1">
      <c r="A7" s="157" t="s">
        <v>73</v>
      </c>
      <c r="B7" s="8"/>
      <c r="C7" s="8"/>
      <c r="D7" s="382">
        <f>'Power Price Assumption'!F10</f>
        <v>2001</v>
      </c>
      <c r="E7" s="382">
        <f>'Power Price Assumption'!G10</f>
        <v>2002</v>
      </c>
      <c r="F7" s="382">
        <f>'Power Price Assumption'!H10</f>
        <v>2003</v>
      </c>
      <c r="G7" s="382">
        <f>'Power Price Assumption'!I10</f>
        <v>2004</v>
      </c>
      <c r="H7" s="382">
        <f>'Power Price Assumption'!J10</f>
        <v>2005</v>
      </c>
      <c r="I7" s="382">
        <f>'Power Price Assumption'!K10</f>
        <v>2006</v>
      </c>
      <c r="J7" s="382">
        <f>'Power Price Assumption'!L10</f>
        <v>2007</v>
      </c>
      <c r="K7" s="382">
        <f>'Power Price Assumption'!M10</f>
        <v>2008</v>
      </c>
      <c r="L7" s="382">
        <f>'Power Price Assumption'!N10</f>
        <v>2009</v>
      </c>
      <c r="M7" s="382">
        <f>'Power Price Assumption'!O10</f>
        <v>2010</v>
      </c>
      <c r="N7" s="382">
        <f>'Power Price Assumption'!P10</f>
        <v>2011</v>
      </c>
      <c r="O7" s="382">
        <f>'Power Price Assumption'!Q10</f>
        <v>2012</v>
      </c>
      <c r="P7" s="382">
        <f>'Power Price Assumption'!R10</f>
        <v>2013</v>
      </c>
      <c r="Q7" s="382">
        <f>'Power Price Assumption'!S10</f>
        <v>2014</v>
      </c>
      <c r="R7" s="382">
        <f>'Power Price Assumption'!T10</f>
        <v>2015</v>
      </c>
      <c r="S7" s="382">
        <f>'Power Price Assumption'!U10</f>
        <v>2016</v>
      </c>
      <c r="T7" s="382">
        <f>'Power Price Assumption'!V10</f>
        <v>2017</v>
      </c>
      <c r="U7" s="382">
        <f>'Power Price Assumption'!W10</f>
        <v>2018</v>
      </c>
      <c r="V7" s="382">
        <f>'Power Price Assumption'!X10</f>
        <v>2019</v>
      </c>
      <c r="W7" s="382">
        <f>'Power Price Assumption'!Y10</f>
        <v>2020</v>
      </c>
      <c r="X7" s="382">
        <f>'Power Price Assumption'!Z10</f>
        <v>2021</v>
      </c>
      <c r="Y7" s="382">
        <f>'Power Price Assumption'!AA10</f>
        <v>2022</v>
      </c>
      <c r="Z7" s="382">
        <f>'Power Price Assumption'!AB10</f>
        <v>2023</v>
      </c>
      <c r="AA7" s="382">
        <f>'Power Price Assumption'!AC10</f>
        <v>2024</v>
      </c>
      <c r="AB7" s="382">
        <f>'Power Price Assumption'!AD10</f>
        <v>2025</v>
      </c>
      <c r="AC7" s="382">
        <f>'Power Price Assumption'!AE10</f>
        <v>2026</v>
      </c>
      <c r="AD7" s="382">
        <f>'Power Price Assumption'!AF10</f>
        <v>2027</v>
      </c>
      <c r="AE7" s="382">
        <f>'Power Price Assumption'!AG10</f>
        <v>2028</v>
      </c>
      <c r="AF7" s="382">
        <f>'Power Price Assumption'!AH10</f>
        <v>2029</v>
      </c>
      <c r="AG7" s="382">
        <f>'Power Price Assumption'!AI10</f>
        <v>2030</v>
      </c>
      <c r="AH7" s="382">
        <f>'Power Price Assumption'!AJ10</f>
        <v>2031</v>
      </c>
    </row>
    <row r="8" spans="1:34">
      <c r="A8" s="3"/>
      <c r="D8" s="565">
        <f>Assumptions!J16</f>
        <v>37256</v>
      </c>
      <c r="E8" s="565">
        <f>D8+365.25</f>
        <v>37621.25</v>
      </c>
      <c r="F8" s="565">
        <f t="shared" ref="F8:Y8" si="0">E8+365.25</f>
        <v>37986.5</v>
      </c>
      <c r="G8" s="565">
        <f t="shared" si="0"/>
        <v>38351.75</v>
      </c>
      <c r="H8" s="565">
        <f t="shared" si="0"/>
        <v>38717</v>
      </c>
      <c r="I8" s="565">
        <f t="shared" si="0"/>
        <v>39082.25</v>
      </c>
      <c r="J8" s="565">
        <f t="shared" si="0"/>
        <v>39447.5</v>
      </c>
      <c r="K8" s="565">
        <f t="shared" si="0"/>
        <v>39812.75</v>
      </c>
      <c r="L8" s="565">
        <f t="shared" si="0"/>
        <v>40178</v>
      </c>
      <c r="M8" s="565">
        <f t="shared" si="0"/>
        <v>40543.25</v>
      </c>
      <c r="N8" s="565">
        <f t="shared" si="0"/>
        <v>40908.5</v>
      </c>
      <c r="O8" s="565">
        <f t="shared" si="0"/>
        <v>41273.75</v>
      </c>
      <c r="P8" s="565">
        <f t="shared" si="0"/>
        <v>41639</v>
      </c>
      <c r="Q8" s="565">
        <f t="shared" si="0"/>
        <v>42004.25</v>
      </c>
      <c r="R8" s="565">
        <f t="shared" si="0"/>
        <v>42369.5</v>
      </c>
      <c r="S8" s="565">
        <f t="shared" si="0"/>
        <v>42734.75</v>
      </c>
      <c r="T8" s="565">
        <f t="shared" si="0"/>
        <v>43100</v>
      </c>
      <c r="U8" s="565">
        <f t="shared" si="0"/>
        <v>43465.25</v>
      </c>
      <c r="V8" s="565">
        <f t="shared" si="0"/>
        <v>43830.5</v>
      </c>
      <c r="W8" s="565">
        <f t="shared" si="0"/>
        <v>44195.75</v>
      </c>
      <c r="X8" s="565">
        <f t="shared" si="0"/>
        <v>44561</v>
      </c>
      <c r="Y8" s="565">
        <f t="shared" si="0"/>
        <v>44926.25</v>
      </c>
      <c r="Z8" s="565">
        <f t="shared" ref="Z8:AH8" si="1">Y8+365.25</f>
        <v>45291.5</v>
      </c>
      <c r="AA8" s="565">
        <f t="shared" si="1"/>
        <v>45656.75</v>
      </c>
      <c r="AB8" s="565">
        <f t="shared" si="1"/>
        <v>46022</v>
      </c>
      <c r="AC8" s="565">
        <f t="shared" si="1"/>
        <v>46387.25</v>
      </c>
      <c r="AD8" s="565">
        <f t="shared" si="1"/>
        <v>46752.5</v>
      </c>
      <c r="AE8" s="565">
        <f t="shared" si="1"/>
        <v>47117.75</v>
      </c>
      <c r="AF8" s="565">
        <f t="shared" si="1"/>
        <v>47483</v>
      </c>
      <c r="AG8" s="565">
        <f t="shared" si="1"/>
        <v>47848.25</v>
      </c>
      <c r="AH8" s="565">
        <f t="shared" si="1"/>
        <v>48213.5</v>
      </c>
    </row>
    <row r="9" spans="1:34">
      <c r="A9" s="3" t="s">
        <v>322</v>
      </c>
      <c r="D9" s="565"/>
      <c r="E9" s="565"/>
      <c r="F9" s="565"/>
      <c r="G9" s="565"/>
      <c r="H9" s="565"/>
      <c r="I9" s="565"/>
      <c r="J9" s="565"/>
      <c r="K9" s="565"/>
      <c r="L9" s="565"/>
      <c r="M9" s="565"/>
      <c r="N9" s="565"/>
      <c r="O9" s="565"/>
      <c r="P9" s="565"/>
      <c r="Q9" s="565"/>
      <c r="R9" s="565"/>
      <c r="S9" s="565"/>
      <c r="T9" s="565"/>
      <c r="U9" s="565"/>
      <c r="V9" s="565"/>
      <c r="W9" s="565"/>
      <c r="X9" s="565"/>
      <c r="Y9" s="565"/>
      <c r="Z9" s="565"/>
      <c r="AA9" s="565"/>
      <c r="AB9" s="565"/>
      <c r="AC9" s="565"/>
      <c r="AD9" s="565"/>
      <c r="AE9" s="565"/>
      <c r="AF9" s="565"/>
      <c r="AG9" s="565"/>
      <c r="AH9" s="565"/>
    </row>
    <row r="10" spans="1:34">
      <c r="A10" s="270" t="s">
        <v>323</v>
      </c>
      <c r="D10" s="620">
        <v>8</v>
      </c>
      <c r="E10" s="620">
        <v>12</v>
      </c>
      <c r="F10" s="620">
        <v>12</v>
      </c>
      <c r="G10" s="620">
        <v>12</v>
      </c>
      <c r="H10" s="620">
        <v>12</v>
      </c>
      <c r="I10" s="620">
        <v>12</v>
      </c>
      <c r="J10" s="620">
        <v>12</v>
      </c>
      <c r="K10" s="620">
        <v>12</v>
      </c>
      <c r="L10" s="620">
        <v>12</v>
      </c>
      <c r="M10" s="620">
        <v>12</v>
      </c>
      <c r="N10" s="620">
        <v>12</v>
      </c>
      <c r="O10" s="620">
        <v>12</v>
      </c>
      <c r="P10" s="620">
        <v>12</v>
      </c>
      <c r="Q10" s="620">
        <v>12</v>
      </c>
      <c r="R10" s="620">
        <v>12</v>
      </c>
      <c r="S10" s="620">
        <v>12</v>
      </c>
      <c r="T10" s="620">
        <v>12</v>
      </c>
      <c r="U10" s="620">
        <v>12</v>
      </c>
      <c r="V10" s="620">
        <v>12</v>
      </c>
      <c r="W10" s="620">
        <v>12</v>
      </c>
      <c r="X10" s="620">
        <v>12</v>
      </c>
      <c r="Y10" s="620">
        <v>12</v>
      </c>
      <c r="Z10" s="620">
        <v>12</v>
      </c>
      <c r="AA10" s="620">
        <v>12</v>
      </c>
      <c r="AB10" s="620">
        <v>12</v>
      </c>
      <c r="AC10" s="620">
        <v>0</v>
      </c>
      <c r="AD10" s="620">
        <v>0</v>
      </c>
      <c r="AE10" s="620">
        <v>0</v>
      </c>
      <c r="AF10" s="620">
        <v>0</v>
      </c>
      <c r="AG10" s="620">
        <v>0</v>
      </c>
      <c r="AH10" s="620">
        <v>0</v>
      </c>
    </row>
    <row r="11" spans="1:34">
      <c r="A11" s="270" t="s">
        <v>324</v>
      </c>
      <c r="D11" s="621">
        <f>D10/12</f>
        <v>0.66666666666666663</v>
      </c>
      <c r="E11" s="621">
        <f t="shared" ref="E11:AH11" si="2">E10/12</f>
        <v>1</v>
      </c>
      <c r="F11" s="621">
        <f t="shared" si="2"/>
        <v>1</v>
      </c>
      <c r="G11" s="621">
        <f t="shared" si="2"/>
        <v>1</v>
      </c>
      <c r="H11" s="621">
        <f t="shared" si="2"/>
        <v>1</v>
      </c>
      <c r="I11" s="621">
        <f t="shared" si="2"/>
        <v>1</v>
      </c>
      <c r="J11" s="621">
        <f t="shared" si="2"/>
        <v>1</v>
      </c>
      <c r="K11" s="621">
        <f t="shared" si="2"/>
        <v>1</v>
      </c>
      <c r="L11" s="621">
        <f t="shared" si="2"/>
        <v>1</v>
      </c>
      <c r="M11" s="621">
        <f t="shared" si="2"/>
        <v>1</v>
      </c>
      <c r="N11" s="621">
        <f t="shared" si="2"/>
        <v>1</v>
      </c>
      <c r="O11" s="621">
        <f t="shared" si="2"/>
        <v>1</v>
      </c>
      <c r="P11" s="621">
        <f t="shared" si="2"/>
        <v>1</v>
      </c>
      <c r="Q11" s="621">
        <f t="shared" si="2"/>
        <v>1</v>
      </c>
      <c r="R11" s="621">
        <f t="shared" si="2"/>
        <v>1</v>
      </c>
      <c r="S11" s="621">
        <f t="shared" si="2"/>
        <v>1</v>
      </c>
      <c r="T11" s="621">
        <f t="shared" si="2"/>
        <v>1</v>
      </c>
      <c r="U11" s="621">
        <f t="shared" si="2"/>
        <v>1</v>
      </c>
      <c r="V11" s="621">
        <f t="shared" si="2"/>
        <v>1</v>
      </c>
      <c r="W11" s="621">
        <f t="shared" si="2"/>
        <v>1</v>
      </c>
      <c r="X11" s="621">
        <f t="shared" si="2"/>
        <v>1</v>
      </c>
      <c r="Y11" s="621">
        <f t="shared" si="2"/>
        <v>1</v>
      </c>
      <c r="Z11" s="621">
        <f t="shared" si="2"/>
        <v>1</v>
      </c>
      <c r="AA11" s="621">
        <f t="shared" si="2"/>
        <v>1</v>
      </c>
      <c r="AB11" s="621">
        <f t="shared" si="2"/>
        <v>1</v>
      </c>
      <c r="AC11" s="621">
        <f t="shared" si="2"/>
        <v>0</v>
      </c>
      <c r="AD11" s="621">
        <f t="shared" si="2"/>
        <v>0</v>
      </c>
      <c r="AE11" s="621">
        <f t="shared" si="2"/>
        <v>0</v>
      </c>
      <c r="AF11" s="621">
        <f t="shared" si="2"/>
        <v>0</v>
      </c>
      <c r="AG11" s="621">
        <f t="shared" si="2"/>
        <v>0</v>
      </c>
      <c r="AH11" s="621">
        <f t="shared" si="2"/>
        <v>0</v>
      </c>
    </row>
    <row r="12" spans="1:34">
      <c r="A12" s="270"/>
      <c r="D12" s="621"/>
      <c r="E12" s="621"/>
      <c r="F12" s="621"/>
      <c r="G12" s="621"/>
      <c r="H12" s="621"/>
      <c r="I12" s="621"/>
      <c r="J12" s="621"/>
      <c r="K12" s="621"/>
      <c r="L12" s="621"/>
      <c r="M12" s="621"/>
      <c r="N12" s="621"/>
      <c r="O12" s="621"/>
      <c r="P12" s="621"/>
      <c r="Q12" s="621"/>
      <c r="R12" s="621"/>
      <c r="S12" s="621"/>
      <c r="T12" s="621"/>
      <c r="U12" s="621"/>
      <c r="V12" s="621"/>
      <c r="W12" s="621"/>
      <c r="X12" s="621"/>
      <c r="Y12" s="621"/>
      <c r="Z12" s="621"/>
      <c r="AA12" s="621"/>
      <c r="AB12" s="621"/>
      <c r="AC12" s="621"/>
      <c r="AD12" s="621"/>
      <c r="AE12" s="621"/>
      <c r="AF12" s="621"/>
      <c r="AG12" s="621"/>
      <c r="AH12" s="621"/>
    </row>
    <row r="13" spans="1:34">
      <c r="A13" s="270" t="s">
        <v>404</v>
      </c>
      <c r="D13" s="397">
        <v>1400</v>
      </c>
      <c r="E13" s="397">
        <f>Assumptions!$J$14*IS!E11</f>
        <v>1400</v>
      </c>
      <c r="F13" s="397">
        <f>Assumptions!$J$14*IS!F11</f>
        <v>1400</v>
      </c>
      <c r="G13" s="397">
        <f>Assumptions!$J$14*IS!G11</f>
        <v>1400</v>
      </c>
      <c r="H13" s="397">
        <f>Assumptions!$J$14*IS!H11</f>
        <v>1400</v>
      </c>
      <c r="I13" s="397">
        <f>Assumptions!$J$14*IS!I11</f>
        <v>1400</v>
      </c>
      <c r="J13" s="397">
        <f>Assumptions!$J$14*IS!J11</f>
        <v>1400</v>
      </c>
      <c r="K13" s="397">
        <f>Assumptions!$J$14*IS!K11</f>
        <v>1400</v>
      </c>
      <c r="L13" s="397">
        <f>Assumptions!$J$14*IS!L11</f>
        <v>1400</v>
      </c>
      <c r="M13" s="397">
        <f>Assumptions!$J$14*IS!M11</f>
        <v>1400</v>
      </c>
      <c r="N13" s="397">
        <f>Assumptions!$J$14*IS!N11</f>
        <v>1400</v>
      </c>
      <c r="O13" s="397">
        <f>Assumptions!$J$14*IS!O11</f>
        <v>1400</v>
      </c>
      <c r="P13" s="397">
        <f>Assumptions!$J$14*IS!P11</f>
        <v>1400</v>
      </c>
      <c r="Q13" s="397">
        <f>Assumptions!$J$14*IS!Q11</f>
        <v>1400</v>
      </c>
      <c r="R13" s="397">
        <f>Assumptions!$J$14*IS!R11</f>
        <v>1400</v>
      </c>
      <c r="S13" s="397">
        <f>Assumptions!$J$14*IS!S11</f>
        <v>1400</v>
      </c>
      <c r="T13" s="397">
        <f>Assumptions!$J$14*IS!T11</f>
        <v>1400</v>
      </c>
      <c r="U13" s="397">
        <f>Assumptions!$J$14*IS!U11</f>
        <v>1400</v>
      </c>
      <c r="V13" s="397">
        <f>Assumptions!$J$14*IS!V11</f>
        <v>1400</v>
      </c>
      <c r="W13" s="397">
        <f>Assumptions!$J$14*IS!W11</f>
        <v>1400</v>
      </c>
      <c r="X13" s="397">
        <f>Assumptions!$J$14*IS!X11</f>
        <v>1400</v>
      </c>
      <c r="Y13" s="397">
        <f>Assumptions!$J$14*IS!Y11</f>
        <v>1400</v>
      </c>
      <c r="Z13" s="397">
        <f>Assumptions!$J$14*IS!Z11</f>
        <v>1400</v>
      </c>
      <c r="AA13" s="397">
        <f>Assumptions!$J$14*IS!AA11</f>
        <v>1400</v>
      </c>
      <c r="AB13" s="397">
        <f>Assumptions!$J$14*IS!AB11</f>
        <v>1400</v>
      </c>
      <c r="AC13" s="621"/>
      <c r="AD13" s="621"/>
      <c r="AE13" s="621"/>
      <c r="AF13" s="621"/>
      <c r="AG13" s="621"/>
      <c r="AH13" s="621"/>
    </row>
    <row r="14" spans="1:34">
      <c r="A14" s="14" t="s">
        <v>405</v>
      </c>
      <c r="D14" s="397">
        <f>D13</f>
        <v>1400</v>
      </c>
      <c r="E14" s="397">
        <f>D14+E13</f>
        <v>2800</v>
      </c>
      <c r="F14" s="397">
        <f t="shared" ref="F14:AB14" si="3">E14+F13</f>
        <v>4200</v>
      </c>
      <c r="G14" s="397">
        <f t="shared" si="3"/>
        <v>5600</v>
      </c>
      <c r="H14" s="397">
        <f t="shared" si="3"/>
        <v>7000</v>
      </c>
      <c r="I14" s="397">
        <f t="shared" si="3"/>
        <v>8400</v>
      </c>
      <c r="J14" s="397">
        <f t="shared" si="3"/>
        <v>9800</v>
      </c>
      <c r="K14" s="397">
        <f t="shared" si="3"/>
        <v>11200</v>
      </c>
      <c r="L14" s="397">
        <f t="shared" si="3"/>
        <v>12600</v>
      </c>
      <c r="M14" s="397">
        <f t="shared" si="3"/>
        <v>14000</v>
      </c>
      <c r="N14" s="397">
        <f t="shared" si="3"/>
        <v>15400</v>
      </c>
      <c r="O14" s="397">
        <f t="shared" si="3"/>
        <v>16800</v>
      </c>
      <c r="P14" s="397">
        <f t="shared" si="3"/>
        <v>18200</v>
      </c>
      <c r="Q14" s="397">
        <f t="shared" si="3"/>
        <v>19600</v>
      </c>
      <c r="R14" s="397">
        <f t="shared" si="3"/>
        <v>21000</v>
      </c>
      <c r="S14" s="397">
        <f t="shared" si="3"/>
        <v>22400</v>
      </c>
      <c r="T14" s="397">
        <f t="shared" si="3"/>
        <v>23800</v>
      </c>
      <c r="U14" s="397">
        <f t="shared" si="3"/>
        <v>25200</v>
      </c>
      <c r="V14" s="397">
        <f t="shared" si="3"/>
        <v>26600</v>
      </c>
      <c r="W14" s="397">
        <f t="shared" si="3"/>
        <v>28000</v>
      </c>
      <c r="X14" s="397">
        <f t="shared" si="3"/>
        <v>29400</v>
      </c>
      <c r="Y14" s="397">
        <f t="shared" si="3"/>
        <v>30800</v>
      </c>
      <c r="Z14" s="397">
        <f t="shared" si="3"/>
        <v>32200</v>
      </c>
      <c r="AA14" s="397">
        <f t="shared" si="3"/>
        <v>33600</v>
      </c>
      <c r="AB14" s="397">
        <f t="shared" si="3"/>
        <v>35000</v>
      </c>
      <c r="AC14" s="621"/>
      <c r="AD14" s="621"/>
      <c r="AE14" s="621"/>
      <c r="AF14" s="621"/>
      <c r="AG14" s="621"/>
      <c r="AH14" s="621"/>
    </row>
    <row r="15" spans="1:34">
      <c r="D15" s="397"/>
      <c r="E15" s="397"/>
      <c r="F15" s="397"/>
      <c r="G15" s="397"/>
      <c r="H15" s="397"/>
      <c r="I15" s="397"/>
      <c r="J15" s="397"/>
      <c r="K15" s="397"/>
      <c r="L15" s="397"/>
      <c r="M15" s="397"/>
      <c r="N15" s="397"/>
      <c r="O15" s="397"/>
      <c r="P15" s="397"/>
      <c r="Q15" s="397"/>
      <c r="R15" s="397"/>
      <c r="S15" s="397"/>
      <c r="T15" s="397"/>
      <c r="U15" s="397"/>
      <c r="V15" s="397"/>
      <c r="W15" s="397"/>
      <c r="X15" s="397"/>
      <c r="Y15" s="397"/>
      <c r="Z15" s="397"/>
      <c r="AA15" s="397"/>
      <c r="AB15" s="397"/>
      <c r="AC15" s="621"/>
      <c r="AD15" s="621"/>
      <c r="AE15" s="621"/>
      <c r="AF15" s="621"/>
      <c r="AG15" s="621"/>
      <c r="AH15" s="621"/>
    </row>
    <row r="16" spans="1:34">
      <c r="D16" s="622"/>
      <c r="E16" s="622"/>
      <c r="F16" s="622"/>
      <c r="G16" s="622"/>
      <c r="H16" s="622"/>
      <c r="I16" s="622"/>
      <c r="J16" s="622"/>
      <c r="K16" s="621"/>
      <c r="L16" s="621"/>
      <c r="M16" s="621"/>
      <c r="N16" s="621"/>
      <c r="O16" s="621"/>
      <c r="P16" s="621"/>
      <c r="Q16" s="621"/>
      <c r="R16" s="621"/>
      <c r="S16" s="621"/>
      <c r="T16" s="621"/>
      <c r="U16" s="621"/>
      <c r="V16" s="621"/>
      <c r="W16" s="621"/>
      <c r="X16" s="621"/>
      <c r="Y16" s="621"/>
      <c r="Z16" s="621"/>
      <c r="AA16" s="621"/>
      <c r="AB16" s="621"/>
      <c r="AC16" s="621"/>
      <c r="AD16" s="621"/>
      <c r="AE16" s="621"/>
      <c r="AF16" s="621"/>
      <c r="AG16" s="621"/>
      <c r="AH16" s="621"/>
    </row>
    <row r="17" spans="1:34" outlineLevel="1">
      <c r="A17" s="270" t="s">
        <v>326</v>
      </c>
      <c r="D17" s="623">
        <f>Assumptions!J17</f>
        <v>8.0219178082191789</v>
      </c>
      <c r="E17" s="624">
        <v>12</v>
      </c>
      <c r="F17" s="625">
        <v>12</v>
      </c>
      <c r="G17" s="620">
        <v>0</v>
      </c>
      <c r="H17" s="620">
        <v>0</v>
      </c>
      <c r="I17" s="620">
        <v>0</v>
      </c>
      <c r="J17" s="620">
        <v>0</v>
      </c>
      <c r="K17" s="620">
        <v>0</v>
      </c>
      <c r="L17" s="620">
        <v>0</v>
      </c>
      <c r="M17" s="620">
        <v>0</v>
      </c>
      <c r="N17" s="620">
        <v>0</v>
      </c>
      <c r="O17" s="620">
        <v>0</v>
      </c>
      <c r="P17" s="620">
        <v>0</v>
      </c>
      <c r="Q17" s="620">
        <v>0</v>
      </c>
      <c r="R17" s="620">
        <v>0</v>
      </c>
      <c r="S17" s="620">
        <v>0</v>
      </c>
      <c r="T17" s="620">
        <v>0</v>
      </c>
      <c r="U17" s="620">
        <v>0</v>
      </c>
      <c r="V17" s="620">
        <v>0</v>
      </c>
      <c r="W17" s="620">
        <v>0</v>
      </c>
      <c r="X17" s="620">
        <v>0</v>
      </c>
      <c r="Y17" s="620">
        <v>0</v>
      </c>
      <c r="Z17" s="620">
        <v>0</v>
      </c>
      <c r="AA17" s="620">
        <v>0</v>
      </c>
      <c r="AB17" s="620">
        <v>0</v>
      </c>
      <c r="AC17" s="620">
        <v>0</v>
      </c>
      <c r="AD17" s="620">
        <v>0</v>
      </c>
      <c r="AE17" s="620">
        <v>0</v>
      </c>
      <c r="AF17" s="620">
        <v>0</v>
      </c>
      <c r="AG17" s="620">
        <v>0</v>
      </c>
      <c r="AH17" s="620">
        <v>0</v>
      </c>
    </row>
    <row r="18" spans="1:34" outlineLevel="1">
      <c r="A18" s="270" t="s">
        <v>319</v>
      </c>
      <c r="D18" s="626">
        <f>D17/12</f>
        <v>0.66849315068493154</v>
      </c>
      <c r="E18" s="626">
        <f t="shared" ref="E18:AH18" si="4">E17/12</f>
        <v>1</v>
      </c>
      <c r="F18" s="626">
        <f t="shared" si="4"/>
        <v>1</v>
      </c>
      <c r="G18" s="626">
        <f t="shared" si="4"/>
        <v>0</v>
      </c>
      <c r="H18" s="626">
        <f t="shared" si="4"/>
        <v>0</v>
      </c>
      <c r="I18" s="626">
        <f t="shared" si="4"/>
        <v>0</v>
      </c>
      <c r="J18" s="626">
        <f t="shared" si="4"/>
        <v>0</v>
      </c>
      <c r="K18" s="626">
        <f t="shared" si="4"/>
        <v>0</v>
      </c>
      <c r="L18" s="626">
        <f t="shared" si="4"/>
        <v>0</v>
      </c>
      <c r="M18" s="626">
        <f t="shared" si="4"/>
        <v>0</v>
      </c>
      <c r="N18" s="626">
        <f t="shared" si="4"/>
        <v>0</v>
      </c>
      <c r="O18" s="626">
        <f t="shared" si="4"/>
        <v>0</v>
      </c>
      <c r="P18" s="626">
        <f t="shared" si="4"/>
        <v>0</v>
      </c>
      <c r="Q18" s="626">
        <f t="shared" si="4"/>
        <v>0</v>
      </c>
      <c r="R18" s="626">
        <f t="shared" si="4"/>
        <v>0</v>
      </c>
      <c r="S18" s="626">
        <f t="shared" si="4"/>
        <v>0</v>
      </c>
      <c r="T18" s="626">
        <f t="shared" si="4"/>
        <v>0</v>
      </c>
      <c r="U18" s="626">
        <f t="shared" si="4"/>
        <v>0</v>
      </c>
      <c r="V18" s="626">
        <f t="shared" si="4"/>
        <v>0</v>
      </c>
      <c r="W18" s="626">
        <f t="shared" si="4"/>
        <v>0</v>
      </c>
      <c r="X18" s="626">
        <f t="shared" si="4"/>
        <v>0</v>
      </c>
      <c r="Y18" s="626">
        <f t="shared" si="4"/>
        <v>0</v>
      </c>
      <c r="Z18" s="626">
        <f t="shared" si="4"/>
        <v>0</v>
      </c>
      <c r="AA18" s="626">
        <f t="shared" si="4"/>
        <v>0</v>
      </c>
      <c r="AB18" s="626">
        <f t="shared" si="4"/>
        <v>0</v>
      </c>
      <c r="AC18" s="626">
        <f t="shared" si="4"/>
        <v>0</v>
      </c>
      <c r="AD18" s="626">
        <f t="shared" si="4"/>
        <v>0</v>
      </c>
      <c r="AE18" s="626">
        <f t="shared" si="4"/>
        <v>0</v>
      </c>
      <c r="AF18" s="626">
        <f t="shared" si="4"/>
        <v>0</v>
      </c>
      <c r="AG18" s="626">
        <f t="shared" si="4"/>
        <v>0</v>
      </c>
      <c r="AH18" s="626">
        <f t="shared" si="4"/>
        <v>0</v>
      </c>
    </row>
    <row r="19" spans="1:34" outlineLevel="1">
      <c r="A19" s="14" t="s">
        <v>325</v>
      </c>
      <c r="D19" s="627">
        <f>D18/1</f>
        <v>0.66849315068493154</v>
      </c>
      <c r="E19" s="628">
        <f>IF(SUM($D$17:E17)/12&gt;=Assumptions!$J$51, IF(IS!D19=Assumptions!$J$51, "DONE", IF(IS!D19="DONE", "DONE", D19+E18)),(D19+E18))</f>
        <v>1.6684931506849314</v>
      </c>
      <c r="F19" s="628">
        <f>IF(SUM($D$17:F17)/12&gt;=Assumptions!$J$51, IF(IS!E19=Assumptions!$J$51, "DONE", IF(IS!E19="DONE", "DONE", E19+F18)),(E19+F18))</f>
        <v>2.6684931506849314</v>
      </c>
      <c r="G19" s="628">
        <f>IF(SUM($D$17:G17)/12&gt;=Assumptions!$J$51, IF(IS!F19=Assumptions!$J$51, "DONE", IF(IS!F19="DONE", "DONE", F19+G18)),(F19+G18))</f>
        <v>2.6684931506849314</v>
      </c>
      <c r="H19" s="628">
        <f>IF(SUM($D17:H17)/12&gt;=Assumptions!$J$51, IF(IS!G19=Assumptions!$J$51, "DONE", IF(IS!G19="DONE", "DONE", SUM(IS!F17:H17)/12)),SUM(E$17:H17))</f>
        <v>1</v>
      </c>
      <c r="I19" s="628">
        <f>IF(SUM($D17:I17)/12&gt;=Assumptions!$J$51, IF(IS!H19=Assumptions!$J$51, "DONE", IF(IS!H19="DONE", "DONE", SUM(IS!G17:I17)/12)),SUM(F$17:I17))</f>
        <v>0</v>
      </c>
      <c r="J19" s="628">
        <f>IF(SUM($D17:J17)/12&gt;=Assumptions!$J$51, IF(IS!I19=Assumptions!$J$51, "DONE", IF(IS!I19="DONE", "DONE", SUM(IS!H17:J17)/12)),SUM(G$17:J17))</f>
        <v>0</v>
      </c>
      <c r="K19" s="628">
        <f>IF(SUM($D17:K17)/12&gt;=Assumptions!$J$51, IF(IS!J19=Assumptions!$J$51, "DONE", IF(IS!J19="DONE", "DONE", SUM(IS!I17:K17)/12)),SUM(H$17:K17))</f>
        <v>0</v>
      </c>
      <c r="L19" s="628">
        <f>IF(SUM($D17:L17)/12&gt;=Assumptions!$J$51, IF(IS!K19=Assumptions!$J$51, "DONE", IF(IS!K19="DONE", "DONE", SUM(IS!J17:L17)/12)),SUM(I$17:L17))</f>
        <v>0</v>
      </c>
      <c r="M19" s="628">
        <f>IF(SUM($D17:M17)/12&gt;=Assumptions!$J$51, IF(IS!L19=Assumptions!$J$51, "DONE", IF(IS!L19="DONE", "DONE", SUM(IS!K17:M17)/12)),SUM(J$17:M17))</f>
        <v>0</v>
      </c>
      <c r="N19" s="628">
        <f>IF(SUM($D17:N17)/12&gt;=Assumptions!$J$51, IF(IS!M19=Assumptions!$J$51, "DONE", IF(IS!M19="DONE", "DONE", SUM(IS!L17:N17)/12)),SUM(K$17:N17))</f>
        <v>0</v>
      </c>
      <c r="O19" s="628">
        <f>IF(SUM($D17:O17)/12&gt;=Assumptions!$J$51, IF(IS!N19=Assumptions!$J$51, "DONE", IF(IS!N19="DONE", "DONE", SUM(IS!M17:O17)/12)),SUM(L$17:O17))</f>
        <v>0</v>
      </c>
      <c r="P19" s="628">
        <f>IF(SUM($D17:P17)/12&gt;=Assumptions!$J$51, IF(IS!O19=Assumptions!$J$51, "DONE", IF(IS!O19="DONE", "DONE", SUM(IS!N17:P17)/12)),SUM(M$17:P17))</f>
        <v>0</v>
      </c>
      <c r="Q19" s="628">
        <f>IF(SUM($D17:Q17)/12&gt;=Assumptions!$J$51, IF(IS!P19=Assumptions!$J$51, "DONE", IF(IS!P19="DONE", "DONE", SUM(IS!O17:Q17)/12)),SUM(N$17:Q17))</f>
        <v>0</v>
      </c>
      <c r="R19" s="628">
        <f>IF(SUM($D17:R17)/12&gt;=Assumptions!$J$51, IF(IS!Q19=Assumptions!$J$51, "DONE", IF(IS!Q19="DONE", "DONE", SUM(IS!P17:R17)/12)),SUM(O$17:R17))</f>
        <v>0</v>
      </c>
      <c r="S19" s="628">
        <f>IF(SUM($D17:S17)/12&gt;=Assumptions!$J$51, IF(IS!R19=Assumptions!$J$51, "DONE", IF(IS!R19="DONE", "DONE", SUM(IS!Q17:S17)/12)),SUM(P$17:S17))</f>
        <v>0</v>
      </c>
      <c r="T19" s="628">
        <f>IF(SUM($D17:T17)/12&gt;=Assumptions!$J$51, IF(IS!S19=Assumptions!$J$51, "DONE", IF(IS!S19="DONE", "DONE", SUM(IS!R17:T17)/12)),SUM(Q$17:T17))</f>
        <v>0</v>
      </c>
      <c r="U19" s="628">
        <f>IF(SUM($D17:U17)/12&gt;=Assumptions!$J$51, IF(IS!T19=Assumptions!$J$51, "DONE", IF(IS!T19="DONE", "DONE", SUM(IS!S17:U17)/12)),SUM(R$17:U17))</f>
        <v>0</v>
      </c>
      <c r="V19" s="628">
        <f>IF(SUM($D17:V17)/12&gt;=Assumptions!$J$51, IF(IS!U19=Assumptions!$J$51, "DONE", IF(IS!U19="DONE", "DONE", SUM(IS!T17:V17)/12)),SUM(S$17:V17))</f>
        <v>0</v>
      </c>
      <c r="W19" s="628">
        <f>IF(SUM($D17:W17)/12&gt;=Assumptions!$J$51, IF(IS!V19=Assumptions!$J$51, "DONE", IF(IS!V19="DONE", "DONE", SUM(IS!U17:W17)/12)),SUM(T$17:W17))</f>
        <v>0</v>
      </c>
      <c r="X19" s="628">
        <f>IF(SUM($D17:X17)/12&gt;=Assumptions!$J$51, IF(IS!W19=Assumptions!$J$51, "DONE", IF(IS!W19="DONE", "DONE", SUM(IS!V17:X17)/12)),SUM(U$17:X17))</f>
        <v>0</v>
      </c>
      <c r="Y19" s="628">
        <f>IF(SUM($D17:Y17)/12&gt;=Assumptions!$J$51, IF(IS!X19=Assumptions!$J$51, "DONE", IF(IS!X19="DONE", "DONE", SUM(IS!W17:Y17)/12)),SUM(V$17:Y17))</f>
        <v>0</v>
      </c>
      <c r="Z19" s="628">
        <f>IF(SUM($D17:Z17)/12&gt;=Assumptions!$J$51, IF(IS!Y19=Assumptions!$J$51, "DONE", IF(IS!Y19="DONE", "DONE", SUM(IS!X17:Z17)/12)),SUM(W$17:Z17))</f>
        <v>0</v>
      </c>
      <c r="AA19" s="628">
        <f>IF(SUM($D17:AA17)/12&gt;=Assumptions!$J$51, IF(IS!Z19=Assumptions!$J$51, "DONE", IF(IS!Z19="DONE", "DONE", SUM(IS!Y17:AA17)/12)),SUM(X$17:AA17))</f>
        <v>0</v>
      </c>
      <c r="AB19" s="628">
        <f>IF(SUM($D17:AB17)/12&gt;=Assumptions!$J$51, IF(IS!AA19=Assumptions!$J$51, "DONE", IF(IS!AA19="DONE", "DONE", SUM(IS!Z17:AB17)/12)),SUM(Y$17:AB17))</f>
        <v>0</v>
      </c>
      <c r="AC19" s="628">
        <f>IF(SUM($D17:AC17)/12&gt;=Assumptions!$J$51, IF(IS!AB19=Assumptions!$J$51, "DONE", IF(IS!AB19="DONE", "DONE", SUM(IS!AA17:AC17)/12)),SUM(Z$17:AC17))</f>
        <v>0</v>
      </c>
      <c r="AD19" s="628">
        <f>IF(SUM($D17:AD17)/12&gt;=Assumptions!$J$51, IF(IS!AC19=Assumptions!$J$51, "DONE", IF(IS!AC19="DONE", "DONE", SUM(IS!AB17:AD17)/12)),SUM(AA$17:AD17))</f>
        <v>0</v>
      </c>
      <c r="AE19" s="628">
        <f>IF(SUM($D17:AE17)/12&gt;=Assumptions!$J$51, IF(IS!AD19=Assumptions!$J$51, "DONE", IF(IS!AD19="DONE", "DONE", SUM(IS!AC17:AE17)/12)),SUM(AB$17:AE17))</f>
        <v>0</v>
      </c>
      <c r="AF19" s="628">
        <f>IF(SUM($D17:AF17)/12&gt;=Assumptions!$J$51, IF(IS!AE19=Assumptions!$J$51, "DONE", IF(IS!AE19="DONE", "DONE", SUM(IS!AD17:AF17)/12)),SUM(AC$17:AF17))</f>
        <v>0</v>
      </c>
      <c r="AG19" s="628">
        <f>IF(SUM($D17:AG17)/12&gt;=Assumptions!$J$51, IF(IS!AF19=Assumptions!$J$51, "DONE", IF(IS!AF19="DONE", "DONE", SUM(IS!AE17:AG17)/12)),SUM(AD$17:AG17))</f>
        <v>0</v>
      </c>
      <c r="AH19" s="628">
        <f>IF(SUM($D17:AH17)/12&gt;=Assumptions!$J$51, IF(IS!AG19=Assumptions!$J$51, "DONE", IF(IS!AG19="DONE", "DONE", SUM(IS!AF17:AH17)/12)),SUM(AE$17:AH17))</f>
        <v>0</v>
      </c>
    </row>
    <row r="20" spans="1:34" outlineLevel="1">
      <c r="D20" s="627"/>
      <c r="E20" s="628"/>
      <c r="F20" s="629"/>
      <c r="G20" s="628"/>
      <c r="H20" s="628"/>
      <c r="I20" s="628"/>
      <c r="J20" s="628"/>
      <c r="K20" s="628"/>
      <c r="L20" s="628"/>
      <c r="M20" s="628"/>
      <c r="N20" s="628"/>
      <c r="O20" s="628"/>
      <c r="P20" s="628"/>
      <c r="Q20" s="628"/>
      <c r="R20" s="628"/>
      <c r="S20" s="628"/>
      <c r="T20" s="628"/>
      <c r="U20" s="628"/>
      <c r="V20" s="628"/>
      <c r="W20" s="628"/>
      <c r="X20" s="628"/>
      <c r="Y20" s="628"/>
      <c r="Z20" s="628"/>
      <c r="AA20" s="628"/>
      <c r="AB20" s="628"/>
      <c r="AC20" s="628"/>
      <c r="AD20" s="628"/>
      <c r="AE20" s="628"/>
      <c r="AF20" s="628"/>
      <c r="AG20" s="628"/>
      <c r="AH20" s="628"/>
    </row>
    <row r="21" spans="1:34" outlineLevel="1">
      <c r="A21" s="270" t="s">
        <v>327</v>
      </c>
      <c r="D21" s="620">
        <v>0</v>
      </c>
      <c r="E21" s="620">
        <v>0</v>
      </c>
      <c r="F21" s="620">
        <v>0</v>
      </c>
      <c r="G21" s="630">
        <v>12</v>
      </c>
      <c r="H21" s="624">
        <v>12</v>
      </c>
      <c r="I21" s="624">
        <v>12</v>
      </c>
      <c r="J21" s="624">
        <v>12</v>
      </c>
      <c r="K21" s="624">
        <v>12</v>
      </c>
      <c r="L21" s="624">
        <v>12</v>
      </c>
      <c r="M21" s="624">
        <v>12</v>
      </c>
      <c r="N21" s="624">
        <v>12</v>
      </c>
      <c r="O21" s="624">
        <v>12</v>
      </c>
      <c r="P21" s="624">
        <v>12</v>
      </c>
      <c r="Q21" s="624">
        <v>12</v>
      </c>
      <c r="R21" s="624">
        <v>12</v>
      </c>
      <c r="S21" s="624">
        <v>12</v>
      </c>
      <c r="T21" s="624">
        <v>12</v>
      </c>
      <c r="U21" s="625">
        <v>12</v>
      </c>
      <c r="V21" s="620">
        <v>0</v>
      </c>
      <c r="W21" s="620">
        <v>0</v>
      </c>
      <c r="X21" s="620">
        <v>0</v>
      </c>
      <c r="Y21" s="620">
        <v>0</v>
      </c>
      <c r="Z21" s="620">
        <v>0</v>
      </c>
      <c r="AA21" s="620">
        <v>0</v>
      </c>
      <c r="AB21" s="620">
        <v>0</v>
      </c>
      <c r="AC21" s="620">
        <v>0</v>
      </c>
      <c r="AD21" s="620">
        <v>0</v>
      </c>
      <c r="AE21" s="620">
        <v>0</v>
      </c>
      <c r="AF21" s="620">
        <v>0</v>
      </c>
      <c r="AG21" s="620">
        <v>0</v>
      </c>
      <c r="AH21" s="620">
        <v>0</v>
      </c>
    </row>
    <row r="22" spans="1:34" outlineLevel="1">
      <c r="A22" s="270" t="s">
        <v>320</v>
      </c>
      <c r="D22" s="626">
        <f t="shared" ref="D22:AH22" si="5">D21/12</f>
        <v>0</v>
      </c>
      <c r="E22" s="626">
        <f t="shared" si="5"/>
        <v>0</v>
      </c>
      <c r="F22" s="626">
        <f t="shared" si="5"/>
        <v>0</v>
      </c>
      <c r="G22" s="626">
        <f t="shared" si="5"/>
        <v>1</v>
      </c>
      <c r="H22" s="626">
        <f t="shared" si="5"/>
        <v>1</v>
      </c>
      <c r="I22" s="626">
        <f t="shared" si="5"/>
        <v>1</v>
      </c>
      <c r="J22" s="626">
        <f t="shared" si="5"/>
        <v>1</v>
      </c>
      <c r="K22" s="626">
        <f t="shared" si="5"/>
        <v>1</v>
      </c>
      <c r="L22" s="626">
        <f t="shared" si="5"/>
        <v>1</v>
      </c>
      <c r="M22" s="626">
        <f t="shared" si="5"/>
        <v>1</v>
      </c>
      <c r="N22" s="626">
        <f t="shared" si="5"/>
        <v>1</v>
      </c>
      <c r="O22" s="626">
        <f t="shared" si="5"/>
        <v>1</v>
      </c>
      <c r="P22" s="626">
        <f t="shared" si="5"/>
        <v>1</v>
      </c>
      <c r="Q22" s="626">
        <f t="shared" si="5"/>
        <v>1</v>
      </c>
      <c r="R22" s="626">
        <f t="shared" si="5"/>
        <v>1</v>
      </c>
      <c r="S22" s="626">
        <f t="shared" si="5"/>
        <v>1</v>
      </c>
      <c r="T22" s="626">
        <f t="shared" si="5"/>
        <v>1</v>
      </c>
      <c r="U22" s="626">
        <f t="shared" si="5"/>
        <v>1</v>
      </c>
      <c r="V22" s="626">
        <f t="shared" si="5"/>
        <v>0</v>
      </c>
      <c r="W22" s="626">
        <f t="shared" si="5"/>
        <v>0</v>
      </c>
      <c r="X22" s="626">
        <f t="shared" si="5"/>
        <v>0</v>
      </c>
      <c r="Y22" s="626">
        <f t="shared" si="5"/>
        <v>0</v>
      </c>
      <c r="Z22" s="626">
        <f t="shared" si="5"/>
        <v>0</v>
      </c>
      <c r="AA22" s="626">
        <f t="shared" si="5"/>
        <v>0</v>
      </c>
      <c r="AB22" s="626">
        <f t="shared" si="5"/>
        <v>0</v>
      </c>
      <c r="AC22" s="626">
        <f t="shared" si="5"/>
        <v>0</v>
      </c>
      <c r="AD22" s="626">
        <f t="shared" si="5"/>
        <v>0</v>
      </c>
      <c r="AE22" s="626">
        <f t="shared" si="5"/>
        <v>0</v>
      </c>
      <c r="AF22" s="626">
        <f t="shared" si="5"/>
        <v>0</v>
      </c>
      <c r="AG22" s="626">
        <f t="shared" si="5"/>
        <v>0</v>
      </c>
      <c r="AH22" s="626">
        <f t="shared" si="5"/>
        <v>0</v>
      </c>
    </row>
    <row r="23" spans="1:34" outlineLevel="1">
      <c r="A23" s="14" t="s">
        <v>325</v>
      </c>
      <c r="D23" s="627">
        <f>D22/1</f>
        <v>0</v>
      </c>
      <c r="E23" s="628">
        <f>IF(SUM($D$21:E21)/12&gt;=Assumptions!$J$63, IF(IS!D23=Assumptions!$J$63, "DONE", IF(IS!D23="DONE", "DONE", D23+E22)),(D23+E22))</f>
        <v>0</v>
      </c>
      <c r="F23" s="628">
        <f>IF(SUM($D$21:F21)/12&gt;=Assumptions!$J$63, IF(IS!E23=Assumptions!$J$63, "DONE", IF(IS!E23="DONE", "DONE", E23+F22)),(E23+F22))</f>
        <v>0</v>
      </c>
      <c r="G23" s="628">
        <f>IF(SUM($D$21:G21)/12&gt;=Assumptions!$J$63, IF(IS!F23=Assumptions!$J$63, "DONE", IF(IS!F23="DONE", "DONE", F23+G22)),(F23+G22))</f>
        <v>1</v>
      </c>
      <c r="H23" s="628">
        <f>IF(SUM($D$21:H21)/12&gt;=Assumptions!$J$63, IF(IS!G23=Assumptions!$J$63, "DONE", IF(IS!G23="DONE", "DONE", G23+H22)),(G23+H22))</f>
        <v>2</v>
      </c>
      <c r="I23" s="628">
        <f>IF(SUM($D$21:I21)/12&gt;=Assumptions!$J$63, IF(IS!H23=Assumptions!$J$63, "DONE", IF(IS!H23="DONE", "DONE", H23+I22)),(H23+I22))</f>
        <v>3</v>
      </c>
      <c r="J23" s="628">
        <f>IF(SUM($D$21:J21)/12&gt;=Assumptions!$J$63, IF(IS!I23=Assumptions!$J$63, "DONE", IF(IS!I23="DONE", "DONE", I23+J22)),(I23+J22))</f>
        <v>4</v>
      </c>
      <c r="K23" s="628">
        <f>IF(SUM($D$21:K21)/12&gt;=Assumptions!$J$63, IF(IS!J23=Assumptions!$J$63, "DONE", IF(IS!J23="DONE", "DONE", J23+K22)),(J23+K22))</f>
        <v>5</v>
      </c>
      <c r="L23" s="628">
        <f>IF(SUM($D$21:L21)/12&gt;=Assumptions!$J$63, IF(IS!K23=Assumptions!$J$63, "DONE", IF(IS!K23="DONE", "DONE", K23+L22)),(K23+L22))</f>
        <v>6</v>
      </c>
      <c r="M23" s="628">
        <f>IF(SUM($D$21:M21)/12&gt;=Assumptions!$J$63, IF(IS!L23=Assumptions!$J$63, "DONE", IF(IS!L23="DONE", "DONE", L23+M22)),(L23+M22))</f>
        <v>7</v>
      </c>
      <c r="N23" s="628">
        <f>IF(SUM($D$21:N21)/12&gt;=Assumptions!$J$63, IF(IS!M23=Assumptions!$J$63, "DONE", IF(IS!M23="DONE", "DONE", M23+N22)),(M23+N22))</f>
        <v>8</v>
      </c>
      <c r="O23" s="628">
        <f>IF(SUM($D$21:O21)/12&gt;=Assumptions!$J$63, IF(IS!N23=Assumptions!$J$63, "DONE", IF(IS!N23="DONE", "DONE", N23+O22)),(N23+O22))</f>
        <v>9</v>
      </c>
      <c r="P23" s="628">
        <f>IF(SUM($D$21:P21)/12&gt;=Assumptions!$J$63, IF(IS!O23=Assumptions!$J$63, "DONE", IF(IS!O23="DONE", "DONE", O23+P22)),(O23+P22))</f>
        <v>10</v>
      </c>
      <c r="Q23" s="628">
        <f>IF(SUM($D$21:Q21)/12&gt;=Assumptions!$J$63, IF(IS!P23=Assumptions!$J$63, "DONE", IF(IS!P23="DONE", "DONE", P23+Q22)),(P23+Q22))</f>
        <v>11</v>
      </c>
      <c r="R23" s="628">
        <f>IF(SUM($D$21:R21)/12&gt;=Assumptions!$J$63, IF(IS!Q23=Assumptions!$J$63, "DONE", IF(IS!Q23="DONE", "DONE", Q23+R22)),(Q23+R22))</f>
        <v>12</v>
      </c>
      <c r="S23" s="628">
        <f>IF(SUM($D$21:S21)/12&gt;=Assumptions!$J$63, IF(IS!R23=Assumptions!$J$63, "DONE", IF(IS!R23="DONE", "DONE", R23+S22)),(R23+S22))</f>
        <v>13</v>
      </c>
      <c r="T23" s="628">
        <f>IF(SUM($D$21:T21)/12&gt;=Assumptions!$J$63, IF(IS!S23=Assumptions!$J$63, "DONE", IF(IS!S23="DONE", "DONE", S23+T22)),(S23+T22))</f>
        <v>14</v>
      </c>
      <c r="U23" s="628">
        <f>IF(SUM($D$21:U21)/12&gt;=Assumptions!$J$63, IF(IS!T23=Assumptions!$J$63, "DONE", IF(IS!T23="DONE", "DONE", T23+U22)),(T23+U22))</f>
        <v>15</v>
      </c>
      <c r="V23" s="628" t="str">
        <f>IF(SUM($D$21:V21)/12&gt;=Assumptions!$J$63, IF(IS!U23=Assumptions!$J$63, "DONE", IF(IS!U23="DONE", "DONE", U23+V22)),(U23+V22))</f>
        <v>DONE</v>
      </c>
      <c r="W23" s="628" t="str">
        <f>IF(SUM($D$21:W21)/12&gt;=Assumptions!$J$63, IF(IS!V23=Assumptions!$J$63, "DONE", IF(IS!V23="DONE", "DONE", V23+W22)),(V23+W22))</f>
        <v>DONE</v>
      </c>
      <c r="X23" s="628" t="str">
        <f>IF(SUM($D$21:X21)/12&gt;=Assumptions!$J$63, IF(IS!W23=Assumptions!$J$63, "DONE", IF(IS!W23="DONE", "DONE", W23+X22)),(W23+X22))</f>
        <v>DONE</v>
      </c>
      <c r="Y23" s="628" t="str">
        <f>IF(SUM($D$21:Y21)/12&gt;=Assumptions!$J$63, IF(IS!X23=Assumptions!$J$63, "DONE", IF(IS!X23="DONE", "DONE", X23+Y22)),(X23+Y22))</f>
        <v>DONE</v>
      </c>
      <c r="Z23" s="628" t="str">
        <f>IF(SUM($D$21:Z21)/12&gt;=Assumptions!$J$63, IF(IS!Y23=Assumptions!$J$63, "DONE", IF(IS!Y23="DONE", "DONE", Y23+Z22)),(Y23+Z22))</f>
        <v>DONE</v>
      </c>
      <c r="AA23" s="628" t="str">
        <f>IF(SUM($D$21:AA21)/12&gt;=Assumptions!$J$63, IF(IS!Z23=Assumptions!$J$63, "DONE", IF(IS!Z23="DONE", "DONE", Z23+AA22)),(Z23+AA22))</f>
        <v>DONE</v>
      </c>
      <c r="AB23" s="628" t="str">
        <f>IF(SUM($D$21:AB21)/12&gt;=Assumptions!$J$63, IF(IS!AA23=Assumptions!$J$63, "DONE", IF(IS!AA23="DONE", "DONE", AA23+AB22)),(AA23+AB22))</f>
        <v>DONE</v>
      </c>
      <c r="AC23" s="628" t="str">
        <f>IF(SUM($D$21:AC21)/12&gt;=Assumptions!$J$63, IF(IS!AB23=Assumptions!$J$63, "DONE", IF(IS!AB23="DONE", "DONE", AB23+AC22)),(AB23+AC22))</f>
        <v>DONE</v>
      </c>
      <c r="AD23" s="628" t="str">
        <f>IF(SUM($D$21:AD21)/12&gt;=Assumptions!$J$63, IF(IS!AC23=Assumptions!$J$63, "DONE", IF(IS!AC23="DONE", "DONE", AC23+AD22)),(AC23+AD22))</f>
        <v>DONE</v>
      </c>
      <c r="AE23" s="628" t="str">
        <f>IF(SUM($D$21:AE21)/12&gt;=Assumptions!$J$63, IF(IS!AD23=Assumptions!$J$63, "DONE", IF(IS!AD23="DONE", "DONE", AD23+AE22)),(AD23+AE22))</f>
        <v>DONE</v>
      </c>
      <c r="AF23" s="628" t="str">
        <f>IF(SUM($D$21:AF21)/12&gt;=Assumptions!$J$63, IF(IS!AE23=Assumptions!$J$63, "DONE", IF(IS!AE23="DONE", "DONE", AE23+AF22)),(AE23+AF22))</f>
        <v>DONE</v>
      </c>
      <c r="AG23" s="628" t="str">
        <f>IF(SUM($D$21:AG21)/12&gt;=Assumptions!$J$63, IF(IS!AF23=Assumptions!$J$63, "DONE", IF(IS!AF23="DONE", "DONE", AF23+AG22)),(AF23+AG22))</f>
        <v>DONE</v>
      </c>
      <c r="AH23" s="628" t="str">
        <f>IF(SUM($D$21:AH21)/12&gt;=Assumptions!$J$63, IF(IS!AG23=Assumptions!$J$63, "DONE", IF(IS!AG23="DONE", "DONE", AG23+AH22)),(AG23+AH22))</f>
        <v>DONE</v>
      </c>
    </row>
    <row r="24" spans="1:34" outlineLevel="1">
      <c r="A24" s="270"/>
      <c r="D24" s="626"/>
      <c r="E24" s="626"/>
      <c r="F24" s="626"/>
      <c r="G24" s="626"/>
      <c r="H24" s="626"/>
      <c r="I24" s="626"/>
      <c r="J24" s="626"/>
      <c r="K24" s="626"/>
      <c r="L24" s="626"/>
      <c r="M24" s="626"/>
      <c r="N24" s="626"/>
      <c r="O24" s="626"/>
      <c r="P24" s="626"/>
      <c r="Q24" s="626"/>
      <c r="R24" s="626"/>
      <c r="S24" s="626"/>
      <c r="T24" s="626"/>
      <c r="U24" s="626"/>
      <c r="V24" s="626"/>
      <c r="W24" s="626"/>
      <c r="X24" s="626"/>
      <c r="Y24" s="626"/>
      <c r="Z24" s="626"/>
      <c r="AA24" s="626"/>
      <c r="AB24" s="626"/>
      <c r="AC24" s="626"/>
      <c r="AD24" s="626"/>
      <c r="AE24" s="626"/>
      <c r="AF24" s="626"/>
      <c r="AG24" s="626"/>
      <c r="AH24" s="626"/>
    </row>
    <row r="25" spans="1:34" outlineLevel="1">
      <c r="A25" s="270" t="s">
        <v>328</v>
      </c>
      <c r="D25" s="620">
        <v>0</v>
      </c>
      <c r="E25" s="620">
        <v>0</v>
      </c>
      <c r="F25" s="620">
        <v>0</v>
      </c>
      <c r="G25" s="620">
        <v>0</v>
      </c>
      <c r="H25" s="620">
        <v>0</v>
      </c>
      <c r="I25" s="620">
        <v>0</v>
      </c>
      <c r="J25" s="620">
        <v>0</v>
      </c>
      <c r="K25" s="620">
        <v>0</v>
      </c>
      <c r="L25" s="620">
        <v>0</v>
      </c>
      <c r="M25" s="620">
        <v>0</v>
      </c>
      <c r="N25" s="620">
        <v>0</v>
      </c>
      <c r="O25" s="620">
        <v>0</v>
      </c>
      <c r="P25" s="620">
        <v>0</v>
      </c>
      <c r="Q25" s="620">
        <v>0</v>
      </c>
      <c r="R25" s="620">
        <v>0</v>
      </c>
      <c r="S25" s="620">
        <v>0</v>
      </c>
      <c r="T25" s="620">
        <v>0</v>
      </c>
      <c r="U25" s="620">
        <v>0</v>
      </c>
      <c r="V25" s="630">
        <v>12</v>
      </c>
      <c r="W25" s="624">
        <v>12</v>
      </c>
      <c r="X25" s="624">
        <v>12</v>
      </c>
      <c r="Y25" s="624">
        <v>12</v>
      </c>
      <c r="Z25" s="624">
        <v>12</v>
      </c>
      <c r="AA25" s="624">
        <v>12</v>
      </c>
      <c r="AB25" s="625">
        <v>12</v>
      </c>
      <c r="AC25" s="620">
        <v>0</v>
      </c>
      <c r="AD25" s="620">
        <v>0</v>
      </c>
      <c r="AE25" s="620">
        <v>0</v>
      </c>
      <c r="AF25" s="620">
        <v>0</v>
      </c>
      <c r="AG25" s="620">
        <v>0</v>
      </c>
      <c r="AH25" s="620">
        <v>0</v>
      </c>
    </row>
    <row r="26" spans="1:34" outlineLevel="1">
      <c r="A26" s="270" t="s">
        <v>321</v>
      </c>
      <c r="D26" s="626">
        <f t="shared" ref="D26:AH26" si="6">D25/12</f>
        <v>0</v>
      </c>
      <c r="E26" s="626">
        <f t="shared" si="6"/>
        <v>0</v>
      </c>
      <c r="F26" s="626">
        <f t="shared" si="6"/>
        <v>0</v>
      </c>
      <c r="G26" s="626">
        <f t="shared" si="6"/>
        <v>0</v>
      </c>
      <c r="H26" s="626">
        <f t="shared" si="6"/>
        <v>0</v>
      </c>
      <c r="I26" s="626">
        <f t="shared" si="6"/>
        <v>0</v>
      </c>
      <c r="J26" s="626">
        <f t="shared" si="6"/>
        <v>0</v>
      </c>
      <c r="K26" s="626">
        <f t="shared" si="6"/>
        <v>0</v>
      </c>
      <c r="L26" s="626">
        <f t="shared" si="6"/>
        <v>0</v>
      </c>
      <c r="M26" s="626">
        <f t="shared" si="6"/>
        <v>0</v>
      </c>
      <c r="N26" s="626">
        <f t="shared" si="6"/>
        <v>0</v>
      </c>
      <c r="O26" s="626">
        <f t="shared" si="6"/>
        <v>0</v>
      </c>
      <c r="P26" s="626">
        <f t="shared" si="6"/>
        <v>0</v>
      </c>
      <c r="Q26" s="626">
        <f t="shared" si="6"/>
        <v>0</v>
      </c>
      <c r="R26" s="626">
        <f t="shared" si="6"/>
        <v>0</v>
      </c>
      <c r="S26" s="626">
        <f t="shared" si="6"/>
        <v>0</v>
      </c>
      <c r="T26" s="626">
        <f t="shared" si="6"/>
        <v>0</v>
      </c>
      <c r="U26" s="626">
        <f t="shared" si="6"/>
        <v>0</v>
      </c>
      <c r="V26" s="626">
        <f t="shared" si="6"/>
        <v>1</v>
      </c>
      <c r="W26" s="626">
        <f t="shared" si="6"/>
        <v>1</v>
      </c>
      <c r="X26" s="626">
        <f t="shared" si="6"/>
        <v>1</v>
      </c>
      <c r="Y26" s="626">
        <f t="shared" si="6"/>
        <v>1</v>
      </c>
      <c r="Z26" s="626">
        <f t="shared" si="6"/>
        <v>1</v>
      </c>
      <c r="AA26" s="626">
        <f t="shared" si="6"/>
        <v>1</v>
      </c>
      <c r="AB26" s="626">
        <f t="shared" si="6"/>
        <v>1</v>
      </c>
      <c r="AC26" s="626">
        <f t="shared" si="6"/>
        <v>0</v>
      </c>
      <c r="AD26" s="626">
        <f t="shared" si="6"/>
        <v>0</v>
      </c>
      <c r="AE26" s="626">
        <f t="shared" si="6"/>
        <v>0</v>
      </c>
      <c r="AF26" s="626">
        <f t="shared" si="6"/>
        <v>0</v>
      </c>
      <c r="AG26" s="626">
        <f t="shared" si="6"/>
        <v>0</v>
      </c>
      <c r="AH26" s="626">
        <f t="shared" si="6"/>
        <v>0</v>
      </c>
    </row>
    <row r="27" spans="1:34" outlineLevel="1">
      <c r="A27" s="14" t="s">
        <v>325</v>
      </c>
      <c r="D27" s="627">
        <f>D26/1</f>
        <v>0</v>
      </c>
      <c r="E27" s="628">
        <f>IF(SUM($D$25:E25)/12&gt;=Assumptions!$J$75, IF(IS!D27=Assumptions!$J$75, "DONE", IF(IS!D27="DONE", "DONE", D27+E26)),(D27+E26))</f>
        <v>0</v>
      </c>
      <c r="F27" s="628">
        <f>IF(SUM($D$25:F25)/12&gt;=Assumptions!$J$75, IF(IS!E27=Assumptions!$J$75, "DONE", IF(IS!E27="DONE", "DONE", E27+F26)),(E27+F26))</f>
        <v>0</v>
      </c>
      <c r="G27" s="628">
        <f>IF(SUM($D$25:G25)/12&gt;=Assumptions!$J$75, IF(IS!F27=Assumptions!$J$75, "DONE", IF(IS!F27="DONE", "DONE", F27+G26)),(F27+G26))</f>
        <v>0</v>
      </c>
      <c r="H27" s="628">
        <f>IF(SUM($D$25:H25)/12&gt;=Assumptions!$J$75, IF(IS!G27=Assumptions!$J$75, "DONE", IF(IS!G27="DONE", "DONE", G27+H26)),(G27+H26))</f>
        <v>0</v>
      </c>
      <c r="I27" s="628">
        <f>IF(SUM($D$25:I25)/12&gt;=Assumptions!$J$75, IF(IS!H27=Assumptions!$J$75, "DONE", IF(IS!H27="DONE", "DONE", H27+I26)),(H27+I26))</f>
        <v>0</v>
      </c>
      <c r="J27" s="628">
        <f>IF(SUM($D$25:J25)/12&gt;=Assumptions!$J$75, IF(IS!I27=Assumptions!$J$75, "DONE", IF(IS!I27="DONE", "DONE", I27+J26)),(I27+J26))</f>
        <v>0</v>
      </c>
      <c r="K27" s="628">
        <f>IF(SUM($D$25:K25)/12&gt;=Assumptions!$J$75, IF(IS!J27=Assumptions!$J$75, "DONE", IF(IS!J27="DONE", "DONE", J27+K26)),(J27+K26))</f>
        <v>0</v>
      </c>
      <c r="L27" s="628">
        <f>IF(SUM($D$25:L25)/12&gt;=Assumptions!$J$75, IF(IS!K27=Assumptions!$J$75, "DONE", IF(IS!K27="DONE", "DONE", K27+L26)),(K27+L26))</f>
        <v>0</v>
      </c>
      <c r="M27" s="628">
        <f>IF(SUM($D$25:M25)/12&gt;=Assumptions!$J$75, IF(IS!L27=Assumptions!$J$75, "DONE", IF(IS!L27="DONE", "DONE", L27+M26)),(L27+M26))</f>
        <v>0</v>
      </c>
      <c r="N27" s="628">
        <f>IF(SUM($D$25:N25)/12&gt;=Assumptions!$J$75, IF(IS!M27=Assumptions!$J$75, "DONE", IF(IS!M27="DONE", "DONE", M27+N26)),(M27+N26))</f>
        <v>0</v>
      </c>
      <c r="O27" s="628">
        <f>IF(SUM($D$25:O25)/12&gt;=Assumptions!$J$75, IF(IS!N27=Assumptions!$J$75, "DONE", IF(IS!N27="DONE", "DONE", N27+O26)),(N27+O26))</f>
        <v>0</v>
      </c>
      <c r="P27" s="628">
        <f>IF(SUM($D$25:P25)/12&gt;=Assumptions!$J$75, IF(IS!O27=Assumptions!$J$75, "DONE", IF(IS!O27="DONE", "DONE", O27+P26)),(O27+P26))</f>
        <v>0</v>
      </c>
      <c r="Q27" s="628">
        <f>IF(SUM($D$25:Q25)/12&gt;=Assumptions!$J$75, IF(IS!P27=Assumptions!$J$75, "DONE", IF(IS!P27="DONE", "DONE", P27+Q26)),(P27+Q26))</f>
        <v>0</v>
      </c>
      <c r="R27" s="628">
        <f>IF(SUM($D$25:R25)/12&gt;=Assumptions!$J$75, IF(IS!Q27=Assumptions!$J$75, "DONE", IF(IS!Q27="DONE", "DONE", Q27+R26)),(Q27+R26))</f>
        <v>0</v>
      </c>
      <c r="S27" s="628">
        <f>IF(SUM($D$25:S25)/12&gt;=Assumptions!$J$75, IF(IS!R27=Assumptions!$J$75, "DONE", IF(IS!R27="DONE", "DONE", R27+S26)),(R27+S26))</f>
        <v>0</v>
      </c>
      <c r="T27" s="628">
        <f>IF(SUM($D$25:T25)/12&gt;=Assumptions!$J$75, IF(IS!S27=Assumptions!$J$75, "DONE", IF(IS!S27="DONE", "DONE", S27+T26)),(S27+T26))</f>
        <v>0</v>
      </c>
      <c r="U27" s="628">
        <f>IF(SUM($D$25:U25)/12&gt;=Assumptions!$J$75, IF(IS!T27=Assumptions!$J$75, "DONE", IF(IS!T27="DONE", "DONE", T27+U26)),(T27+U26))</f>
        <v>0</v>
      </c>
      <c r="V27" s="628">
        <f>IF(SUM($D$25:V25)/12&gt;=Assumptions!$J$75, IF(IS!U27=Assumptions!$J$75, "DONE", IF(IS!U27="DONE", "DONE", U27+V26)),(U27+V26))</f>
        <v>1</v>
      </c>
      <c r="W27" s="628">
        <f>IF(SUM($D$25:W25)/12&gt;=Assumptions!$J$75, IF(IS!V27=Assumptions!$J$75, "DONE", IF(IS!V27="DONE", "DONE", V27+W26)),(V27+W26))</f>
        <v>2</v>
      </c>
      <c r="X27" s="628">
        <f>IF(SUM($D$25:X25)/12&gt;=Assumptions!$J$75, IF(IS!W27=Assumptions!$J$75, "DONE", IF(IS!W27="DONE", "DONE", W27+X26)),(W27+X26))</f>
        <v>3</v>
      </c>
      <c r="Y27" s="628">
        <f>IF(SUM($D$25:Y25)/12&gt;=Assumptions!$J$75, IF(IS!X27=Assumptions!$J$75, "DONE", IF(IS!X27="DONE", "DONE", X27+Y26)),(X27+Y26))</f>
        <v>4</v>
      </c>
      <c r="Z27" s="628">
        <f>IF(SUM($D$25:Z25)/12&gt;=Assumptions!$J$75, IF(IS!Y27=Assumptions!$J$75, "DONE", IF(IS!Y27="DONE", "DONE", Y27+Z26)),(Y27+Z26))</f>
        <v>5</v>
      </c>
      <c r="AA27" s="628">
        <f>IF(SUM($D$25:AA25)/12&gt;=Assumptions!$J$75, IF(IS!Z27=Assumptions!$J$75, "DONE", IF(IS!Z27="DONE", "DONE", Z27+AA26)),(Z27+AA26))</f>
        <v>6</v>
      </c>
      <c r="AB27" s="628">
        <f>IF(SUM($D$25:AB25)/12&gt;=Assumptions!$J$75, IF(IS!AA27=Assumptions!$J$75, "DONE", IF(IS!AA27="DONE", "DONE", AA27+AB26)),(AA27+AB26))</f>
        <v>7</v>
      </c>
      <c r="AC27" s="628" t="str">
        <f>IF(SUM($D$25:AC25)/12&gt;=Assumptions!$J$75, IF(IS!AB27=Assumptions!$J$75, "DONE", IF(IS!AB27="DONE", "DONE", AB27+AC26)),(AB27+AC26))</f>
        <v>DONE</v>
      </c>
      <c r="AD27" s="628" t="str">
        <f>IF(SUM($D$25:AD25)/12&gt;=Assumptions!$J$75, IF(IS!AC27=Assumptions!$J$75, "DONE", IF(IS!AC27="DONE", "DONE", AC27+AD26)),(AC27+AD26))</f>
        <v>DONE</v>
      </c>
      <c r="AE27" s="628" t="str">
        <f>IF(SUM($D$25:AE25)/12&gt;=Assumptions!$J$75, IF(IS!AD27=Assumptions!$J$75, "DONE", IF(IS!AD27="DONE", "DONE", AD27+AE26)),(AD27+AE26))</f>
        <v>DONE</v>
      </c>
      <c r="AF27" s="628" t="str">
        <f>IF(SUM($D$25:AF25)/12&gt;=Assumptions!$J$75, IF(IS!AE27=Assumptions!$J$75, "DONE", IF(IS!AE27="DONE", "DONE", AE27+AF26)),(AE27+AF26))</f>
        <v>DONE</v>
      </c>
      <c r="AG27" s="628" t="str">
        <f>IF(SUM($D$25:AG25)/12&gt;=Assumptions!$J$75, IF(IS!AF27=Assumptions!$J$75, "DONE", IF(IS!AF27="DONE", "DONE", AF27+AG26)),(AF27+AG26))</f>
        <v>DONE</v>
      </c>
      <c r="AH27" s="628" t="str">
        <f>IF(SUM($D$25:AH25)/12&gt;=Assumptions!$J$75, IF(IS!AG27=Assumptions!$J$75, "DONE", IF(IS!AG27="DONE", "DONE", AG27+AH26)),(AG27+AH26))</f>
        <v>DONE</v>
      </c>
    </row>
    <row r="28" spans="1:34">
      <c r="A28" s="270"/>
      <c r="D28" s="626"/>
      <c r="E28" s="626"/>
      <c r="F28" s="626"/>
      <c r="G28" s="626"/>
      <c r="H28" s="626"/>
      <c r="I28" s="626"/>
      <c r="J28" s="626"/>
      <c r="K28" s="626"/>
      <c r="L28" s="626"/>
      <c r="M28" s="626"/>
      <c r="N28" s="626"/>
      <c r="O28" s="626"/>
      <c r="P28" s="626"/>
      <c r="Q28" s="626"/>
      <c r="R28" s="626"/>
      <c r="S28" s="626"/>
      <c r="T28" s="626"/>
      <c r="U28" s="626"/>
      <c r="V28" s="626"/>
      <c r="W28" s="626"/>
      <c r="X28" s="626"/>
      <c r="Y28" s="626"/>
      <c r="Z28" s="626"/>
      <c r="AA28" s="626"/>
      <c r="AB28" s="626"/>
      <c r="AC28" s="626"/>
      <c r="AD28" s="626"/>
      <c r="AE28" s="626"/>
      <c r="AF28" s="626"/>
      <c r="AG28" s="626"/>
      <c r="AH28" s="626"/>
    </row>
    <row r="29" spans="1:34">
      <c r="A29" s="270" t="s">
        <v>308</v>
      </c>
      <c r="D29" s="565" t="str">
        <f t="shared" ref="D29:AH29" si="7">IF(D10=0,"NONE ",IF(AND(D17=0,D21=0),"MARKET","PPA"))</f>
        <v>PPA</v>
      </c>
      <c r="E29" s="565" t="str">
        <f t="shared" si="7"/>
        <v>PPA</v>
      </c>
      <c r="F29" s="565" t="str">
        <f t="shared" si="7"/>
        <v>PPA</v>
      </c>
      <c r="G29" s="565" t="str">
        <f t="shared" si="7"/>
        <v>PPA</v>
      </c>
      <c r="H29" s="565" t="str">
        <f t="shared" si="7"/>
        <v>PPA</v>
      </c>
      <c r="I29" s="565" t="str">
        <f t="shared" si="7"/>
        <v>PPA</v>
      </c>
      <c r="J29" s="565" t="str">
        <f t="shared" si="7"/>
        <v>PPA</v>
      </c>
      <c r="K29" s="565" t="str">
        <f t="shared" si="7"/>
        <v>PPA</v>
      </c>
      <c r="L29" s="565" t="str">
        <f t="shared" si="7"/>
        <v>PPA</v>
      </c>
      <c r="M29" s="565" t="str">
        <f t="shared" si="7"/>
        <v>PPA</v>
      </c>
      <c r="N29" s="565" t="str">
        <f t="shared" si="7"/>
        <v>PPA</v>
      </c>
      <c r="O29" s="565" t="str">
        <f t="shared" si="7"/>
        <v>PPA</v>
      </c>
      <c r="P29" s="565" t="str">
        <f t="shared" si="7"/>
        <v>PPA</v>
      </c>
      <c r="Q29" s="565" t="str">
        <f t="shared" si="7"/>
        <v>PPA</v>
      </c>
      <c r="R29" s="565" t="str">
        <f t="shared" si="7"/>
        <v>PPA</v>
      </c>
      <c r="S29" s="565" t="str">
        <f t="shared" si="7"/>
        <v>PPA</v>
      </c>
      <c r="T29" s="565" t="str">
        <f t="shared" si="7"/>
        <v>PPA</v>
      </c>
      <c r="U29" s="565" t="str">
        <f t="shared" si="7"/>
        <v>PPA</v>
      </c>
      <c r="V29" s="565" t="str">
        <f t="shared" si="7"/>
        <v>MARKET</v>
      </c>
      <c r="W29" s="565" t="str">
        <f t="shared" si="7"/>
        <v>MARKET</v>
      </c>
      <c r="X29" s="565" t="str">
        <f t="shared" si="7"/>
        <v>MARKET</v>
      </c>
      <c r="Y29" s="565" t="str">
        <f t="shared" si="7"/>
        <v>MARKET</v>
      </c>
      <c r="Z29" s="565" t="str">
        <f t="shared" si="7"/>
        <v>MARKET</v>
      </c>
      <c r="AA29" s="565" t="str">
        <f t="shared" si="7"/>
        <v>MARKET</v>
      </c>
      <c r="AB29" s="565" t="str">
        <f t="shared" si="7"/>
        <v>MARKET</v>
      </c>
      <c r="AC29" s="565" t="str">
        <f t="shared" si="7"/>
        <v xml:space="preserve">NONE </v>
      </c>
      <c r="AD29" s="565" t="str">
        <f t="shared" si="7"/>
        <v xml:space="preserve">NONE </v>
      </c>
      <c r="AE29" s="565" t="str">
        <f t="shared" si="7"/>
        <v xml:space="preserve">NONE </v>
      </c>
      <c r="AF29" s="565" t="str">
        <f t="shared" si="7"/>
        <v xml:space="preserve">NONE </v>
      </c>
      <c r="AG29" s="565" t="str">
        <f t="shared" si="7"/>
        <v xml:space="preserve">NONE </v>
      </c>
      <c r="AH29" s="565" t="str">
        <f t="shared" si="7"/>
        <v xml:space="preserve">NONE </v>
      </c>
    </row>
    <row r="30" spans="1:34">
      <c r="A30" s="3"/>
      <c r="D30" s="565"/>
      <c r="E30" s="565"/>
      <c r="F30" s="565"/>
      <c r="G30" s="565"/>
      <c r="H30" s="565"/>
      <c r="I30" s="565"/>
      <c r="J30" s="565"/>
      <c r="K30" s="565"/>
      <c r="L30" s="565"/>
      <c r="M30" s="565"/>
      <c r="N30" s="565"/>
      <c r="O30" s="565"/>
      <c r="P30" s="565"/>
      <c r="Q30" s="565"/>
      <c r="R30" s="565"/>
      <c r="S30" s="565"/>
      <c r="T30" s="565"/>
      <c r="U30" s="565"/>
      <c r="V30" s="565"/>
      <c r="W30" s="565"/>
      <c r="X30" s="565"/>
      <c r="Y30" s="565"/>
      <c r="Z30" s="565"/>
      <c r="AA30" s="565"/>
      <c r="AB30" s="565"/>
      <c r="AC30" s="565"/>
      <c r="AD30" s="565"/>
      <c r="AE30" s="565"/>
      <c r="AF30" s="565"/>
      <c r="AG30" s="565"/>
      <c r="AH30" s="565"/>
    </row>
    <row r="31" spans="1:34">
      <c r="A31" s="1" t="s">
        <v>74</v>
      </c>
      <c r="D31" s="401"/>
      <c r="E31" s="401"/>
      <c r="F31" s="401"/>
      <c r="G31" s="401"/>
      <c r="H31" s="401"/>
      <c r="I31" s="401"/>
      <c r="J31" s="401"/>
      <c r="K31" s="401"/>
      <c r="L31" s="401"/>
      <c r="M31" s="401"/>
      <c r="N31" s="401"/>
      <c r="O31" s="401"/>
      <c r="P31" s="401"/>
      <c r="Q31" s="401"/>
      <c r="R31" s="401"/>
      <c r="S31" s="401"/>
      <c r="T31" s="401"/>
      <c r="U31" s="401"/>
      <c r="V31" s="401"/>
      <c r="W31" s="401"/>
      <c r="X31" s="401"/>
      <c r="Y31" s="401"/>
      <c r="Z31" s="401"/>
      <c r="AA31" s="401"/>
      <c r="AB31" s="401"/>
      <c r="AC31" s="401"/>
      <c r="AD31" s="401"/>
      <c r="AE31" s="401"/>
      <c r="AF31" s="401"/>
      <c r="AG31" s="401"/>
      <c r="AH31" s="401"/>
    </row>
    <row r="32" spans="1:34">
      <c r="A32" s="316" t="str">
        <f>Assumptions!H50</f>
        <v>MEAG Fixed Price Period</v>
      </c>
      <c r="D32" s="401"/>
      <c r="E32" s="401"/>
      <c r="F32" s="401"/>
      <c r="G32" s="401"/>
      <c r="H32" s="401"/>
      <c r="I32" s="401"/>
      <c r="J32" s="401"/>
      <c r="K32" s="401"/>
      <c r="L32" s="401"/>
      <c r="M32" s="401"/>
      <c r="N32" s="401"/>
      <c r="O32" s="401"/>
      <c r="P32" s="401"/>
      <c r="Q32" s="401"/>
      <c r="R32" s="401"/>
      <c r="S32" s="401"/>
      <c r="T32" s="401"/>
      <c r="U32" s="401"/>
      <c r="V32" s="401"/>
      <c r="W32" s="401"/>
      <c r="X32" s="401"/>
      <c r="Y32" s="401"/>
      <c r="Z32" s="401"/>
      <c r="AA32" s="401"/>
      <c r="AB32" s="401"/>
      <c r="AC32" s="401"/>
      <c r="AD32" s="401"/>
      <c r="AE32" s="401"/>
      <c r="AF32" s="401"/>
      <c r="AG32" s="401"/>
      <c r="AH32" s="401"/>
    </row>
    <row r="33" spans="1:34">
      <c r="A33" s="4" t="s">
        <v>263</v>
      </c>
      <c r="D33" s="401">
        <f>IF(AND(C19&lt;Assumptions!$J$51,IS!D19&lt;Assumptions!$J$51),D18*12*Assumptions!$J$52*Assumptions!$J$56,IF(AND(IS!C19&lt;Assumptions!$J$51,IS!D19&gt;Assumptions!$J$51),(D18)*12*Assumptions!$J$52*Assumptions!$J$56,0))</f>
        <v>8136.6312328767126</v>
      </c>
      <c r="E33" s="401">
        <f>IF(AND(D19&lt;Assumptions!$J$51,IS!E19&lt;Assumptions!$J$51),E18*12*Assumptions!$J$52*Assumptions!$J$56,IF(AND(IS!D19&lt;Assumptions!$J$51,IS!E19&gt;Assumptions!$J$51),(E18)*12*Assumptions!$J$52*Assumptions!$J$56,0))</f>
        <v>12171.6</v>
      </c>
      <c r="F33" s="401">
        <f>IF(AND(E19&lt;Assumptions!$J$51,IS!F19&lt;Assumptions!$J$51),F18*12*Assumptions!$J$52*Assumptions!$J$56,IF(AND(IS!E19&lt;Assumptions!$J$51,IS!F19&gt;Assumptions!$J$51),(F18)*12*Assumptions!$J$52*Assumptions!$J$56,0))</f>
        <v>12171.6</v>
      </c>
      <c r="G33" s="401">
        <v>0</v>
      </c>
      <c r="H33" s="401">
        <v>0</v>
      </c>
      <c r="I33" s="401">
        <v>0</v>
      </c>
      <c r="J33" s="401">
        <v>0</v>
      </c>
      <c r="K33" s="401">
        <v>0</v>
      </c>
      <c r="L33" s="401">
        <v>0</v>
      </c>
      <c r="M33" s="401">
        <v>0</v>
      </c>
      <c r="N33" s="401">
        <v>0</v>
      </c>
      <c r="O33" s="401">
        <v>0</v>
      </c>
      <c r="P33" s="401">
        <v>0</v>
      </c>
      <c r="Q33" s="401">
        <v>0</v>
      </c>
      <c r="R33" s="401">
        <v>0</v>
      </c>
      <c r="S33" s="401">
        <v>0</v>
      </c>
      <c r="T33" s="401">
        <v>0</v>
      </c>
      <c r="U33" s="401">
        <v>0</v>
      </c>
      <c r="V33" s="401">
        <v>0</v>
      </c>
      <c r="W33" s="401">
        <v>0</v>
      </c>
      <c r="X33" s="401">
        <v>0</v>
      </c>
      <c r="Y33" s="401">
        <v>0</v>
      </c>
      <c r="Z33" s="401">
        <v>0</v>
      </c>
      <c r="AA33" s="401">
        <v>0</v>
      </c>
      <c r="AB33" s="401">
        <v>0</v>
      </c>
      <c r="AC33" s="401">
        <f>IF(AND(AB19&lt;=Assumptions!$J$51,IS!AC19&lt;=Assumptions!$J$51),AC18*12*Assumptions!$J$52*Assumptions!$J$56,IF(AND(IS!AB19&lt;=Assumptions!$J$51,IS!AC19&gt;Assumptions!$J$51),(AC18)*12*Assumptions!$J$52*Assumptions!$J$56,0))</f>
        <v>0</v>
      </c>
      <c r="AD33" s="401">
        <f>IF(AND(AC19&lt;=Assumptions!$J$51,IS!AD19&lt;=Assumptions!$J$51),AD18*12*Assumptions!$J$52*Assumptions!$J$56,IF(AND(IS!AC19&lt;=Assumptions!$J$51,IS!AD19&gt;Assumptions!$J$51),(AD18)*12*Assumptions!$J$52*Assumptions!$J$56,0))</f>
        <v>0</v>
      </c>
      <c r="AE33" s="401">
        <f>IF(AND(AD19&lt;=Assumptions!$J$51,IS!AE19&lt;=Assumptions!$J$51),AE18*12*Assumptions!$J$52*Assumptions!$J$56,IF(AND(IS!AD19&lt;=Assumptions!$J$51,IS!AE19&gt;Assumptions!$J$51),(AE18)*12*Assumptions!$J$52*Assumptions!$J$56,0))</f>
        <v>0</v>
      </c>
      <c r="AF33" s="401">
        <f>IF(AND(AE19&lt;=Assumptions!$J$51,IS!AF19&lt;=Assumptions!$J$51),AF18*12*Assumptions!$J$52*Assumptions!$J$56,IF(AND(IS!AE19&lt;=Assumptions!$J$51,IS!AF19&gt;Assumptions!$J$51),(AF18)*12*Assumptions!$J$52*Assumptions!$J$56,0))</f>
        <v>0</v>
      </c>
      <c r="AG33" s="401">
        <f>IF(AND(AF19&lt;=Assumptions!$J$51,IS!AG19&lt;=Assumptions!$J$51),AG18*12*Assumptions!$J$52*Assumptions!$J$56,IF(AND(IS!AF19&lt;=Assumptions!$J$51,IS!AG19&gt;Assumptions!$J$51),(AG18)*12*Assumptions!$J$52*Assumptions!$J$56,0))</f>
        <v>0</v>
      </c>
      <c r="AH33" s="401">
        <f>IF(AND(AG19&lt;=Assumptions!$J$51,IS!AH19&lt;=Assumptions!$J$51),AH18*12*Assumptions!$J$52*Assumptions!$J$56,IF(AND(IS!AG19&lt;=Assumptions!$J$51,IS!AH19&gt;Assumptions!$J$51),(AH18)*12*Assumptions!$J$52*Assumptions!$J$56,0))</f>
        <v>0</v>
      </c>
    </row>
    <row r="34" spans="1:34">
      <c r="A34" s="4" t="s">
        <v>264</v>
      </c>
      <c r="D34" s="631">
        <f>IF(AND(D19&lt;Assumptions!$J$51,IS!D19&lt;Assumptions!$J$51),(Assumptions!$J$53*Assumptions!$J$56*IS!D13)/1000,IF(AND(IS!C19&lt;Assumptions!$J$51,IS!D19&gt;Assumptions!$J$51),(Assumptions!$J$53*Assumptions!$J$56*IS!D13)/1000,0))</f>
        <v>710.01</v>
      </c>
      <c r="E34" s="631">
        <f>IF(AND(E19&lt;Assumptions!$J$51,IS!E19&lt;Assumptions!$J$51),(Assumptions!$J$53*Assumptions!$J$56*IS!E13)/1000,IF(AND(IS!D19&lt;Assumptions!$J$51,IS!E19&gt;Assumptions!$J$51),(Assumptions!$J$53*Assumptions!$J$56*IS!E13)/1000,0))</f>
        <v>710.01</v>
      </c>
      <c r="F34" s="631">
        <f>IF(AND(F19&lt;Assumptions!$J$51,IS!F19&lt;Assumptions!$J$51),(Assumptions!$J$53*Assumptions!$J$56*IS!F13)/1000,IF(AND(IS!E19&lt;Assumptions!$J$51,IS!F19&gt;Assumptions!$J$51),(Assumptions!$J$53*Assumptions!$J$56*IS!F13)/1000,0))</f>
        <v>710.01</v>
      </c>
      <c r="G34" s="631">
        <f>IF(AND(G19&lt;Assumptions!$J$51,IS!G19&lt;Assumptions!$J$51),(Assumptions!$J$53*Assumptions!$J$56*IS!G13)/1000,IF(AND(IS!F19&lt;Assumptions!$J$51,IS!G19&gt;Assumptions!$J$51),(Assumptions!$J$53*Assumptions!$J$56*IS!G13)/1000,0))</f>
        <v>0</v>
      </c>
      <c r="H34" s="631">
        <v>0</v>
      </c>
      <c r="I34" s="631">
        <v>0</v>
      </c>
      <c r="J34" s="631">
        <v>0</v>
      </c>
      <c r="K34" s="631">
        <v>0</v>
      </c>
      <c r="L34" s="631">
        <v>0</v>
      </c>
      <c r="M34" s="631">
        <v>0</v>
      </c>
      <c r="N34" s="631">
        <v>0</v>
      </c>
      <c r="O34" s="631">
        <v>0</v>
      </c>
      <c r="P34" s="631">
        <v>0</v>
      </c>
      <c r="Q34" s="631">
        <v>0</v>
      </c>
      <c r="R34" s="631">
        <v>0</v>
      </c>
      <c r="S34" s="631">
        <v>0</v>
      </c>
      <c r="T34" s="631">
        <v>0</v>
      </c>
      <c r="U34" s="631">
        <v>0</v>
      </c>
      <c r="V34" s="631">
        <v>0</v>
      </c>
      <c r="W34" s="631">
        <v>0</v>
      </c>
      <c r="X34" s="631">
        <v>0</v>
      </c>
      <c r="Y34" s="631">
        <v>0</v>
      </c>
      <c r="Z34" s="631">
        <v>0</v>
      </c>
      <c r="AA34" s="631">
        <v>0</v>
      </c>
      <c r="AB34" s="631">
        <v>0</v>
      </c>
      <c r="AC34" s="401">
        <f>IF(AND(AC19&lt;Assumptions!$J$51,IS!AB19&lt;Assumptions!$J$51),AB34*(1+Assumptions!$P$21),IF(AND(IS!AB19&lt;Assumptions!$J$51,IS!AC19&gt;Assumptions!$J$51),AB34*IS!$D$19*(1+Assumptions!$P$21),0))</f>
        <v>0</v>
      </c>
      <c r="AD34" s="401">
        <f>IF(AND(AD19&lt;Assumptions!$J$51,IS!AC19&lt;Assumptions!$J$51),AC34*(1+Assumptions!$P$21),IF(AND(IS!AC19&lt;Assumptions!$J$51,IS!AD19&gt;Assumptions!$J$51),AC34*IS!$D$19*(1+Assumptions!$P$21),0))</f>
        <v>0</v>
      </c>
      <c r="AE34" s="401">
        <f>IF(AND(AE19&lt;Assumptions!$J$51,IS!AD19&lt;Assumptions!$J$51),AD34*(1+Assumptions!$P$21),IF(AND(IS!AD19&lt;Assumptions!$J$51,IS!AE19&gt;Assumptions!$J$51),AD34*IS!$D$19*(1+Assumptions!$P$21),0))</f>
        <v>0</v>
      </c>
      <c r="AF34" s="401">
        <f>IF(AND(AF19&lt;Assumptions!$J$51,IS!AE19&lt;Assumptions!$J$51),AE34*(1+Assumptions!$P$21),IF(AND(IS!AE19&lt;Assumptions!$J$51,IS!AF19&gt;Assumptions!$J$51),AE34*IS!$D$19*(1+Assumptions!$P$21),0))</f>
        <v>0</v>
      </c>
      <c r="AG34" s="401">
        <f>IF(AND(AG19&lt;Assumptions!$J$51,IS!AF19&lt;Assumptions!$J$51),AF34*(1+Assumptions!$P$21),IF(AND(IS!AF19&lt;Assumptions!$J$51,IS!AG19&gt;Assumptions!$J$51),AF34*IS!$D$19*(1+Assumptions!$P$21),0))</f>
        <v>0</v>
      </c>
      <c r="AH34" s="401">
        <f>IF(AND(AH19&lt;Assumptions!$J$51,IS!AG19&lt;Assumptions!$J$51),AG34*(1+Assumptions!$P$21),IF(AND(IS!AG19&lt;Assumptions!$J$51,IS!AH19&gt;Assumptions!$J$51),AG34*IS!$D$19*(1+Assumptions!$P$21),0))</f>
        <v>0</v>
      </c>
    </row>
    <row r="35" spans="1:34">
      <c r="A35" s="4" t="s">
        <v>265</v>
      </c>
      <c r="D35" s="386">
        <v>0</v>
      </c>
      <c r="E35" s="386">
        <v>0</v>
      </c>
      <c r="F35" s="386">
        <v>0</v>
      </c>
      <c r="G35" s="386">
        <v>0</v>
      </c>
      <c r="H35" s="386">
        <v>0</v>
      </c>
      <c r="I35" s="386">
        <v>0</v>
      </c>
      <c r="J35" s="386">
        <v>0</v>
      </c>
      <c r="K35" s="386">
        <v>0</v>
      </c>
      <c r="L35" s="386">
        <v>0</v>
      </c>
      <c r="M35" s="386">
        <v>0</v>
      </c>
      <c r="N35" s="386">
        <v>0</v>
      </c>
      <c r="O35" s="386">
        <v>0</v>
      </c>
      <c r="P35" s="386">
        <v>0</v>
      </c>
      <c r="Q35" s="386">
        <v>0</v>
      </c>
      <c r="R35" s="386">
        <v>0</v>
      </c>
      <c r="S35" s="386">
        <v>0</v>
      </c>
      <c r="T35" s="386">
        <v>0</v>
      </c>
      <c r="U35" s="386">
        <v>0</v>
      </c>
      <c r="V35" s="386">
        <v>0</v>
      </c>
      <c r="W35" s="386">
        <v>0</v>
      </c>
      <c r="X35" s="386">
        <v>0</v>
      </c>
      <c r="Y35" s="386">
        <v>0</v>
      </c>
      <c r="Z35" s="386">
        <v>0</v>
      </c>
      <c r="AA35" s="386">
        <v>0</v>
      </c>
      <c r="AB35" s="386">
        <v>0</v>
      </c>
      <c r="AC35" s="386">
        <v>0</v>
      </c>
      <c r="AD35" s="386">
        <v>0</v>
      </c>
      <c r="AE35" s="386">
        <v>0</v>
      </c>
      <c r="AF35" s="386">
        <v>0</v>
      </c>
      <c r="AG35" s="386">
        <v>0</v>
      </c>
      <c r="AH35" s="386">
        <v>0</v>
      </c>
    </row>
    <row r="36" spans="1:34">
      <c r="A36" s="4" t="s">
        <v>261</v>
      </c>
      <c r="D36" s="386">
        <v>0</v>
      </c>
      <c r="E36" s="386">
        <v>0</v>
      </c>
      <c r="F36" s="386">
        <v>0</v>
      </c>
      <c r="G36" s="386">
        <v>0</v>
      </c>
      <c r="H36" s="386">
        <v>0</v>
      </c>
      <c r="I36" s="386">
        <v>0</v>
      </c>
      <c r="J36" s="386">
        <v>0</v>
      </c>
      <c r="K36" s="386">
        <v>0</v>
      </c>
      <c r="L36" s="386">
        <v>0</v>
      </c>
      <c r="M36" s="386">
        <v>0</v>
      </c>
      <c r="N36" s="386">
        <v>0</v>
      </c>
      <c r="O36" s="386">
        <v>0</v>
      </c>
      <c r="P36" s="386">
        <v>0</v>
      </c>
      <c r="Q36" s="386">
        <v>0</v>
      </c>
      <c r="R36" s="386">
        <v>0</v>
      </c>
      <c r="S36" s="386">
        <v>0</v>
      </c>
      <c r="T36" s="386">
        <v>0</v>
      </c>
      <c r="U36" s="386">
        <v>0</v>
      </c>
      <c r="V36" s="386">
        <v>0</v>
      </c>
      <c r="W36" s="386">
        <v>0</v>
      </c>
      <c r="X36" s="386">
        <v>0</v>
      </c>
      <c r="Y36" s="386">
        <v>0</v>
      </c>
      <c r="Z36" s="386">
        <v>0</v>
      </c>
      <c r="AA36" s="386">
        <v>0</v>
      </c>
      <c r="AB36" s="386">
        <v>0</v>
      </c>
      <c r="AC36" s="386">
        <v>0</v>
      </c>
      <c r="AD36" s="386">
        <v>0</v>
      </c>
      <c r="AE36" s="386">
        <v>0</v>
      </c>
      <c r="AF36" s="386">
        <v>0</v>
      </c>
      <c r="AG36" s="386">
        <v>0</v>
      </c>
      <c r="AH36" s="386">
        <v>0</v>
      </c>
    </row>
    <row r="37" spans="1:34" s="6" customFormat="1">
      <c r="A37" s="4"/>
      <c r="D37" s="617"/>
      <c r="E37" s="617"/>
      <c r="F37" s="617"/>
      <c r="G37" s="617"/>
      <c r="H37" s="617"/>
      <c r="I37" s="617"/>
      <c r="J37" s="617"/>
      <c r="K37" s="617"/>
      <c r="L37" s="617"/>
      <c r="M37" s="617"/>
      <c r="N37" s="617"/>
      <c r="O37" s="617"/>
      <c r="P37" s="617"/>
      <c r="Q37" s="617"/>
      <c r="R37" s="617"/>
      <c r="S37" s="617"/>
      <c r="T37" s="617"/>
      <c r="U37" s="617"/>
      <c r="V37" s="617"/>
      <c r="W37" s="617"/>
      <c r="X37" s="617"/>
      <c r="Y37" s="617"/>
      <c r="Z37" s="617"/>
      <c r="AA37" s="617"/>
      <c r="AB37" s="617"/>
      <c r="AC37" s="617"/>
      <c r="AD37" s="617"/>
      <c r="AE37" s="617"/>
      <c r="AF37" s="617"/>
      <c r="AG37" s="617"/>
      <c r="AH37" s="617"/>
    </row>
    <row r="38" spans="1:34" s="6" customFormat="1">
      <c r="A38" s="449" t="str">
        <f>Assumptions!H62</f>
        <v>SANTEE COOPER Fixed Price Period</v>
      </c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617"/>
      <c r="AB38" s="617"/>
      <c r="AC38" s="617"/>
      <c r="AD38" s="617"/>
      <c r="AE38" s="617"/>
      <c r="AF38" s="617"/>
      <c r="AG38" s="617"/>
      <c r="AH38" s="617"/>
    </row>
    <row r="39" spans="1:34">
      <c r="A39" s="4" t="s">
        <v>263</v>
      </c>
      <c r="D39" s="401">
        <f>IF(AND(C23&lt;Assumptions!$J$63,IS!D23&lt;=Assumptions!$J$63),D22*12*Assumptions!$J$64*Assumptions!$J$56,IF(AND(IS!C23&lt;Assumptions!$J$63,IS!D23&gt;Assumptions!$J$63),(D22)*12*Assumptions!$J$64*Assumptions!$J$68,0))</f>
        <v>0</v>
      </c>
      <c r="E39" s="401">
        <f>IF(AND(D23&lt;Assumptions!$J$63,IS!E23&lt;=Assumptions!$J$63),E22*12*Assumptions!$J$64*Assumptions!$J$56,IF(AND(IS!D23&lt;Assumptions!$J$63,IS!E23&gt;Assumptions!$J$63),(E22)*12*Assumptions!$J$64*Assumptions!$J$68,0))</f>
        <v>0</v>
      </c>
      <c r="F39" s="401">
        <f>IF(AND(E23&lt;Assumptions!$J$63,IS!F23&lt;=Assumptions!$J$63),F22*12*Assumptions!$J$64*Assumptions!$J$56,IF(AND(IS!E23&lt;Assumptions!$J$63,IS!F23&gt;Assumptions!$J$63),(F22)*12*Assumptions!$J$64*Assumptions!$J$68,0))</f>
        <v>0</v>
      </c>
      <c r="G39" s="401">
        <f>IF(AND(F23&lt;Assumptions!$J$63,IS!G23&lt;=Assumptions!$J$63),G22*12*Assumptions!$J$64*Assumptions!$J$56,IF(AND(IS!F23&lt;Assumptions!$J$63,IS!G23&gt;Assumptions!$J$63),(G22)*12*Assumptions!$J$64*Assumptions!$J$68,0))</f>
        <v>12171.6</v>
      </c>
      <c r="H39" s="401">
        <f>IF(AND(G23&lt;Assumptions!$J$63,IS!H23&lt;=Assumptions!$J$63),H22*12*Assumptions!$J$64*Assumptions!$J$56,IF(AND(IS!G23&lt;Assumptions!$J$63,IS!H23&gt;Assumptions!$J$63),(H22)*12*Assumptions!$J$64*Assumptions!$J$68,0))</f>
        <v>12171.6</v>
      </c>
      <c r="I39" s="401">
        <f>IF(AND(H23&lt;Assumptions!$J$63,IS!I23&lt;=Assumptions!$J$63),I22*12*Assumptions!$J$64*Assumptions!$J$56,IF(AND(IS!H23&lt;Assumptions!$J$63,IS!I23&gt;Assumptions!$J$63),(I22)*12*Assumptions!$J$64*Assumptions!$J$68,0))</f>
        <v>12171.6</v>
      </c>
      <c r="J39" s="401">
        <f>IF(AND(I23&lt;Assumptions!$J$63,IS!J23&lt;=Assumptions!$J$63),J22*12*Assumptions!$J$64*Assumptions!$J$56,IF(AND(IS!I23&lt;Assumptions!$J$63,IS!J23&gt;Assumptions!$J$63),(J22)*12*Assumptions!$J$64*Assumptions!$J$68,0))</f>
        <v>12171.6</v>
      </c>
      <c r="K39" s="401">
        <f>IF(AND(J23&lt;Assumptions!$J$63,IS!K23&lt;=Assumptions!$J$63),K22*12*Assumptions!$J$64*Assumptions!$J$56,IF(AND(IS!J23&lt;Assumptions!$J$63,IS!K23&gt;Assumptions!$J$63),(K22)*12*Assumptions!$J$64*Assumptions!$J$68,0))</f>
        <v>12171.6</v>
      </c>
      <c r="L39" s="401">
        <f>IF(AND(K23&lt;Assumptions!$J$63,IS!L23&lt;=Assumptions!$J$63),L22*12*Assumptions!$J$64*Assumptions!$J$56,IF(AND(IS!K23&lt;Assumptions!$J$63,IS!L23&gt;Assumptions!$J$63),(L22)*12*Assumptions!$J$64*Assumptions!$J$68,0))</f>
        <v>12171.6</v>
      </c>
      <c r="M39" s="401">
        <f>IF(AND(L23&lt;Assumptions!$J$63,IS!M23&lt;=Assumptions!$J$63),M22*12*Assumptions!$J$64*Assumptions!$J$56,IF(AND(IS!L23&lt;Assumptions!$J$63,IS!M23&gt;Assumptions!$J$63),(M22)*12*Assumptions!$J$64*Assumptions!$J$68,0))</f>
        <v>12171.6</v>
      </c>
      <c r="N39" s="401">
        <f>IF(AND(M23&lt;Assumptions!$J$63,IS!N23&lt;=Assumptions!$J$63),N22*12*Assumptions!$J$64*Assumptions!$J$56,IF(AND(IS!M23&lt;Assumptions!$J$63,IS!N23&gt;Assumptions!$J$63),(N22)*12*Assumptions!$J$64*Assumptions!$J$68,0))</f>
        <v>12171.6</v>
      </c>
      <c r="O39" s="401">
        <f>IF(AND(N23&lt;Assumptions!$J$63,IS!O23&lt;=Assumptions!$J$63),O22*12*Assumptions!$J$64*Assumptions!$J$56,IF(AND(IS!N23&lt;Assumptions!$J$63,IS!O23&gt;Assumptions!$J$63),(O22)*12*Assumptions!$J$64*Assumptions!$J$68,0))</f>
        <v>12171.6</v>
      </c>
      <c r="P39" s="401">
        <f>IF(AND(O23&lt;Assumptions!$J$63,IS!P23&lt;=Assumptions!$J$63),P22*12*Assumptions!$J$64*Assumptions!$J$56,IF(AND(IS!O23&lt;Assumptions!$J$63,IS!P23&gt;Assumptions!$J$63),(P22)*12*Assumptions!$J$64*Assumptions!$J$68,0))</f>
        <v>12171.6</v>
      </c>
      <c r="Q39" s="401">
        <f>IF(AND(P23&lt;Assumptions!$J$63,IS!Q23&lt;=Assumptions!$J$63),Q22*12*Assumptions!$J$64*Assumptions!$J$56,IF(AND(IS!P23&lt;Assumptions!$J$63,IS!Q23&gt;Assumptions!$J$63),(Q22)*12*Assumptions!$J$64*Assumptions!$J$68,0))</f>
        <v>12171.6</v>
      </c>
      <c r="R39" s="401">
        <f>IF(AND(Q23&lt;Assumptions!$J$63,IS!R23&lt;=Assumptions!$J$63),R22*12*Assumptions!$J$64*Assumptions!$J$56,IF(AND(IS!Q23&lt;Assumptions!$J$63,IS!R23&gt;Assumptions!$J$63),(R22)*12*Assumptions!$J$64*Assumptions!$J$68,0))</f>
        <v>12171.6</v>
      </c>
      <c r="S39" s="401">
        <f>IF(AND(R23&lt;Assumptions!$J$63,IS!S23&lt;=Assumptions!$J$63),S22*12*Assumptions!$J$64*Assumptions!$J$56,IF(AND(IS!R23&lt;Assumptions!$J$63,IS!S23&gt;Assumptions!$J$63),(S22)*12*Assumptions!$J$64*Assumptions!$J$68,0))</f>
        <v>12171.6</v>
      </c>
      <c r="T39" s="401">
        <f>IF(AND(S23&lt;Assumptions!$J$63,IS!T23&lt;=Assumptions!$J$63),T22*12*Assumptions!$J$64*Assumptions!$J$56,IF(AND(IS!S23&lt;Assumptions!$J$63,IS!T23&gt;Assumptions!$J$63),(T22)*12*Assumptions!$J$64*Assumptions!$J$68,0))</f>
        <v>12171.6</v>
      </c>
      <c r="U39" s="401">
        <f>IF(AND(T23&lt;Assumptions!$J$63,IS!U23&lt;=Assumptions!$J$63),U22*12*Assumptions!$J$64*Assumptions!$J$56,IF(AND(IS!T23&lt;Assumptions!$J$63,IS!U23&gt;Assumptions!$J$63),(U22)*12*Assumptions!$J$64*Assumptions!$J$68,0))</f>
        <v>12171.6</v>
      </c>
      <c r="V39" s="401">
        <f>IF(AND(U23&lt;Assumptions!$J$63,IS!V23&lt;=Assumptions!$J$63),V22*12*Assumptions!$J$64*Assumptions!$J$56,IF(AND(IS!U23&lt;Assumptions!$J$63,IS!V23&gt;Assumptions!$J$63),(V22)*12*Assumptions!$J$64*Assumptions!$J$68,0))</f>
        <v>0</v>
      </c>
      <c r="W39" s="401">
        <f>IF(AND(V23&lt;Assumptions!$J$63,IS!W23&lt;=Assumptions!$J$63),W22*12*Assumptions!$J$64*Assumptions!$J$56,IF(AND(IS!V23&lt;Assumptions!$J$63,IS!W23&gt;Assumptions!$J$63),(W22)*12*Assumptions!$J$64*Assumptions!$J$68,0))</f>
        <v>0</v>
      </c>
      <c r="X39" s="401">
        <f>IF(AND(W23&lt;Assumptions!$J$63,IS!X23&lt;=Assumptions!$J$63),X22*12*Assumptions!$J$64*Assumptions!$J$56,IF(AND(IS!W23&lt;Assumptions!$J$63,IS!X23&gt;Assumptions!$J$63),(X22)*12*Assumptions!$J$64*Assumptions!$J$68,0))</f>
        <v>0</v>
      </c>
      <c r="Y39" s="401">
        <f>IF(AND(X23&lt;Assumptions!$J$63,IS!Y23&lt;=Assumptions!$J$63),Y22*12*Assumptions!$J$64*Assumptions!$J$56,IF(AND(IS!X23&lt;Assumptions!$J$63,IS!Y23&gt;Assumptions!$J$63),(Y22)*12*Assumptions!$J$64*Assumptions!$J$68,0))</f>
        <v>0</v>
      </c>
      <c r="Z39" s="401">
        <f>IF(AND(Y23&lt;Assumptions!$J$63,IS!Z23&lt;=Assumptions!$J$63),Z22*12*Assumptions!$J$64*Assumptions!$J$56,IF(AND(IS!Y23&lt;Assumptions!$J$63,IS!Z23&gt;Assumptions!$J$63),(Z22)*12*Assumptions!$J$64*Assumptions!$J$68,0))</f>
        <v>0</v>
      </c>
      <c r="AA39" s="401">
        <f>IF(AND(Z23&lt;Assumptions!$J$63,IS!AA23&lt;=Assumptions!$J$63),AA22*12*Assumptions!$J$64*Assumptions!$J$56,IF(AND(IS!Z23&lt;Assumptions!$J$63,IS!AA23&gt;Assumptions!$J$63),(AA22)*12*Assumptions!$J$64*Assumptions!$J$68,0))</f>
        <v>0</v>
      </c>
      <c r="AB39" s="401">
        <f>IF(AND(AA23&lt;Assumptions!$J$63,IS!AB23&lt;=Assumptions!$J$63),AB22*12*Assumptions!$J$64*Assumptions!$J$56,IF(AND(IS!AA23&lt;Assumptions!$J$63,IS!AB23&gt;Assumptions!$J$63),(AB22)*12*Assumptions!$J$64*Assumptions!$J$68,0))</f>
        <v>0</v>
      </c>
      <c r="AC39" s="401">
        <f>IF(AND(AB23&lt;Assumptions!$J$63,IS!AC23&lt;=Assumptions!$J$63),AC22*12*Assumptions!$J$64*Assumptions!$J$56,IF(AND(IS!AB23&lt;Assumptions!$J$63,IS!AC23&gt;Assumptions!$J$63),(AC22)*12*Assumptions!$J$64*Assumptions!$J$68,0))</f>
        <v>0</v>
      </c>
      <c r="AD39" s="401">
        <f>IF(AND(AC23&lt;Assumptions!$J$63,IS!AD23&lt;=Assumptions!$J$63),AD22*12*Assumptions!$J$64*Assumptions!$J$56,IF(AND(IS!AC23&lt;Assumptions!$J$63,IS!AD23&gt;Assumptions!$J$63),(AD22)*12*Assumptions!$J$64*Assumptions!$J$68,0))</f>
        <v>0</v>
      </c>
      <c r="AE39" s="401">
        <f>IF(AND(AD23&lt;Assumptions!$J$63,IS!AE23&lt;=Assumptions!$J$63),AE22*12*Assumptions!$J$64*Assumptions!$J$56,IF(AND(IS!AD23&lt;Assumptions!$J$63,IS!AE23&gt;Assumptions!$J$63),(AE22)*12*Assumptions!$J$64*Assumptions!$J$68,0))</f>
        <v>0</v>
      </c>
      <c r="AF39" s="401">
        <f>IF(AND(AE23&lt;Assumptions!$J$63,IS!AF23&lt;=Assumptions!$J$63),AF22*12*Assumptions!$J$64*Assumptions!$J$56,IF(AND(IS!AE23&lt;Assumptions!$J$63,IS!AF23&gt;Assumptions!$J$63),(AF22)*12*Assumptions!$J$64*Assumptions!$J$68,0))</f>
        <v>0</v>
      </c>
      <c r="AG39" s="401">
        <f>IF(AND(AF23&lt;Assumptions!$J$63,IS!AG23&lt;=Assumptions!$J$63),AG22*12*Assumptions!$J$64*Assumptions!$J$56,IF(AND(IS!AF23&lt;Assumptions!$J$63,IS!AG23&gt;Assumptions!$J$63),(AG22)*12*Assumptions!$J$64*Assumptions!$J$68,0))</f>
        <v>0</v>
      </c>
      <c r="AH39" s="401">
        <f>IF(AND(AG23&lt;Assumptions!$J$63,IS!AH23&lt;=Assumptions!$J$63),AH22*12*Assumptions!$J$64*Assumptions!$J$56,IF(AND(IS!AG23&lt;Assumptions!$J$63,IS!AH23&gt;Assumptions!$J$63),(AH22)*12*Assumptions!$J$64*Assumptions!$J$68,0))</f>
        <v>0</v>
      </c>
    </row>
    <row r="40" spans="1:34">
      <c r="A40" s="4" t="s">
        <v>264</v>
      </c>
      <c r="D40" s="631"/>
      <c r="E40" s="631"/>
      <c r="F40" s="631"/>
      <c r="G40" s="631">
        <f>+F34*(1+Assumptions!$P$21)</f>
        <v>710.01</v>
      </c>
      <c r="H40" s="401">
        <f>IF(AND(H23&lt;=Assumptions!$J$63,IS!G23&lt;=Assumptions!$J$63),G40*(1+Assumptions!$P$21),IF(AND(IS!G23&lt;=Assumptions!$J$63,IS!H23&gt;=Assumptions!$J$63),G40*(IS!H$23-IS!G$23)*(1+Assumptions!$P$21),0))</f>
        <v>710.01</v>
      </c>
      <c r="I40" s="401">
        <f>IF(AND(I23&lt;=Assumptions!$J$63,IS!H23&lt;=Assumptions!$J$63),H40*(1+Assumptions!$P$21),IF(AND(IS!H23&lt;=Assumptions!$J$63,IS!I23&gt;=Assumptions!$J$63),H40*(IS!I$23-IS!H$23)*(1+Assumptions!$P$21),0))</f>
        <v>710.01</v>
      </c>
      <c r="J40" s="401">
        <f>IF(AND(J23&lt;=Assumptions!$J$63,IS!I23&lt;=Assumptions!$J$63),I40*(1+Assumptions!$P$21),IF(AND(IS!I23&lt;=Assumptions!$J$63,IS!J23&gt;=Assumptions!$J$63),I40*(IS!J$23-IS!I$23)*(1+Assumptions!$P$21),0))</f>
        <v>710.01</v>
      </c>
      <c r="K40" s="401">
        <f>IF(AND(K23&lt;=Assumptions!$J$63,IS!J23&lt;=Assumptions!$J$63),J40*(1+Assumptions!$P$21),IF(AND(IS!J23&lt;=Assumptions!$J$63,IS!K23&gt;=Assumptions!$J$63),J40*(IS!K$23-IS!J$23)*(1+Assumptions!$P$21),0))</f>
        <v>710.01</v>
      </c>
      <c r="L40" s="401">
        <f>IF(AND(L23&lt;=Assumptions!$J$63,IS!K23&lt;=Assumptions!$J$63),K40*(1+Assumptions!$P$21),IF(AND(IS!K23&lt;=Assumptions!$J$63,IS!L23&gt;=Assumptions!$J$63),K40*(IS!L$23-IS!K$23)*(1+Assumptions!$P$21),0))</f>
        <v>710.01</v>
      </c>
      <c r="M40" s="401">
        <f>IF(AND(M23&lt;=Assumptions!$J$63,IS!L23&lt;=Assumptions!$J$63),L40*(1+Assumptions!$P$21),IF(AND(IS!L23&lt;=Assumptions!$J$63,IS!M23&gt;=Assumptions!$J$63),L40*(IS!M$23-IS!L$23)*(1+Assumptions!$P$21),0))</f>
        <v>710.01</v>
      </c>
      <c r="N40" s="401">
        <f>IF(AND(N23&lt;=Assumptions!$J$63,IS!M23&lt;=Assumptions!$J$63),M40*(1+Assumptions!$P$21),IF(AND(IS!M23&lt;=Assumptions!$J$63,IS!N23&gt;=Assumptions!$J$63),M40*(IS!N$23-IS!M$23)*(1+Assumptions!$P$21),0))</f>
        <v>710.01</v>
      </c>
      <c r="O40" s="401">
        <f>IF(AND(O23&lt;=Assumptions!$J$63,IS!N23&lt;=Assumptions!$J$63),N40*(1+Assumptions!$P$21),IF(AND(IS!N23&lt;=Assumptions!$J$63,IS!O23&gt;=Assumptions!$J$63),N40*(IS!O$23-IS!N$23)*(1+Assumptions!$P$21),0))</f>
        <v>710.01</v>
      </c>
      <c r="P40" s="401">
        <f>IF(AND(P23&lt;=Assumptions!$J$63,IS!O23&lt;=Assumptions!$J$63),O40*(1+Assumptions!$P$21),IF(AND(IS!O23&lt;=Assumptions!$J$63,IS!P23&gt;=Assumptions!$J$63),O40*(IS!P$23-IS!O$23)*(1+Assumptions!$P$21),0))</f>
        <v>710.01</v>
      </c>
      <c r="Q40" s="401">
        <f>IF(AND(Q23&lt;=Assumptions!$J$63,IS!P23&lt;=Assumptions!$J$63),P40*(1+Assumptions!$P$21),IF(AND(IS!P23&lt;=Assumptions!$J$63,IS!Q23&gt;=Assumptions!$J$63),P40*(IS!Q$23-IS!P$23)*(1+Assumptions!$P$21),0))</f>
        <v>710.01</v>
      </c>
      <c r="R40" s="401">
        <f>IF(AND(R23&lt;=Assumptions!$J$63,IS!Q23&lt;=Assumptions!$J$63),Q40*(1+Assumptions!$P$21),IF(AND(IS!Q23&lt;=Assumptions!$J$63,IS!R23&gt;=Assumptions!$J$63),Q40*(IS!R$23-IS!Q$23)*(1+Assumptions!$P$21),0))</f>
        <v>710.01</v>
      </c>
      <c r="S40" s="401">
        <f>IF(AND(S23&lt;=Assumptions!$J$63,IS!R23&lt;=Assumptions!$J$63),R40*(1+Assumptions!$P$21),IF(AND(IS!R23&lt;=Assumptions!$J$63,IS!S23&gt;=Assumptions!$J$63),R40*(IS!S$23-IS!R$23)*(1+Assumptions!$P$21),0))</f>
        <v>710.01</v>
      </c>
      <c r="T40" s="401">
        <f>IF(AND(T23&lt;=Assumptions!$J$63,IS!S23&lt;=Assumptions!$J$63),S40*(1+Assumptions!$P$21),IF(AND(IS!S23&lt;=Assumptions!$J$63,IS!T23&gt;=Assumptions!$J$63),S40*(IS!T$23-IS!S$23)*(1+Assumptions!$P$21),0))</f>
        <v>710.01</v>
      </c>
      <c r="U40" s="401">
        <f>IF(AND(U23&lt;=Assumptions!$J$63,IS!T23&lt;=Assumptions!$J$63),T40*(1+Assumptions!$P$21),IF(AND(IS!T23&lt;=Assumptions!$J$63,IS!U23&gt;=Assumptions!$J$63),T40*(IS!U$23-IS!T$23)*(1+Assumptions!$P$21),0))</f>
        <v>710.01</v>
      </c>
      <c r="V40" s="401">
        <f>IF(AND(V23&lt;Assumptions!$J$63,IS!U23&lt;Assumptions!$J$63),U40*(1+Assumptions!$P$21),IF(AND(IS!U23&lt;Assumptions!$J$63,IS!V23&gt;Assumptions!$J$63),U40*(IS!V$23-IS!U$23)*(1+Assumptions!$P$21),0))</f>
        <v>0</v>
      </c>
      <c r="W40" s="401">
        <f>IF(AND(W23&lt;Assumptions!$J$63,IS!V23&lt;Assumptions!$J$63),V40*(1+Assumptions!$P$21),IF(AND(IS!V23&lt;Assumptions!$J$63,IS!W23&gt;Assumptions!$J$63),V40*(IS!W$23-IS!V$23)*(1+Assumptions!$P$21),0))</f>
        <v>0</v>
      </c>
      <c r="X40" s="401">
        <f>IF(AND(X23&lt;Assumptions!$J$63,IS!W23&lt;Assumptions!$J$63),W40*(1+Assumptions!$P$21),IF(AND(IS!W23&lt;Assumptions!$J$63,IS!X23&gt;Assumptions!$J$63),W40*(IS!X$23-IS!W$23)*(1+Assumptions!$P$21),0))</f>
        <v>0</v>
      </c>
      <c r="Y40" s="401">
        <f>IF(AND(Y23&lt;Assumptions!$J$63,IS!X23&lt;Assumptions!$J$63),X40*(1+Assumptions!$P$21),IF(AND(IS!X23&lt;Assumptions!$J$63,IS!Y23&gt;Assumptions!$J$63),X40*(IS!Y$23-IS!X$23)*(1+Assumptions!$P$21),0))</f>
        <v>0</v>
      </c>
      <c r="Z40" s="401">
        <f>IF(AND(Z23&lt;Assumptions!$J$63,IS!Y23&lt;Assumptions!$J$63),Y40*(1+Assumptions!$P$21),IF(AND(IS!Y23&lt;Assumptions!$J$63,IS!Z23&gt;Assumptions!$J$63),Y40*(IS!Z$23-IS!Y$23)*(1+Assumptions!$P$21),0))</f>
        <v>0</v>
      </c>
      <c r="AA40" s="401">
        <f>IF(AND(AA23&lt;Assumptions!$J$63,IS!Z23&lt;Assumptions!$J$63),Z40*(1+Assumptions!$P$21),IF(AND(IS!Z23&lt;Assumptions!$J$63,IS!AA23&gt;Assumptions!$J$63),Z40*(IS!AA$23-IS!Z$23)*(1+Assumptions!$P$21),0))</f>
        <v>0</v>
      </c>
      <c r="AB40" s="401">
        <f>IF(AND(AB23&lt;Assumptions!$J$63,IS!AA23&lt;Assumptions!$J$63),AA40*(1+Assumptions!$P$21),IF(AND(IS!AA23&lt;Assumptions!$J$63,IS!AB23&gt;Assumptions!$J$63),AA40*(IS!AB$23-IS!AA$23)*(1+Assumptions!$P$21),0))</f>
        <v>0</v>
      </c>
      <c r="AC40" s="401">
        <f>IF(AND(AC23&lt;Assumptions!$J$63,IS!AB23&lt;Assumptions!$J$63),AB40*(1+Assumptions!$P$21),IF(AND(IS!AB23&lt;Assumptions!$J$63,IS!AC23&gt;Assumptions!$J$63),AB40*(IS!AC$23-IS!AB$23)*(1+Assumptions!$P$21),0))</f>
        <v>0</v>
      </c>
      <c r="AD40" s="401">
        <f>IF(AND(AD23&lt;Assumptions!$J$63,IS!AC23&lt;Assumptions!$J$63),AC40*(1+Assumptions!$P$21),IF(AND(IS!AC23&lt;Assumptions!$J$63,IS!AD23&gt;Assumptions!$J$63),AC40*(IS!AD$23-IS!AC$23)*(1+Assumptions!$P$21),0))</f>
        <v>0</v>
      </c>
      <c r="AE40" s="401">
        <f>IF(AND(AE23&lt;Assumptions!$J$63,IS!AD23&lt;Assumptions!$J$63),AD40*(1+Assumptions!$P$21),IF(AND(IS!AD23&lt;Assumptions!$J$63,IS!AE23&gt;Assumptions!$J$63),AD40*(IS!AE$23-IS!AD$23)*(1+Assumptions!$P$21),0))</f>
        <v>0</v>
      </c>
      <c r="AF40" s="401">
        <f>IF(AND(AF23&lt;Assumptions!$J$63,IS!AE23&lt;Assumptions!$J$63),AE40*(1+Assumptions!$P$21),IF(AND(IS!AE23&lt;Assumptions!$J$63,IS!AF23&gt;Assumptions!$J$63),AE40*(IS!AF$23-IS!AE$23)*(1+Assumptions!$P$21),0))</f>
        <v>0</v>
      </c>
      <c r="AG40" s="401">
        <f>IF(AND(AG23&lt;Assumptions!$J$63,IS!AF23&lt;Assumptions!$J$63),AF40*(1+Assumptions!$P$21),IF(AND(IS!AF23&lt;Assumptions!$J$63,IS!AG23&gt;Assumptions!$J$63),AF40*(IS!AG$23-IS!AF$23)*(1+Assumptions!$P$21),0))</f>
        <v>0</v>
      </c>
      <c r="AH40" s="401">
        <f>IF(AND(AH23&lt;Assumptions!$J$63,IS!AG23&lt;Assumptions!$J$63),AG40*(1+Assumptions!$P$21),IF(AND(IS!AG23&lt;Assumptions!$J$63,IS!AH23&gt;Assumptions!$J$63),AG40*(IS!AH$23-IS!AG$23)*(1+Assumptions!$P$21),0))</f>
        <v>0</v>
      </c>
    </row>
    <row r="41" spans="1:34">
      <c r="A41" s="4" t="s">
        <v>265</v>
      </c>
      <c r="D41" s="386">
        <v>0</v>
      </c>
      <c r="E41" s="386">
        <v>0</v>
      </c>
      <c r="F41" s="386">
        <v>0</v>
      </c>
      <c r="G41" s="386">
        <v>0</v>
      </c>
      <c r="H41" s="386">
        <v>0</v>
      </c>
      <c r="I41" s="386">
        <v>0</v>
      </c>
      <c r="J41" s="386">
        <v>0</v>
      </c>
      <c r="K41" s="386">
        <v>0</v>
      </c>
      <c r="L41" s="386">
        <v>0</v>
      </c>
      <c r="M41" s="386">
        <v>0</v>
      </c>
      <c r="N41" s="386">
        <v>0</v>
      </c>
      <c r="O41" s="386">
        <v>0</v>
      </c>
      <c r="P41" s="386">
        <v>0</v>
      </c>
      <c r="Q41" s="386">
        <v>0</v>
      </c>
      <c r="R41" s="386">
        <v>0</v>
      </c>
      <c r="S41" s="386">
        <v>0</v>
      </c>
      <c r="T41" s="386">
        <v>0</v>
      </c>
      <c r="U41" s="386">
        <v>0</v>
      </c>
      <c r="V41" s="386">
        <v>0</v>
      </c>
      <c r="W41" s="386">
        <v>0</v>
      </c>
      <c r="X41" s="386">
        <v>0</v>
      </c>
      <c r="Y41" s="386">
        <v>0</v>
      </c>
      <c r="Z41" s="386">
        <v>0</v>
      </c>
      <c r="AA41" s="386">
        <v>0</v>
      </c>
      <c r="AB41" s="386">
        <v>0</v>
      </c>
      <c r="AC41" s="386">
        <v>0</v>
      </c>
      <c r="AD41" s="386">
        <v>0</v>
      </c>
      <c r="AE41" s="386">
        <v>0</v>
      </c>
      <c r="AF41" s="386">
        <v>0</v>
      </c>
      <c r="AG41" s="386">
        <v>0</v>
      </c>
      <c r="AH41" s="386">
        <v>0</v>
      </c>
    </row>
    <row r="42" spans="1:34">
      <c r="A42" s="4" t="s">
        <v>261</v>
      </c>
      <c r="D42" s="386">
        <v>0</v>
      </c>
      <c r="E42" s="386">
        <v>0</v>
      </c>
      <c r="F42" s="386">
        <v>0</v>
      </c>
      <c r="G42" s="386">
        <v>0</v>
      </c>
      <c r="H42" s="386">
        <v>0</v>
      </c>
      <c r="I42" s="386">
        <v>0</v>
      </c>
      <c r="J42" s="386">
        <v>0</v>
      </c>
      <c r="K42" s="386">
        <v>0</v>
      </c>
      <c r="L42" s="386">
        <v>0</v>
      </c>
      <c r="M42" s="386">
        <v>0</v>
      </c>
      <c r="N42" s="386">
        <v>0</v>
      </c>
      <c r="O42" s="386">
        <v>0</v>
      </c>
      <c r="P42" s="386">
        <v>0</v>
      </c>
      <c r="Q42" s="386">
        <v>0</v>
      </c>
      <c r="R42" s="386">
        <v>0</v>
      </c>
      <c r="S42" s="386">
        <v>0</v>
      </c>
      <c r="T42" s="386">
        <v>0</v>
      </c>
      <c r="U42" s="386">
        <v>0</v>
      </c>
      <c r="V42" s="386">
        <v>0</v>
      </c>
      <c r="W42" s="386">
        <v>0</v>
      </c>
      <c r="X42" s="386">
        <v>0</v>
      </c>
      <c r="Y42" s="386">
        <v>0</v>
      </c>
      <c r="Z42" s="386">
        <v>0</v>
      </c>
      <c r="AA42" s="386">
        <v>0</v>
      </c>
      <c r="AB42" s="386">
        <v>0</v>
      </c>
      <c r="AC42" s="386">
        <v>0</v>
      </c>
      <c r="AD42" s="386">
        <v>0</v>
      </c>
      <c r="AE42" s="386">
        <v>0</v>
      </c>
      <c r="AF42" s="386">
        <v>0</v>
      </c>
      <c r="AG42" s="386">
        <v>0</v>
      </c>
      <c r="AH42" s="386">
        <v>0</v>
      </c>
    </row>
    <row r="43" spans="1:34">
      <c r="A43" s="4"/>
      <c r="D43" s="617"/>
      <c r="E43" s="617"/>
      <c r="F43" s="617"/>
      <c r="G43" s="617"/>
      <c r="H43" s="617"/>
      <c r="I43" s="617"/>
      <c r="J43" s="617"/>
      <c r="K43" s="617"/>
      <c r="L43" s="617"/>
      <c r="M43" s="617"/>
      <c r="N43" s="617"/>
      <c r="O43" s="617"/>
      <c r="P43" s="617"/>
      <c r="Q43" s="617"/>
      <c r="R43" s="617"/>
      <c r="S43" s="617"/>
      <c r="T43" s="617"/>
      <c r="U43" s="617"/>
      <c r="V43" s="617"/>
      <c r="W43" s="617"/>
      <c r="X43" s="617"/>
      <c r="Y43" s="617"/>
      <c r="Z43" s="617"/>
      <c r="AA43" s="617"/>
      <c r="AB43" s="617"/>
      <c r="AC43" s="617"/>
      <c r="AD43" s="617"/>
      <c r="AE43" s="617"/>
      <c r="AF43" s="617"/>
      <c r="AG43" s="617"/>
      <c r="AH43" s="617"/>
    </row>
    <row r="44" spans="1:34">
      <c r="A44" s="316" t="s">
        <v>262</v>
      </c>
      <c r="AD44" s="197"/>
      <c r="AE44" s="197"/>
      <c r="AF44" s="197"/>
      <c r="AG44" s="197"/>
      <c r="AH44" s="197"/>
    </row>
    <row r="45" spans="1:34">
      <c r="A45" s="4" t="s">
        <v>263</v>
      </c>
      <c r="D45" s="401">
        <f>IF(AND(D27&lt;=Assumptions!$J$75,IS!C27&lt;=Assumptions!$J$75),D26*12*'Power Price Assumption'!F25*Assumptions!$J$79,IF(AND(IS!D27&lt;=Assumptions!$J$75,IS!C27&gt;=Assumptions!$J$75),IS!D26*'Power Price Assumption'!F25*12*Assumptions!$J$79,0))</f>
        <v>0</v>
      </c>
      <c r="E45" s="401">
        <f>IF(AND(E27&lt;=Assumptions!$J$75,IS!D27&lt;=Assumptions!$J$75),E26*12*'Power Price Assumption'!G25*Assumptions!$J$79,IF(AND(IS!E27&lt;=Assumptions!$J$75,IS!D27&gt;=Assumptions!$J$75),IS!E26*'Power Price Assumption'!G25*12*Assumptions!$J$79,0))</f>
        <v>0</v>
      </c>
      <c r="F45" s="401">
        <f>IF(AND(F27&lt;=Assumptions!$J$75,IS!E27&lt;=Assumptions!$J$75),F26*12*'Power Price Assumption'!H25*Assumptions!$J$79,IF(AND(IS!F27&lt;=Assumptions!$J$75,IS!E27&gt;=Assumptions!$J$75),IS!F26*'Power Price Assumption'!H25*12*Assumptions!$J$79,0))</f>
        <v>0</v>
      </c>
      <c r="G45" s="401">
        <f>IF(AND(G27&lt;=Assumptions!$J$75,IS!F27&lt;=Assumptions!$J$75),G26*12*'Power Price Assumption'!I25*Assumptions!$J$79,IF(AND(IS!G27&lt;=Assumptions!$J$75,IS!F27&gt;=Assumptions!$J$75),IS!G26*'Power Price Assumption'!I25*12*Assumptions!$J$79,0))</f>
        <v>0</v>
      </c>
      <c r="H45" s="401">
        <f>IF(AND(H27&lt;=Assumptions!$J$75,IS!G27&lt;=Assumptions!$J$75),H26*12*'Power Price Assumption'!J25*Assumptions!$J$79,IF(AND(IS!H27&lt;=Assumptions!$J$75,IS!G27&gt;=Assumptions!$J$75),IS!H26*'Power Price Assumption'!J25*12*Assumptions!$J$79,0))</f>
        <v>0</v>
      </c>
      <c r="I45" s="401">
        <f>IF(AND(I27&lt;=Assumptions!$J$75,IS!H27&lt;=Assumptions!$J$75),I26*12*'Power Price Assumption'!K25*Assumptions!$J$79,IF(AND(IS!I27&lt;=Assumptions!$J$75,IS!H27&gt;=Assumptions!$J$75),IS!I26*'Power Price Assumption'!K25*12*Assumptions!$J$79,0))</f>
        <v>0</v>
      </c>
      <c r="J45" s="401">
        <f>IF(AND(J27&lt;=Assumptions!$J$75,IS!I27&lt;=Assumptions!$J$75),J26*12*'Power Price Assumption'!L25*Assumptions!$J$79,IF(AND(IS!J27&lt;=Assumptions!$J$75,IS!I27&gt;=Assumptions!$J$75),IS!J26*'Power Price Assumption'!L25*12*Assumptions!$J$79,0))</f>
        <v>0</v>
      </c>
      <c r="K45" s="401">
        <f>IF(AND(K27&lt;=Assumptions!$J$75,IS!J27&lt;=Assumptions!$J$75),K26*12*'Power Price Assumption'!M25*Assumptions!$J$79,IF(AND(IS!K27&lt;=Assumptions!$J$75,IS!J27&gt;=Assumptions!$J$75),IS!K26*'Power Price Assumption'!M25*12*Assumptions!$J$79,0))</f>
        <v>0</v>
      </c>
      <c r="L45" s="401">
        <f>IF(AND(L27&lt;=Assumptions!$J$75,IS!K27&lt;=Assumptions!$J$75),L26*12*'Power Price Assumption'!N25*Assumptions!$J$79,IF(AND(IS!L27&lt;=Assumptions!$J$75,IS!K27&gt;=Assumptions!$J$75),IS!L26*'Power Price Assumption'!N25*12*Assumptions!$J$79,0))</f>
        <v>0</v>
      </c>
      <c r="M45" s="401">
        <f>IF(AND(M27&lt;=Assumptions!$J$75,IS!L27&lt;=Assumptions!$J$75),M26*12*'Power Price Assumption'!O25*Assumptions!$J$79,IF(AND(IS!M27&lt;=Assumptions!$J$75,IS!L27&gt;=Assumptions!$J$75),IS!M26*'Power Price Assumption'!O25*12*Assumptions!$J$79,0))</f>
        <v>0</v>
      </c>
      <c r="N45" s="401">
        <f>IF(AND(N27&lt;=Assumptions!$J$75,IS!M27&lt;=Assumptions!$J$75),N26*12*'Power Price Assumption'!P25*Assumptions!$J$79,IF(AND(IS!N27&lt;=Assumptions!$J$75,IS!M27&gt;=Assumptions!$J$75),IS!N26*'Power Price Assumption'!P25*12*Assumptions!$J$79,0))</f>
        <v>0</v>
      </c>
      <c r="O45" s="401">
        <f>IF(AND(O27&lt;=Assumptions!$J$75,IS!N27&lt;=Assumptions!$J$75),O26*12*'Power Price Assumption'!Q25*Assumptions!$J$79,IF(AND(IS!O27&lt;=Assumptions!$J$75,IS!N27&gt;=Assumptions!$J$75),IS!O26*'Power Price Assumption'!Q25*12*Assumptions!$J$79,0))</f>
        <v>0</v>
      </c>
      <c r="P45" s="401">
        <f>IF(AND(P27&lt;=Assumptions!$J$75,IS!O27&lt;=Assumptions!$J$75),P26*12*'Power Price Assumption'!R25*Assumptions!$J$79,IF(AND(IS!P27&lt;=Assumptions!$J$75,IS!O27&gt;=Assumptions!$J$75),IS!P26*'Power Price Assumption'!R25*12*Assumptions!$J$79,0))</f>
        <v>0</v>
      </c>
      <c r="Q45" s="401">
        <f>IF(AND(Q27&lt;=Assumptions!$J$75,IS!P27&lt;=Assumptions!$J$75),Q26*12*'Power Price Assumption'!S25*Assumptions!$J$79,IF(AND(IS!Q27&lt;=Assumptions!$J$75,IS!P27&gt;=Assumptions!$J$75),IS!Q26*'Power Price Assumption'!S25*12*Assumptions!$J$79,0))</f>
        <v>0</v>
      </c>
      <c r="R45" s="401">
        <f>IF(AND(R27&lt;=Assumptions!$J$75,IS!Q27&lt;=Assumptions!$J$75),R26*12*'Power Price Assumption'!T25*Assumptions!$J$79,IF(AND(IS!R27&lt;=Assumptions!$J$75,IS!Q27&gt;=Assumptions!$J$75),IS!R26*'Power Price Assumption'!T25*12*Assumptions!$J$79,0))</f>
        <v>0</v>
      </c>
      <c r="S45" s="401">
        <f>IF(AND(S27&lt;=Assumptions!$J$75,IS!R27&lt;=Assumptions!$J$75),S26*12*'Power Price Assumption'!U25*Assumptions!$J$79,IF(AND(IS!S27&lt;=Assumptions!$J$75,IS!R27&gt;=Assumptions!$J$75),IS!S26*'Power Price Assumption'!U25*12*Assumptions!$J$79,0))</f>
        <v>0</v>
      </c>
      <c r="T45" s="401">
        <f>IF(AND(T27&lt;=Assumptions!$J$75,IS!S27&lt;=Assumptions!$J$75),T26*12*'Power Price Assumption'!V25*Assumptions!$J$79,IF(AND(IS!T27&lt;=Assumptions!$J$75,IS!S27&gt;=Assumptions!$J$75),IS!T26*'Power Price Assumption'!V25*12*Assumptions!$J$79,0))</f>
        <v>0</v>
      </c>
      <c r="U45" s="401">
        <f>IF(AND(U27&lt;=Assumptions!$J$75,IS!T27&lt;=Assumptions!$J$75),U26*12*'Power Price Assumption'!W25*Assumptions!$J$79,IF(AND(IS!U27&lt;=Assumptions!$J$75,IS!T27&gt;=Assumptions!$J$75),IS!U26*'Power Price Assumption'!W25*12*Assumptions!$J$79,0))</f>
        <v>0</v>
      </c>
      <c r="V45" s="401">
        <f>IF(AND(V27&lt;=Assumptions!$J$75,IS!U27&lt;=Assumptions!$J$75),V26*12*'Power Price Assumption'!X25*Assumptions!$J$79,IF(AND(IS!V27&lt;=Assumptions!$J$75,IS!U27&gt;=Assumptions!$J$75),IS!V26*'Power Price Assumption'!X25*12*Assumptions!$J$79,0))</f>
        <v>12171.6</v>
      </c>
      <c r="W45" s="401">
        <f>IF(AND(W27&lt;=Assumptions!$J$75,IS!V27&lt;=Assumptions!$J$75),W26*12*'Power Price Assumption'!Y25*Assumptions!$J$79,IF(AND(IS!W27&lt;=Assumptions!$J$75,IS!V27&gt;=Assumptions!$J$75),IS!W26*'Power Price Assumption'!Y25*12*Assumptions!$J$79,0))</f>
        <v>12171.6</v>
      </c>
      <c r="X45" s="401">
        <f>IF(AND(X27&lt;=Assumptions!$J$75,IS!W27&lt;=Assumptions!$J$75),X26*12*'Power Price Assumption'!Z25*Assumptions!$J$79,IF(AND(IS!X27&lt;=Assumptions!$J$75,IS!W27&gt;=Assumptions!$J$75),IS!X26*'Power Price Assumption'!Z25*12*Assumptions!$J$79,0))</f>
        <v>12171.6</v>
      </c>
      <c r="Y45" s="401">
        <f>IF(AND(Y27&lt;=Assumptions!$J$75,IS!X27&lt;=Assumptions!$J$75),Y26*12*'Power Price Assumption'!AA25*Assumptions!$J$79,IF(AND(IS!Y27&lt;=Assumptions!$J$75,IS!X27&gt;=Assumptions!$J$75),IS!Y26*'Power Price Assumption'!AA25*12*Assumptions!$J$79,0))</f>
        <v>12171.6</v>
      </c>
      <c r="Z45" s="401">
        <f>IF(AND(Z27&lt;=Assumptions!$J$75,IS!Y27&lt;=Assumptions!$J$75),Z26*12*'Power Price Assumption'!AB25*Assumptions!$J$79,IF(AND(IS!Z27&lt;=Assumptions!$J$75,IS!Y27&gt;=Assumptions!$J$75),IS!Z26*'Power Price Assumption'!AB25*12*Assumptions!$J$79,0))</f>
        <v>12171.6</v>
      </c>
      <c r="AA45" s="401">
        <f>IF(AND(AA27&lt;=Assumptions!$J$75,IS!Z27&lt;=Assumptions!$J$75),AA26*12*'Power Price Assumption'!AC25*Assumptions!$J$79,IF(AND(IS!AA27&lt;=Assumptions!$J$75,IS!Z27&gt;=Assumptions!$J$75),IS!AA26*'Power Price Assumption'!AC25*12*Assumptions!$J$79,0))</f>
        <v>12171.6</v>
      </c>
      <c r="AB45" s="401">
        <f>IF(AND(AB27&lt;=Assumptions!$J$75,IS!AA27&lt;=Assumptions!$J$75),AB26*12*'Power Price Assumption'!AD25*Assumptions!$J$79,IF(AND(IS!AB27&lt;=Assumptions!$J$75,IS!AA27&gt;=Assumptions!$J$75),IS!AB26*'Power Price Assumption'!AD25*12*Assumptions!$J$79,0))</f>
        <v>12171.6</v>
      </c>
      <c r="AC45" s="401">
        <f>IF(AND(AC27&lt;=Assumptions!$J$75,IS!AB27&lt;=Assumptions!$J$75),AC26*12*'Power Price Assumption'!AE25*Assumptions!$J$79,IF(AND(IS!AC27&lt;=Assumptions!$J$75,IS!AB27&gt;=Assumptions!$J$75),IS!AC26*'Power Price Assumption'!AE25*12*Assumptions!$J$79,0))</f>
        <v>0</v>
      </c>
      <c r="AD45" s="401">
        <f>IF(AND(AD27&lt;=Assumptions!$J$75,IS!AC27&lt;=Assumptions!$J$75),AD26*12*'Power Price Assumption'!AF25*Assumptions!$J$79,IF(AND(IS!AD27&lt;=Assumptions!$J$75,IS!AC27&gt;=Assumptions!$J$75),IS!AD26*'Power Price Assumption'!AF25*12*Assumptions!$J$79,0))</f>
        <v>0</v>
      </c>
      <c r="AE45" s="401">
        <f>IF(AND(AE27&lt;=Assumptions!$J$75,IS!AD27&lt;=Assumptions!$J$75),AE26*12*'Power Price Assumption'!AG25*Assumptions!$J$79,IF(AND(IS!AE27&lt;=Assumptions!$J$75,IS!AD27&gt;=Assumptions!$J$75),IS!AE26*'Power Price Assumption'!AG25*12*Assumptions!$J$79,0))</f>
        <v>0</v>
      </c>
      <c r="AF45" s="401">
        <f>IF(AND(AF27&lt;=Assumptions!$J$75,IS!AE27&lt;=Assumptions!$J$75),AF26*12*'Power Price Assumption'!AH25*Assumptions!$J$79,IF(AND(IS!AF27&lt;=Assumptions!$J$75,IS!AE27&gt;=Assumptions!$J$75),IS!AF26*'Power Price Assumption'!AH25*12*Assumptions!$J$79,0))</f>
        <v>0</v>
      </c>
      <c r="AG45" s="401">
        <f>IF(AND(AG27&lt;=Assumptions!$J$75,IS!AF27&lt;=Assumptions!$J$75),AG26*12*'Power Price Assumption'!AI25*Assumptions!$J$79,IF(AND(IS!AG27&lt;=Assumptions!$J$75,IS!AF27&gt;=Assumptions!$J$75),IS!AG26*'Power Price Assumption'!AI25*12*Assumptions!$J$79,0))</f>
        <v>0</v>
      </c>
      <c r="AH45" s="401">
        <f>IF(AND(AH27&lt;=Assumptions!$J$75,IS!AG27&lt;=Assumptions!$J$75),AH26*12*'Power Price Assumption'!AJ25*Assumptions!$J$79,IF(AND(IS!AH27&lt;=Assumptions!$J$75,IS!AG27&gt;=Assumptions!$J$75),IS!AH26*'Power Price Assumption'!AJ25*12*Assumptions!$J$79,0))</f>
        <v>0</v>
      </c>
    </row>
    <row r="46" spans="1:34">
      <c r="A46" s="4" t="s">
        <v>264</v>
      </c>
      <c r="B46" s="19"/>
      <c r="D46" s="631"/>
      <c r="E46" s="631"/>
      <c r="F46" s="631"/>
      <c r="G46" s="631"/>
      <c r="H46" s="631"/>
      <c r="I46" s="631"/>
      <c r="J46" s="631"/>
      <c r="K46" s="631"/>
      <c r="L46" s="631"/>
      <c r="M46" s="631"/>
      <c r="N46" s="631"/>
      <c r="O46" s="631"/>
      <c r="P46" s="631"/>
      <c r="Q46" s="631"/>
      <c r="R46" s="631"/>
      <c r="S46" s="631"/>
      <c r="T46" s="631"/>
      <c r="U46" s="631"/>
      <c r="V46" s="631">
        <f>+U40*(1+Assumptions!$P$21)</f>
        <v>710.01</v>
      </c>
      <c r="W46" s="401">
        <f>IF(AND(W27&lt;=Assumptions!$J$75,IS!V27&lt;=Assumptions!$J$75),V46*(1+Assumptions!$P$21),IF(AND(IS!V27&lt;=Assumptions!$J$75,IS!W27&gt;=Assumptions!$J$75),V46*(IS!W$23-IS!V$23)*(1+Assumptions!$P$21),0))</f>
        <v>710.01</v>
      </c>
      <c r="X46" s="401">
        <f>IF(AND(X27&lt;=Assumptions!$J$75,IS!W27&lt;=Assumptions!$J$75),W46*(1+Assumptions!$P$21),IF(AND(IS!W27&lt;=Assumptions!$J$75,IS!X27&gt;=Assumptions!$J$75),W46*(IS!X$23-IS!W$23)*(1+Assumptions!$P$21),0))</f>
        <v>710.01</v>
      </c>
      <c r="Y46" s="401">
        <f>IF(AND(Y27&lt;=Assumptions!$J$75,IS!X27&lt;=Assumptions!$J$75),X46*(1+Assumptions!$P$21),IF(AND(IS!X27&lt;=Assumptions!$J$75,IS!Y27&gt;=Assumptions!$J$75),X46*(IS!Y$23-IS!X$23)*(1+Assumptions!$P$21),0))</f>
        <v>710.01</v>
      </c>
      <c r="Z46" s="401">
        <f>IF(AND(Z27&lt;=Assumptions!$J$75,IS!Y27&lt;=Assumptions!$J$75),Y46*(1+Assumptions!$P$21),IF(AND(IS!Y27&lt;=Assumptions!$J$75,IS!Z27&gt;=Assumptions!$J$75),Y46*(IS!Z$23-IS!Y$23)*(1+Assumptions!$P$21),0))</f>
        <v>710.01</v>
      </c>
      <c r="AA46" s="401">
        <f>IF(AND(AA27&lt;=Assumptions!$J$75,IS!Z27&lt;=Assumptions!$J$75),Z46*(1+Assumptions!$P$21),IF(AND(IS!Z27&lt;=Assumptions!$J$75,IS!AA27&gt;=Assumptions!$J$75),Z46*(IS!AA$23-IS!Z$23)*(1+Assumptions!$P$21),0))</f>
        <v>710.01</v>
      </c>
      <c r="AB46" s="401">
        <f>IF(AND(AB27&lt;=Assumptions!$J$75,IS!AA27&lt;=Assumptions!$J$75),AA46*(1+Assumptions!$P$21),IF(AND(IS!AA27&lt;=Assumptions!$J$75,IS!AB27&gt;=Assumptions!$J$75),AA46*(IS!AB$23-IS!AA$23)*(1+Assumptions!$P$21),0))</f>
        <v>710.01</v>
      </c>
      <c r="AC46" s="401">
        <f>IF(AND(AC27&lt;Assumptions!$J$75,IS!AB27&lt;Assumptions!$J$75),AB46*(1+Assumptions!$P$21),IF(AND(IS!AB27&lt;Assumptions!$J$75,IS!AC27&gt;Assumptions!$J$75),AB46*(IS!AC$23-IS!AB$23)*(1+Assumptions!$P$21),0))</f>
        <v>0</v>
      </c>
      <c r="AD46" s="401">
        <f>IF(AND(AD27&lt;Assumptions!$J$75,IS!AC27&lt;Assumptions!$J$75),AC46*(1+Assumptions!$P$21),IF(AND(IS!AC27&lt;Assumptions!$J$75,IS!AD27&gt;Assumptions!$J$75),AC46*(IS!AD$23-IS!AC$23)*(1+Assumptions!$P$21),0))</f>
        <v>0</v>
      </c>
      <c r="AE46" s="401">
        <f>IF(AND(AE27&lt;Assumptions!$J$75,IS!AD27&lt;Assumptions!$J$75),AD46*(1+Assumptions!$P$21),IF(AND(IS!AD27&lt;Assumptions!$J$75,IS!AE27&gt;Assumptions!$J$75),AD46*(IS!AE$23-IS!AD$23)*(1+Assumptions!$P$21),0))</f>
        <v>0</v>
      </c>
      <c r="AF46" s="401">
        <f>IF(AND(AF27&lt;Assumptions!$J$75,IS!AE27&lt;Assumptions!$J$75),AE46*(1+Assumptions!$P$21),IF(AND(IS!AE27&lt;Assumptions!$J$75,IS!AF27&gt;Assumptions!$J$75),AE46*(IS!AF$23-IS!AE$23)*(1+Assumptions!$P$21),0))</f>
        <v>0</v>
      </c>
      <c r="AG46" s="401">
        <f>IF(AND(AG27&lt;Assumptions!$J$75,IS!AF27&lt;Assumptions!$J$75),AF46*(1+Assumptions!$P$21),IF(AND(IS!AF27&lt;Assumptions!$J$75,IS!AG27&gt;Assumptions!$J$75),AF46*(IS!AG$23-IS!AF$23)*(1+Assumptions!$P$21),0))</f>
        <v>0</v>
      </c>
      <c r="AH46" s="401">
        <f>IF(AND(AH27&lt;Assumptions!$J$75,IS!AG27&lt;Assumptions!$J$75),AG46*(1+Assumptions!$P$21),IF(AND(IS!AG27&lt;Assumptions!$J$75,IS!AH27&gt;Assumptions!$J$75),AG46*(IS!AH$23-IS!AG$23)*(1+Assumptions!$P$21),0))</f>
        <v>0</v>
      </c>
    </row>
    <row r="47" spans="1:34">
      <c r="A47" s="4" t="s">
        <v>265</v>
      </c>
      <c r="D47" s="386">
        <v>0</v>
      </c>
      <c r="E47" s="386">
        <v>0</v>
      </c>
      <c r="F47" s="386">
        <v>0</v>
      </c>
      <c r="G47" s="386">
        <v>0</v>
      </c>
      <c r="H47" s="386">
        <v>0</v>
      </c>
      <c r="I47" s="386">
        <v>0</v>
      </c>
      <c r="J47" s="386">
        <v>0</v>
      </c>
      <c r="K47" s="386">
        <v>0</v>
      </c>
      <c r="L47" s="386">
        <v>0</v>
      </c>
      <c r="M47" s="386">
        <v>0</v>
      </c>
      <c r="N47" s="386">
        <v>0</v>
      </c>
      <c r="O47" s="386">
        <v>0</v>
      </c>
      <c r="P47" s="386">
        <v>0</v>
      </c>
      <c r="Q47" s="386">
        <v>0</v>
      </c>
      <c r="R47" s="386">
        <v>0</v>
      </c>
      <c r="S47" s="386">
        <v>0</v>
      </c>
      <c r="T47" s="386">
        <v>0</v>
      </c>
      <c r="U47" s="386">
        <v>0</v>
      </c>
      <c r="V47" s="386">
        <v>0</v>
      </c>
      <c r="W47" s="386">
        <v>0</v>
      </c>
      <c r="X47" s="386">
        <v>0</v>
      </c>
      <c r="Y47" s="386">
        <v>0</v>
      </c>
      <c r="Z47" s="386">
        <v>0</v>
      </c>
      <c r="AA47" s="386">
        <v>0</v>
      </c>
      <c r="AB47" s="386">
        <v>0</v>
      </c>
      <c r="AC47" s="386">
        <v>0</v>
      </c>
      <c r="AD47" s="386">
        <v>0</v>
      </c>
      <c r="AE47" s="386">
        <v>0</v>
      </c>
      <c r="AF47" s="386">
        <v>0</v>
      </c>
      <c r="AG47" s="386">
        <v>0</v>
      </c>
      <c r="AH47" s="386">
        <v>0</v>
      </c>
    </row>
    <row r="48" spans="1:34">
      <c r="A48" s="4" t="s">
        <v>261</v>
      </c>
      <c r="D48" s="386">
        <v>0</v>
      </c>
      <c r="E48" s="386">
        <v>0</v>
      </c>
      <c r="F48" s="386">
        <v>0</v>
      </c>
      <c r="G48" s="386">
        <v>0</v>
      </c>
      <c r="H48" s="386">
        <v>0</v>
      </c>
      <c r="I48" s="386">
        <v>0</v>
      </c>
      <c r="J48" s="386">
        <v>0</v>
      </c>
      <c r="K48" s="386">
        <v>0</v>
      </c>
      <c r="L48" s="386">
        <v>0</v>
      </c>
      <c r="M48" s="386">
        <v>0</v>
      </c>
      <c r="N48" s="386">
        <v>0</v>
      </c>
      <c r="O48" s="386">
        <v>0</v>
      </c>
      <c r="P48" s="386">
        <v>0</v>
      </c>
      <c r="Q48" s="386">
        <v>0</v>
      </c>
      <c r="R48" s="386">
        <v>0</v>
      </c>
      <c r="S48" s="386">
        <v>0</v>
      </c>
      <c r="T48" s="386">
        <v>0</v>
      </c>
      <c r="U48" s="386">
        <v>0</v>
      </c>
      <c r="V48" s="386">
        <v>0</v>
      </c>
      <c r="W48" s="386">
        <v>0</v>
      </c>
      <c r="X48" s="386">
        <v>0</v>
      </c>
      <c r="Y48" s="386">
        <v>0</v>
      </c>
      <c r="Z48" s="386">
        <v>0</v>
      </c>
      <c r="AA48" s="386">
        <v>0</v>
      </c>
      <c r="AB48" s="386">
        <v>0</v>
      </c>
      <c r="AC48" s="386">
        <v>0</v>
      </c>
      <c r="AD48" s="386">
        <v>0</v>
      </c>
      <c r="AE48" s="386">
        <v>0</v>
      </c>
      <c r="AF48" s="386">
        <v>0</v>
      </c>
      <c r="AG48" s="386">
        <v>0</v>
      </c>
      <c r="AH48" s="386">
        <v>0</v>
      </c>
    </row>
    <row r="49" spans="1:34">
      <c r="AD49" s="197"/>
      <c r="AE49" s="197"/>
      <c r="AF49" s="197"/>
      <c r="AG49" s="197"/>
      <c r="AH49" s="197"/>
    </row>
    <row r="50" spans="1:34">
      <c r="A50" s="4" t="s">
        <v>75</v>
      </c>
      <c r="D50" s="401">
        <f>IF(AND(D6&gt;Assumptions!$J$51,IS!C6&gt;Assumptions!$J$51),Assumptions!$J$82*Assumptions!$J$14*Assumptions!$J$83*Assumptions!$J$79/1000,IF(AND(D6&gt;Assumptions!$J$51,IS!C6&lt;Assumptions!$J$51),Assumptions!$J$82*Assumptions!$J$14*Assumptions!$J$83*Assumptions!$J$79/1000*$D$6,0))</f>
        <v>0</v>
      </c>
      <c r="E50" s="401">
        <f>IF(AND(E6&gt;Assumptions!$J$51,IS!D6&gt;Assumptions!$J$51),Assumptions!$J$82*Assumptions!$J$14*Assumptions!$J$83*Assumptions!$J$79/1000,IF(AND(E6&gt;Assumptions!$J$51,IS!D6&lt;Assumptions!$J$51),Assumptions!$J$82*Assumptions!$J$14*Assumptions!$J$83*Assumptions!$J$79/1000*$D$6,0))</f>
        <v>0</v>
      </c>
      <c r="F50" s="401">
        <f>IF(AND(F6&gt;Assumptions!$J$51,IS!E6&gt;Assumptions!$J$51),Assumptions!$J$82*Assumptions!$J$14*Assumptions!$J$83*Assumptions!$J$79/1000,IF(AND(F6&gt;Assumptions!$J$51,IS!E6&lt;Assumptions!$J$51),Assumptions!$J$82*Assumptions!$J$14*Assumptions!$J$83*Assumptions!$J$79/1000*$D$6,0))</f>
        <v>0</v>
      </c>
      <c r="G50" s="401">
        <f>IF(AND(G6&gt;Assumptions!$J$51,IS!F6&gt;Assumptions!$J$51),Assumptions!$J$82*Assumptions!$J$14*Assumptions!$J$83*Assumptions!$J$79/1000,IF(AND(G6&gt;Assumptions!$J$51,IS!F6&lt;Assumptions!$J$51),Assumptions!$J$82*Assumptions!$J$14*Assumptions!$J$83*Assumptions!$J$79/1000*$D$6,0))</f>
        <v>0</v>
      </c>
      <c r="H50" s="401">
        <f>IF(AND(H6&gt;Assumptions!$J$51,IS!G6&gt;Assumptions!$J$51),Assumptions!$J$82*Assumptions!$J$14*Assumptions!$J$83*Assumptions!$J$79/1000,IF(AND(H6&gt;Assumptions!$J$51,IS!G6&lt;Assumptions!$J$51),Assumptions!$J$82*Assumptions!$J$14*Assumptions!$J$83*Assumptions!$J$79/1000*$D$6,0))</f>
        <v>0</v>
      </c>
      <c r="I50" s="401">
        <f>IF(AND(I6&gt;Assumptions!$J$51,IS!H6&gt;Assumptions!$J$51),Assumptions!$J$82*Assumptions!$J$14*Assumptions!$J$83*Assumptions!$J$79/1000,IF(AND(I6&gt;Assumptions!$J$51,IS!H6&lt;Assumptions!$J$51),Assumptions!$J$82*Assumptions!$J$14*Assumptions!$J$83*Assumptions!$J$79/1000*$D$6,0))</f>
        <v>0</v>
      </c>
      <c r="J50" s="401">
        <f>IF(AND(J6&gt;Assumptions!$J$51,IS!I6&gt;Assumptions!$J$51),Assumptions!$J$82*Assumptions!$J$14*Assumptions!$J$83*Assumptions!$J$79/1000,IF(AND(J6&gt;Assumptions!$J$51,IS!I6&lt;Assumptions!$J$51),Assumptions!$J$82*Assumptions!$J$14*Assumptions!$J$83*Assumptions!$J$79/1000*$D$6,0))</f>
        <v>0</v>
      </c>
      <c r="K50" s="401">
        <f>IF(AND(K6&gt;Assumptions!$J$51,IS!J6&gt;Assumptions!$J$51),Assumptions!$J$82*Assumptions!$J$14*Assumptions!$J$83*Assumptions!$J$79/1000,IF(AND(K6&gt;Assumptions!$J$51,IS!J6&lt;Assumptions!$J$51),Assumptions!$J$82*Assumptions!$J$14*Assumptions!$J$83*Assumptions!$J$79/1000*$D$6,0))</f>
        <v>0</v>
      </c>
      <c r="L50" s="401">
        <f>IF(AND(L6&gt;Assumptions!$J$51,IS!K6&gt;Assumptions!$J$51),Assumptions!$J$82*Assumptions!$J$14*Assumptions!$J$83*Assumptions!$J$79/1000,IF(AND(L6&gt;Assumptions!$J$51,IS!K6&lt;Assumptions!$J$51),Assumptions!$J$82*Assumptions!$J$14*Assumptions!$J$83*Assumptions!$J$79/1000*$D$6,0))</f>
        <v>0</v>
      </c>
      <c r="M50" s="401">
        <f>IF(AND(M6&gt;Assumptions!$J$51,IS!L6&gt;Assumptions!$J$51),Assumptions!$J$82*Assumptions!$J$14*Assumptions!$J$83*Assumptions!$J$79/1000,IF(AND(M6&gt;Assumptions!$J$51,IS!L6&lt;Assumptions!$J$51),Assumptions!$J$82*Assumptions!$J$14*Assumptions!$J$83*Assumptions!$J$79/1000*$D$6,0))</f>
        <v>0</v>
      </c>
      <c r="N50" s="401">
        <f>IF(AND(N6&gt;Assumptions!$J$51,IS!M6&gt;Assumptions!$J$51),Assumptions!$J$82*Assumptions!$J$14*Assumptions!$J$83*Assumptions!$J$79/1000,IF(AND(N6&gt;Assumptions!$J$51,IS!M6&lt;Assumptions!$J$51),Assumptions!$J$82*Assumptions!$J$14*Assumptions!$J$83*Assumptions!$J$79/1000*$D$6,0))</f>
        <v>0</v>
      </c>
      <c r="O50" s="401">
        <f>IF(AND(O6&gt;Assumptions!$J$51,IS!N6&gt;Assumptions!$J$51),Assumptions!$J$82*Assumptions!$J$14*Assumptions!$J$83*Assumptions!$J$79/1000,IF(AND(O6&gt;Assumptions!$J$51,IS!N6&lt;Assumptions!$J$51),Assumptions!$J$82*Assumptions!$J$14*Assumptions!$J$83*Assumptions!$J$79/1000*$D$6,0))</f>
        <v>0</v>
      </c>
      <c r="P50" s="401">
        <f>IF(AND(P6&gt;Assumptions!$J$51,IS!O6&gt;Assumptions!$J$51),Assumptions!$J$82*Assumptions!$J$14*Assumptions!$J$83*Assumptions!$J$79/1000,IF(AND(P6&gt;Assumptions!$J$51,IS!O6&lt;Assumptions!$J$51),Assumptions!$J$82*Assumptions!$J$14*Assumptions!$J$83*Assumptions!$J$79/1000*$D$6,0))</f>
        <v>0</v>
      </c>
      <c r="Q50" s="401">
        <f>IF(AND(Q6&gt;Assumptions!$J$51,IS!P6&gt;Assumptions!$J$51),Assumptions!$J$82*Assumptions!$J$14*Assumptions!$J$83*Assumptions!$J$79/1000,IF(AND(Q6&gt;Assumptions!$J$51,IS!P6&lt;Assumptions!$J$51),Assumptions!$J$82*Assumptions!$J$14*Assumptions!$J$83*Assumptions!$J$79/1000*$D$6,0))</f>
        <v>0</v>
      </c>
      <c r="R50" s="401">
        <f>IF(AND(R6&gt;Assumptions!$J$51,IS!Q6&gt;Assumptions!$J$51),Assumptions!$J$82*Assumptions!$J$14*Assumptions!$J$83*Assumptions!$J$79/1000,IF(AND(R6&gt;Assumptions!$J$51,IS!Q6&lt;Assumptions!$J$51),Assumptions!$J$82*Assumptions!$J$14*Assumptions!$J$83*Assumptions!$J$79/1000*$D$6,0))</f>
        <v>0</v>
      </c>
      <c r="S50" s="401">
        <f>IF(AND(S6&gt;Assumptions!$J$51,IS!R6&gt;Assumptions!$J$51),Assumptions!$J$82*Assumptions!$J$14*Assumptions!$J$83*Assumptions!$J$79/1000,IF(AND(S6&gt;Assumptions!$J$51,IS!R6&lt;Assumptions!$J$51),Assumptions!$J$82*Assumptions!$J$14*Assumptions!$J$83*Assumptions!$J$79/1000*$D$6,0))</f>
        <v>0</v>
      </c>
      <c r="T50" s="401">
        <f>IF(AND(T6&gt;Assumptions!$J$51,IS!S6&gt;Assumptions!$J$51),Assumptions!$J$82*Assumptions!$J$14*Assumptions!$J$83*Assumptions!$J$79/1000,IF(AND(T6&gt;Assumptions!$J$51,IS!S6&lt;Assumptions!$J$51),Assumptions!$J$82*Assumptions!$J$14*Assumptions!$J$83*Assumptions!$J$79/1000*$D$6,0))</f>
        <v>0</v>
      </c>
      <c r="U50" s="401">
        <f>IF(AND(U6&gt;Assumptions!$J$51,IS!T6&gt;Assumptions!$J$51),Assumptions!$J$82*Assumptions!$J$14*Assumptions!$J$83*Assumptions!$J$79/1000,IF(AND(U6&gt;Assumptions!$J$51,IS!T6&lt;Assumptions!$J$51),Assumptions!$J$82*Assumptions!$J$14*Assumptions!$J$83*Assumptions!$J$79/1000*$D$6,0))</f>
        <v>0</v>
      </c>
      <c r="V50" s="401">
        <f>IF(AND(V6&gt;Assumptions!$J$51,IS!U6&gt;Assumptions!$J$51),Assumptions!$J$82*Assumptions!$J$14*Assumptions!$J$83*Assumptions!$J$79/1000,IF(AND(V6&gt;Assumptions!$J$51,IS!U6&lt;Assumptions!$J$51),Assumptions!$J$82*Assumptions!$J$14*Assumptions!$J$83*Assumptions!$J$79/1000*$D$6,0))</f>
        <v>0</v>
      </c>
      <c r="W50" s="401">
        <f>IF(AND(W6&gt;Assumptions!$J$51,IS!V6&gt;Assumptions!$J$51),Assumptions!$J$82*Assumptions!$J$14*Assumptions!$J$83*Assumptions!$J$79/1000,IF(AND(W6&gt;Assumptions!$J$51,IS!V6&lt;Assumptions!$J$51),Assumptions!$J$82*Assumptions!$J$14*Assumptions!$J$83*Assumptions!$J$79/1000*$D$6,0))</f>
        <v>0</v>
      </c>
      <c r="X50" s="401">
        <f>IF(AND(X6&gt;Assumptions!$J$51,IS!W6&gt;Assumptions!$J$51),Assumptions!$J$82*Assumptions!$J$14*Assumptions!$J$83*Assumptions!$J$79/1000,IF(AND(X6&gt;Assumptions!$J$51,IS!W6&lt;Assumptions!$J$51),Assumptions!$J$82*Assumptions!$J$14*Assumptions!$J$83*Assumptions!$J$79/1000*$D$6,0))</f>
        <v>0</v>
      </c>
      <c r="Y50" s="401">
        <f>IF(AND(Y6&gt;Assumptions!$J$51,IS!X6&gt;Assumptions!$J$51),Assumptions!$J$82*Assumptions!$J$14*Assumptions!$J$83*Assumptions!$J$79/1000,IF(AND(Y6&gt;Assumptions!$J$51,IS!X6&lt;Assumptions!$J$51),Assumptions!$J$82*Assumptions!$J$14*Assumptions!$J$83*Assumptions!$J$79/1000*$D$6,0))</f>
        <v>0</v>
      </c>
      <c r="Z50" s="401">
        <f>IF(AND(Z6&gt;Assumptions!$J$51,IS!Y6&gt;Assumptions!$J$51),Assumptions!$J$82*Assumptions!$J$14*Assumptions!$J$83*Assumptions!$J$79/1000,IF(AND(Z6&gt;Assumptions!$J$51,IS!Y6&lt;Assumptions!$J$51),Assumptions!$J$82*Assumptions!$J$14*Assumptions!$J$83*Assumptions!$J$79/1000*$D$6,0))</f>
        <v>0</v>
      </c>
      <c r="AA50" s="401">
        <f>IF(AND(AA6&gt;Assumptions!$J$51,IS!Z6&gt;Assumptions!$J$51),Assumptions!$J$82*Assumptions!$J$14*Assumptions!$J$83*Assumptions!$J$79/1000,IF(AND(AA6&gt;Assumptions!$J$51,IS!Z6&lt;Assumptions!$J$51),Assumptions!$J$82*Assumptions!$J$14*Assumptions!$J$83*Assumptions!$J$79/1000*$D$6,0))</f>
        <v>0</v>
      </c>
      <c r="AB50" s="401">
        <f>IF(AND(AB6&gt;Assumptions!$J$51,IS!AA6&gt;Assumptions!$J$51),Assumptions!$J$82*Assumptions!$J$14*Assumptions!$J$83*Assumptions!$J$79/1000,IF(AND(AB6&gt;Assumptions!$J$51,IS!AA6&lt;Assumptions!$J$51),Assumptions!$J$82*Assumptions!$J$14*Assumptions!$J$83*Assumptions!$J$79/1000*$D$6,0))</f>
        <v>0</v>
      </c>
      <c r="AC50" s="401">
        <f>IF(AND(AC6&gt;Assumptions!$J$51,IS!AB6&gt;Assumptions!$J$51),Assumptions!$J$82*Assumptions!$J$14*Assumptions!$J$83*Assumptions!$J$79/1000,IF(AND(AC6&gt;Assumptions!$J$51,IS!AB6&lt;Assumptions!$J$51),Assumptions!$J$82*Assumptions!$J$14*Assumptions!$J$83*Assumptions!$J$79/1000*$D$6,0))</f>
        <v>0</v>
      </c>
      <c r="AD50" s="401">
        <f>IF(AND(AD6&gt;Assumptions!$J$51,IS!AC6&gt;Assumptions!$J$51),Assumptions!$J$82*Assumptions!$J$14*Assumptions!$J$83*Assumptions!$J$79/1000,IF(AND(AD6&gt;Assumptions!$J$51,IS!AC6&lt;Assumptions!$J$51),Assumptions!$J$82*Assumptions!$J$14*Assumptions!$J$83*Assumptions!$J$79/1000*$D$6,0))</f>
        <v>0</v>
      </c>
      <c r="AE50" s="401">
        <f>IF(AND(AE6&gt;Assumptions!$J$51,IS!AD6&gt;Assumptions!$J$51),Assumptions!$J$82*Assumptions!$J$14*Assumptions!$J$83*Assumptions!$J$79/1000,IF(AND(AE6&gt;Assumptions!$J$51,IS!AD6&lt;Assumptions!$J$51),Assumptions!$J$82*Assumptions!$J$14*Assumptions!$J$83*Assumptions!$J$79/1000*$D$6,0))</f>
        <v>0</v>
      </c>
      <c r="AF50" s="401">
        <f>IF(AND(AF6&gt;Assumptions!$J$51,IS!AE6&gt;Assumptions!$J$51),Assumptions!$J$82*Assumptions!$J$14*Assumptions!$J$83*Assumptions!$J$79/1000,IF(AND(AF6&gt;Assumptions!$J$51,IS!AE6&lt;Assumptions!$J$51),Assumptions!$J$82*Assumptions!$J$14*Assumptions!$J$83*Assumptions!$J$79/1000*$D$6,0))</f>
        <v>0</v>
      </c>
      <c r="AG50" s="401">
        <f>IF(AND(AG6&gt;Assumptions!$J$51,IS!AF6&gt;Assumptions!$J$51),Assumptions!$J$82*Assumptions!$J$14*Assumptions!$J$83*Assumptions!$J$79/1000,IF(AND(AG6&gt;Assumptions!$J$51,IS!AF6&lt;Assumptions!$J$51),Assumptions!$J$82*Assumptions!$J$14*Assumptions!$J$83*Assumptions!$J$79/1000*$D$6,0))</f>
        <v>0</v>
      </c>
      <c r="AH50" s="401">
        <f>IF(AND(AH6&gt;Assumptions!$J$51,IS!AG6&gt;Assumptions!$J$51),Assumptions!$J$82*Assumptions!$J$14*Assumptions!$J$83*Assumptions!$J$79/1000,IF(AND(AH6&gt;Assumptions!$J$51,IS!AG6&lt;Assumptions!$J$51),Assumptions!$J$82*Assumptions!$J$14*Assumptions!$J$83*Assumptions!$J$79/1000*$D$6,0))</f>
        <v>0</v>
      </c>
    </row>
    <row r="51" spans="1:34">
      <c r="A51" s="318" t="s">
        <v>266</v>
      </c>
      <c r="D51" s="386">
        <v>0</v>
      </c>
      <c r="E51" s="386">
        <v>0</v>
      </c>
      <c r="F51" s="386">
        <v>0</v>
      </c>
      <c r="G51" s="386">
        <v>0</v>
      </c>
      <c r="H51" s="386">
        <v>0</v>
      </c>
      <c r="I51" s="386">
        <v>0</v>
      </c>
      <c r="J51" s="386">
        <v>0</v>
      </c>
      <c r="K51" s="386">
        <v>0</v>
      </c>
      <c r="L51" s="386">
        <v>0</v>
      </c>
      <c r="M51" s="386">
        <v>0</v>
      </c>
      <c r="N51" s="386">
        <v>0</v>
      </c>
      <c r="O51" s="386">
        <v>0</v>
      </c>
      <c r="P51" s="386">
        <v>0</v>
      </c>
      <c r="Q51" s="386">
        <v>0</v>
      </c>
      <c r="R51" s="386">
        <v>0</v>
      </c>
      <c r="S51" s="386">
        <v>0</v>
      </c>
      <c r="T51" s="386">
        <v>0</v>
      </c>
      <c r="U51" s="386">
        <v>0</v>
      </c>
      <c r="V51" s="386">
        <v>0</v>
      </c>
      <c r="W51" s="386">
        <v>0</v>
      </c>
      <c r="X51" s="386">
        <v>0</v>
      </c>
      <c r="Y51" s="386">
        <v>0</v>
      </c>
      <c r="Z51" s="386">
        <v>0</v>
      </c>
      <c r="AA51" s="386">
        <v>0</v>
      </c>
      <c r="AB51" s="386">
        <v>0</v>
      </c>
      <c r="AC51" s="386">
        <v>0</v>
      </c>
      <c r="AD51" s="386">
        <v>0</v>
      </c>
      <c r="AE51" s="386">
        <v>0</v>
      </c>
      <c r="AF51" s="386">
        <v>0</v>
      </c>
      <c r="AG51" s="386">
        <v>0</v>
      </c>
      <c r="AH51" s="386">
        <v>0</v>
      </c>
    </row>
    <row r="52" spans="1:34">
      <c r="A52" s="318" t="s">
        <v>267</v>
      </c>
      <c r="D52" s="387">
        <v>0</v>
      </c>
      <c r="E52" s="387">
        <v>0</v>
      </c>
      <c r="F52" s="387">
        <v>0</v>
      </c>
      <c r="G52" s="387">
        <v>0</v>
      </c>
      <c r="H52" s="387">
        <v>0</v>
      </c>
      <c r="I52" s="387">
        <v>0</v>
      </c>
      <c r="J52" s="387">
        <v>0</v>
      </c>
      <c r="K52" s="387">
        <v>0</v>
      </c>
      <c r="L52" s="387">
        <v>0</v>
      </c>
      <c r="M52" s="387">
        <v>0</v>
      </c>
      <c r="N52" s="387">
        <v>0</v>
      </c>
      <c r="O52" s="387">
        <v>0</v>
      </c>
      <c r="P52" s="387">
        <v>0</v>
      </c>
      <c r="Q52" s="387">
        <v>0</v>
      </c>
      <c r="R52" s="387">
        <v>0</v>
      </c>
      <c r="S52" s="387">
        <v>0</v>
      </c>
      <c r="T52" s="387">
        <v>0</v>
      </c>
      <c r="U52" s="387">
        <v>0</v>
      </c>
      <c r="V52" s="387">
        <v>0</v>
      </c>
      <c r="W52" s="387">
        <v>0</v>
      </c>
      <c r="X52" s="387">
        <v>0</v>
      </c>
      <c r="Y52" s="387">
        <v>0</v>
      </c>
      <c r="Z52" s="387">
        <v>0</v>
      </c>
      <c r="AA52" s="387">
        <v>0</v>
      </c>
      <c r="AB52" s="387">
        <v>0</v>
      </c>
      <c r="AC52" s="632">
        <v>0</v>
      </c>
      <c r="AD52" s="632">
        <v>0</v>
      </c>
      <c r="AE52" s="632">
        <v>0</v>
      </c>
      <c r="AF52" s="632">
        <v>0</v>
      </c>
      <c r="AG52" s="632">
        <v>0</v>
      </c>
      <c r="AH52" s="632">
        <v>0</v>
      </c>
    </row>
    <row r="53" spans="1:34">
      <c r="A53" s="550" t="s">
        <v>357</v>
      </c>
      <c r="D53" s="387">
        <v>0</v>
      </c>
      <c r="E53" s="387">
        <v>0</v>
      </c>
      <c r="F53" s="387">
        <v>0</v>
      </c>
      <c r="G53" s="387">
        <v>0</v>
      </c>
      <c r="H53" s="387">
        <v>0</v>
      </c>
      <c r="I53" s="387">
        <v>0</v>
      </c>
      <c r="J53" s="387">
        <v>0</v>
      </c>
      <c r="K53" s="387">
        <v>0</v>
      </c>
      <c r="L53" s="387">
        <v>0</v>
      </c>
      <c r="M53" s="387">
        <v>0</v>
      </c>
      <c r="N53" s="387">
        <v>0</v>
      </c>
      <c r="O53" s="387">
        <v>0</v>
      </c>
      <c r="P53" s="387">
        <v>0</v>
      </c>
      <c r="Q53" s="387">
        <v>0</v>
      </c>
      <c r="R53" s="387">
        <v>0</v>
      </c>
      <c r="S53" s="387">
        <v>0</v>
      </c>
      <c r="T53" s="387">
        <v>0</v>
      </c>
      <c r="U53" s="387">
        <v>0</v>
      </c>
      <c r="V53" s="387">
        <v>0</v>
      </c>
      <c r="W53" s="387">
        <v>0</v>
      </c>
      <c r="X53" s="387">
        <v>0</v>
      </c>
      <c r="Y53" s="387">
        <v>0</v>
      </c>
      <c r="Z53" s="387">
        <v>0</v>
      </c>
      <c r="AA53" s="387">
        <v>0</v>
      </c>
      <c r="AB53" s="387">
        <v>0</v>
      </c>
      <c r="AC53" s="387"/>
      <c r="AD53" s="387"/>
      <c r="AE53" s="387"/>
      <c r="AF53" s="387"/>
      <c r="AG53" s="387"/>
      <c r="AH53" s="387"/>
    </row>
    <row r="54" spans="1:34">
      <c r="A54" s="550" t="s">
        <v>356</v>
      </c>
      <c r="D54" s="551">
        <f>+D58</f>
        <v>5065.5351132054802</v>
      </c>
      <c r="E54" s="551">
        <f t="shared" ref="E54:AB54" si="8">+E58</f>
        <v>7577.5422800000006</v>
      </c>
      <c r="F54" s="551">
        <f t="shared" si="8"/>
        <v>7577.5422800000006</v>
      </c>
      <c r="G54" s="551">
        <f t="shared" si="8"/>
        <v>7577.5422800000006</v>
      </c>
      <c r="H54" s="551">
        <f t="shared" si="8"/>
        <v>7577.5422800000006</v>
      </c>
      <c r="I54" s="551">
        <f t="shared" si="8"/>
        <v>7577.5422800000006</v>
      </c>
      <c r="J54" s="551">
        <f t="shared" si="8"/>
        <v>7577.5422800000006</v>
      </c>
      <c r="K54" s="551">
        <f t="shared" si="8"/>
        <v>7577.5422800000006</v>
      </c>
      <c r="L54" s="551">
        <f t="shared" si="8"/>
        <v>7577.5422800000006</v>
      </c>
      <c r="M54" s="551">
        <f t="shared" si="8"/>
        <v>7577.5422800000006</v>
      </c>
      <c r="N54" s="551">
        <f t="shared" si="8"/>
        <v>7577.5422800000006</v>
      </c>
      <c r="O54" s="551">
        <f t="shared" si="8"/>
        <v>7577.5422800000006</v>
      </c>
      <c r="P54" s="551">
        <f t="shared" si="8"/>
        <v>7577.5422800000006</v>
      </c>
      <c r="Q54" s="551">
        <f t="shared" si="8"/>
        <v>7577.5422800000006</v>
      </c>
      <c r="R54" s="551">
        <f t="shared" si="8"/>
        <v>7577.5422800000006</v>
      </c>
      <c r="S54" s="551">
        <f t="shared" si="8"/>
        <v>7577.5422800000006</v>
      </c>
      <c r="T54" s="551">
        <f t="shared" si="8"/>
        <v>7577.5422800000006</v>
      </c>
      <c r="U54" s="551">
        <f t="shared" si="8"/>
        <v>7577.5422800000006</v>
      </c>
      <c r="V54" s="551">
        <f t="shared" si="8"/>
        <v>7577.5422800000006</v>
      </c>
      <c r="W54" s="551">
        <f t="shared" si="8"/>
        <v>7577.5422800000006</v>
      </c>
      <c r="X54" s="551">
        <f t="shared" si="8"/>
        <v>7577.5422800000006</v>
      </c>
      <c r="Y54" s="551">
        <f t="shared" si="8"/>
        <v>7577.5422800000006</v>
      </c>
      <c r="Z54" s="551">
        <f t="shared" si="8"/>
        <v>7577.5422800000006</v>
      </c>
      <c r="AA54" s="551">
        <f t="shared" si="8"/>
        <v>7577.5422800000006</v>
      </c>
      <c r="AB54" s="551">
        <f t="shared" si="8"/>
        <v>7577.5422800000006</v>
      </c>
      <c r="AC54" s="387"/>
      <c r="AD54" s="387"/>
      <c r="AE54" s="387"/>
      <c r="AF54" s="387"/>
      <c r="AG54" s="387"/>
      <c r="AH54" s="387"/>
    </row>
    <row r="55" spans="1:34">
      <c r="A55" s="4" t="s">
        <v>76</v>
      </c>
      <c r="D55" s="401">
        <f>SUM(D33:D54)</f>
        <v>13912.176346082193</v>
      </c>
      <c r="E55" s="401">
        <f t="shared" ref="E55:AB55" si="9">SUM(E33:E54)</f>
        <v>20459.152280000002</v>
      </c>
      <c r="F55" s="401">
        <f t="shared" si="9"/>
        <v>20459.152280000002</v>
      </c>
      <c r="G55" s="401">
        <f t="shared" si="9"/>
        <v>20459.152280000002</v>
      </c>
      <c r="H55" s="401">
        <f t="shared" si="9"/>
        <v>20459.152280000002</v>
      </c>
      <c r="I55" s="401">
        <f t="shared" si="9"/>
        <v>20459.152280000002</v>
      </c>
      <c r="J55" s="401">
        <f t="shared" si="9"/>
        <v>20459.152280000002</v>
      </c>
      <c r="K55" s="401">
        <f t="shared" si="9"/>
        <v>20459.152280000002</v>
      </c>
      <c r="L55" s="401">
        <f t="shared" si="9"/>
        <v>20459.152280000002</v>
      </c>
      <c r="M55" s="401">
        <f t="shared" si="9"/>
        <v>20459.152280000002</v>
      </c>
      <c r="N55" s="401">
        <f t="shared" si="9"/>
        <v>20459.152280000002</v>
      </c>
      <c r="O55" s="401">
        <f t="shared" si="9"/>
        <v>20459.152280000002</v>
      </c>
      <c r="P55" s="401">
        <f t="shared" si="9"/>
        <v>20459.152280000002</v>
      </c>
      <c r="Q55" s="401">
        <f t="shared" si="9"/>
        <v>20459.152280000002</v>
      </c>
      <c r="R55" s="401">
        <f t="shared" si="9"/>
        <v>20459.152280000002</v>
      </c>
      <c r="S55" s="401">
        <f t="shared" si="9"/>
        <v>20459.152280000002</v>
      </c>
      <c r="T55" s="401">
        <f t="shared" si="9"/>
        <v>20459.152280000002</v>
      </c>
      <c r="U55" s="401">
        <f t="shared" si="9"/>
        <v>20459.152280000002</v>
      </c>
      <c r="V55" s="401">
        <f t="shared" si="9"/>
        <v>20459.152280000002</v>
      </c>
      <c r="W55" s="401">
        <f t="shared" si="9"/>
        <v>20459.152280000002</v>
      </c>
      <c r="X55" s="401">
        <f t="shared" si="9"/>
        <v>20459.152280000002</v>
      </c>
      <c r="Y55" s="401">
        <f t="shared" si="9"/>
        <v>20459.152280000002</v>
      </c>
      <c r="Z55" s="401">
        <f t="shared" si="9"/>
        <v>20459.152280000002</v>
      </c>
      <c r="AA55" s="401">
        <f t="shared" si="9"/>
        <v>20459.152280000002</v>
      </c>
      <c r="AB55" s="401">
        <f t="shared" si="9"/>
        <v>20459.152280000002</v>
      </c>
      <c r="AC55" s="401">
        <f t="shared" ref="AC55:AH55" si="10">SUM(AC33:AC52)</f>
        <v>0</v>
      </c>
      <c r="AD55" s="401">
        <f t="shared" si="10"/>
        <v>0</v>
      </c>
      <c r="AE55" s="401">
        <f t="shared" si="10"/>
        <v>0</v>
      </c>
      <c r="AF55" s="401">
        <f t="shared" si="10"/>
        <v>0</v>
      </c>
      <c r="AG55" s="401">
        <f t="shared" si="10"/>
        <v>0</v>
      </c>
      <c r="AH55" s="401">
        <f t="shared" si="10"/>
        <v>0</v>
      </c>
    </row>
    <row r="56" spans="1:34">
      <c r="A56" s="7"/>
      <c r="D56" s="401"/>
      <c r="E56" s="401"/>
      <c r="F56" s="401"/>
      <c r="G56" s="401"/>
      <c r="H56" s="401"/>
      <c r="I56" s="401"/>
      <c r="J56" s="401"/>
      <c r="K56" s="401"/>
      <c r="L56" s="401"/>
      <c r="M56" s="401"/>
      <c r="N56" s="401"/>
      <c r="O56" s="401"/>
      <c r="P56" s="401"/>
      <c r="Q56" s="401"/>
      <c r="R56" s="401"/>
      <c r="S56" s="401"/>
      <c r="T56" s="401"/>
      <c r="U56" s="401"/>
      <c r="V56" s="401"/>
      <c r="W56" s="401"/>
      <c r="X56" s="401"/>
      <c r="Y56" s="401"/>
      <c r="Z56" s="401"/>
      <c r="AA56" s="401"/>
      <c r="AB56" s="401"/>
      <c r="AC56" s="401"/>
      <c r="AD56" s="401"/>
      <c r="AE56" s="401"/>
      <c r="AF56" s="401"/>
      <c r="AG56" s="401"/>
      <c r="AH56" s="401"/>
    </row>
    <row r="57" spans="1:34">
      <c r="A57" s="1" t="s">
        <v>77</v>
      </c>
      <c r="AD57" s="197"/>
      <c r="AE57" s="197"/>
      <c r="AF57" s="197"/>
      <c r="AG57" s="197"/>
      <c r="AH57" s="197"/>
    </row>
    <row r="58" spans="1:34">
      <c r="A58" s="4" t="s">
        <v>78</v>
      </c>
      <c r="D58" s="384">
        <f>((Assumptions!$J$14*(Assumptions!$P$10*(1-Assumptions!$J$55))*Assumptions!$J$13/1000000)*'Power Price Assumption'!F39)*D18</f>
        <v>5065.5351132054802</v>
      </c>
      <c r="E58" s="384">
        <f>((Assumptions!$J$14*(Assumptions!$P$10*(1-Assumptions!$J$55))*Assumptions!$J$13/1000000)*'Power Price Assumption'!G39)</f>
        <v>7577.5422800000006</v>
      </c>
      <c r="F58" s="384">
        <f>((Assumptions!$J$14*(Assumptions!$P$10*(1-Assumptions!$J$55))*Assumptions!$J$13/1000000)*'Power Price Assumption'!H39)</f>
        <v>7577.5422800000006</v>
      </c>
      <c r="G58" s="384">
        <f>((Assumptions!$J$14*(Assumptions!$P$10*(1-Assumptions!$J$55))*Assumptions!$J$13/1000000)*'Power Price Assumption'!I39)</f>
        <v>7577.5422800000006</v>
      </c>
      <c r="H58" s="384">
        <f>((Assumptions!$J$14*(Assumptions!$P$10*(1-Assumptions!$J$55))*Assumptions!$J$13/1000000)*'Power Price Assumption'!J39)</f>
        <v>7577.5422800000006</v>
      </c>
      <c r="I58" s="384">
        <f>((Assumptions!$J$14*(Assumptions!$P$10*(1-Assumptions!$J$55))*Assumptions!$J$13/1000000)*'Power Price Assumption'!K39)</f>
        <v>7577.5422800000006</v>
      </c>
      <c r="J58" s="384">
        <f>((Assumptions!$J$14*(Assumptions!$P$10*(1-Assumptions!$J$55))*Assumptions!$J$13/1000000)*'Power Price Assumption'!L39)</f>
        <v>7577.5422800000006</v>
      </c>
      <c r="K58" s="384">
        <f>((Assumptions!$J$14*(Assumptions!$P$10*(1-Assumptions!$J$55))*Assumptions!$J$13/1000000)*'Power Price Assumption'!M39)</f>
        <v>7577.5422800000006</v>
      </c>
      <c r="L58" s="384">
        <f>((Assumptions!$J$14*(Assumptions!$P$10*(1-Assumptions!$J$55))*Assumptions!$J$13/1000000)*'Power Price Assumption'!N39)</f>
        <v>7577.5422800000006</v>
      </c>
      <c r="M58" s="384">
        <f>((Assumptions!$J$14*(Assumptions!$P$10*(1-Assumptions!$J$55))*Assumptions!$J$13/1000000)*'Power Price Assumption'!O39)</f>
        <v>7577.5422800000006</v>
      </c>
      <c r="N58" s="384">
        <f>((Assumptions!$J$14*(Assumptions!$P$10*(1-Assumptions!$J$55))*Assumptions!$J$13/1000000)*'Power Price Assumption'!P39)</f>
        <v>7577.5422800000006</v>
      </c>
      <c r="O58" s="384">
        <f>((Assumptions!$J$14*(Assumptions!$P$10*(1-Assumptions!$J$55))*Assumptions!$J$13/1000000)*'Power Price Assumption'!Q39)</f>
        <v>7577.5422800000006</v>
      </c>
      <c r="P58" s="384">
        <f>((Assumptions!$J$14*(Assumptions!$P$10*(1-Assumptions!$J$55))*Assumptions!$J$13/1000000)*'Power Price Assumption'!R39)</f>
        <v>7577.5422800000006</v>
      </c>
      <c r="Q58" s="384">
        <f>((Assumptions!$J$14*(Assumptions!$P$10*(1-Assumptions!$J$55))*Assumptions!$J$13/1000000)*'Power Price Assumption'!S39)</f>
        <v>7577.5422800000006</v>
      </c>
      <c r="R58" s="384">
        <f>((Assumptions!$J$14*(Assumptions!$P$10*(1-Assumptions!$J$55))*Assumptions!$J$13/1000000)*'Power Price Assumption'!T39)</f>
        <v>7577.5422800000006</v>
      </c>
      <c r="S58" s="384">
        <f>((Assumptions!$J$14*(Assumptions!$P$10*(1-Assumptions!$J$55))*Assumptions!$J$13/1000000)*'Power Price Assumption'!U39)</f>
        <v>7577.5422800000006</v>
      </c>
      <c r="T58" s="384">
        <f>((Assumptions!$J$14*(Assumptions!$P$10*(1-Assumptions!$J$55))*Assumptions!$J$13/1000000)*'Power Price Assumption'!V39)</f>
        <v>7577.5422800000006</v>
      </c>
      <c r="U58" s="384">
        <f>((Assumptions!$J$14*(Assumptions!$P$10*(1-Assumptions!$J$55))*Assumptions!$J$13/1000000)*'Power Price Assumption'!W39)</f>
        <v>7577.5422800000006</v>
      </c>
      <c r="V58" s="384">
        <f>((Assumptions!$J$14*(Assumptions!$P$10*(1-Assumptions!$J$55))*Assumptions!$J$13/1000000)*'Power Price Assumption'!X39)</f>
        <v>7577.5422800000006</v>
      </c>
      <c r="W58" s="384">
        <f>((Assumptions!$J$14*(Assumptions!$P$10*(1-Assumptions!$J$55))*Assumptions!$J$13/1000000)*'Power Price Assumption'!Y39)</f>
        <v>7577.5422800000006</v>
      </c>
      <c r="X58" s="384">
        <f>((Assumptions!$J$14*(Assumptions!$P$10*(1-Assumptions!$J$55))*Assumptions!$J$13/1000000)*'Power Price Assumption'!Z39)</f>
        <v>7577.5422800000006</v>
      </c>
      <c r="Y58" s="384">
        <f>((Assumptions!$J$14*(Assumptions!$P$10*(1-Assumptions!$J$55))*Assumptions!$J$13/1000000)*'Power Price Assumption'!AA39)</f>
        <v>7577.5422800000006</v>
      </c>
      <c r="Z58" s="384">
        <f>((Assumptions!$J$14*(Assumptions!$P$10*(1-Assumptions!$J$55))*Assumptions!$J$13/1000000)*'Power Price Assumption'!AB39)</f>
        <v>7577.5422800000006</v>
      </c>
      <c r="AA58" s="384">
        <f>((Assumptions!$J$14*(Assumptions!$P$10*(1-Assumptions!$J$55))*Assumptions!$J$13/1000000)*'Power Price Assumption'!AC39)</f>
        <v>7577.5422800000006</v>
      </c>
      <c r="AB58" s="384">
        <f>((Assumptions!$J$14*(Assumptions!$P$10*(1-Assumptions!$J$55))*Assumptions!$J$13/1000000)*'Power Price Assumption'!AD39)</f>
        <v>7577.5422800000006</v>
      </c>
      <c r="AC58" s="383">
        <f>Assumptions!$J$110</f>
        <v>0</v>
      </c>
      <c r="AD58" s="383">
        <f>Assumptions!$J$110</f>
        <v>0</v>
      </c>
      <c r="AE58" s="383">
        <f>Assumptions!$J$110</f>
        <v>0</v>
      </c>
      <c r="AF58" s="383">
        <f>Assumptions!$J$110</f>
        <v>0</v>
      </c>
      <c r="AG58" s="383">
        <f>Assumptions!$J$110</f>
        <v>0</v>
      </c>
      <c r="AH58" s="383">
        <f>Assumptions!$J$110</f>
        <v>0</v>
      </c>
    </row>
    <row r="59" spans="1:34">
      <c r="A59" s="4" t="s">
        <v>66</v>
      </c>
      <c r="C59" s="90"/>
      <c r="D59" s="384">
        <f>((Assumptions!$P$25*12*Assumptions!$J$56)*(D18+D22+D26))</f>
        <v>679.97080372602727</v>
      </c>
      <c r="E59" s="384">
        <f>((Assumptions!$P$25*12*Assumptions!$J$56)*(E18+E22+E26))</f>
        <v>1017.1694399999998</v>
      </c>
      <c r="F59" s="384">
        <f>((Assumptions!$P$25*12*Assumptions!$J$56)*(F18+F22+F26))</f>
        <v>1017.1694399999998</v>
      </c>
      <c r="G59" s="384">
        <f>((Assumptions!$P$25*12*Assumptions!$J$56)*(G18+G22+G26))</f>
        <v>1017.1694399999998</v>
      </c>
      <c r="H59" s="384">
        <f>((Assumptions!$P$25*12*Assumptions!$J$56)*(H18+H22+H26))</f>
        <v>1017.1694399999998</v>
      </c>
      <c r="I59" s="384">
        <f>((Assumptions!$P$25*12*Assumptions!$J$56)*(I18+I22+I26))</f>
        <v>1017.1694399999998</v>
      </c>
      <c r="J59" s="384">
        <f>((Assumptions!$P$25*12*Assumptions!$J$56)*(J18+J22+J26))</f>
        <v>1017.1694399999998</v>
      </c>
      <c r="K59" s="384">
        <f>((Assumptions!$P$25*12*Assumptions!$J$56)*(K18+K22+K26))</f>
        <v>1017.1694399999998</v>
      </c>
      <c r="L59" s="384">
        <f>((Assumptions!$P$25*12*Assumptions!$J$56)*(L18+L22+L26))</f>
        <v>1017.1694399999998</v>
      </c>
      <c r="M59" s="384">
        <f>((Assumptions!$P$25*12*Assumptions!$J$56)*(M18+M22+M26))</f>
        <v>1017.1694399999998</v>
      </c>
      <c r="N59" s="384">
        <f>((Assumptions!$P$25*12*Assumptions!$J$56)*(N18+N22+N26))</f>
        <v>1017.1694399999998</v>
      </c>
      <c r="O59" s="384">
        <f>((Assumptions!$P$25*12*Assumptions!$J$56)*(O18+O22+O26))</f>
        <v>1017.1694399999998</v>
      </c>
      <c r="P59" s="384">
        <f>((Assumptions!$P$25*12*Assumptions!$J$56)*(P18+P22+P26))</f>
        <v>1017.1694399999998</v>
      </c>
      <c r="Q59" s="384">
        <f>((Assumptions!$P$25*12*Assumptions!$J$56)*(Q18+Q22+Q26))</f>
        <v>1017.1694399999998</v>
      </c>
      <c r="R59" s="384">
        <f>((Assumptions!$P$25*12*Assumptions!$J$56)*(R18+R22+R26))</f>
        <v>1017.1694399999998</v>
      </c>
      <c r="S59" s="384">
        <f>((Assumptions!$P$25*12*Assumptions!$J$56)*(S18+S22+S26))</f>
        <v>1017.1694399999998</v>
      </c>
      <c r="T59" s="384">
        <f>((Assumptions!$P$25*12*Assumptions!$J$56)*(T18+T22+T26))</f>
        <v>1017.1694399999998</v>
      </c>
      <c r="U59" s="384">
        <f>((Assumptions!$P$25*12*Assumptions!$J$56)*(U18+U22+U26))</f>
        <v>1017.1694399999998</v>
      </c>
      <c r="V59" s="384">
        <f>((Assumptions!$P$25*12*Assumptions!$J$56)*(V18+V22+V26))</f>
        <v>1017.1694399999998</v>
      </c>
      <c r="W59" s="384">
        <f>((Assumptions!$P$25*12*Assumptions!$J$56)*(W18+W22+W26))</f>
        <v>1017.1694399999998</v>
      </c>
      <c r="X59" s="384">
        <f>((Assumptions!$P$25*12*Assumptions!$J$56)*(X18+X22+X26))</f>
        <v>1017.1694399999998</v>
      </c>
      <c r="Y59" s="384">
        <f>((Assumptions!$P$25*12*Assumptions!$J$56)*(Y18+Y22+Y26))</f>
        <v>1017.1694399999998</v>
      </c>
      <c r="Z59" s="384">
        <f>((Assumptions!$P$25*12*Assumptions!$J$56)*(Z18+Z22+Z26))</f>
        <v>1017.1694399999998</v>
      </c>
      <c r="AA59" s="384">
        <f>((Assumptions!$P$25*12*Assumptions!$J$56)*(AA18+AA22+AA26))</f>
        <v>1017.1694399999998</v>
      </c>
      <c r="AB59" s="384">
        <f>((Assumptions!$P$25*12*Assumptions!$J$56)*(AB18+AB22+AB26))</f>
        <v>1017.1694399999998</v>
      </c>
      <c r="AC59" s="384">
        <f>AB59*(1+Assumptions!$P$21)</f>
        <v>1017.1694399999998</v>
      </c>
      <c r="AD59" s="384">
        <f>AC59*(1+Assumptions!$P$21)</f>
        <v>1017.1694399999998</v>
      </c>
      <c r="AE59" s="384">
        <f>AD59*(1+Assumptions!$P$21)</f>
        <v>1017.1694399999998</v>
      </c>
      <c r="AF59" s="384">
        <f>AE59*(1+Assumptions!$P$21)</f>
        <v>1017.1694399999998</v>
      </c>
      <c r="AG59" s="384">
        <f>AF59*(1+Assumptions!$P$21)</f>
        <v>1017.1694399999998</v>
      </c>
      <c r="AH59" s="384">
        <f>AG59*(1+Assumptions!$P$21)</f>
        <v>1017.1694399999998</v>
      </c>
    </row>
    <row r="60" spans="1:34">
      <c r="A60" s="4" t="s">
        <v>79</v>
      </c>
      <c r="C60" s="90"/>
      <c r="D60" s="384">
        <f>+(Assumptions!$P$27*Assumptions!$J$56*IS!D13)/1000</f>
        <v>100.01208</v>
      </c>
      <c r="E60" s="384">
        <f>+(Assumptions!$P$27*Assumptions!$J$56*IS!E13)/1000</f>
        <v>100.01208</v>
      </c>
      <c r="F60" s="384">
        <f>+(Assumptions!$P$27*Assumptions!$J$56*IS!F13)/1000</f>
        <v>100.01208</v>
      </c>
      <c r="G60" s="384">
        <f>+(Assumptions!$P$27*Assumptions!$J$56*IS!G13)/1000</f>
        <v>100.01208</v>
      </c>
      <c r="H60" s="384">
        <f>+(Assumptions!$P$27*Assumptions!$J$56*IS!H13)/1000</f>
        <v>100.01208</v>
      </c>
      <c r="I60" s="384">
        <f>+(Assumptions!$P$27*Assumptions!$J$56*IS!I13)/1000</f>
        <v>100.01208</v>
      </c>
      <c r="J60" s="384">
        <f>+(Assumptions!$P$27*Assumptions!$J$56*IS!J13)/1000</f>
        <v>100.01208</v>
      </c>
      <c r="K60" s="384">
        <f>+(Assumptions!$P$27*Assumptions!$J$56*IS!K13)/1000</f>
        <v>100.01208</v>
      </c>
      <c r="L60" s="384">
        <f>+(Assumptions!$P$27*Assumptions!$J$56*IS!L13)/1000</f>
        <v>100.01208</v>
      </c>
      <c r="M60" s="384">
        <f>+(Assumptions!$P$27*Assumptions!$J$56*IS!M13)/1000</f>
        <v>100.01208</v>
      </c>
      <c r="N60" s="384">
        <f>+(Assumptions!$P$27*Assumptions!$J$56*IS!N13)/1000</f>
        <v>100.01208</v>
      </c>
      <c r="O60" s="384">
        <f>+(Assumptions!$P$27*Assumptions!$J$56*IS!O13)/1000</f>
        <v>100.01208</v>
      </c>
      <c r="P60" s="384">
        <f>+(Assumptions!$P$27*Assumptions!$J$56*IS!P13)/1000</f>
        <v>100.01208</v>
      </c>
      <c r="Q60" s="384">
        <f>+(Assumptions!$P$27*Assumptions!$J$56*IS!Q13)/1000</f>
        <v>100.01208</v>
      </c>
      <c r="R60" s="384">
        <f>+(Assumptions!$P$27*Assumptions!$J$56*IS!R13)/1000</f>
        <v>100.01208</v>
      </c>
      <c r="S60" s="384">
        <f>+(Assumptions!$P$27*Assumptions!$J$56*IS!S13)/1000</f>
        <v>100.01208</v>
      </c>
      <c r="T60" s="384">
        <f>+(Assumptions!$P$27*Assumptions!$J$56*IS!T13)/1000</f>
        <v>100.01208</v>
      </c>
      <c r="U60" s="384">
        <f>+(Assumptions!$P$28*Assumptions!$J$56*IS!U13)/1000</f>
        <v>100.01208</v>
      </c>
      <c r="V60" s="384">
        <f>+(Assumptions!$P$28*Assumptions!$J$56*IS!V13)/1000</f>
        <v>100.01208</v>
      </c>
      <c r="W60" s="384">
        <f>+(Assumptions!$P$28*Assumptions!$J$56*IS!W13)/1000</f>
        <v>100.01208</v>
      </c>
      <c r="X60" s="384">
        <f>+(Assumptions!$P$28*Assumptions!$J$56*IS!X13)/1000</f>
        <v>100.01208</v>
      </c>
      <c r="Y60" s="384">
        <f>+(Assumptions!$P$28*Assumptions!$J$56*IS!Y13)/1000</f>
        <v>100.01208</v>
      </c>
      <c r="Z60" s="384">
        <f>+(Assumptions!$P$28*Assumptions!$J$56*IS!Z13)/1000</f>
        <v>100.01208</v>
      </c>
      <c r="AA60" s="384">
        <f>+(Assumptions!$P$28*Assumptions!$J$56*IS!AA13)/1000</f>
        <v>100.01208</v>
      </c>
      <c r="AB60" s="384">
        <f>+(Assumptions!$P$28*Assumptions!$J$56*IS!AB13)/1000</f>
        <v>100.01208</v>
      </c>
      <c r="AC60" s="383">
        <f>AB60*(1+Assumptions!$P$21)^(IS!AC7-IS!$D$7)</f>
        <v>100.01208</v>
      </c>
      <c r="AD60" s="383">
        <f>AC60*(1+Assumptions!$P$21)^(IS!AD7-IS!$D$7)</f>
        <v>100.01208</v>
      </c>
      <c r="AE60" s="383">
        <f>AD60*(1+Assumptions!$P$21)^(IS!AE7-IS!$D$7)</f>
        <v>100.01208</v>
      </c>
      <c r="AF60" s="383">
        <f>AE60*(1+Assumptions!$P$21)^(IS!AF7-IS!$D$7)</f>
        <v>100.01208</v>
      </c>
      <c r="AG60" s="383">
        <f>AF60*(1+Assumptions!$P$21)^(IS!AG7-IS!$D$7)</f>
        <v>100.01208</v>
      </c>
      <c r="AH60" s="383">
        <f>AG60*(1+Assumptions!$P$21)^(IS!AH7-IS!$D$7)</f>
        <v>100.01208</v>
      </c>
    </row>
    <row r="61" spans="1:34">
      <c r="A61" s="4" t="s">
        <v>67</v>
      </c>
      <c r="C61" s="90"/>
      <c r="D61" s="384">
        <f>+(Assumptions!$P$29*Assumptions!$J$56*IS!D13)/1000</f>
        <v>398.99104000000005</v>
      </c>
      <c r="E61" s="384">
        <f>+(Assumptions!$P$29*Assumptions!$J$56*IS!E13)/1000</f>
        <v>398.99104000000005</v>
      </c>
      <c r="F61" s="384">
        <f>+(Assumptions!$P$29*Assumptions!$J$56*IS!F13)/1000</f>
        <v>398.99104000000005</v>
      </c>
      <c r="G61" s="384">
        <f>+(Assumptions!$P$29*Assumptions!$J$56*IS!G13)/1000</f>
        <v>398.99104000000005</v>
      </c>
      <c r="H61" s="384">
        <f>+(Assumptions!$P$29*Assumptions!$J$56*IS!H13)/1000</f>
        <v>398.99104000000005</v>
      </c>
      <c r="I61" s="384">
        <f>+(Assumptions!$P$29*Assumptions!$J$56*IS!I13)/1000</f>
        <v>398.99104000000005</v>
      </c>
      <c r="J61" s="384">
        <f>+(Assumptions!$P$29*Assumptions!$J$56*IS!J13)/1000</f>
        <v>398.99104000000005</v>
      </c>
      <c r="K61" s="384">
        <f>+(Assumptions!$P$29*Assumptions!$J$56*IS!K13)/1000</f>
        <v>398.99104000000005</v>
      </c>
      <c r="L61" s="384">
        <f>+(Assumptions!$P$29*Assumptions!$J$56*IS!L13)/1000</f>
        <v>398.99104000000005</v>
      </c>
      <c r="M61" s="384">
        <f>+(Assumptions!$P$29*Assumptions!$J$56*IS!M13)/1000</f>
        <v>398.99104000000005</v>
      </c>
      <c r="N61" s="384">
        <f>+(Assumptions!$P$29*Assumptions!$J$56*IS!N13)/1000</f>
        <v>398.99104000000005</v>
      </c>
      <c r="O61" s="384">
        <f>+(Assumptions!$P$29*Assumptions!$J$56*IS!O13)/1000</f>
        <v>398.99104000000005</v>
      </c>
      <c r="P61" s="384">
        <f>+(Assumptions!$P$29*Assumptions!$J$56*IS!P13)/1000</f>
        <v>398.99104000000005</v>
      </c>
      <c r="Q61" s="384">
        <f>+(Assumptions!$P$29*Assumptions!$J$56*IS!Q13)/1000</f>
        <v>398.99104000000005</v>
      </c>
      <c r="R61" s="384">
        <f>+(Assumptions!$P$29*Assumptions!$J$56*IS!R13)/1000</f>
        <v>398.99104000000005</v>
      </c>
      <c r="S61" s="384">
        <f>+(Assumptions!$P$29*Assumptions!$J$56*IS!S13)/1000</f>
        <v>398.99104000000005</v>
      </c>
      <c r="T61" s="384">
        <f>+(Assumptions!$P$29*Assumptions!$J$56*IS!T13)/1000</f>
        <v>398.99104000000005</v>
      </c>
      <c r="U61" s="384">
        <f>+(Assumptions!$P$29*Assumptions!$J$56*IS!U13)/1000</f>
        <v>398.99104000000005</v>
      </c>
      <c r="V61" s="384">
        <f>+(Assumptions!$P$29*Assumptions!$J$56*IS!V13)/1000</f>
        <v>398.99104000000005</v>
      </c>
      <c r="W61" s="384">
        <f>+(Assumptions!$P$29*Assumptions!$J$56*IS!W13)/1000</f>
        <v>398.99104000000005</v>
      </c>
      <c r="X61" s="384">
        <f>+(Assumptions!$P$29*Assumptions!$J$56*IS!X13)/1000</f>
        <v>398.99104000000005</v>
      </c>
      <c r="Y61" s="384">
        <f>+(Assumptions!$P$29*Assumptions!$J$56*IS!Y13)/1000</f>
        <v>398.99104000000005</v>
      </c>
      <c r="Z61" s="384">
        <f>+(Assumptions!$P$29*Assumptions!$J$56*IS!Z13)/1000</f>
        <v>398.99104000000005</v>
      </c>
      <c r="AA61" s="384">
        <f>+(Assumptions!$P$29*Assumptions!$J$56*IS!AA13)/1000</f>
        <v>398.99104000000005</v>
      </c>
      <c r="AB61" s="384">
        <f>+(Assumptions!$P$29*Assumptions!$J$56*IS!AB13)/1000</f>
        <v>398.99104000000005</v>
      </c>
      <c r="AC61" s="386">
        <v>844.9914</v>
      </c>
      <c r="AD61" s="386">
        <v>844.9914</v>
      </c>
      <c r="AE61" s="386">
        <v>844.9914</v>
      </c>
      <c r="AF61" s="386">
        <v>844.9914</v>
      </c>
      <c r="AG61" s="386">
        <v>844.9914</v>
      </c>
      <c r="AH61" s="386">
        <v>844.9914</v>
      </c>
    </row>
    <row r="62" spans="1:34">
      <c r="A62" s="4" t="s">
        <v>68</v>
      </c>
      <c r="C62" s="90"/>
      <c r="D62" s="384">
        <f>Assumptions!$P30*Assumptions!J17/12</f>
        <v>106.85863013698632</v>
      </c>
      <c r="E62" s="384">
        <f>Assumptions!$P30*(1+Assumptions!$P$21)</f>
        <v>159.85</v>
      </c>
      <c r="F62" s="384">
        <f>E62*(1+Assumptions!$P$21)</f>
        <v>159.85</v>
      </c>
      <c r="G62" s="384">
        <f>F62*(1+Assumptions!$P$21)</f>
        <v>159.85</v>
      </c>
      <c r="H62" s="384">
        <f>G62*(1+Assumptions!$P$21)</f>
        <v>159.85</v>
      </c>
      <c r="I62" s="384">
        <f>H62*(1+Assumptions!$P$21)</f>
        <v>159.85</v>
      </c>
      <c r="J62" s="384">
        <f>I62*(1+Assumptions!$P$21)</f>
        <v>159.85</v>
      </c>
      <c r="K62" s="384">
        <f>J62*(1+Assumptions!$P$21)</f>
        <v>159.85</v>
      </c>
      <c r="L62" s="384">
        <f>K62*(1+Assumptions!$P$21)</f>
        <v>159.85</v>
      </c>
      <c r="M62" s="384">
        <f>L62*(1+Assumptions!$P$21)</f>
        <v>159.85</v>
      </c>
      <c r="N62" s="384">
        <f>M62*(1+Assumptions!$P$21)</f>
        <v>159.85</v>
      </c>
      <c r="O62" s="384">
        <f>N62*(1+Assumptions!$P$21)</f>
        <v>159.85</v>
      </c>
      <c r="P62" s="384">
        <f>O62*(1+Assumptions!$P$21)</f>
        <v>159.85</v>
      </c>
      <c r="Q62" s="384">
        <f>P62*(1+Assumptions!$P$21)</f>
        <v>159.85</v>
      </c>
      <c r="R62" s="384">
        <f>Q62*(1+Assumptions!$P$21)</f>
        <v>159.85</v>
      </c>
      <c r="S62" s="384">
        <f>R62*(1+Assumptions!$P$21)</f>
        <v>159.85</v>
      </c>
      <c r="T62" s="384">
        <f>S62*(1+Assumptions!$P$21)</f>
        <v>159.85</v>
      </c>
      <c r="U62" s="384">
        <f>T62*(1+Assumptions!$P$21)</f>
        <v>159.85</v>
      </c>
      <c r="V62" s="384">
        <f>U62*(1+Assumptions!$P$21)</f>
        <v>159.85</v>
      </c>
      <c r="W62" s="384">
        <f>V62*(1+Assumptions!$P$21)</f>
        <v>159.85</v>
      </c>
      <c r="X62" s="384">
        <f>W62*(1+Assumptions!$P$21)</f>
        <v>159.85</v>
      </c>
      <c r="Y62" s="384">
        <f>X62*(1+Assumptions!$P$21)</f>
        <v>159.85</v>
      </c>
      <c r="Z62" s="384">
        <f>Y62*(1+Assumptions!$P$21)</f>
        <v>159.85</v>
      </c>
      <c r="AA62" s="384">
        <f>Z62*(1+Assumptions!$P$21)</f>
        <v>159.85</v>
      </c>
      <c r="AB62" s="384">
        <f>AA62*(1+Assumptions!$P$21)</f>
        <v>159.85</v>
      </c>
      <c r="AC62" s="384">
        <f>AB62*(1+Assumptions!$P$21)</f>
        <v>159.85</v>
      </c>
      <c r="AD62" s="384">
        <f>AC62*(1+Assumptions!$P$21)</f>
        <v>159.85</v>
      </c>
      <c r="AE62" s="384">
        <f>AD62*(1+Assumptions!$P$21)</f>
        <v>159.85</v>
      </c>
      <c r="AF62" s="384">
        <f>AE62*(1+Assumptions!$P$21)</f>
        <v>159.85</v>
      </c>
      <c r="AG62" s="384">
        <f>AF62*(1+Assumptions!$P$21)</f>
        <v>159.85</v>
      </c>
      <c r="AH62" s="384">
        <f>AG62*(1+Assumptions!$P$21)</f>
        <v>159.85</v>
      </c>
    </row>
    <row r="63" spans="1:34">
      <c r="A63" s="4" t="s">
        <v>69</v>
      </c>
      <c r="C63" s="90"/>
      <c r="D63" s="384">
        <f>+Assumptions!$P$31*Assumptions!$P$10*(SUM(IS!D18+IS!D22+IS!D26))</f>
        <v>234.99431716217026</v>
      </c>
      <c r="E63" s="384">
        <f>+Assumptions!$P$31*Assumptions!$P$10*(SUM(IS!E18+IS!E22+IS!E26))</f>
        <v>351.52838427947597</v>
      </c>
      <c r="F63" s="384">
        <f>+Assumptions!$P$31*Assumptions!$P$10*(SUM(IS!F18+IS!F22+IS!F26))</f>
        <v>351.52838427947597</v>
      </c>
      <c r="G63" s="384">
        <f>+Assumptions!$P$31*Assumptions!$P$10*(SUM(IS!G18+IS!G22+IS!G26))</f>
        <v>351.52838427947597</v>
      </c>
      <c r="H63" s="384">
        <f>+Assumptions!$P$31*Assumptions!$P$10*(SUM(IS!H18+IS!H22+IS!H26))</f>
        <v>351.52838427947597</v>
      </c>
      <c r="I63" s="384">
        <f>+Assumptions!$P$31*Assumptions!$P$10*(SUM(IS!I18+IS!I22+IS!I26))</f>
        <v>351.52838427947597</v>
      </c>
      <c r="J63" s="384">
        <f>+Assumptions!$P$31*Assumptions!$P$10*(SUM(IS!J18+IS!J22+IS!J26))</f>
        <v>351.52838427947597</v>
      </c>
      <c r="K63" s="384">
        <f>+Assumptions!$P$31*Assumptions!$P$10*(SUM(IS!K18+IS!K22+IS!K26))</f>
        <v>351.52838427947597</v>
      </c>
      <c r="L63" s="384">
        <f>+Assumptions!$P$31*Assumptions!$P$10*(SUM(IS!L18+IS!L22+IS!L26))</f>
        <v>351.52838427947597</v>
      </c>
      <c r="M63" s="384">
        <f>+Assumptions!$P$31*Assumptions!$P$10*(SUM(IS!M18+IS!M22+IS!M26))</f>
        <v>351.52838427947597</v>
      </c>
      <c r="N63" s="384">
        <f>+Assumptions!$P$31*Assumptions!$P$10*(SUM(IS!N18+IS!N22+IS!N26))</f>
        <v>351.52838427947597</v>
      </c>
      <c r="O63" s="384">
        <f>+Assumptions!$P$31*Assumptions!$P$10*(SUM(IS!O18+IS!O22+IS!O26))</f>
        <v>351.52838427947597</v>
      </c>
      <c r="P63" s="384">
        <f>+Assumptions!$P$31*Assumptions!$P$10*(SUM(IS!P18+IS!P22+IS!P26))</f>
        <v>351.52838427947597</v>
      </c>
      <c r="Q63" s="384">
        <f>+Assumptions!$P$31*Assumptions!$P$10*(SUM(IS!Q18+IS!Q22+IS!Q26))</f>
        <v>351.52838427947597</v>
      </c>
      <c r="R63" s="384">
        <f>+Assumptions!$P$31*Assumptions!$P$10*(SUM(IS!R18+IS!R22+IS!R26))</f>
        <v>351.52838427947597</v>
      </c>
      <c r="S63" s="384">
        <f>+Assumptions!$P$31*Assumptions!$P$10*(SUM(IS!S18+IS!S22+IS!S26))</f>
        <v>351.52838427947597</v>
      </c>
      <c r="T63" s="384">
        <f>+Assumptions!$P$31*Assumptions!$P$10*(SUM(IS!T18+IS!T22+IS!T26))</f>
        <v>351.52838427947597</v>
      </c>
      <c r="U63" s="384">
        <f>+Assumptions!$P$31*Assumptions!$P$10*(SUM(IS!U18+IS!U22+IS!U26))</f>
        <v>351.52838427947597</v>
      </c>
      <c r="V63" s="384">
        <f>+Assumptions!$P$31*Assumptions!$P$10*(SUM(IS!V18+IS!V22+IS!V26))</f>
        <v>351.52838427947597</v>
      </c>
      <c r="W63" s="384">
        <f>+Assumptions!$P$31*Assumptions!$P$10*(SUM(IS!W18+IS!W22+IS!W26))</f>
        <v>351.52838427947597</v>
      </c>
      <c r="X63" s="384">
        <f>+Assumptions!$P$31*Assumptions!$P$10*(SUM(IS!X18+IS!X22+IS!X26))</f>
        <v>351.52838427947597</v>
      </c>
      <c r="Y63" s="384">
        <f>+Assumptions!$P$31*Assumptions!$P$10*(SUM(IS!Y18+IS!Y22+IS!Y26))</f>
        <v>351.52838427947597</v>
      </c>
      <c r="Z63" s="384">
        <f>+Assumptions!$P$31*Assumptions!$P$10*(SUM(IS!Z18+IS!Z22+IS!Z26))</f>
        <v>351.52838427947597</v>
      </c>
      <c r="AA63" s="384">
        <f>+Assumptions!$P$31*Assumptions!$P$10*(SUM(IS!AA18+IS!AA22+IS!AA26))</f>
        <v>351.52838427947597</v>
      </c>
      <c r="AB63" s="384">
        <f>+Assumptions!$P$31*Assumptions!$P$10*(SUM(IS!AB18+IS!AB22+IS!AB26))</f>
        <v>351.52838427947597</v>
      </c>
      <c r="AC63" s="384">
        <f>AB63*(1+Assumptions!$P$21)</f>
        <v>351.52838427947597</v>
      </c>
      <c r="AD63" s="384">
        <f>AC63*(1+Assumptions!$P$21)</f>
        <v>351.52838427947597</v>
      </c>
      <c r="AE63" s="384">
        <f>AD63*(1+Assumptions!$P$21)</f>
        <v>351.52838427947597</v>
      </c>
      <c r="AF63" s="384">
        <f>AE63*(1+Assumptions!$P$21)</f>
        <v>351.52838427947597</v>
      </c>
      <c r="AG63" s="384">
        <f>AF63*(1+Assumptions!$P$21)</f>
        <v>351.52838427947597</v>
      </c>
      <c r="AH63" s="384">
        <f>AG63*(1+Assumptions!$P$21)</f>
        <v>351.52838427947597</v>
      </c>
    </row>
    <row r="64" spans="1:34">
      <c r="A64" s="4" t="s">
        <v>80</v>
      </c>
      <c r="C64" s="90"/>
      <c r="D64" s="384">
        <f>+(Assumptions!$P$14*Assumptions!$Q$14)/1000</f>
        <v>28</v>
      </c>
      <c r="E64" s="384">
        <f>+(Assumptions!$P$14*Assumptions!$Q$14)/1000</f>
        <v>28</v>
      </c>
      <c r="F64" s="384">
        <f>+(Assumptions!$P$14*Assumptions!$Q$14)/1000</f>
        <v>28</v>
      </c>
      <c r="G64" s="384">
        <f>+(Assumptions!$P$14*Assumptions!$Q$14)/1000</f>
        <v>28</v>
      </c>
      <c r="H64" s="384">
        <f>+(Assumptions!$P$14*Assumptions!$Q$14)/1000</f>
        <v>28</v>
      </c>
      <c r="I64" s="384">
        <f>+(Assumptions!$P$14*Assumptions!$Q$14)/1000</f>
        <v>28</v>
      </c>
      <c r="J64" s="384">
        <f>+(Assumptions!$P$14*Assumptions!$Q$14)/1000</f>
        <v>28</v>
      </c>
      <c r="K64" s="384">
        <f>+(Assumptions!$P$14*Assumptions!$Q$14)/1000</f>
        <v>28</v>
      </c>
      <c r="L64" s="384">
        <f>+(Assumptions!$P$14*Assumptions!$Q$14)/1000</f>
        <v>28</v>
      </c>
      <c r="M64" s="384">
        <f>+(Assumptions!$P$14*Assumptions!$Q$14)/1000</f>
        <v>28</v>
      </c>
      <c r="N64" s="384">
        <f>+(Assumptions!$P$14*Assumptions!$Q$14)/1000</f>
        <v>28</v>
      </c>
      <c r="O64" s="384">
        <f>+(Assumptions!$P$14*Assumptions!$Q$14)/1000</f>
        <v>28</v>
      </c>
      <c r="P64" s="384">
        <f>+(Assumptions!$P$14*Assumptions!$Q$14)/1000</f>
        <v>28</v>
      </c>
      <c r="Q64" s="384">
        <f>+(Assumptions!$P$14*Assumptions!$Q$14)/1000</f>
        <v>28</v>
      </c>
      <c r="R64" s="384">
        <f>+(Assumptions!$P$14*Assumptions!$Q$14)/1000</f>
        <v>28</v>
      </c>
      <c r="S64" s="384">
        <f>+(Assumptions!$P$14*Assumptions!$Q$14)/1000</f>
        <v>28</v>
      </c>
      <c r="T64" s="384">
        <f>+(Assumptions!$P$14*Assumptions!$Q$14)/1000</f>
        <v>28</v>
      </c>
      <c r="U64" s="384">
        <f>+(Assumptions!$P$14*Assumptions!$Q$14)/1000</f>
        <v>28</v>
      </c>
      <c r="V64" s="384">
        <f>+(Assumptions!$P$14*Assumptions!$Q$14)/1000</f>
        <v>28</v>
      </c>
      <c r="W64" s="384">
        <f>+(Assumptions!$P$14*Assumptions!$Q$14)/1000</f>
        <v>28</v>
      </c>
      <c r="X64" s="384">
        <f>+(Assumptions!$P$14*Assumptions!$Q$14)/1000</f>
        <v>28</v>
      </c>
      <c r="Y64" s="384">
        <f>+(Assumptions!$P$14*Assumptions!$Q$14)/1000</f>
        <v>28</v>
      </c>
      <c r="Z64" s="384">
        <f>+(Assumptions!$P$14*Assumptions!$Q$14)/1000</f>
        <v>28</v>
      </c>
      <c r="AA64" s="384">
        <f>+(Assumptions!$P$14*Assumptions!$Q$14)/1000</f>
        <v>28</v>
      </c>
      <c r="AB64" s="384">
        <f>+(Assumptions!$P$14*Assumptions!$Q$14)/1000</f>
        <v>28</v>
      </c>
      <c r="AC64" s="384">
        <f>AB64*(1+Assumptions!$P$21)</f>
        <v>28</v>
      </c>
      <c r="AD64" s="384">
        <f>AC64*(1+Assumptions!$P$21)</f>
        <v>28</v>
      </c>
      <c r="AE64" s="384">
        <f>AD64*(1+Assumptions!$P$21)</f>
        <v>28</v>
      </c>
      <c r="AF64" s="384">
        <f>AE64*(1+Assumptions!$P$21)</f>
        <v>28</v>
      </c>
      <c r="AG64" s="384">
        <f>AF64*(1+Assumptions!$P$21)</f>
        <v>28</v>
      </c>
      <c r="AH64" s="384">
        <f>AG64*(1+Assumptions!$P$21)</f>
        <v>28</v>
      </c>
    </row>
    <row r="65" spans="1:48" ht="14.25" customHeight="1">
      <c r="A65" s="4" t="s">
        <v>409</v>
      </c>
      <c r="C65" s="90"/>
      <c r="D65" s="384">
        <f>(Assumptions!$P$39)</f>
        <v>10</v>
      </c>
      <c r="E65" s="384">
        <f>(Assumptions!$P$39)</f>
        <v>10</v>
      </c>
      <c r="F65" s="384">
        <f>(Assumptions!$P$39)</f>
        <v>10</v>
      </c>
      <c r="G65" s="384">
        <f>(Assumptions!$P$39)</f>
        <v>10</v>
      </c>
      <c r="H65" s="384">
        <f>(Assumptions!$P$39)</f>
        <v>10</v>
      </c>
      <c r="I65" s="384">
        <f>(Assumptions!$P$39)</f>
        <v>10</v>
      </c>
      <c r="J65" s="384">
        <f>(Assumptions!$P$39)</f>
        <v>10</v>
      </c>
      <c r="K65" s="384">
        <f>(Assumptions!$P$39)</f>
        <v>10</v>
      </c>
      <c r="L65" s="384">
        <f>(Assumptions!$P$39)</f>
        <v>10</v>
      </c>
      <c r="M65" s="384">
        <f>(Assumptions!$P$39)</f>
        <v>10</v>
      </c>
      <c r="N65" s="384">
        <f>(Assumptions!$P$39)</f>
        <v>10</v>
      </c>
      <c r="O65" s="384">
        <f>(Assumptions!$P$39)</f>
        <v>10</v>
      </c>
      <c r="P65" s="384">
        <f>(Assumptions!$P$39)</f>
        <v>10</v>
      </c>
      <c r="Q65" s="384">
        <f>(Assumptions!$P$39)</f>
        <v>10</v>
      </c>
      <c r="R65" s="384">
        <f>(Assumptions!$P$39)</f>
        <v>10</v>
      </c>
      <c r="S65" s="384">
        <f>(Assumptions!$P$39)</f>
        <v>10</v>
      </c>
      <c r="T65" s="384">
        <f>(Assumptions!$P$39)</f>
        <v>10</v>
      </c>
      <c r="U65" s="384">
        <f>(Assumptions!$P$39)</f>
        <v>10</v>
      </c>
      <c r="V65" s="384">
        <f>(Assumptions!$P$39)</f>
        <v>10</v>
      </c>
      <c r="W65" s="384">
        <f>(Assumptions!$P$39)</f>
        <v>10</v>
      </c>
      <c r="X65" s="384">
        <f>(Assumptions!$P$39)</f>
        <v>10</v>
      </c>
      <c r="Y65" s="384">
        <f>(Assumptions!$P$39)</f>
        <v>10</v>
      </c>
      <c r="Z65" s="384">
        <f>(Assumptions!$P$39)</f>
        <v>10</v>
      </c>
      <c r="AA65" s="384">
        <f>(Assumptions!$P$39)</f>
        <v>10</v>
      </c>
      <c r="AB65" s="384">
        <f>(Assumptions!$P$39)</f>
        <v>10</v>
      </c>
      <c r="AC65" s="386">
        <v>0</v>
      </c>
      <c r="AD65" s="386">
        <v>0</v>
      </c>
      <c r="AE65" s="386">
        <v>0</v>
      </c>
      <c r="AF65" s="386">
        <v>0</v>
      </c>
      <c r="AG65" s="386">
        <v>0</v>
      </c>
      <c r="AH65" s="386">
        <v>0</v>
      </c>
    </row>
    <row r="66" spans="1:48">
      <c r="A66" s="15" t="s">
        <v>43</v>
      </c>
      <c r="C66" s="90"/>
      <c r="D66" s="384">
        <f>IF(D8&lt;Assumptions!F54,Assumptions!$C$71*Assumptions!$C$70*(13-MONTH(Assumptions!$C$48))/12," ")</f>
        <v>0</v>
      </c>
      <c r="E66" s="384">
        <f>IF(E8&lt;Assumptions!$F$54,Assumptions!$C$71*Assumptions!$C$70,0)</f>
        <v>0</v>
      </c>
      <c r="F66" s="384">
        <f>IF(F8&lt;Assumptions!$F$54,Assumptions!$C$71*Assumptions!$C$70,0)</f>
        <v>0</v>
      </c>
      <c r="G66" s="384">
        <f>IF(G8&lt;Assumptions!$F$54,Assumptions!$C$71*Assumptions!$C$70,0)</f>
        <v>0</v>
      </c>
      <c r="H66" s="384">
        <f>IF(H8&lt;Assumptions!$F$54,Assumptions!$C$71*Assumptions!$C$70,0)</f>
        <v>0</v>
      </c>
      <c r="I66" s="384">
        <f>IF(I8&lt;Assumptions!$F$54,Assumptions!$C$71*Assumptions!$C$70,0)</f>
        <v>0</v>
      </c>
      <c r="J66" s="384">
        <f>IF(J8&lt;Assumptions!$F$54,Assumptions!$C$71*Assumptions!$C$70,0)</f>
        <v>0</v>
      </c>
      <c r="K66" s="384">
        <f>IF(K8&lt;Assumptions!$F$54,Assumptions!$C$71*Assumptions!$C$70,0)</f>
        <v>0</v>
      </c>
      <c r="L66" s="384">
        <f>IF(L8&lt;Assumptions!$F$54,Assumptions!$C$71*Assumptions!$C$70,0)</f>
        <v>0</v>
      </c>
      <c r="M66" s="384">
        <f>IF(M8&lt;Assumptions!$F$54,Assumptions!$C$71*Assumptions!$C$70,0)</f>
        <v>0</v>
      </c>
      <c r="N66" s="384">
        <f>IF(N8&lt;Assumptions!$F$54,Assumptions!$C$71*Assumptions!$C$70,0)</f>
        <v>0</v>
      </c>
      <c r="O66" s="384">
        <f>IF(O8&lt;Assumptions!$F$54,Assumptions!$C$71*Assumptions!$C$70,0)</f>
        <v>0</v>
      </c>
      <c r="P66" s="384">
        <f>IF(P8&lt;Assumptions!$F$54,Assumptions!$C$71*Assumptions!$C$70,0)</f>
        <v>0</v>
      </c>
      <c r="Q66" s="384">
        <f>IF(Q8&lt;Assumptions!$F$54,Assumptions!$C$71*Assumptions!$C$70,0)</f>
        <v>0</v>
      </c>
      <c r="R66" s="384">
        <f>IF(R8&lt;Assumptions!$F$54,Assumptions!$C$71*Assumptions!$C$70,0)</f>
        <v>0</v>
      </c>
      <c r="S66" s="384">
        <f>IF(S8&lt;Assumptions!$F$54,Assumptions!$C$71*Assumptions!$C$70,0)</f>
        <v>0</v>
      </c>
      <c r="T66" s="384">
        <f>IF(T8&lt;Assumptions!$F$54,Assumptions!$C$71*Assumptions!$C$70,0)</f>
        <v>0</v>
      </c>
      <c r="U66" s="384">
        <f>IF(U8&lt;Assumptions!$F$54,Assumptions!$C$71*Assumptions!$C$70,0)</f>
        <v>0</v>
      </c>
      <c r="V66" s="384">
        <f>IF(V8&lt;Assumptions!$F$54,Assumptions!$C$71*Assumptions!$C$70,0)</f>
        <v>0</v>
      </c>
      <c r="W66" s="384">
        <f>IF(W8&lt;Assumptions!$F$54,Assumptions!$C$71*Assumptions!$C$70,0)</f>
        <v>0</v>
      </c>
      <c r="X66" s="384">
        <f>IF(X8&lt;Assumptions!$F$54,Assumptions!$C$71*Assumptions!$C$70,0)</f>
        <v>0</v>
      </c>
      <c r="Y66" s="384">
        <f>IF(Y8&lt;Assumptions!$F$54,Assumptions!$C$71*Assumptions!$C$70,0)</f>
        <v>0</v>
      </c>
      <c r="Z66" s="384">
        <f>IF(Z8&lt;Assumptions!$F$54,Assumptions!$C$71*Assumptions!$C$70,0)</f>
        <v>0</v>
      </c>
      <c r="AA66" s="384">
        <f>IF(AA8&lt;Assumptions!$F$54,Assumptions!$C$71*Assumptions!$C$70,0)</f>
        <v>0</v>
      </c>
      <c r="AB66" s="384">
        <f>IF(AB8&lt;Assumptions!$F$54,Assumptions!$C$71*Assumptions!$C$70,0)</f>
        <v>0</v>
      </c>
      <c r="AC66" s="384">
        <f>IF(AC8&lt;Assumptions!$F$54,Assumptions!$C$71*Assumptions!$C$70,0)</f>
        <v>0</v>
      </c>
      <c r="AD66" s="384">
        <f>IF(AD8&lt;Assumptions!$F$54,Assumptions!$C$71*Assumptions!$C$70,0)</f>
        <v>0</v>
      </c>
      <c r="AE66" s="384">
        <f>IF(AE8&lt;Assumptions!$F$54,Assumptions!$C$71*Assumptions!$C$70,0)</f>
        <v>0</v>
      </c>
      <c r="AF66" s="384">
        <f>IF(AF8&lt;Assumptions!$F$54,Assumptions!$C$71*Assumptions!$C$70,0)</f>
        <v>0</v>
      </c>
      <c r="AG66" s="384">
        <f>IF(AG8&lt;Assumptions!$F$54,Assumptions!$C$71*Assumptions!$C$70,0)</f>
        <v>0</v>
      </c>
      <c r="AH66" s="384">
        <f>IF(AH8&lt;Assumptions!$F$54,Assumptions!$C$71*Assumptions!$C$70,0)</f>
        <v>0</v>
      </c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</row>
    <row r="67" spans="1:48">
      <c r="A67" s="15" t="s">
        <v>81</v>
      </c>
      <c r="C67" s="90"/>
      <c r="D67" s="384">
        <v>0</v>
      </c>
      <c r="E67" s="384">
        <v>0</v>
      </c>
      <c r="F67" s="384">
        <v>0</v>
      </c>
      <c r="G67" s="384">
        <v>0</v>
      </c>
      <c r="H67" s="397">
        <f>Assumptions!$Q$33*Assumptions!$J$55*7</f>
        <v>0</v>
      </c>
      <c r="I67" s="397">
        <f>Assumptions!$Q$33*Assumptions!$J$55*12*(1+Assumptions!P21)</f>
        <v>0</v>
      </c>
      <c r="J67" s="397">
        <f>I67*(1+Assumptions!$P$21)</f>
        <v>0</v>
      </c>
      <c r="K67" s="397">
        <f>J67*(1+Assumptions!$P$21)</f>
        <v>0</v>
      </c>
      <c r="L67" s="397">
        <f>K67*(1+Assumptions!$P$21)</f>
        <v>0</v>
      </c>
      <c r="M67" s="397">
        <f>L67*(1+Assumptions!$P$21)</f>
        <v>0</v>
      </c>
      <c r="N67" s="397">
        <f>M67*(1+Assumptions!$P$21)</f>
        <v>0</v>
      </c>
      <c r="O67" s="397">
        <f>N67*(1+Assumptions!$P$21)</f>
        <v>0</v>
      </c>
      <c r="P67" s="397">
        <f>O67*(1+Assumptions!$P$21)</f>
        <v>0</v>
      </c>
      <c r="Q67" s="397">
        <f>P67*(1+Assumptions!$P$21)</f>
        <v>0</v>
      </c>
      <c r="R67" s="397">
        <f>Q67*(1+Assumptions!$P$21)</f>
        <v>0</v>
      </c>
      <c r="S67" s="397">
        <f>R67*(1+Assumptions!$P$21)</f>
        <v>0</v>
      </c>
      <c r="T67" s="397">
        <f>S67*(1+Assumptions!$P$21)</f>
        <v>0</v>
      </c>
      <c r="U67" s="397">
        <f>T67*(1+Assumptions!$P$21)</f>
        <v>0</v>
      </c>
      <c r="V67" s="397">
        <f>U67*(1+Assumptions!$P$21)</f>
        <v>0</v>
      </c>
      <c r="W67" s="397">
        <f>V67*(1+Assumptions!$P$21)</f>
        <v>0</v>
      </c>
      <c r="X67" s="397">
        <f>W67*(1+Assumptions!$P$21)</f>
        <v>0</v>
      </c>
      <c r="Y67" s="397">
        <f>X67*(1+Assumptions!$P$21)</f>
        <v>0</v>
      </c>
      <c r="Z67" s="397">
        <f>Y67*(1+Assumptions!$P$21)</f>
        <v>0</v>
      </c>
      <c r="AA67" s="397">
        <f>Z67*(1+Assumptions!$P$21)</f>
        <v>0</v>
      </c>
      <c r="AB67" s="397">
        <f>AA67*(1+Assumptions!$P$21)</f>
        <v>0</v>
      </c>
      <c r="AC67" s="388">
        <f>AB67*(1+Assumptions!$P$21)</f>
        <v>0</v>
      </c>
      <c r="AD67" s="388">
        <f>AC67*(1+Assumptions!$P$21)</f>
        <v>0</v>
      </c>
      <c r="AE67" s="388">
        <f>AD67*(1+Assumptions!$P$21)</f>
        <v>0</v>
      </c>
      <c r="AF67" s="388">
        <f>AE67*(1+Assumptions!$P$21)</f>
        <v>0</v>
      </c>
      <c r="AG67" s="388">
        <f>AF67*(1+Assumptions!$P$21)</f>
        <v>0</v>
      </c>
      <c r="AH67" s="388">
        <f>AG67*(1+Assumptions!$P$21)</f>
        <v>0</v>
      </c>
    </row>
    <row r="68" spans="1:48">
      <c r="A68" s="15" t="s">
        <v>428</v>
      </c>
      <c r="C68" s="90"/>
      <c r="D68" s="384">
        <f>Assumptions!$P34*Assumptions!J17/12</f>
        <v>0</v>
      </c>
      <c r="E68" s="384">
        <f>Assumptions!$P34*(1+Assumptions!$P$21)</f>
        <v>0</v>
      </c>
      <c r="F68" s="384">
        <f>E68*(1+Assumptions!$P$21)</f>
        <v>0</v>
      </c>
      <c r="G68" s="384">
        <f>F68*(1+Assumptions!$P$21)</f>
        <v>0</v>
      </c>
      <c r="H68" s="384">
        <f>G68*(1+Assumptions!$P$21)</f>
        <v>0</v>
      </c>
      <c r="I68" s="384">
        <f>H68*(1+Assumptions!$P$21)</f>
        <v>0</v>
      </c>
      <c r="J68" s="384">
        <f>I68*(1+Assumptions!$P$21)</f>
        <v>0</v>
      </c>
      <c r="K68" s="384">
        <f>J68*(1+Assumptions!$P$21)</f>
        <v>0</v>
      </c>
      <c r="L68" s="384">
        <f>K68*(1+Assumptions!$P$21)</f>
        <v>0</v>
      </c>
      <c r="M68" s="384">
        <f>L68*(1+Assumptions!$P$21)</f>
        <v>0</v>
      </c>
      <c r="N68" s="384">
        <f>M68*(1+Assumptions!$P$21)</f>
        <v>0</v>
      </c>
      <c r="O68" s="384">
        <f>N68*(1+Assumptions!$P$21)</f>
        <v>0</v>
      </c>
      <c r="P68" s="384">
        <f>O68*(1+Assumptions!$P$21)</f>
        <v>0</v>
      </c>
      <c r="Q68" s="384">
        <f>P68*(1+Assumptions!$P$21)</f>
        <v>0</v>
      </c>
      <c r="R68" s="384">
        <f>Q68*(1+Assumptions!$P$21)</f>
        <v>0</v>
      </c>
      <c r="S68" s="384">
        <f>R68*(1+Assumptions!$P$21)</f>
        <v>0</v>
      </c>
      <c r="T68" s="384">
        <f>S68*(1+Assumptions!$P$21)</f>
        <v>0</v>
      </c>
      <c r="U68" s="384">
        <f>T68*(1+Assumptions!$P$21)</f>
        <v>0</v>
      </c>
      <c r="V68" s="384">
        <f>U68*(1+Assumptions!$P$21)</f>
        <v>0</v>
      </c>
      <c r="W68" s="384">
        <f>V68*(1+Assumptions!$P$21)</f>
        <v>0</v>
      </c>
      <c r="X68" s="384">
        <f>W68*(1+Assumptions!$P$21)</f>
        <v>0</v>
      </c>
      <c r="Y68" s="384">
        <f>X68*(1+Assumptions!$P$21)</f>
        <v>0</v>
      </c>
      <c r="Z68" s="384">
        <f>Y68*(1+Assumptions!$P$21)</f>
        <v>0</v>
      </c>
      <c r="AA68" s="384">
        <f>Z68*(1+Assumptions!$P$21)</f>
        <v>0</v>
      </c>
      <c r="AB68" s="384">
        <f>AA68*(1+Assumptions!$P$21)</f>
        <v>0</v>
      </c>
      <c r="AC68" s="384">
        <f>AB68*(1+Assumptions!$P$21)</f>
        <v>0</v>
      </c>
      <c r="AD68" s="384">
        <f>AC68*(1+Assumptions!$P$21)</f>
        <v>0</v>
      </c>
      <c r="AE68" s="384">
        <f>AD68*(1+Assumptions!$P$21)</f>
        <v>0</v>
      </c>
      <c r="AF68" s="384">
        <f>AE68*(1+Assumptions!$P$21)</f>
        <v>0</v>
      </c>
      <c r="AG68" s="384">
        <f>AF68*(1+Assumptions!$P$21)</f>
        <v>0</v>
      </c>
      <c r="AH68" s="384">
        <f>AG68*(1+Assumptions!$P$21)</f>
        <v>0</v>
      </c>
    </row>
    <row r="69" spans="1:48">
      <c r="A69" s="4" t="s">
        <v>368</v>
      </c>
      <c r="C69" s="633"/>
      <c r="D69" s="385">
        <f>Assumptions!$P35*Assumptions!J17/12</f>
        <v>106.95890410958906</v>
      </c>
      <c r="E69" s="385">
        <f>Assumptions!$P35*(1+Assumptions!$P$21)</f>
        <v>160</v>
      </c>
      <c r="F69" s="385">
        <f>E69*(1+Assumptions!$P$21)</f>
        <v>160</v>
      </c>
      <c r="G69" s="385">
        <f>F69*(1+Assumptions!$P$21)</f>
        <v>160</v>
      </c>
      <c r="H69" s="385">
        <f>G69*(1+Assumptions!$P$21)</f>
        <v>160</v>
      </c>
      <c r="I69" s="385">
        <f>H69*(1+Assumptions!$P$21)</f>
        <v>160</v>
      </c>
      <c r="J69" s="385">
        <f>I69*(1+Assumptions!$P$21)</f>
        <v>160</v>
      </c>
      <c r="K69" s="385">
        <f>J69*(1+Assumptions!$P$21)</f>
        <v>160</v>
      </c>
      <c r="L69" s="385">
        <f>K69*(1+Assumptions!$P$21)</f>
        <v>160</v>
      </c>
      <c r="M69" s="385">
        <f>L69*(1+Assumptions!$P$21)</f>
        <v>160</v>
      </c>
      <c r="N69" s="385">
        <f>M69*(1+Assumptions!$P$21)</f>
        <v>160</v>
      </c>
      <c r="O69" s="385">
        <f>N69*(1+Assumptions!$P$21)</f>
        <v>160</v>
      </c>
      <c r="P69" s="385">
        <f>O69*(1+Assumptions!$P$21)</f>
        <v>160</v>
      </c>
      <c r="Q69" s="385">
        <f>P69*(1+Assumptions!$P$21)</f>
        <v>160</v>
      </c>
      <c r="R69" s="385">
        <f>Q69*(1+Assumptions!$P$21)</f>
        <v>160</v>
      </c>
      <c r="S69" s="385">
        <f>R69*(1+Assumptions!$P$21)</f>
        <v>160</v>
      </c>
      <c r="T69" s="385">
        <f>S69*(1+Assumptions!$P$21)</f>
        <v>160</v>
      </c>
      <c r="U69" s="385">
        <f>T69*(1+Assumptions!$P$21)</f>
        <v>160</v>
      </c>
      <c r="V69" s="385">
        <f>U69*(1+Assumptions!$P$21)</f>
        <v>160</v>
      </c>
      <c r="W69" s="385">
        <f>V69*(1+Assumptions!$P$21)</f>
        <v>160</v>
      </c>
      <c r="X69" s="385">
        <f>W69*(1+Assumptions!$P$21)</f>
        <v>160</v>
      </c>
      <c r="Y69" s="385">
        <f>X69*(1+Assumptions!$P$21)</f>
        <v>160</v>
      </c>
      <c r="Z69" s="385">
        <f>Y69*(1+Assumptions!$P$21)</f>
        <v>160</v>
      </c>
      <c r="AA69" s="385">
        <f>Z69*(1+Assumptions!$P$21)</f>
        <v>160</v>
      </c>
      <c r="AB69" s="385">
        <f>AA69*(1+Assumptions!$P$21)</f>
        <v>160</v>
      </c>
      <c r="AC69" s="385">
        <f>AB69*(1+Assumptions!$P$21)</f>
        <v>160</v>
      </c>
      <c r="AD69" s="385">
        <f>AC69*(1+Assumptions!$P$21)</f>
        <v>160</v>
      </c>
      <c r="AE69" s="385">
        <f>AD69*(1+Assumptions!$P$21)</f>
        <v>160</v>
      </c>
      <c r="AF69" s="385">
        <f>AE69*(1+Assumptions!$P$21)</f>
        <v>160</v>
      </c>
      <c r="AG69" s="385">
        <f>AF69*(1+Assumptions!$P$21)</f>
        <v>160</v>
      </c>
      <c r="AH69" s="385">
        <f>AG69*(1+Assumptions!$P$21)</f>
        <v>160</v>
      </c>
    </row>
    <row r="70" spans="1:48">
      <c r="A70" s="4" t="s">
        <v>82</v>
      </c>
      <c r="C70" s="90"/>
      <c r="D70" s="401">
        <f t="shared" ref="D70:AH70" si="11">SUM(D58:D69)</f>
        <v>6731.3208883402522</v>
      </c>
      <c r="E70" s="401">
        <f t="shared" si="11"/>
        <v>9803.0932242794788</v>
      </c>
      <c r="F70" s="401">
        <f t="shared" si="11"/>
        <v>9803.0932242794788</v>
      </c>
      <c r="G70" s="401">
        <f t="shared" si="11"/>
        <v>9803.0932242794788</v>
      </c>
      <c r="H70" s="401">
        <f t="shared" si="11"/>
        <v>9803.0932242794788</v>
      </c>
      <c r="I70" s="401">
        <f t="shared" si="11"/>
        <v>9803.0932242794788</v>
      </c>
      <c r="J70" s="401">
        <f t="shared" si="11"/>
        <v>9803.0932242794788</v>
      </c>
      <c r="K70" s="401">
        <f t="shared" si="11"/>
        <v>9803.0932242794788</v>
      </c>
      <c r="L70" s="401">
        <f t="shared" si="11"/>
        <v>9803.0932242794788</v>
      </c>
      <c r="M70" s="401">
        <f t="shared" si="11"/>
        <v>9803.0932242794788</v>
      </c>
      <c r="N70" s="401">
        <f t="shared" si="11"/>
        <v>9803.0932242794788</v>
      </c>
      <c r="O70" s="401">
        <f t="shared" si="11"/>
        <v>9803.0932242794788</v>
      </c>
      <c r="P70" s="401">
        <f t="shared" si="11"/>
        <v>9803.0932242794788</v>
      </c>
      <c r="Q70" s="401">
        <f t="shared" si="11"/>
        <v>9803.0932242794788</v>
      </c>
      <c r="R70" s="401">
        <f t="shared" si="11"/>
        <v>9803.0932242794788</v>
      </c>
      <c r="S70" s="401">
        <f t="shared" si="11"/>
        <v>9803.0932242794788</v>
      </c>
      <c r="T70" s="401">
        <f t="shared" si="11"/>
        <v>9803.0932242794788</v>
      </c>
      <c r="U70" s="401">
        <f t="shared" si="11"/>
        <v>9803.0932242794788</v>
      </c>
      <c r="V70" s="401">
        <f t="shared" si="11"/>
        <v>9803.0932242794788</v>
      </c>
      <c r="W70" s="401">
        <f t="shared" si="11"/>
        <v>9803.0932242794788</v>
      </c>
      <c r="X70" s="401">
        <f t="shared" si="11"/>
        <v>9803.0932242794788</v>
      </c>
      <c r="Y70" s="401">
        <f t="shared" si="11"/>
        <v>9803.0932242794788</v>
      </c>
      <c r="Z70" s="401">
        <f t="shared" si="11"/>
        <v>9803.0932242794788</v>
      </c>
      <c r="AA70" s="401">
        <f t="shared" si="11"/>
        <v>9803.0932242794788</v>
      </c>
      <c r="AB70" s="401">
        <f t="shared" si="11"/>
        <v>9803.0932242794788</v>
      </c>
      <c r="AC70" s="401">
        <f t="shared" si="11"/>
        <v>2661.551304279476</v>
      </c>
      <c r="AD70" s="401">
        <f t="shared" si="11"/>
        <v>2661.551304279476</v>
      </c>
      <c r="AE70" s="401">
        <f t="shared" si="11"/>
        <v>2661.551304279476</v>
      </c>
      <c r="AF70" s="401">
        <f t="shared" si="11"/>
        <v>2661.551304279476</v>
      </c>
      <c r="AG70" s="401">
        <f t="shared" si="11"/>
        <v>2661.551304279476</v>
      </c>
      <c r="AH70" s="401">
        <f t="shared" si="11"/>
        <v>2661.551304279476</v>
      </c>
    </row>
    <row r="71" spans="1:48">
      <c r="A71" s="5"/>
      <c r="C71" s="634"/>
      <c r="D71" s="635"/>
      <c r="E71" s="635"/>
      <c r="F71" s="635"/>
      <c r="G71" s="635"/>
      <c r="H71" s="635"/>
      <c r="I71" s="635"/>
      <c r="J71" s="635"/>
      <c r="K71" s="635"/>
      <c r="L71" s="635"/>
      <c r="M71" s="635"/>
      <c r="N71" s="635"/>
      <c r="O71" s="635"/>
      <c r="P71" s="635"/>
      <c r="Q71" s="635"/>
      <c r="R71" s="635"/>
      <c r="S71" s="635"/>
      <c r="T71" s="635"/>
      <c r="U71" s="635"/>
      <c r="V71" s="635"/>
      <c r="W71" s="635"/>
      <c r="X71" s="635"/>
      <c r="Y71" s="635"/>
      <c r="Z71" s="635"/>
      <c r="AA71" s="635"/>
      <c r="AB71" s="635"/>
      <c r="AC71" s="635"/>
      <c r="AD71" s="635"/>
      <c r="AE71" s="635"/>
      <c r="AF71" s="635"/>
      <c r="AG71" s="635"/>
      <c r="AH71" s="635"/>
    </row>
    <row r="72" spans="1:48">
      <c r="A72" s="1" t="s">
        <v>83</v>
      </c>
      <c r="D72" s="400">
        <f t="shared" ref="D72:Y72" si="12">D55-D70</f>
        <v>7180.8554577419409</v>
      </c>
      <c r="E72" s="400">
        <f t="shared" si="12"/>
        <v>10656.059055720523</v>
      </c>
      <c r="F72" s="400">
        <f t="shared" si="12"/>
        <v>10656.059055720523</v>
      </c>
      <c r="G72" s="400">
        <f t="shared" si="12"/>
        <v>10656.059055720523</v>
      </c>
      <c r="H72" s="400">
        <f t="shared" si="12"/>
        <v>10656.059055720523</v>
      </c>
      <c r="I72" s="400">
        <f t="shared" si="12"/>
        <v>10656.059055720523</v>
      </c>
      <c r="J72" s="400">
        <f t="shared" si="12"/>
        <v>10656.059055720523</v>
      </c>
      <c r="K72" s="400">
        <f t="shared" si="12"/>
        <v>10656.059055720523</v>
      </c>
      <c r="L72" s="400">
        <f t="shared" si="12"/>
        <v>10656.059055720523</v>
      </c>
      <c r="M72" s="400">
        <f t="shared" si="12"/>
        <v>10656.059055720523</v>
      </c>
      <c r="N72" s="400">
        <f t="shared" si="12"/>
        <v>10656.059055720523</v>
      </c>
      <c r="O72" s="400">
        <f t="shared" si="12"/>
        <v>10656.059055720523</v>
      </c>
      <c r="P72" s="400">
        <f t="shared" si="12"/>
        <v>10656.059055720523</v>
      </c>
      <c r="Q72" s="400">
        <f t="shared" si="12"/>
        <v>10656.059055720523</v>
      </c>
      <c r="R72" s="400">
        <f t="shared" si="12"/>
        <v>10656.059055720523</v>
      </c>
      <c r="S72" s="400">
        <f t="shared" si="12"/>
        <v>10656.059055720523</v>
      </c>
      <c r="T72" s="400">
        <f t="shared" si="12"/>
        <v>10656.059055720523</v>
      </c>
      <c r="U72" s="400">
        <f t="shared" si="12"/>
        <v>10656.059055720523</v>
      </c>
      <c r="V72" s="400">
        <f t="shared" si="12"/>
        <v>10656.059055720523</v>
      </c>
      <c r="W72" s="400">
        <f t="shared" si="12"/>
        <v>10656.059055720523</v>
      </c>
      <c r="X72" s="400">
        <f t="shared" si="12"/>
        <v>10656.059055720523</v>
      </c>
      <c r="Y72" s="400">
        <f t="shared" si="12"/>
        <v>10656.059055720523</v>
      </c>
      <c r="Z72" s="400">
        <f t="shared" ref="Z72:AH72" si="13">Z55-Z70</f>
        <v>10656.059055720523</v>
      </c>
      <c r="AA72" s="400">
        <f t="shared" si="13"/>
        <v>10656.059055720523</v>
      </c>
      <c r="AB72" s="400">
        <f t="shared" si="13"/>
        <v>10656.059055720523</v>
      </c>
      <c r="AC72" s="400">
        <f t="shared" si="13"/>
        <v>-2661.551304279476</v>
      </c>
      <c r="AD72" s="400">
        <f t="shared" si="13"/>
        <v>-2661.551304279476</v>
      </c>
      <c r="AE72" s="400">
        <f t="shared" si="13"/>
        <v>-2661.551304279476</v>
      </c>
      <c r="AF72" s="400">
        <f t="shared" si="13"/>
        <v>-2661.551304279476</v>
      </c>
      <c r="AG72" s="400">
        <f t="shared" si="13"/>
        <v>-2661.551304279476</v>
      </c>
      <c r="AH72" s="400">
        <f t="shared" si="13"/>
        <v>-2661.551304279476</v>
      </c>
    </row>
    <row r="73" spans="1:48">
      <c r="A73" s="1"/>
      <c r="D73" s="635"/>
      <c r="E73" s="635"/>
      <c r="F73" s="635"/>
      <c r="G73" s="635"/>
      <c r="H73" s="635"/>
      <c r="I73" s="635"/>
      <c r="J73" s="635"/>
      <c r="K73" s="635"/>
      <c r="L73" s="635"/>
      <c r="M73" s="635"/>
      <c r="N73" s="635"/>
      <c r="O73" s="635"/>
      <c r="P73" s="635"/>
      <c r="Q73" s="635"/>
      <c r="R73" s="635"/>
      <c r="S73" s="635"/>
      <c r="T73" s="635"/>
      <c r="U73" s="635"/>
      <c r="V73" s="635"/>
      <c r="W73" s="635"/>
      <c r="X73" s="635"/>
      <c r="Y73" s="635"/>
      <c r="Z73" s="635"/>
      <c r="AA73" s="635"/>
      <c r="AB73" s="635"/>
      <c r="AC73" s="635"/>
      <c r="AD73" s="635"/>
      <c r="AE73" s="635"/>
      <c r="AF73" s="635"/>
      <c r="AG73" s="635"/>
      <c r="AH73" s="635"/>
    </row>
    <row r="74" spans="1:48">
      <c r="A74" s="4" t="s">
        <v>84</v>
      </c>
      <c r="D74" s="401">
        <f>Depreciation!D43</f>
        <v>2851.4749630926121</v>
      </c>
      <c r="E74" s="401">
        <f>Depreciation!E43</f>
        <v>6375.7891077590366</v>
      </c>
      <c r="F74" s="401">
        <f>Depreciation!F43</f>
        <v>6375.7891077590366</v>
      </c>
      <c r="G74" s="401">
        <f>Depreciation!G43</f>
        <v>6375.7891077590366</v>
      </c>
      <c r="H74" s="401">
        <f>Depreciation!H43</f>
        <v>6375.7891077590366</v>
      </c>
      <c r="I74" s="401">
        <f>Depreciation!I43</f>
        <v>6375.7891077590366</v>
      </c>
      <c r="J74" s="401">
        <f>Depreciation!J43</f>
        <v>6375.7891077590366</v>
      </c>
      <c r="K74" s="401">
        <f>Depreciation!K43</f>
        <v>6375.7891077590366</v>
      </c>
      <c r="L74" s="401">
        <f>Depreciation!L43</f>
        <v>6375.7891077590366</v>
      </c>
      <c r="M74" s="401">
        <f>Depreciation!M43</f>
        <v>6375.7891077590366</v>
      </c>
      <c r="N74" s="401">
        <f>Depreciation!N43</f>
        <v>6375.7891077590366</v>
      </c>
      <c r="O74" s="401">
        <f>Depreciation!O43</f>
        <v>6375.7891077590366</v>
      </c>
      <c r="P74" s="401">
        <f>Depreciation!P43</f>
        <v>6375.7891077590366</v>
      </c>
      <c r="Q74" s="401">
        <f>Depreciation!Q43</f>
        <v>6375.7891077590366</v>
      </c>
      <c r="R74" s="401">
        <f>Depreciation!R43</f>
        <v>6375.7891077590366</v>
      </c>
      <c r="S74" s="401">
        <f>Depreciation!S43</f>
        <v>6375.7891077590366</v>
      </c>
      <c r="T74" s="401">
        <f>Depreciation!T43</f>
        <v>6375.7891077590366</v>
      </c>
      <c r="U74" s="401">
        <f>Depreciation!U43</f>
        <v>6375.7891077590366</v>
      </c>
      <c r="V74" s="401">
        <f>Depreciation!V43</f>
        <v>6375.7891077590366</v>
      </c>
      <c r="W74" s="401">
        <f>Depreciation!W43</f>
        <v>6375.7891077590366</v>
      </c>
      <c r="X74" s="401">
        <f>Depreciation!X43</f>
        <v>6330.7891077590366</v>
      </c>
      <c r="Y74" s="401">
        <f>Depreciation!Y43</f>
        <v>6330.7891077590366</v>
      </c>
      <c r="Z74" s="401">
        <f>Depreciation!Z43</f>
        <v>6330.7891077590366</v>
      </c>
      <c r="AA74" s="401">
        <f>Depreciation!AA43</f>
        <v>6330.7891077590366</v>
      </c>
      <c r="AB74" s="401">
        <f>Depreciation!AB43</f>
        <v>6330.7891077590366</v>
      </c>
      <c r="AC74" s="401">
        <f>Depreciation!AC43</f>
        <v>6330.7891077590366</v>
      </c>
      <c r="AD74" s="401">
        <f>Depreciation!AD43</f>
        <v>6330.7891077590366</v>
      </c>
      <c r="AE74" s="401">
        <f>Depreciation!AE43</f>
        <v>6330.7891077590366</v>
      </c>
      <c r="AF74" s="401">
        <f>Depreciation!AF43</f>
        <v>6330.7891077590366</v>
      </c>
      <c r="AG74" s="401">
        <f>Depreciation!AG43</f>
        <v>6330.7891077590366</v>
      </c>
      <c r="AH74" s="401">
        <f>Depreciation!AH43</f>
        <v>0</v>
      </c>
    </row>
    <row r="75" spans="1:48">
      <c r="A75" s="4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1"/>
      <c r="P75" s="401"/>
      <c r="Q75" s="401"/>
      <c r="R75" s="401"/>
      <c r="S75" s="401"/>
      <c r="T75" s="401"/>
      <c r="U75" s="401"/>
      <c r="V75" s="401"/>
      <c r="W75" s="401"/>
      <c r="X75" s="401"/>
      <c r="Y75" s="401"/>
      <c r="Z75" s="401"/>
      <c r="AA75" s="401"/>
      <c r="AB75" s="401"/>
      <c r="AC75" s="401"/>
      <c r="AD75" s="401"/>
      <c r="AE75" s="401"/>
      <c r="AF75" s="401"/>
      <c r="AG75" s="401"/>
      <c r="AH75" s="401"/>
    </row>
    <row r="76" spans="1:48">
      <c r="A76" s="1" t="s">
        <v>85</v>
      </c>
      <c r="D76" s="400">
        <f>D72-D74</f>
        <v>4329.3804946493292</v>
      </c>
      <c r="E76" s="400">
        <f t="shared" ref="E76:Y76" si="14">E72-E74</f>
        <v>4280.2699479614867</v>
      </c>
      <c r="F76" s="400">
        <f t="shared" si="14"/>
        <v>4280.2699479614867</v>
      </c>
      <c r="G76" s="400">
        <f t="shared" si="14"/>
        <v>4280.2699479614867</v>
      </c>
      <c r="H76" s="400">
        <f t="shared" si="14"/>
        <v>4280.2699479614867</v>
      </c>
      <c r="I76" s="400">
        <f t="shared" si="14"/>
        <v>4280.2699479614867</v>
      </c>
      <c r="J76" s="400">
        <f t="shared" si="14"/>
        <v>4280.2699479614867</v>
      </c>
      <c r="K76" s="400">
        <f t="shared" si="14"/>
        <v>4280.2699479614867</v>
      </c>
      <c r="L76" s="400">
        <f t="shared" si="14"/>
        <v>4280.2699479614867</v>
      </c>
      <c r="M76" s="400">
        <f t="shared" si="14"/>
        <v>4280.2699479614867</v>
      </c>
      <c r="N76" s="400">
        <f t="shared" si="14"/>
        <v>4280.2699479614867</v>
      </c>
      <c r="O76" s="400">
        <f t="shared" si="14"/>
        <v>4280.2699479614867</v>
      </c>
      <c r="P76" s="400">
        <f t="shared" si="14"/>
        <v>4280.2699479614867</v>
      </c>
      <c r="Q76" s="400">
        <f t="shared" si="14"/>
        <v>4280.2699479614867</v>
      </c>
      <c r="R76" s="400">
        <f t="shared" si="14"/>
        <v>4280.2699479614867</v>
      </c>
      <c r="S76" s="400">
        <f t="shared" si="14"/>
        <v>4280.2699479614867</v>
      </c>
      <c r="T76" s="400">
        <f t="shared" si="14"/>
        <v>4280.2699479614867</v>
      </c>
      <c r="U76" s="400">
        <f t="shared" si="14"/>
        <v>4280.2699479614867</v>
      </c>
      <c r="V76" s="400">
        <f t="shared" si="14"/>
        <v>4280.2699479614867</v>
      </c>
      <c r="W76" s="400">
        <f t="shared" si="14"/>
        <v>4280.2699479614867</v>
      </c>
      <c r="X76" s="400">
        <f t="shared" si="14"/>
        <v>4325.2699479614867</v>
      </c>
      <c r="Y76" s="400">
        <f t="shared" si="14"/>
        <v>4325.2699479614867</v>
      </c>
      <c r="Z76" s="400">
        <f t="shared" ref="Z76:AH76" si="15">Z72-Z74</f>
        <v>4325.2699479614867</v>
      </c>
      <c r="AA76" s="400">
        <f t="shared" si="15"/>
        <v>4325.2699479614867</v>
      </c>
      <c r="AB76" s="400">
        <f t="shared" si="15"/>
        <v>4325.2699479614867</v>
      </c>
      <c r="AC76" s="400">
        <f t="shared" si="15"/>
        <v>-8992.340412038513</v>
      </c>
      <c r="AD76" s="400">
        <f t="shared" si="15"/>
        <v>-8992.340412038513</v>
      </c>
      <c r="AE76" s="400">
        <f t="shared" si="15"/>
        <v>-8992.340412038513</v>
      </c>
      <c r="AF76" s="400">
        <f t="shared" si="15"/>
        <v>-8992.340412038513</v>
      </c>
      <c r="AG76" s="400">
        <f t="shared" si="15"/>
        <v>-8992.340412038513</v>
      </c>
      <c r="AH76" s="400">
        <f t="shared" si="15"/>
        <v>-2661.551304279476</v>
      </c>
    </row>
    <row r="77" spans="1:48">
      <c r="A77" s="1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  <c r="AA77" s="400"/>
      <c r="AB77" s="400"/>
      <c r="AC77" s="400"/>
      <c r="AD77" s="400"/>
      <c r="AE77" s="400"/>
      <c r="AF77" s="400"/>
      <c r="AG77" s="400"/>
      <c r="AH77" s="400"/>
    </row>
    <row r="78" spans="1:48">
      <c r="A78" s="4" t="s">
        <v>410</v>
      </c>
      <c r="C78" s="90"/>
      <c r="D78" s="401">
        <f>+Debt!C48</f>
        <v>2063.8377228889249</v>
      </c>
      <c r="E78" s="401">
        <f>+Debt!D48</f>
        <v>5979.1949182126245</v>
      </c>
      <c r="F78" s="401">
        <f>+Debt!E48</f>
        <v>5787.8792704955831</v>
      </c>
      <c r="G78" s="401">
        <f>+Debt!F48</f>
        <v>5581.290373764441</v>
      </c>
      <c r="H78" s="401">
        <f>+Debt!G48</f>
        <v>5358.2089229689791</v>
      </c>
      <c r="I78" s="401">
        <f>+Debt!H48</f>
        <v>5117.3182726172672</v>
      </c>
      <c r="J78" s="401">
        <f>+Debt!I48</f>
        <v>4857.1966658231813</v>
      </c>
      <c r="K78" s="401">
        <f>+Debt!J48</f>
        <v>4576.308842977649</v>
      </c>
      <c r="L78" s="401">
        <f>+Debt!K48</f>
        <v>4272.9969805172605</v>
      </c>
      <c r="M78" s="401">
        <f>+Debt!L48</f>
        <v>3945.4709063101136</v>
      </c>
      <c r="N78" s="401">
        <f>+Debt!M48</f>
        <v>3591.7975339092736</v>
      </c>
      <c r="O78" s="401">
        <f>+Debt!N48</f>
        <v>3209.8894533139173</v>
      </c>
      <c r="P78" s="401">
        <f>+Debt!O48</f>
        <v>2797.4926108998843</v>
      </c>
      <c r="Q78" s="401">
        <f>+Debt!P48</f>
        <v>2352.1730058055364</v>
      </c>
      <c r="R78" s="401">
        <f>+Debt!Q48</f>
        <v>1871.3023242538814</v>
      </c>
      <c r="S78" s="401">
        <f>+Debt!R48</f>
        <v>1352.0424270235274</v>
      </c>
      <c r="T78" s="401">
        <f>+Debt!S48</f>
        <v>791.32859851220383</v>
      </c>
      <c r="U78" s="401">
        <f>+Debt!T48</f>
        <v>185.85145852742318</v>
      </c>
      <c r="V78" s="401">
        <f>+Debt!U48</f>
        <v>0</v>
      </c>
      <c r="W78" s="401">
        <f>+Debt!V48</f>
        <v>0</v>
      </c>
      <c r="X78" s="401">
        <f>+Debt!W48</f>
        <v>0</v>
      </c>
      <c r="Y78" s="401">
        <f>+Debt!X48</f>
        <v>0</v>
      </c>
      <c r="Z78" s="401">
        <f>+Debt!Y48</f>
        <v>0</v>
      </c>
      <c r="AA78" s="401">
        <f>+Debt!Z48</f>
        <v>0</v>
      </c>
      <c r="AB78" s="401">
        <f>+Debt!AA48</f>
        <v>0</v>
      </c>
      <c r="AC78" s="401">
        <v>0</v>
      </c>
      <c r="AD78" s="401">
        <v>0</v>
      </c>
      <c r="AE78" s="401">
        <v>0</v>
      </c>
      <c r="AF78" s="401">
        <v>0</v>
      </c>
      <c r="AG78" s="401">
        <v>0</v>
      </c>
      <c r="AH78" s="401">
        <v>0</v>
      </c>
    </row>
    <row r="79" spans="1:48">
      <c r="A79" s="6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</row>
    <row r="80" spans="1:48">
      <c r="A80" s="1" t="s">
        <v>86</v>
      </c>
      <c r="D80" s="400">
        <f>D76-D78</f>
        <v>2265.5427717604043</v>
      </c>
      <c r="E80" s="400">
        <f t="shared" ref="E80:Y80" si="16">E76-E78</f>
        <v>-1698.9249702511379</v>
      </c>
      <c r="F80" s="400">
        <f t="shared" si="16"/>
        <v>-1507.6093225340965</v>
      </c>
      <c r="G80" s="400">
        <f t="shared" si="16"/>
        <v>-1301.0204258029544</v>
      </c>
      <c r="H80" s="400">
        <f t="shared" si="16"/>
        <v>-1077.9389750074924</v>
      </c>
      <c r="I80" s="400">
        <f t="shared" si="16"/>
        <v>-837.04832465578056</v>
      </c>
      <c r="J80" s="400">
        <f t="shared" si="16"/>
        <v>-576.92671786169467</v>
      </c>
      <c r="K80" s="400">
        <f t="shared" si="16"/>
        <v>-296.03889501616231</v>
      </c>
      <c r="L80" s="400">
        <f t="shared" si="16"/>
        <v>7.2729674442261967</v>
      </c>
      <c r="M80" s="400">
        <f t="shared" si="16"/>
        <v>334.79904165137305</v>
      </c>
      <c r="N80" s="400">
        <f t="shared" si="16"/>
        <v>688.47241405221303</v>
      </c>
      <c r="O80" s="400">
        <f t="shared" si="16"/>
        <v>1070.3804946475693</v>
      </c>
      <c r="P80" s="400">
        <f t="shared" si="16"/>
        <v>1482.7773370616023</v>
      </c>
      <c r="Q80" s="400">
        <f t="shared" si="16"/>
        <v>1928.0969421559503</v>
      </c>
      <c r="R80" s="400">
        <f t="shared" si="16"/>
        <v>2408.9676237076055</v>
      </c>
      <c r="S80" s="400">
        <f t="shared" si="16"/>
        <v>2928.2275209379595</v>
      </c>
      <c r="T80" s="400">
        <f t="shared" si="16"/>
        <v>3488.9413494492828</v>
      </c>
      <c r="U80" s="400">
        <f t="shared" si="16"/>
        <v>4094.4184894340633</v>
      </c>
      <c r="V80" s="400">
        <f t="shared" si="16"/>
        <v>4280.2699479614867</v>
      </c>
      <c r="W80" s="400">
        <f t="shared" si="16"/>
        <v>4280.2699479614867</v>
      </c>
      <c r="X80" s="400">
        <f t="shared" si="16"/>
        <v>4325.2699479614867</v>
      </c>
      <c r="Y80" s="400">
        <f t="shared" si="16"/>
        <v>4325.2699479614867</v>
      </c>
      <c r="Z80" s="400">
        <f t="shared" ref="Z80:AH80" si="17">Z76-Z78</f>
        <v>4325.2699479614867</v>
      </c>
      <c r="AA80" s="400">
        <f t="shared" si="17"/>
        <v>4325.2699479614867</v>
      </c>
      <c r="AB80" s="400">
        <f t="shared" si="17"/>
        <v>4325.2699479614867</v>
      </c>
      <c r="AC80" s="400">
        <f t="shared" si="17"/>
        <v>-8992.340412038513</v>
      </c>
      <c r="AD80" s="400">
        <f t="shared" si="17"/>
        <v>-8992.340412038513</v>
      </c>
      <c r="AE80" s="400">
        <f t="shared" si="17"/>
        <v>-8992.340412038513</v>
      </c>
      <c r="AF80" s="400">
        <f t="shared" si="17"/>
        <v>-8992.340412038513</v>
      </c>
      <c r="AG80" s="400">
        <f t="shared" si="17"/>
        <v>-8992.340412038513</v>
      </c>
      <c r="AH80" s="400">
        <f t="shared" si="17"/>
        <v>-2661.551304279476</v>
      </c>
    </row>
    <row r="81" spans="1:34">
      <c r="A81" s="1"/>
      <c r="D81" s="400"/>
      <c r="E81" s="400"/>
      <c r="F81" s="400"/>
      <c r="G81" s="400"/>
      <c r="H81" s="400"/>
      <c r="I81" s="400"/>
      <c r="J81" s="400"/>
      <c r="K81" s="400"/>
      <c r="L81" s="400"/>
      <c r="M81" s="400"/>
      <c r="N81" s="400"/>
      <c r="O81" s="400"/>
      <c r="P81" s="400"/>
      <c r="Q81" s="400"/>
      <c r="R81" s="400"/>
      <c r="S81" s="400"/>
      <c r="T81" s="400"/>
      <c r="U81" s="400"/>
      <c r="V81" s="400"/>
      <c r="W81" s="400"/>
      <c r="X81" s="400"/>
      <c r="Y81" s="400"/>
      <c r="Z81" s="400"/>
      <c r="AA81" s="400"/>
      <c r="AB81" s="400"/>
      <c r="AC81" s="400"/>
      <c r="AD81" s="400"/>
      <c r="AE81" s="400"/>
      <c r="AF81" s="400"/>
      <c r="AG81" s="400"/>
      <c r="AH81" s="400"/>
    </row>
    <row r="82" spans="1:34">
      <c r="A82" s="4" t="s">
        <v>87</v>
      </c>
      <c r="B82" s="389">
        <f>Assumptions!Q56</f>
        <v>0.06</v>
      </c>
      <c r="C82" s="101"/>
      <c r="D82" s="384">
        <f>-D80*$B$82</f>
        <v>-135.93256630562425</v>
      </c>
      <c r="E82" s="384">
        <f t="shared" ref="E82:Y82" si="18">-E80*$B$82</f>
        <v>101.93549821506826</v>
      </c>
      <c r="F82" s="384">
        <f t="shared" si="18"/>
        <v>90.456559352045787</v>
      </c>
      <c r="G82" s="384">
        <f t="shared" si="18"/>
        <v>78.061225548177262</v>
      </c>
      <c r="H82" s="384">
        <f t="shared" si="18"/>
        <v>64.676338500449546</v>
      </c>
      <c r="I82" s="384">
        <f t="shared" si="18"/>
        <v>50.222899479346829</v>
      </c>
      <c r="J82" s="384">
        <f t="shared" si="18"/>
        <v>34.615603071701678</v>
      </c>
      <c r="K82" s="384">
        <f t="shared" si="18"/>
        <v>17.762333700969737</v>
      </c>
      <c r="L82" s="384">
        <f t="shared" si="18"/>
        <v>-0.43637804665357177</v>
      </c>
      <c r="M82" s="384">
        <f t="shared" si="18"/>
        <v>-20.087942499082381</v>
      </c>
      <c r="N82" s="384">
        <f t="shared" si="18"/>
        <v>-41.30834484313278</v>
      </c>
      <c r="O82" s="384">
        <f t="shared" si="18"/>
        <v>-64.222829678854154</v>
      </c>
      <c r="P82" s="384">
        <f t="shared" si="18"/>
        <v>-88.966640223696132</v>
      </c>
      <c r="Q82" s="384">
        <f t="shared" si="18"/>
        <v>-115.68581652935701</v>
      </c>
      <c r="R82" s="384">
        <f t="shared" si="18"/>
        <v>-144.53805742245632</v>
      </c>
      <c r="S82" s="384">
        <f t="shared" si="18"/>
        <v>-175.69365125627758</v>
      </c>
      <c r="T82" s="384">
        <f t="shared" si="18"/>
        <v>-209.33648096695697</v>
      </c>
      <c r="U82" s="384">
        <f t="shared" si="18"/>
        <v>-245.66510936604379</v>
      </c>
      <c r="V82" s="384">
        <f t="shared" si="18"/>
        <v>-256.81619687768921</v>
      </c>
      <c r="W82" s="384">
        <f t="shared" si="18"/>
        <v>-256.81619687768921</v>
      </c>
      <c r="X82" s="384">
        <f t="shared" si="18"/>
        <v>-259.5161968776892</v>
      </c>
      <c r="Y82" s="384">
        <f t="shared" si="18"/>
        <v>-259.5161968776892</v>
      </c>
      <c r="Z82" s="384">
        <f t="shared" ref="Z82:AH82" si="19">-Z80*$B$82</f>
        <v>-259.5161968776892</v>
      </c>
      <c r="AA82" s="384">
        <f t="shared" si="19"/>
        <v>-259.5161968776892</v>
      </c>
      <c r="AB82" s="384">
        <f t="shared" si="19"/>
        <v>-259.5161968776892</v>
      </c>
      <c r="AC82" s="384">
        <f t="shared" si="19"/>
        <v>539.54042472231072</v>
      </c>
      <c r="AD82" s="384">
        <f t="shared" si="19"/>
        <v>539.54042472231072</v>
      </c>
      <c r="AE82" s="384">
        <f t="shared" si="19"/>
        <v>539.54042472231072</v>
      </c>
      <c r="AF82" s="384">
        <f t="shared" si="19"/>
        <v>539.54042472231072</v>
      </c>
      <c r="AG82" s="384">
        <f t="shared" si="19"/>
        <v>539.54042472231072</v>
      </c>
      <c r="AH82" s="384">
        <f t="shared" si="19"/>
        <v>159.69307825676856</v>
      </c>
    </row>
    <row r="83" spans="1:34">
      <c r="A83" s="4" t="s">
        <v>88</v>
      </c>
      <c r="B83" s="389">
        <f>Assumptions!Q55</f>
        <v>0.35</v>
      </c>
      <c r="C83" s="101"/>
      <c r="D83" s="384">
        <f>(D80+D82)*-$B$83</f>
        <v>-745.36357190917295</v>
      </c>
      <c r="E83" s="384">
        <f t="shared" ref="E83:AH83" si="20">(E80+E82)*-$B$83</f>
        <v>558.94631521262431</v>
      </c>
      <c r="F83" s="384">
        <f t="shared" si="20"/>
        <v>496.0034671137177</v>
      </c>
      <c r="G83" s="384">
        <f t="shared" si="20"/>
        <v>428.035720089172</v>
      </c>
      <c r="H83" s="384">
        <f t="shared" si="20"/>
        <v>354.64192277746497</v>
      </c>
      <c r="I83" s="384">
        <f t="shared" si="20"/>
        <v>275.3888988117518</v>
      </c>
      <c r="J83" s="384">
        <f t="shared" si="20"/>
        <v>189.80889017649753</v>
      </c>
      <c r="K83" s="384">
        <f t="shared" si="20"/>
        <v>97.39679646031739</v>
      </c>
      <c r="L83" s="384">
        <f t="shared" si="20"/>
        <v>-2.3928062891504185</v>
      </c>
      <c r="M83" s="384">
        <f t="shared" si="20"/>
        <v>-110.14888470330173</v>
      </c>
      <c r="N83" s="384">
        <f t="shared" si="20"/>
        <v>-226.50742422317808</v>
      </c>
      <c r="O83" s="384">
        <f t="shared" si="20"/>
        <v>-352.1551827390503</v>
      </c>
      <c r="P83" s="384">
        <f t="shared" si="20"/>
        <v>-487.83374389326713</v>
      </c>
      <c r="Q83" s="384">
        <f t="shared" si="20"/>
        <v>-634.3438939693076</v>
      </c>
      <c r="R83" s="384">
        <f t="shared" si="20"/>
        <v>-792.5503481998021</v>
      </c>
      <c r="S83" s="384">
        <f t="shared" si="20"/>
        <v>-963.38685438858863</v>
      </c>
      <c r="T83" s="384">
        <f t="shared" si="20"/>
        <v>-1147.861703968814</v>
      </c>
      <c r="U83" s="384">
        <f t="shared" si="20"/>
        <v>-1347.0636830238068</v>
      </c>
      <c r="V83" s="384">
        <f t="shared" si="20"/>
        <v>-1408.2088128793289</v>
      </c>
      <c r="W83" s="384">
        <f t="shared" si="20"/>
        <v>-1408.2088128793289</v>
      </c>
      <c r="X83" s="384">
        <f t="shared" si="20"/>
        <v>-1423.013812879329</v>
      </c>
      <c r="Y83" s="384">
        <f t="shared" si="20"/>
        <v>-1423.013812879329</v>
      </c>
      <c r="Z83" s="384">
        <f t="shared" si="20"/>
        <v>-1423.013812879329</v>
      </c>
      <c r="AA83" s="384">
        <f t="shared" si="20"/>
        <v>-1423.013812879329</v>
      </c>
      <c r="AB83" s="384">
        <f t="shared" si="20"/>
        <v>-1423.013812879329</v>
      </c>
      <c r="AC83" s="384">
        <f t="shared" si="20"/>
        <v>2958.4799955606709</v>
      </c>
      <c r="AD83" s="384">
        <f t="shared" si="20"/>
        <v>2958.4799955606709</v>
      </c>
      <c r="AE83" s="384">
        <f t="shared" si="20"/>
        <v>2958.4799955606709</v>
      </c>
      <c r="AF83" s="384">
        <f t="shared" si="20"/>
        <v>2958.4799955606709</v>
      </c>
      <c r="AG83" s="384">
        <f t="shared" si="20"/>
        <v>2958.4799955606709</v>
      </c>
      <c r="AH83" s="384">
        <f t="shared" si="20"/>
        <v>875.65037910794763</v>
      </c>
    </row>
    <row r="84" spans="1:34">
      <c r="A84" s="6"/>
      <c r="D84" s="401"/>
      <c r="E84" s="401"/>
      <c r="F84" s="401"/>
      <c r="G84" s="401"/>
      <c r="H84" s="401"/>
      <c r="I84" s="401"/>
      <c r="J84" s="401"/>
      <c r="K84" s="401"/>
      <c r="L84" s="401"/>
      <c r="M84" s="401"/>
      <c r="N84" s="401"/>
      <c r="O84" s="401"/>
      <c r="P84" s="401"/>
      <c r="Q84" s="401"/>
      <c r="R84" s="401"/>
      <c r="S84" s="401"/>
      <c r="T84" s="401"/>
      <c r="U84" s="401"/>
      <c r="V84" s="401"/>
      <c r="W84" s="401"/>
      <c r="X84" s="401"/>
      <c r="Y84" s="401"/>
      <c r="Z84" s="401"/>
      <c r="AA84" s="401"/>
      <c r="AB84" s="401"/>
      <c r="AC84" s="401"/>
      <c r="AD84" s="401"/>
      <c r="AE84" s="401"/>
      <c r="AF84" s="401"/>
      <c r="AG84" s="401"/>
      <c r="AH84" s="401"/>
    </row>
    <row r="85" spans="1:34" ht="16.5" thickBot="1">
      <c r="A85" s="68" t="s">
        <v>89</v>
      </c>
      <c r="B85" s="44"/>
      <c r="C85" s="44"/>
      <c r="D85" s="636">
        <f>D80+D82+D83</f>
        <v>1384.246633545607</v>
      </c>
      <c r="E85" s="636">
        <f t="shared" ref="E85:Y85" si="21">E80+E82+E83</f>
        <v>-1038.0431568234453</v>
      </c>
      <c r="F85" s="636">
        <f t="shared" si="21"/>
        <v>-921.14929606833289</v>
      </c>
      <c r="G85" s="636">
        <f t="shared" si="21"/>
        <v>-794.92348016560527</v>
      </c>
      <c r="H85" s="636">
        <f t="shared" si="21"/>
        <v>-658.62071372957791</v>
      </c>
      <c r="I85" s="636">
        <f t="shared" si="21"/>
        <v>-511.43652636468198</v>
      </c>
      <c r="J85" s="636">
        <f t="shared" si="21"/>
        <v>-352.50222461349546</v>
      </c>
      <c r="K85" s="636">
        <f t="shared" si="21"/>
        <v>-180.87976485487519</v>
      </c>
      <c r="L85" s="636">
        <f t="shared" si="21"/>
        <v>4.4437831084222061</v>
      </c>
      <c r="M85" s="636">
        <f t="shared" si="21"/>
        <v>204.56221444898893</v>
      </c>
      <c r="N85" s="636">
        <f t="shared" si="21"/>
        <v>420.65664498590218</v>
      </c>
      <c r="O85" s="636">
        <f t="shared" si="21"/>
        <v>654.00248222966479</v>
      </c>
      <c r="P85" s="636">
        <f t="shared" si="21"/>
        <v>905.97695294463892</v>
      </c>
      <c r="Q85" s="636">
        <f t="shared" si="21"/>
        <v>1178.0672316572857</v>
      </c>
      <c r="R85" s="636">
        <f t="shared" si="21"/>
        <v>1471.879218085347</v>
      </c>
      <c r="S85" s="636">
        <f t="shared" si="21"/>
        <v>1789.1470152930933</v>
      </c>
      <c r="T85" s="636">
        <f t="shared" si="21"/>
        <v>2131.7431645135121</v>
      </c>
      <c r="U85" s="636">
        <f t="shared" si="21"/>
        <v>2501.6896970442126</v>
      </c>
      <c r="V85" s="636">
        <f t="shared" si="21"/>
        <v>2615.2449382044683</v>
      </c>
      <c r="W85" s="636">
        <f t="shared" si="21"/>
        <v>2615.2449382044683</v>
      </c>
      <c r="X85" s="636">
        <f t="shared" si="21"/>
        <v>2642.7399382044687</v>
      </c>
      <c r="Y85" s="636">
        <f t="shared" si="21"/>
        <v>2642.7399382044687</v>
      </c>
      <c r="Z85" s="636">
        <f t="shared" ref="Z85:AH85" si="22">Z80+Z82+Z83</f>
        <v>2642.7399382044687</v>
      </c>
      <c r="AA85" s="636">
        <f t="shared" si="22"/>
        <v>2642.7399382044687</v>
      </c>
      <c r="AB85" s="636">
        <f t="shared" si="22"/>
        <v>2642.7399382044687</v>
      </c>
      <c r="AC85" s="636">
        <f t="shared" si="22"/>
        <v>-5494.3199917555321</v>
      </c>
      <c r="AD85" s="636">
        <f t="shared" si="22"/>
        <v>-5494.3199917555321</v>
      </c>
      <c r="AE85" s="636">
        <f t="shared" si="22"/>
        <v>-5494.3199917555321</v>
      </c>
      <c r="AF85" s="636">
        <f t="shared" si="22"/>
        <v>-5494.3199917555321</v>
      </c>
      <c r="AG85" s="636">
        <f t="shared" si="22"/>
        <v>-5494.3199917555321</v>
      </c>
      <c r="AH85" s="636">
        <f t="shared" si="22"/>
        <v>-1626.20784691476</v>
      </c>
    </row>
    <row r="86" spans="1:34" ht="13.5" thickTop="1"/>
    <row r="87" spans="1:34">
      <c r="C87" s="7"/>
      <c r="D87" s="637"/>
      <c r="E87" s="637"/>
      <c r="F87" s="637"/>
      <c r="G87" s="637"/>
      <c r="H87" s="637"/>
      <c r="I87" s="637"/>
      <c r="J87" s="637"/>
      <c r="K87" s="637"/>
      <c r="L87" s="637"/>
      <c r="M87" s="637"/>
      <c r="N87" s="637"/>
      <c r="O87" s="637"/>
      <c r="P87" s="637"/>
      <c r="Q87" s="637"/>
      <c r="R87" s="637"/>
      <c r="S87" s="637"/>
      <c r="T87" s="637"/>
      <c r="U87" s="637"/>
      <c r="V87" s="637"/>
      <c r="W87" s="637"/>
      <c r="X87" s="637"/>
      <c r="Y87" s="637"/>
      <c r="Z87" s="637"/>
      <c r="AA87" s="637"/>
      <c r="AB87" s="637"/>
      <c r="AC87" s="637"/>
    </row>
    <row r="88" spans="1:34">
      <c r="C88" s="7"/>
      <c r="D88" s="638"/>
      <c r="E88" s="638"/>
      <c r="F88" s="638"/>
      <c r="G88" s="638"/>
      <c r="H88" s="638"/>
    </row>
    <row r="89" spans="1:34">
      <c r="C89" s="7"/>
      <c r="D89" s="638"/>
      <c r="E89" s="638"/>
      <c r="F89" s="638"/>
      <c r="G89" s="638"/>
      <c r="H89" s="638"/>
    </row>
    <row r="90" spans="1:34">
      <c r="C90" s="7"/>
      <c r="D90" s="638"/>
      <c r="E90" s="638"/>
      <c r="F90" s="638"/>
      <c r="G90" s="638"/>
      <c r="H90" s="638"/>
    </row>
    <row r="91" spans="1:34">
      <c r="C91" s="7"/>
      <c r="D91" s="639"/>
      <c r="E91" s="639"/>
      <c r="F91" s="639"/>
      <c r="G91" s="639"/>
      <c r="H91" s="639"/>
    </row>
    <row r="92" spans="1:34">
      <c r="C92" s="640"/>
      <c r="D92" s="638"/>
      <c r="E92" s="638"/>
      <c r="F92" s="638"/>
      <c r="G92" s="638"/>
      <c r="H92" s="638"/>
    </row>
    <row r="93" spans="1:34">
      <c r="C93" s="640"/>
      <c r="D93" s="638"/>
      <c r="E93" s="638"/>
      <c r="F93" s="638"/>
      <c r="G93" s="638"/>
      <c r="H93" s="638"/>
    </row>
    <row r="94" spans="1:34">
      <c r="C94" s="640"/>
      <c r="D94" s="638"/>
      <c r="E94" s="638"/>
      <c r="F94" s="638"/>
      <c r="G94" s="638"/>
      <c r="H94" s="638"/>
    </row>
    <row r="95" spans="1:34">
      <c r="C95" s="640"/>
      <c r="D95" s="638"/>
      <c r="E95" s="638"/>
      <c r="F95" s="638"/>
      <c r="G95" s="638"/>
      <c r="H95" s="638"/>
    </row>
    <row r="96" spans="1:34">
      <c r="C96" s="640"/>
      <c r="D96" s="638"/>
      <c r="E96" s="638"/>
      <c r="F96" s="638"/>
      <c r="G96" s="638"/>
      <c r="H96" s="638"/>
    </row>
    <row r="97" spans="3:8">
      <c r="C97" s="7"/>
      <c r="D97" s="639"/>
      <c r="E97" s="639"/>
      <c r="F97" s="639"/>
      <c r="G97" s="639"/>
      <c r="H97" s="639"/>
    </row>
    <row r="98" spans="3:8">
      <c r="C98" s="7"/>
      <c r="D98" s="639"/>
      <c r="E98" s="639"/>
      <c r="F98" s="639"/>
      <c r="G98" s="639"/>
      <c r="H98" s="639"/>
    </row>
    <row r="99" spans="3:8">
      <c r="C99" s="7"/>
      <c r="D99" s="641"/>
      <c r="E99" s="641"/>
      <c r="F99" s="641"/>
      <c r="G99" s="641"/>
      <c r="H99" s="639"/>
    </row>
    <row r="100" spans="3:8">
      <c r="C100" s="7"/>
      <c r="D100" s="639"/>
      <c r="E100" s="639"/>
      <c r="F100" s="639"/>
      <c r="G100" s="639"/>
      <c r="H100" s="639"/>
    </row>
    <row r="101" spans="3:8">
      <c r="C101" s="7"/>
      <c r="D101" s="641"/>
      <c r="E101" s="639"/>
      <c r="F101" s="639"/>
      <c r="G101" s="639"/>
      <c r="H101" s="639"/>
    </row>
    <row r="102" spans="3:8">
      <c r="C102" s="7"/>
      <c r="D102" s="639"/>
      <c r="E102" s="639"/>
      <c r="F102" s="639"/>
      <c r="G102" s="639"/>
      <c r="H102" s="639"/>
    </row>
    <row r="103" spans="3:8">
      <c r="C103" s="7"/>
      <c r="D103" s="639"/>
      <c r="E103" s="639"/>
      <c r="F103" s="639"/>
      <c r="G103" s="639"/>
      <c r="H103" s="639"/>
    </row>
  </sheetData>
  <pageMargins left="0.25" right="0.25" top="0.25" bottom="0.25" header="0.5" footer="0.5"/>
  <pageSetup paperSize="5" scale="48" orientation="landscape" r:id="rId1"/>
  <headerFooter alignWithMargins="0">
    <oddFooter xml:space="preserve">&amp;L&amp;T, &amp;D&amp;C&amp;F&amp;R&amp;P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42"/>
  <sheetViews>
    <sheetView showGridLines="0" topLeftCell="A9" zoomScale="75" zoomScaleNormal="75" zoomScaleSheetLayoutView="100" workbookViewId="0">
      <selection activeCell="A22" sqref="A22"/>
    </sheetView>
  </sheetViews>
  <sheetFormatPr defaultRowHeight="12.75"/>
  <cols>
    <col min="4" max="4" width="16.28515625" customWidth="1"/>
    <col min="5" max="5" width="14.42578125" customWidth="1"/>
    <col min="6" max="21" width="16.7109375" bestFit="1" customWidth="1"/>
    <col min="22" max="25" width="17.7109375" bestFit="1" customWidth="1"/>
    <col min="26" max="26" width="24.5703125" customWidth="1"/>
    <col min="27" max="30" width="17.7109375" bestFit="1" customWidth="1"/>
    <col min="31" max="36" width="17.28515625" bestFit="1" customWidth="1"/>
  </cols>
  <sheetData>
    <row r="3" spans="4:36" ht="13.5" thickBot="1">
      <c r="D3" s="570" t="s">
        <v>380</v>
      </c>
      <c r="F3" s="587">
        <v>37256</v>
      </c>
      <c r="G3" s="587">
        <v>37621</v>
      </c>
      <c r="H3" s="587">
        <v>37986</v>
      </c>
      <c r="I3" s="587">
        <v>38352</v>
      </c>
      <c r="J3" s="587">
        <v>38717</v>
      </c>
      <c r="K3" s="587">
        <v>39082</v>
      </c>
      <c r="L3" s="587">
        <v>39447</v>
      </c>
      <c r="M3" s="587">
        <v>39813</v>
      </c>
      <c r="N3" s="587">
        <v>40178</v>
      </c>
      <c r="O3" s="587">
        <v>40543</v>
      </c>
      <c r="P3" s="587">
        <v>40908</v>
      </c>
      <c r="Q3" s="587">
        <v>41274</v>
      </c>
      <c r="R3" s="587">
        <v>41639</v>
      </c>
      <c r="S3" s="587">
        <v>42004</v>
      </c>
      <c r="T3" s="587">
        <v>42369</v>
      </c>
      <c r="U3" s="587">
        <v>42735</v>
      </c>
      <c r="V3" s="587">
        <v>43100</v>
      </c>
      <c r="W3" s="587">
        <v>43465</v>
      </c>
      <c r="X3" s="587">
        <v>43830</v>
      </c>
      <c r="Y3" s="587">
        <v>44196</v>
      </c>
      <c r="Z3" s="587">
        <v>44561</v>
      </c>
      <c r="AA3" s="587">
        <v>44926</v>
      </c>
      <c r="AB3" s="587">
        <v>45291</v>
      </c>
      <c r="AC3" s="587">
        <v>45657</v>
      </c>
      <c r="AD3" s="587">
        <v>46022</v>
      </c>
      <c r="AE3" s="587">
        <v>46387</v>
      </c>
      <c r="AF3" s="587">
        <v>46752</v>
      </c>
      <c r="AG3" s="587">
        <v>47118</v>
      </c>
      <c r="AH3" s="587">
        <v>47483</v>
      </c>
      <c r="AI3" s="587">
        <v>47848</v>
      </c>
      <c r="AJ3" s="587">
        <v>48213</v>
      </c>
    </row>
    <row r="5" spans="4:36">
      <c r="D5" s="381" t="s">
        <v>83</v>
      </c>
      <c r="F5" s="95">
        <f>+IS!D72</f>
        <v>7180.8554577419409</v>
      </c>
      <c r="G5" s="95">
        <f>+IS!E72</f>
        <v>10656.059055720523</v>
      </c>
      <c r="H5" s="95">
        <f>+IS!F72</f>
        <v>10656.059055720523</v>
      </c>
      <c r="I5" s="95">
        <f>+IS!G72</f>
        <v>10656.059055720523</v>
      </c>
      <c r="J5" s="95">
        <f>+IS!H72</f>
        <v>10656.059055720523</v>
      </c>
      <c r="K5" s="95">
        <f>+IS!I72</f>
        <v>10656.059055720523</v>
      </c>
      <c r="L5" s="95">
        <f>+IS!J72</f>
        <v>10656.059055720523</v>
      </c>
      <c r="M5" s="95">
        <f>+IS!K72</f>
        <v>10656.059055720523</v>
      </c>
      <c r="N5" s="95">
        <f>+IS!L72</f>
        <v>10656.059055720523</v>
      </c>
      <c r="O5" s="95">
        <f>+IS!M72</f>
        <v>10656.059055720523</v>
      </c>
      <c r="P5" s="95">
        <f>+IS!N72</f>
        <v>10656.059055720523</v>
      </c>
      <c r="Q5" s="95">
        <f>+IS!O72</f>
        <v>10656.059055720523</v>
      </c>
      <c r="R5" s="95">
        <f>+IS!P72</f>
        <v>10656.059055720523</v>
      </c>
      <c r="S5" s="95">
        <f>+IS!Q72</f>
        <v>10656.059055720523</v>
      </c>
      <c r="T5" s="95">
        <f>+IS!R72</f>
        <v>10656.059055720523</v>
      </c>
      <c r="U5" s="95">
        <f>+IS!S72</f>
        <v>10656.059055720523</v>
      </c>
      <c r="V5" s="95">
        <f>+IS!T72</f>
        <v>10656.059055720523</v>
      </c>
      <c r="W5" s="95">
        <f>+IS!U72</f>
        <v>10656.059055720523</v>
      </c>
      <c r="X5" s="95">
        <f>+IS!V72</f>
        <v>10656.059055720523</v>
      </c>
      <c r="Y5" s="95">
        <f>+IS!W72</f>
        <v>10656.059055720523</v>
      </c>
      <c r="Z5" s="95">
        <f>+IS!X72</f>
        <v>10656.059055720523</v>
      </c>
      <c r="AA5" s="95">
        <f>+IS!Y72</f>
        <v>10656.059055720523</v>
      </c>
      <c r="AB5" s="95">
        <f>+IS!Z72</f>
        <v>10656.059055720523</v>
      </c>
      <c r="AC5" s="95">
        <f>+IS!AA72</f>
        <v>10656.059055720523</v>
      </c>
      <c r="AD5" s="95">
        <f>+IS!AB72</f>
        <v>10656.059055720523</v>
      </c>
      <c r="AE5" s="95">
        <f>+IS!AC72</f>
        <v>-2661.551304279476</v>
      </c>
      <c r="AF5" s="95">
        <f>+IS!AD72</f>
        <v>-2661.551304279476</v>
      </c>
      <c r="AG5" s="95">
        <f>+IS!AE72</f>
        <v>-2661.551304279476</v>
      </c>
      <c r="AH5" s="95">
        <f>+IS!AF72</f>
        <v>-2661.551304279476</v>
      </c>
      <c r="AI5" s="95">
        <f>+IS!AG72</f>
        <v>-2661.551304279476</v>
      </c>
      <c r="AJ5" s="95">
        <f>+IS!AH72</f>
        <v>-2661.551304279476</v>
      </c>
    </row>
    <row r="6" spans="4:36">
      <c r="D6" s="381" t="s">
        <v>391</v>
      </c>
      <c r="F6" s="96">
        <f>+Debt!C48</f>
        <v>2063.8377228889249</v>
      </c>
      <c r="G6" s="96">
        <f>+Debt!D48</f>
        <v>5979.1949182126245</v>
      </c>
      <c r="H6" s="96">
        <f>+Debt!E48</f>
        <v>5787.8792704955831</v>
      </c>
      <c r="I6" s="96">
        <f>+Debt!F48</f>
        <v>5581.290373764441</v>
      </c>
      <c r="J6" s="96">
        <f>+Debt!G48</f>
        <v>5358.2089229689791</v>
      </c>
      <c r="K6" s="96">
        <f>+Debt!H48</f>
        <v>5117.3182726172672</v>
      </c>
      <c r="L6" s="96">
        <f>+Debt!I48</f>
        <v>4857.1966658231813</v>
      </c>
      <c r="M6" s="96">
        <f>+Debt!J48</f>
        <v>4576.308842977649</v>
      </c>
      <c r="N6" s="96">
        <f>+Debt!K48</f>
        <v>4272.9969805172605</v>
      </c>
      <c r="O6" s="96">
        <f>+Debt!L48</f>
        <v>3945.4709063101136</v>
      </c>
      <c r="P6" s="96">
        <f>+Debt!M48</f>
        <v>3591.7975339092736</v>
      </c>
      <c r="Q6" s="96">
        <f>+Debt!N48</f>
        <v>3209.8894533139173</v>
      </c>
      <c r="R6" s="96">
        <f>+Debt!O48</f>
        <v>2797.4926108998843</v>
      </c>
      <c r="S6" s="96">
        <f>+Debt!P48</f>
        <v>2352.1730058055364</v>
      </c>
      <c r="T6" s="96">
        <f>+Debt!Q48</f>
        <v>1871.3023242538814</v>
      </c>
      <c r="U6" s="96">
        <f>+Debt!R48</f>
        <v>1352.0424270235274</v>
      </c>
      <c r="V6" s="96">
        <f>+Debt!S48</f>
        <v>791.32859851220383</v>
      </c>
      <c r="W6" s="96">
        <f>+Debt!T48</f>
        <v>185.85145852742318</v>
      </c>
      <c r="X6" s="96">
        <f>+Debt!U48</f>
        <v>0</v>
      </c>
      <c r="Y6" s="96">
        <f>+Debt!V48</f>
        <v>0</v>
      </c>
      <c r="Z6" s="96">
        <f>+Debt!W48</f>
        <v>0</v>
      </c>
      <c r="AA6" s="96">
        <f>+Debt!X48</f>
        <v>0</v>
      </c>
      <c r="AB6" s="96">
        <f>+Debt!Y48</f>
        <v>0</v>
      </c>
      <c r="AC6" s="96">
        <f>+Debt!Z48</f>
        <v>0</v>
      </c>
      <c r="AD6" s="96">
        <f>+Debt!AA48</f>
        <v>0</v>
      </c>
      <c r="AE6" s="96">
        <f>+Debt!AB48</f>
        <v>0</v>
      </c>
      <c r="AF6" s="96">
        <f>+Debt!AC48</f>
        <v>0</v>
      </c>
      <c r="AG6" s="96">
        <f>+Debt!AD48</f>
        <v>0</v>
      </c>
      <c r="AH6" s="96">
        <f>+Debt!AE48</f>
        <v>0</v>
      </c>
      <c r="AI6" s="96">
        <f>+Debt!AF48</f>
        <v>0</v>
      </c>
      <c r="AJ6" s="96">
        <f>+Debt!AG48</f>
        <v>0</v>
      </c>
    </row>
    <row r="7" spans="4:36">
      <c r="D7" s="381" t="s">
        <v>90</v>
      </c>
      <c r="F7" s="95">
        <f>+F5-F6</f>
        <v>5117.017734853016</v>
      </c>
      <c r="G7" s="95">
        <f t="shared" ref="G7:AJ7" si="0">+G5-G6</f>
        <v>4676.8641375078987</v>
      </c>
      <c r="H7" s="95">
        <f t="shared" si="0"/>
        <v>4868.1797852249401</v>
      </c>
      <c r="I7" s="95">
        <f t="shared" si="0"/>
        <v>5074.7686819560822</v>
      </c>
      <c r="J7" s="95">
        <f t="shared" si="0"/>
        <v>5297.8501327515442</v>
      </c>
      <c r="K7" s="95">
        <f t="shared" si="0"/>
        <v>5538.740783103256</v>
      </c>
      <c r="L7" s="95">
        <f t="shared" si="0"/>
        <v>5798.8623898973419</v>
      </c>
      <c r="M7" s="95">
        <f t="shared" si="0"/>
        <v>6079.7502127428743</v>
      </c>
      <c r="N7" s="95">
        <f t="shared" si="0"/>
        <v>6383.0620752032628</v>
      </c>
      <c r="O7" s="95">
        <f t="shared" si="0"/>
        <v>6710.5881494104096</v>
      </c>
      <c r="P7" s="95">
        <f t="shared" si="0"/>
        <v>7064.2615218112496</v>
      </c>
      <c r="Q7" s="95">
        <f t="shared" si="0"/>
        <v>7446.1696024066059</v>
      </c>
      <c r="R7" s="95">
        <f t="shared" si="0"/>
        <v>7858.5664448206389</v>
      </c>
      <c r="S7" s="95">
        <f t="shared" si="0"/>
        <v>8303.8860499149869</v>
      </c>
      <c r="T7" s="95">
        <f t="shared" si="0"/>
        <v>8784.7567314666412</v>
      </c>
      <c r="U7" s="95">
        <f t="shared" si="0"/>
        <v>9304.0166286969961</v>
      </c>
      <c r="V7" s="95">
        <f t="shared" si="0"/>
        <v>9864.7304572083194</v>
      </c>
      <c r="W7" s="95">
        <f t="shared" si="0"/>
        <v>10470.207597193101</v>
      </c>
      <c r="X7" s="95">
        <f t="shared" si="0"/>
        <v>10656.059055720523</v>
      </c>
      <c r="Y7" s="95">
        <f t="shared" si="0"/>
        <v>10656.059055720523</v>
      </c>
      <c r="Z7" s="95">
        <f t="shared" si="0"/>
        <v>10656.059055720523</v>
      </c>
      <c r="AA7" s="95">
        <f t="shared" si="0"/>
        <v>10656.059055720523</v>
      </c>
      <c r="AB7" s="95">
        <f t="shared" si="0"/>
        <v>10656.059055720523</v>
      </c>
      <c r="AC7" s="95">
        <f t="shared" si="0"/>
        <v>10656.059055720523</v>
      </c>
      <c r="AD7" s="95">
        <f t="shared" si="0"/>
        <v>10656.059055720523</v>
      </c>
      <c r="AE7" s="95">
        <f t="shared" si="0"/>
        <v>-2661.551304279476</v>
      </c>
      <c r="AF7" s="95">
        <f t="shared" si="0"/>
        <v>-2661.551304279476</v>
      </c>
      <c r="AG7" s="95">
        <f t="shared" si="0"/>
        <v>-2661.551304279476</v>
      </c>
      <c r="AH7" s="95">
        <f t="shared" si="0"/>
        <v>-2661.551304279476</v>
      </c>
      <c r="AI7" s="95">
        <f t="shared" si="0"/>
        <v>-2661.551304279476</v>
      </c>
      <c r="AJ7" s="95">
        <f t="shared" si="0"/>
        <v>-2661.551304279476</v>
      </c>
    </row>
    <row r="8" spans="4:36">
      <c r="D8" s="381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</row>
    <row r="9" spans="4:36">
      <c r="D9" s="381" t="s">
        <v>395</v>
      </c>
      <c r="F9" s="95">
        <f>+-Tax!B46+-Tax!B30</f>
        <v>0</v>
      </c>
      <c r="G9" s="95">
        <f>+-Tax!C46+-Tax!C30</f>
        <v>0</v>
      </c>
      <c r="H9" s="95">
        <f>+-Tax!D46+-Tax!D30</f>
        <v>0</v>
      </c>
      <c r="I9" s="95">
        <f>+-Tax!E46+-Tax!E30</f>
        <v>0</v>
      </c>
      <c r="J9" s="95">
        <f>+-Tax!F46+-Tax!F30</f>
        <v>0</v>
      </c>
      <c r="K9" s="95">
        <f>+-Tax!G46+-Tax!G30</f>
        <v>0</v>
      </c>
      <c r="L9" s="95">
        <f>+-Tax!H46+-Tax!H30</f>
        <v>0</v>
      </c>
      <c r="M9" s="95">
        <f>+-Tax!I46+-Tax!I30</f>
        <v>0</v>
      </c>
      <c r="N9" s="95">
        <f>+-Tax!J46+-Tax!J30</f>
        <v>0</v>
      </c>
      <c r="O9" s="95">
        <f>+-Tax!K46+-Tax!K30</f>
        <v>0</v>
      </c>
      <c r="P9" s="95">
        <f>+-Tax!L46+-Tax!L30</f>
        <v>0</v>
      </c>
      <c r="Q9" s="95">
        <f>+-Tax!M46+-Tax!M30</f>
        <v>0</v>
      </c>
      <c r="R9" s="95">
        <f>+-Tax!N46+-Tax!N30</f>
        <v>0</v>
      </c>
      <c r="S9" s="95">
        <f>+-Tax!O46+-Tax!O30</f>
        <v>0</v>
      </c>
      <c r="T9" s="95">
        <f>+-Tax!P46+-Tax!P30</f>
        <v>0</v>
      </c>
      <c r="U9" s="95">
        <f>+-Tax!Q46+-Tax!Q30</f>
        <v>0</v>
      </c>
      <c r="V9" s="95">
        <f>+-Tax!R46+-Tax!R30</f>
        <v>0</v>
      </c>
      <c r="W9" s="95">
        <f>+-Tax!S46+-Tax!S30</f>
        <v>0</v>
      </c>
      <c r="X9" s="95">
        <f>+-Tax!T46+-Tax!T30</f>
        <v>-3158.6971418979492</v>
      </c>
      <c r="Y9" s="95">
        <f>+-Tax!U46+-Tax!U30</f>
        <v>-4127.7019726752833</v>
      </c>
      <c r="Z9" s="95">
        <f>+-Tax!V46+-Tax!V30</f>
        <v>-4145.2069726752834</v>
      </c>
      <c r="AA9" s="95">
        <f>+-Tax!W46+-Tax!W30</f>
        <v>-4145.2069726752834</v>
      </c>
      <c r="AB9" s="95">
        <f>+-Tax!X46+-Tax!X30</f>
        <v>-4145.2069726752834</v>
      </c>
      <c r="AC9" s="95">
        <f>+-Tax!Y46+-Tax!Y30</f>
        <v>-4145.2069726752834</v>
      </c>
      <c r="AD9" s="95">
        <f>+-Tax!Z46+-Tax!Z30</f>
        <v>-4145.2069726752834</v>
      </c>
      <c r="AE9" s="95">
        <f>+-Tax!AA46+-Tax!AA30</f>
        <v>0</v>
      </c>
      <c r="AF9" s="95">
        <f>+-Tax!AB46+-Tax!AB30</f>
        <v>0</v>
      </c>
      <c r="AG9" s="95">
        <f>+-Tax!AC46+-Tax!AC30</f>
        <v>0</v>
      </c>
      <c r="AH9" s="95">
        <f>+-Tax!AD46+-Tax!AD30</f>
        <v>0</v>
      </c>
      <c r="AI9" s="95">
        <f>+-Tax!AE46+-Tax!AE30</f>
        <v>0</v>
      </c>
      <c r="AJ9" s="95">
        <f>+-Tax!AF46+-Tax!AF30</f>
        <v>0</v>
      </c>
    </row>
    <row r="10" spans="4:36">
      <c r="D10" s="381" t="s">
        <v>382</v>
      </c>
      <c r="E10" s="571"/>
      <c r="F10" s="340">
        <f>+Debt!C50</f>
        <v>2123.9879922877017</v>
      </c>
      <c r="G10" s="340">
        <f>+Debt!D50</f>
        <v>2396.4565121406281</v>
      </c>
      <c r="H10" s="340">
        <f>+Debt!E50</f>
        <v>2587.7721598576695</v>
      </c>
      <c r="I10" s="340">
        <f>+Debt!F50</f>
        <v>2794.3610565888121</v>
      </c>
      <c r="J10" s="340">
        <f>+Debt!G50</f>
        <v>3017.442507384274</v>
      </c>
      <c r="K10" s="340">
        <f>+Debt!H50</f>
        <v>3258.3331577359863</v>
      </c>
      <c r="L10" s="340">
        <f>+Debt!I50</f>
        <v>3518.4547645300722</v>
      </c>
      <c r="M10" s="340">
        <f>+Debt!J50</f>
        <v>3799.3425873756037</v>
      </c>
      <c r="N10" s="340">
        <f>+Debt!K50</f>
        <v>4102.6544498359926</v>
      </c>
      <c r="O10" s="340">
        <f>+Debt!L50</f>
        <v>4430.1805240431386</v>
      </c>
      <c r="P10" s="340">
        <f>+Debt!M50</f>
        <v>4783.8538964439795</v>
      </c>
      <c r="Q10" s="340">
        <f>+Debt!N50</f>
        <v>5165.7619770393358</v>
      </c>
      <c r="R10" s="340">
        <f>+Debt!O50</f>
        <v>5578.1588194533688</v>
      </c>
      <c r="S10" s="340">
        <f>+Debt!P50</f>
        <v>6023.4784245477167</v>
      </c>
      <c r="T10" s="340">
        <f>+Debt!Q50</f>
        <v>6504.3491060993711</v>
      </c>
      <c r="U10" s="340">
        <f>+Debt!R50</f>
        <v>7023.609003329726</v>
      </c>
      <c r="V10" s="340">
        <f>+Debt!S50</f>
        <v>7584.3228318410493</v>
      </c>
      <c r="W10" s="340">
        <f>+Debt!T50</f>
        <v>4381.7224857462079</v>
      </c>
      <c r="X10" s="340">
        <f>+Debt!U50</f>
        <v>0</v>
      </c>
      <c r="Y10" s="340">
        <f>+Debt!V50</f>
        <v>0</v>
      </c>
      <c r="Z10" s="340">
        <f>+Debt!W50</f>
        <v>0</v>
      </c>
      <c r="AA10" s="340">
        <f>+Debt!X50</f>
        <v>0</v>
      </c>
      <c r="AB10" s="340">
        <f>+Debt!Y50</f>
        <v>0</v>
      </c>
      <c r="AC10" s="340">
        <f>+Debt!Z50</f>
        <v>0</v>
      </c>
      <c r="AD10" s="340">
        <f>+Debt!AA50</f>
        <v>0</v>
      </c>
      <c r="AE10" s="340">
        <f>+Debt!AB50</f>
        <v>0</v>
      </c>
      <c r="AF10" s="340">
        <f>+Debt!AC50</f>
        <v>0</v>
      </c>
      <c r="AG10" s="340">
        <f>+Debt!AD50</f>
        <v>0</v>
      </c>
      <c r="AH10" s="340">
        <f>+Debt!AE50</f>
        <v>0</v>
      </c>
      <c r="AI10" s="340">
        <f>+Debt!AF50</f>
        <v>0</v>
      </c>
      <c r="AJ10" s="340">
        <f>+Debt!AG50</f>
        <v>0</v>
      </c>
    </row>
    <row r="11" spans="4:36">
      <c r="D11" s="381" t="s">
        <v>383</v>
      </c>
      <c r="F11" s="596">
        <v>0</v>
      </c>
      <c r="G11" s="586">
        <f>+F11</f>
        <v>0</v>
      </c>
      <c r="H11" s="586">
        <f t="shared" ref="H11:AJ11" si="1">+G11</f>
        <v>0</v>
      </c>
      <c r="I11" s="586">
        <f t="shared" si="1"/>
        <v>0</v>
      </c>
      <c r="J11" s="586">
        <f t="shared" si="1"/>
        <v>0</v>
      </c>
      <c r="K11" s="586">
        <f t="shared" si="1"/>
        <v>0</v>
      </c>
      <c r="L11" s="586">
        <f t="shared" si="1"/>
        <v>0</v>
      </c>
      <c r="M11" s="586">
        <f t="shared" si="1"/>
        <v>0</v>
      </c>
      <c r="N11" s="586">
        <f t="shared" si="1"/>
        <v>0</v>
      </c>
      <c r="O11" s="586">
        <f t="shared" si="1"/>
        <v>0</v>
      </c>
      <c r="P11" s="586">
        <f t="shared" si="1"/>
        <v>0</v>
      </c>
      <c r="Q11" s="586">
        <f t="shared" si="1"/>
        <v>0</v>
      </c>
      <c r="R11" s="586">
        <f t="shared" si="1"/>
        <v>0</v>
      </c>
      <c r="S11" s="586">
        <f t="shared" si="1"/>
        <v>0</v>
      </c>
      <c r="T11" s="586">
        <f t="shared" si="1"/>
        <v>0</v>
      </c>
      <c r="U11" s="586">
        <f t="shared" si="1"/>
        <v>0</v>
      </c>
      <c r="V11" s="586">
        <f t="shared" si="1"/>
        <v>0</v>
      </c>
      <c r="W11" s="586">
        <f t="shared" si="1"/>
        <v>0</v>
      </c>
      <c r="X11" s="586">
        <f t="shared" si="1"/>
        <v>0</v>
      </c>
      <c r="Y11" s="586">
        <f t="shared" si="1"/>
        <v>0</v>
      </c>
      <c r="Z11" s="586">
        <f t="shared" si="1"/>
        <v>0</v>
      </c>
      <c r="AA11" s="586">
        <f t="shared" si="1"/>
        <v>0</v>
      </c>
      <c r="AB11" s="586">
        <f t="shared" si="1"/>
        <v>0</v>
      </c>
      <c r="AC11" s="586">
        <f t="shared" si="1"/>
        <v>0</v>
      </c>
      <c r="AD11" s="586">
        <f t="shared" si="1"/>
        <v>0</v>
      </c>
      <c r="AE11" s="586">
        <f t="shared" si="1"/>
        <v>0</v>
      </c>
      <c r="AF11" s="586">
        <f t="shared" si="1"/>
        <v>0</v>
      </c>
      <c r="AG11" s="586">
        <f t="shared" si="1"/>
        <v>0</v>
      </c>
      <c r="AH11" s="586">
        <f t="shared" si="1"/>
        <v>0</v>
      </c>
      <c r="AI11" s="586">
        <f t="shared" si="1"/>
        <v>0</v>
      </c>
      <c r="AJ11" s="586">
        <f t="shared" si="1"/>
        <v>0</v>
      </c>
    </row>
    <row r="12" spans="4:36">
      <c r="D12" s="381" t="s">
        <v>381</v>
      </c>
      <c r="F12" s="95">
        <f>+F7+F9-F10-F11</f>
        <v>2993.0297425653143</v>
      </c>
      <c r="G12" s="95">
        <f t="shared" ref="G12:AJ12" si="2">+G7+G9-G10-G11</f>
        <v>2280.4076253672706</v>
      </c>
      <c r="H12" s="95">
        <f t="shared" si="2"/>
        <v>2280.4076253672706</v>
      </c>
      <c r="I12" s="95">
        <f t="shared" si="2"/>
        <v>2280.4076253672702</v>
      </c>
      <c r="J12" s="95">
        <f t="shared" si="2"/>
        <v>2280.4076253672702</v>
      </c>
      <c r="K12" s="95">
        <f t="shared" si="2"/>
        <v>2280.4076253672697</v>
      </c>
      <c r="L12" s="95">
        <f t="shared" si="2"/>
        <v>2280.4076253672697</v>
      </c>
      <c r="M12" s="95">
        <f t="shared" si="2"/>
        <v>2280.4076253672706</v>
      </c>
      <c r="N12" s="95">
        <f t="shared" si="2"/>
        <v>2280.4076253672702</v>
      </c>
      <c r="O12" s="95">
        <f t="shared" si="2"/>
        <v>2280.4076253672711</v>
      </c>
      <c r="P12" s="95">
        <f t="shared" si="2"/>
        <v>2280.4076253672702</v>
      </c>
      <c r="Q12" s="95">
        <f t="shared" si="2"/>
        <v>2280.4076253672702</v>
      </c>
      <c r="R12" s="95">
        <f t="shared" si="2"/>
        <v>2280.4076253672702</v>
      </c>
      <c r="S12" s="95">
        <f t="shared" si="2"/>
        <v>2280.4076253672702</v>
      </c>
      <c r="T12" s="95">
        <f t="shared" si="2"/>
        <v>2280.4076253672702</v>
      </c>
      <c r="U12" s="95">
        <f t="shared" si="2"/>
        <v>2280.4076253672702</v>
      </c>
      <c r="V12" s="95">
        <f t="shared" si="2"/>
        <v>2280.4076253672702</v>
      </c>
      <c r="W12" s="95">
        <f t="shared" si="2"/>
        <v>6088.4851114468929</v>
      </c>
      <c r="X12" s="95">
        <f t="shared" si="2"/>
        <v>7497.361913822574</v>
      </c>
      <c r="Y12" s="95">
        <f t="shared" si="2"/>
        <v>6528.35708304524</v>
      </c>
      <c r="Z12" s="95">
        <f t="shared" si="2"/>
        <v>6510.8520830452399</v>
      </c>
      <c r="AA12" s="95">
        <f t="shared" si="2"/>
        <v>6510.8520830452399</v>
      </c>
      <c r="AB12" s="95">
        <f t="shared" si="2"/>
        <v>6510.8520830452399</v>
      </c>
      <c r="AC12" s="95">
        <f t="shared" si="2"/>
        <v>6510.8520830452399</v>
      </c>
      <c r="AD12" s="95">
        <f t="shared" si="2"/>
        <v>6510.8520830452399</v>
      </c>
      <c r="AE12" s="95">
        <f t="shared" si="2"/>
        <v>-2661.551304279476</v>
      </c>
      <c r="AF12" s="95">
        <f t="shared" si="2"/>
        <v>-2661.551304279476</v>
      </c>
      <c r="AG12" s="95">
        <f t="shared" si="2"/>
        <v>-2661.551304279476</v>
      </c>
      <c r="AH12" s="95">
        <f t="shared" si="2"/>
        <v>-2661.551304279476</v>
      </c>
      <c r="AI12" s="95">
        <f t="shared" si="2"/>
        <v>-2661.551304279476</v>
      </c>
      <c r="AJ12" s="95">
        <f t="shared" si="2"/>
        <v>-2661.551304279476</v>
      </c>
    </row>
    <row r="13" spans="4:36">
      <c r="D13" s="381"/>
    </row>
    <row r="14" spans="4:36">
      <c r="D14" s="381"/>
    </row>
    <row r="15" spans="4:36" ht="13.5" thickBot="1">
      <c r="D15" s="584"/>
      <c r="E15" s="587">
        <v>37104</v>
      </c>
      <c r="F15" s="587">
        <f>+F3</f>
        <v>37256</v>
      </c>
      <c r="G15" s="587">
        <f t="shared" ref="G15:W15" si="3">+G3</f>
        <v>37621</v>
      </c>
      <c r="H15" s="587">
        <f t="shared" si="3"/>
        <v>37986</v>
      </c>
      <c r="I15" s="587">
        <f t="shared" si="3"/>
        <v>38352</v>
      </c>
      <c r="J15" s="587">
        <f t="shared" si="3"/>
        <v>38717</v>
      </c>
      <c r="K15" s="587">
        <f t="shared" si="3"/>
        <v>39082</v>
      </c>
      <c r="L15" s="587">
        <f t="shared" si="3"/>
        <v>39447</v>
      </c>
      <c r="M15" s="587">
        <f t="shared" si="3"/>
        <v>39813</v>
      </c>
      <c r="N15" s="587">
        <f t="shared" si="3"/>
        <v>40178</v>
      </c>
      <c r="O15" s="587">
        <f t="shared" si="3"/>
        <v>40543</v>
      </c>
      <c r="P15" s="587">
        <f t="shared" si="3"/>
        <v>40908</v>
      </c>
      <c r="Q15" s="587">
        <f t="shared" si="3"/>
        <v>41274</v>
      </c>
      <c r="R15" s="587">
        <f t="shared" si="3"/>
        <v>41639</v>
      </c>
      <c r="S15" s="587">
        <f t="shared" si="3"/>
        <v>42004</v>
      </c>
      <c r="T15" s="587">
        <f t="shared" si="3"/>
        <v>42369</v>
      </c>
      <c r="U15" s="587">
        <f t="shared" si="3"/>
        <v>42735</v>
      </c>
      <c r="V15" s="587">
        <f t="shared" si="3"/>
        <v>43100</v>
      </c>
      <c r="W15" s="587">
        <f t="shared" si="3"/>
        <v>43465</v>
      </c>
      <c r="X15" s="592">
        <v>43466</v>
      </c>
      <c r="Z15" s="594" t="s">
        <v>390</v>
      </c>
      <c r="AA15" s="593"/>
      <c r="AB15" s="572"/>
      <c r="AC15" s="572"/>
      <c r="AD15" s="572"/>
      <c r="AE15" s="572"/>
      <c r="AF15" s="572"/>
      <c r="AG15" s="572"/>
      <c r="AH15" s="572"/>
      <c r="AI15" s="572"/>
      <c r="AJ15" s="572"/>
    </row>
    <row r="16" spans="4:36">
      <c r="D16" s="381"/>
      <c r="Z16" s="589"/>
      <c r="AA16" s="590"/>
    </row>
    <row r="17" spans="1:27">
      <c r="D17" s="381" t="s">
        <v>388</v>
      </c>
      <c r="E17" s="585">
        <v>0.15</v>
      </c>
      <c r="Z17" s="589" t="s">
        <v>389</v>
      </c>
      <c r="AA17" s="591">
        <f>+Assumptions!D43</f>
        <v>129629.90533816499</v>
      </c>
    </row>
    <row r="18" spans="1:27">
      <c r="D18" s="381" t="s">
        <v>113</v>
      </c>
      <c r="E18" s="95">
        <f>+-Assumptions!D11</f>
        <v>-50555.66308188434</v>
      </c>
      <c r="F18" s="95">
        <f>+E22</f>
        <v>-50555.66308188434</v>
      </c>
      <c r="G18" s="95">
        <f>+F22</f>
        <v>-50555.66308188434</v>
      </c>
      <c r="H18" s="95">
        <f t="shared" ref="H18:W18" si="4">+G22</f>
        <v>-50555.66308188434</v>
      </c>
      <c r="I18" s="95">
        <f t="shared" si="4"/>
        <v>-50555.66308188434</v>
      </c>
      <c r="J18" s="95">
        <f t="shared" si="4"/>
        <v>-50555.66308188434</v>
      </c>
      <c r="K18" s="95">
        <f t="shared" si="4"/>
        <v>-50555.66308188434</v>
      </c>
      <c r="L18" s="95">
        <f t="shared" si="4"/>
        <v>-50555.66308188434</v>
      </c>
      <c r="M18" s="95">
        <f t="shared" si="4"/>
        <v>-50555.66308188434</v>
      </c>
      <c r="N18" s="95">
        <f t="shared" si="4"/>
        <v>-50555.66308188434</v>
      </c>
      <c r="O18" s="95">
        <f t="shared" si="4"/>
        <v>-50555.66308188434</v>
      </c>
      <c r="P18" s="95">
        <f t="shared" si="4"/>
        <v>-50555.66308188434</v>
      </c>
      <c r="Q18" s="95">
        <f t="shared" si="4"/>
        <v>-50555.66308188434</v>
      </c>
      <c r="R18" s="95">
        <f t="shared" si="4"/>
        <v>-50555.66308188434</v>
      </c>
      <c r="S18" s="95">
        <f t="shared" si="4"/>
        <v>-50555.66308188434</v>
      </c>
      <c r="T18" s="95">
        <f t="shared" si="4"/>
        <v>-50555.66308188434</v>
      </c>
      <c r="U18" s="95">
        <f t="shared" si="4"/>
        <v>-50555.66308188434</v>
      </c>
      <c r="V18" s="95">
        <f t="shared" si="4"/>
        <v>-50555.66308188434</v>
      </c>
      <c r="W18" s="95">
        <f t="shared" si="4"/>
        <v>-50555.66308188434</v>
      </c>
      <c r="Z18" s="589" t="s">
        <v>397</v>
      </c>
      <c r="AA18" s="591">
        <f>+Assumptions!D11</f>
        <v>50555.66308188434</v>
      </c>
    </row>
    <row r="19" spans="1:27">
      <c r="D19" s="381" t="s">
        <v>396</v>
      </c>
      <c r="F19" s="340">
        <f>+-E18*$E$17</f>
        <v>7583.3494622826511</v>
      </c>
      <c r="G19" s="340">
        <f t="shared" ref="G19:W19" si="5">+-G18*$E$17</f>
        <v>7583.3494622826511</v>
      </c>
      <c r="H19" s="340">
        <f t="shared" si="5"/>
        <v>7583.3494622826511</v>
      </c>
      <c r="I19" s="340">
        <f t="shared" si="5"/>
        <v>7583.3494622826511</v>
      </c>
      <c r="J19" s="340">
        <f t="shared" si="5"/>
        <v>7583.3494622826511</v>
      </c>
      <c r="K19" s="340">
        <f t="shared" si="5"/>
        <v>7583.3494622826511</v>
      </c>
      <c r="L19" s="340">
        <f t="shared" si="5"/>
        <v>7583.3494622826511</v>
      </c>
      <c r="M19" s="340">
        <f t="shared" si="5"/>
        <v>7583.3494622826511</v>
      </c>
      <c r="N19" s="340">
        <f t="shared" si="5"/>
        <v>7583.3494622826511</v>
      </c>
      <c r="O19" s="340">
        <f t="shared" si="5"/>
        <v>7583.3494622826511</v>
      </c>
      <c r="P19" s="340">
        <f t="shared" si="5"/>
        <v>7583.3494622826511</v>
      </c>
      <c r="Q19" s="340">
        <f t="shared" si="5"/>
        <v>7583.3494622826511</v>
      </c>
      <c r="R19" s="340">
        <f t="shared" si="5"/>
        <v>7583.3494622826511</v>
      </c>
      <c r="S19" s="340">
        <f t="shared" si="5"/>
        <v>7583.3494622826511</v>
      </c>
      <c r="T19" s="340">
        <f t="shared" si="5"/>
        <v>7583.3494622826511</v>
      </c>
      <c r="U19" s="340">
        <f t="shared" si="5"/>
        <v>7583.3494622826511</v>
      </c>
      <c r="V19" s="340">
        <f t="shared" si="5"/>
        <v>7583.3494622826511</v>
      </c>
      <c r="W19" s="340">
        <f t="shared" si="5"/>
        <v>7583.3494622826511</v>
      </c>
      <c r="Z19" s="589" t="s">
        <v>398</v>
      </c>
      <c r="AA19" s="591">
        <f>+-W22</f>
        <v>50555.66308188434</v>
      </c>
    </row>
    <row r="20" spans="1:27">
      <c r="D20" s="381" t="s">
        <v>384</v>
      </c>
      <c r="F20" s="95">
        <f>+F12</f>
        <v>2993.0297425653143</v>
      </c>
      <c r="G20" s="95">
        <f t="shared" ref="G20:W20" si="6">+G12</f>
        <v>2280.4076253672706</v>
      </c>
      <c r="H20" s="95">
        <f t="shared" si="6"/>
        <v>2280.4076253672706</v>
      </c>
      <c r="I20" s="95">
        <f t="shared" si="6"/>
        <v>2280.4076253672702</v>
      </c>
      <c r="J20" s="95">
        <f t="shared" si="6"/>
        <v>2280.4076253672702</v>
      </c>
      <c r="K20" s="95">
        <f t="shared" si="6"/>
        <v>2280.4076253672697</v>
      </c>
      <c r="L20" s="95">
        <f t="shared" si="6"/>
        <v>2280.4076253672697</v>
      </c>
      <c r="M20" s="95">
        <f t="shared" si="6"/>
        <v>2280.4076253672706</v>
      </c>
      <c r="N20" s="95">
        <f t="shared" si="6"/>
        <v>2280.4076253672702</v>
      </c>
      <c r="O20" s="95">
        <f t="shared" si="6"/>
        <v>2280.4076253672711</v>
      </c>
      <c r="P20" s="95">
        <f t="shared" si="6"/>
        <v>2280.4076253672702</v>
      </c>
      <c r="Q20" s="95">
        <f t="shared" si="6"/>
        <v>2280.4076253672702</v>
      </c>
      <c r="R20" s="95">
        <f t="shared" si="6"/>
        <v>2280.4076253672702</v>
      </c>
      <c r="S20" s="95">
        <f t="shared" si="6"/>
        <v>2280.4076253672702</v>
      </c>
      <c r="T20" s="95">
        <f t="shared" si="6"/>
        <v>2280.4076253672702</v>
      </c>
      <c r="U20" s="95">
        <f t="shared" si="6"/>
        <v>2280.4076253672702</v>
      </c>
      <c r="V20" s="95">
        <f t="shared" si="6"/>
        <v>2280.4076253672702</v>
      </c>
      <c r="W20" s="95">
        <f t="shared" si="6"/>
        <v>6088.4851114468929</v>
      </c>
      <c r="Z20" s="589" t="s">
        <v>399</v>
      </c>
      <c r="AA20" s="590"/>
    </row>
    <row r="21" spans="1:27">
      <c r="D21" s="381" t="s">
        <v>385</v>
      </c>
      <c r="F21" s="583">
        <f>+IF(F20&gt;F19,F20-F19,0)</f>
        <v>0</v>
      </c>
      <c r="G21" s="583">
        <f t="shared" ref="G21:W21" si="7">+IF(G20&gt;G19,G20-G19,0)</f>
        <v>0</v>
      </c>
      <c r="H21" s="583">
        <f t="shared" si="7"/>
        <v>0</v>
      </c>
      <c r="I21" s="583">
        <f t="shared" si="7"/>
        <v>0</v>
      </c>
      <c r="J21" s="583">
        <f t="shared" si="7"/>
        <v>0</v>
      </c>
      <c r="K21" s="583">
        <f t="shared" si="7"/>
        <v>0</v>
      </c>
      <c r="L21" s="583">
        <f t="shared" si="7"/>
        <v>0</v>
      </c>
      <c r="M21" s="583">
        <f t="shared" si="7"/>
        <v>0</v>
      </c>
      <c r="N21" s="583">
        <f t="shared" si="7"/>
        <v>0</v>
      </c>
      <c r="O21" s="583">
        <f t="shared" si="7"/>
        <v>0</v>
      </c>
      <c r="P21" s="583">
        <f t="shared" si="7"/>
        <v>0</v>
      </c>
      <c r="Q21" s="583">
        <f t="shared" si="7"/>
        <v>0</v>
      </c>
      <c r="R21" s="583">
        <f t="shared" si="7"/>
        <v>0</v>
      </c>
      <c r="S21" s="583">
        <f t="shared" si="7"/>
        <v>0</v>
      </c>
      <c r="T21" s="583">
        <f t="shared" si="7"/>
        <v>0</v>
      </c>
      <c r="U21" s="583">
        <f t="shared" si="7"/>
        <v>0</v>
      </c>
      <c r="V21" s="583">
        <f t="shared" si="7"/>
        <v>0</v>
      </c>
      <c r="W21" s="583">
        <f t="shared" si="7"/>
        <v>0</v>
      </c>
      <c r="Z21" s="610" t="s">
        <v>400</v>
      </c>
      <c r="AA21" s="611">
        <f>+AA19/AA17</f>
        <v>0.38999999999999996</v>
      </c>
    </row>
    <row r="22" spans="1:27">
      <c r="D22" s="381" t="s">
        <v>116</v>
      </c>
      <c r="E22" s="95">
        <f>+E18+E21</f>
        <v>-50555.66308188434</v>
      </c>
      <c r="F22" s="95">
        <f>+F18+F21</f>
        <v>-50555.66308188434</v>
      </c>
      <c r="G22" s="95">
        <f t="shared" ref="G22:W22" si="8">+G18+G21</f>
        <v>-50555.66308188434</v>
      </c>
      <c r="H22" s="95">
        <f t="shared" si="8"/>
        <v>-50555.66308188434</v>
      </c>
      <c r="I22" s="95">
        <f t="shared" si="8"/>
        <v>-50555.66308188434</v>
      </c>
      <c r="J22" s="95">
        <f t="shared" si="8"/>
        <v>-50555.66308188434</v>
      </c>
      <c r="K22" s="95">
        <f t="shared" si="8"/>
        <v>-50555.66308188434</v>
      </c>
      <c r="L22" s="95">
        <f t="shared" si="8"/>
        <v>-50555.66308188434</v>
      </c>
      <c r="M22" s="95">
        <f t="shared" si="8"/>
        <v>-50555.66308188434</v>
      </c>
      <c r="N22" s="95">
        <f t="shared" si="8"/>
        <v>-50555.66308188434</v>
      </c>
      <c r="O22" s="95">
        <f t="shared" si="8"/>
        <v>-50555.66308188434</v>
      </c>
      <c r="P22" s="95">
        <f t="shared" si="8"/>
        <v>-50555.66308188434</v>
      </c>
      <c r="Q22" s="95">
        <f t="shared" si="8"/>
        <v>-50555.66308188434</v>
      </c>
      <c r="R22" s="95">
        <f t="shared" si="8"/>
        <v>-50555.66308188434</v>
      </c>
      <c r="S22" s="95">
        <f t="shared" si="8"/>
        <v>-50555.66308188434</v>
      </c>
      <c r="T22" s="95">
        <f t="shared" si="8"/>
        <v>-50555.66308188434</v>
      </c>
      <c r="U22" s="95">
        <f t="shared" si="8"/>
        <v>-50555.66308188434</v>
      </c>
      <c r="V22" s="95">
        <f t="shared" si="8"/>
        <v>-50555.66308188434</v>
      </c>
      <c r="W22" s="95">
        <f t="shared" si="8"/>
        <v>-50555.66308188434</v>
      </c>
      <c r="Z22" s="287"/>
      <c r="AA22" s="609"/>
    </row>
    <row r="23" spans="1:27">
      <c r="Z23" s="287"/>
      <c r="AA23" s="597"/>
    </row>
    <row r="24" spans="1:27">
      <c r="Z24" s="287"/>
      <c r="AA24" s="597"/>
    </row>
    <row r="25" spans="1:27">
      <c r="Z25" s="287"/>
      <c r="AA25" s="287"/>
    </row>
    <row r="26" spans="1:27">
      <c r="A26" s="570" t="s">
        <v>402</v>
      </c>
      <c r="D26" s="381" t="s">
        <v>386</v>
      </c>
      <c r="E26" s="95">
        <f>+-Assumptions!D11</f>
        <v>-50555.66308188434</v>
      </c>
      <c r="Z26" s="287"/>
      <c r="AA26" s="287"/>
    </row>
    <row r="27" spans="1:27">
      <c r="D27" s="381" t="s">
        <v>384</v>
      </c>
      <c r="E27">
        <v>0</v>
      </c>
      <c r="F27" s="95">
        <f>+F20</f>
        <v>2993.0297425653143</v>
      </c>
      <c r="G27" s="95">
        <f t="shared" ref="G27:W27" si="9">+G20</f>
        <v>2280.4076253672706</v>
      </c>
      <c r="H27" s="95">
        <f t="shared" si="9"/>
        <v>2280.4076253672706</v>
      </c>
      <c r="I27" s="95">
        <f t="shared" si="9"/>
        <v>2280.4076253672702</v>
      </c>
      <c r="J27" s="95">
        <f t="shared" si="9"/>
        <v>2280.4076253672702</v>
      </c>
      <c r="K27" s="95">
        <f t="shared" si="9"/>
        <v>2280.4076253672697</v>
      </c>
      <c r="L27" s="95">
        <f t="shared" si="9"/>
        <v>2280.4076253672697</v>
      </c>
      <c r="M27" s="95">
        <f t="shared" si="9"/>
        <v>2280.4076253672706</v>
      </c>
      <c r="N27" s="95">
        <f t="shared" si="9"/>
        <v>2280.4076253672702</v>
      </c>
      <c r="O27" s="95">
        <f t="shared" si="9"/>
        <v>2280.4076253672711</v>
      </c>
      <c r="P27" s="95">
        <f t="shared" si="9"/>
        <v>2280.4076253672702</v>
      </c>
      <c r="Q27" s="95">
        <f t="shared" si="9"/>
        <v>2280.4076253672702</v>
      </c>
      <c r="R27" s="95">
        <f t="shared" si="9"/>
        <v>2280.4076253672702</v>
      </c>
      <c r="S27" s="95">
        <f t="shared" si="9"/>
        <v>2280.4076253672702</v>
      </c>
      <c r="T27" s="95">
        <f t="shared" si="9"/>
        <v>2280.4076253672702</v>
      </c>
      <c r="U27" s="95">
        <f t="shared" si="9"/>
        <v>2280.4076253672702</v>
      </c>
      <c r="V27" s="95">
        <f t="shared" si="9"/>
        <v>2280.4076253672702</v>
      </c>
      <c r="W27" s="95">
        <f t="shared" si="9"/>
        <v>6088.4851114468929</v>
      </c>
      <c r="Z27" s="287"/>
      <c r="AA27" s="287"/>
    </row>
    <row r="28" spans="1:27">
      <c r="D28" s="381" t="s">
        <v>387</v>
      </c>
      <c r="E28" s="95">
        <f>+SUM(E26:E27)</f>
        <v>-50555.66308188434</v>
      </c>
      <c r="F28" s="340">
        <f t="shared" ref="F28:W28" si="10">+SUM(F27:F27)</f>
        <v>2993.0297425653143</v>
      </c>
      <c r="G28" s="340">
        <f t="shared" si="10"/>
        <v>2280.4076253672706</v>
      </c>
      <c r="H28" s="340">
        <f t="shared" si="10"/>
        <v>2280.4076253672706</v>
      </c>
      <c r="I28" s="340">
        <f t="shared" si="10"/>
        <v>2280.4076253672702</v>
      </c>
      <c r="J28" s="340">
        <f t="shared" si="10"/>
        <v>2280.4076253672702</v>
      </c>
      <c r="K28" s="340">
        <f t="shared" si="10"/>
        <v>2280.4076253672697</v>
      </c>
      <c r="L28" s="340">
        <f t="shared" si="10"/>
        <v>2280.4076253672697</v>
      </c>
      <c r="M28" s="340">
        <f t="shared" si="10"/>
        <v>2280.4076253672706</v>
      </c>
      <c r="N28" s="340">
        <f t="shared" si="10"/>
        <v>2280.4076253672702</v>
      </c>
      <c r="O28" s="340">
        <f t="shared" si="10"/>
        <v>2280.4076253672711</v>
      </c>
      <c r="P28" s="340">
        <f t="shared" si="10"/>
        <v>2280.4076253672702</v>
      </c>
      <c r="Q28" s="340">
        <f t="shared" si="10"/>
        <v>2280.4076253672702</v>
      </c>
      <c r="R28" s="340">
        <f t="shared" si="10"/>
        <v>2280.4076253672702</v>
      </c>
      <c r="S28" s="340">
        <f t="shared" si="10"/>
        <v>2280.4076253672702</v>
      </c>
      <c r="T28" s="340">
        <f t="shared" si="10"/>
        <v>2280.4076253672702</v>
      </c>
      <c r="U28" s="340">
        <f t="shared" si="10"/>
        <v>2280.4076253672702</v>
      </c>
      <c r="V28" s="340">
        <f t="shared" si="10"/>
        <v>2280.4076253672702</v>
      </c>
      <c r="W28" s="340">
        <f t="shared" si="10"/>
        <v>6088.4851114468929</v>
      </c>
      <c r="X28" s="340">
        <f>+AA17*Assumptions!J21</f>
        <v>25925.981067632998</v>
      </c>
      <c r="Z28" s="287"/>
      <c r="AA28" s="287"/>
    </row>
    <row r="30" spans="1:27">
      <c r="D30" s="381" t="s">
        <v>7</v>
      </c>
      <c r="E30" s="588">
        <f>+XIRR(E28:X28,E15:X15)</f>
        <v>2.9666826128959659E-2</v>
      </c>
    </row>
    <row r="32" spans="1:27">
      <c r="A32" s="570" t="s">
        <v>401</v>
      </c>
      <c r="D32" s="381" t="s">
        <v>386</v>
      </c>
      <c r="E32" s="95">
        <f>+E26</f>
        <v>-50555.66308188434</v>
      </c>
    </row>
    <row r="33" spans="1:24">
      <c r="D33" s="381" t="s">
        <v>384</v>
      </c>
      <c r="E33">
        <v>0</v>
      </c>
      <c r="F33" s="95">
        <f>+F28</f>
        <v>2993.0297425653143</v>
      </c>
      <c r="G33" s="95">
        <f t="shared" ref="G33:W33" si="11">+G28</f>
        <v>2280.4076253672706</v>
      </c>
      <c r="H33" s="95">
        <f t="shared" si="11"/>
        <v>2280.4076253672706</v>
      </c>
      <c r="I33" s="95">
        <f t="shared" si="11"/>
        <v>2280.4076253672702</v>
      </c>
      <c r="J33" s="95">
        <f t="shared" si="11"/>
        <v>2280.4076253672702</v>
      </c>
      <c r="K33" s="95">
        <f t="shared" si="11"/>
        <v>2280.4076253672697</v>
      </c>
      <c r="L33" s="95">
        <f t="shared" si="11"/>
        <v>2280.4076253672697</v>
      </c>
      <c r="M33" s="95">
        <f t="shared" si="11"/>
        <v>2280.4076253672706</v>
      </c>
      <c r="N33" s="95">
        <f t="shared" si="11"/>
        <v>2280.4076253672702</v>
      </c>
      <c r="O33" s="95">
        <f t="shared" si="11"/>
        <v>2280.4076253672711</v>
      </c>
      <c r="P33" s="95">
        <f t="shared" si="11"/>
        <v>2280.4076253672702</v>
      </c>
      <c r="Q33" s="95">
        <f t="shared" si="11"/>
        <v>2280.4076253672702</v>
      </c>
      <c r="R33" s="95">
        <f t="shared" si="11"/>
        <v>2280.4076253672702</v>
      </c>
      <c r="S33" s="95">
        <f t="shared" si="11"/>
        <v>2280.4076253672702</v>
      </c>
      <c r="T33" s="95">
        <f t="shared" si="11"/>
        <v>2280.4076253672702</v>
      </c>
      <c r="U33" s="95">
        <f t="shared" si="11"/>
        <v>2280.4076253672702</v>
      </c>
      <c r="V33" s="95">
        <f t="shared" si="11"/>
        <v>2280.4076253672702</v>
      </c>
      <c r="W33" s="95">
        <f t="shared" si="11"/>
        <v>6088.4851114468929</v>
      </c>
    </row>
    <row r="34" spans="1:24">
      <c r="D34" s="381" t="s">
        <v>387</v>
      </c>
      <c r="E34" s="95">
        <f>+SUM(E32:E33)</f>
        <v>-50555.66308188434</v>
      </c>
      <c r="F34" s="340">
        <f t="shared" ref="F34:W34" si="12">+SUM(F33:F33)</f>
        <v>2993.0297425653143</v>
      </c>
      <c r="G34" s="340">
        <f t="shared" si="12"/>
        <v>2280.4076253672706</v>
      </c>
      <c r="H34" s="340">
        <f t="shared" si="12"/>
        <v>2280.4076253672706</v>
      </c>
      <c r="I34" s="340">
        <f t="shared" si="12"/>
        <v>2280.4076253672702</v>
      </c>
      <c r="J34" s="340">
        <f t="shared" si="12"/>
        <v>2280.4076253672702</v>
      </c>
      <c r="K34" s="340">
        <f t="shared" si="12"/>
        <v>2280.4076253672697</v>
      </c>
      <c r="L34" s="340">
        <f t="shared" si="12"/>
        <v>2280.4076253672697</v>
      </c>
      <c r="M34" s="340">
        <f t="shared" si="12"/>
        <v>2280.4076253672706</v>
      </c>
      <c r="N34" s="340">
        <f t="shared" si="12"/>
        <v>2280.4076253672702</v>
      </c>
      <c r="O34" s="340">
        <f t="shared" si="12"/>
        <v>2280.4076253672711</v>
      </c>
      <c r="P34" s="340">
        <f t="shared" si="12"/>
        <v>2280.4076253672702</v>
      </c>
      <c r="Q34" s="340">
        <f t="shared" si="12"/>
        <v>2280.4076253672702</v>
      </c>
      <c r="R34" s="340">
        <f t="shared" si="12"/>
        <v>2280.4076253672702</v>
      </c>
      <c r="S34" s="340">
        <f t="shared" si="12"/>
        <v>2280.4076253672702</v>
      </c>
      <c r="T34" s="340">
        <f t="shared" si="12"/>
        <v>2280.4076253672702</v>
      </c>
      <c r="U34" s="340">
        <f t="shared" si="12"/>
        <v>2280.4076253672702</v>
      </c>
      <c r="V34" s="340">
        <f t="shared" si="12"/>
        <v>2280.4076253672702</v>
      </c>
      <c r="W34" s="340">
        <f t="shared" si="12"/>
        <v>6088.4851114468929</v>
      </c>
      <c r="X34" s="340">
        <f>+X5*Assumptions!$J$22</f>
        <v>53280.295278602614</v>
      </c>
    </row>
    <row r="36" spans="1:24">
      <c r="D36" s="381" t="s">
        <v>7</v>
      </c>
      <c r="E36" s="588">
        <f>+XIRR(E34:X34,E15:X15)</f>
        <v>5.3317347168922433E-2</v>
      </c>
    </row>
    <row r="38" spans="1:24">
      <c r="A38" s="570" t="s">
        <v>403</v>
      </c>
      <c r="D38" s="381" t="s">
        <v>386</v>
      </c>
      <c r="E38" s="95">
        <f>+E26</f>
        <v>-50555.66308188434</v>
      </c>
    </row>
    <row r="39" spans="1:24">
      <c r="D39" s="381" t="s">
        <v>384</v>
      </c>
      <c r="E39">
        <v>0</v>
      </c>
      <c r="F39" s="95">
        <f>+F27</f>
        <v>2993.0297425653143</v>
      </c>
      <c r="G39" s="95">
        <f t="shared" ref="G39:W39" si="13">+G27</f>
        <v>2280.4076253672706</v>
      </c>
      <c r="H39" s="95">
        <f t="shared" si="13"/>
        <v>2280.4076253672706</v>
      </c>
      <c r="I39" s="95">
        <f t="shared" si="13"/>
        <v>2280.4076253672702</v>
      </c>
      <c r="J39" s="95">
        <f t="shared" si="13"/>
        <v>2280.4076253672702</v>
      </c>
      <c r="K39" s="95">
        <f t="shared" si="13"/>
        <v>2280.4076253672697</v>
      </c>
      <c r="L39" s="95">
        <f t="shared" si="13"/>
        <v>2280.4076253672697</v>
      </c>
      <c r="M39" s="95">
        <f t="shared" si="13"/>
        <v>2280.4076253672706</v>
      </c>
      <c r="N39" s="95">
        <f t="shared" si="13"/>
        <v>2280.4076253672702</v>
      </c>
      <c r="O39" s="95">
        <f t="shared" si="13"/>
        <v>2280.4076253672711</v>
      </c>
      <c r="P39" s="95">
        <f t="shared" si="13"/>
        <v>2280.4076253672702</v>
      </c>
      <c r="Q39" s="95">
        <f t="shared" si="13"/>
        <v>2280.4076253672702</v>
      </c>
      <c r="R39" s="95">
        <f t="shared" si="13"/>
        <v>2280.4076253672702</v>
      </c>
      <c r="S39" s="95">
        <f t="shared" si="13"/>
        <v>2280.4076253672702</v>
      </c>
      <c r="T39" s="95">
        <f t="shared" si="13"/>
        <v>2280.4076253672702</v>
      </c>
      <c r="U39" s="95">
        <f t="shared" si="13"/>
        <v>2280.4076253672702</v>
      </c>
      <c r="V39" s="95">
        <f t="shared" si="13"/>
        <v>2280.4076253672702</v>
      </c>
      <c r="W39" s="95">
        <f t="shared" si="13"/>
        <v>6088.4851114468929</v>
      </c>
    </row>
    <row r="40" spans="1:24">
      <c r="D40" s="381" t="s">
        <v>387</v>
      </c>
      <c r="E40" s="95">
        <f>+SUM(E38:E39)</f>
        <v>-50555.66308188434</v>
      </c>
      <c r="F40" s="340">
        <f t="shared" ref="F40:W40" si="14">+SUM(F39:F39)</f>
        <v>2993.0297425653143</v>
      </c>
      <c r="G40" s="340">
        <f t="shared" si="14"/>
        <v>2280.4076253672706</v>
      </c>
      <c r="H40" s="340">
        <f t="shared" si="14"/>
        <v>2280.4076253672706</v>
      </c>
      <c r="I40" s="340">
        <f t="shared" si="14"/>
        <v>2280.4076253672702</v>
      </c>
      <c r="J40" s="340">
        <f t="shared" si="14"/>
        <v>2280.4076253672702</v>
      </c>
      <c r="K40" s="340">
        <f t="shared" si="14"/>
        <v>2280.4076253672697</v>
      </c>
      <c r="L40" s="340">
        <f t="shared" si="14"/>
        <v>2280.4076253672697</v>
      </c>
      <c r="M40" s="340">
        <f t="shared" si="14"/>
        <v>2280.4076253672706</v>
      </c>
      <c r="N40" s="340">
        <f t="shared" si="14"/>
        <v>2280.4076253672702</v>
      </c>
      <c r="O40" s="340">
        <f t="shared" si="14"/>
        <v>2280.4076253672711</v>
      </c>
      <c r="P40" s="340">
        <f t="shared" si="14"/>
        <v>2280.4076253672702</v>
      </c>
      <c r="Q40" s="340">
        <f t="shared" si="14"/>
        <v>2280.4076253672702</v>
      </c>
      <c r="R40" s="340">
        <f t="shared" si="14"/>
        <v>2280.4076253672702</v>
      </c>
      <c r="S40" s="340">
        <f t="shared" si="14"/>
        <v>2280.4076253672702</v>
      </c>
      <c r="T40" s="340">
        <f t="shared" si="14"/>
        <v>2280.4076253672702</v>
      </c>
      <c r="U40" s="340">
        <f t="shared" si="14"/>
        <v>2280.4076253672702</v>
      </c>
      <c r="V40" s="340">
        <f t="shared" si="14"/>
        <v>2280.4076253672702</v>
      </c>
      <c r="W40" s="340">
        <f t="shared" si="14"/>
        <v>6088.4851114468929</v>
      </c>
      <c r="X40" s="340">
        <v>0</v>
      </c>
    </row>
    <row r="42" spans="1:24">
      <c r="D42" s="381" t="s">
        <v>7</v>
      </c>
      <c r="E42" s="588">
        <f>+XIRR(E40:X40,E15:X15)</f>
        <v>-1.0687556862831113E-2</v>
      </c>
    </row>
  </sheetData>
  <pageMargins left="0.75" right="0.75" top="1" bottom="1" header="0.5" footer="0.5"/>
  <pageSetup scale="27" orientation="landscape" horizontalDpi="0" r:id="rId1"/>
  <headerFooter alignWithMargins="0"/>
  <colBreaks count="1" manualBreakCount="1">
    <brk id="28" max="4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F84"/>
  <sheetViews>
    <sheetView showGridLines="0" zoomScale="75" zoomScaleNormal="75" workbookViewId="0">
      <selection activeCell="C36" sqref="C36"/>
    </sheetView>
  </sheetViews>
  <sheetFormatPr defaultRowHeight="12.75" outlineLevelRow="1"/>
  <cols>
    <col min="1" max="1" width="63.5703125" style="14" customWidth="1"/>
    <col min="2" max="2" width="6.5703125" style="14" customWidth="1"/>
    <col min="3" max="3" width="14.140625" style="197" customWidth="1"/>
    <col min="4" max="4" width="11.5703125" style="197" customWidth="1"/>
    <col min="5" max="7" width="11.140625" style="197" customWidth="1"/>
    <col min="8" max="9" width="12" style="197" customWidth="1"/>
    <col min="10" max="10" width="12.7109375" style="197" customWidth="1"/>
    <col min="11" max="11" width="12.5703125" style="197" customWidth="1"/>
    <col min="12" max="12" width="12.7109375" style="197" customWidth="1"/>
    <col min="13" max="15" width="11.28515625" style="197" customWidth="1"/>
    <col min="16" max="16" width="11.85546875" style="197" customWidth="1"/>
    <col min="17" max="17" width="11.140625" style="197" customWidth="1"/>
    <col min="18" max="18" width="11.85546875" style="197" customWidth="1"/>
    <col min="19" max="19" width="11.140625" style="197" customWidth="1"/>
    <col min="20" max="20" width="11.5703125" style="197" customWidth="1"/>
    <col min="21" max="21" width="11.28515625" style="197" customWidth="1"/>
    <col min="22" max="22" width="11.5703125" style="197" customWidth="1"/>
    <col min="23" max="23" width="12.7109375" style="197" bestFit="1" customWidth="1"/>
    <col min="24" max="33" width="12.5703125" style="197" customWidth="1"/>
    <col min="34" max="35" width="9.140625" style="14"/>
    <col min="36" max="37" width="9.85546875" style="14" customWidth="1"/>
    <col min="38" max="79" width="9.140625" style="14"/>
    <col min="80" max="81" width="9.85546875" style="14" customWidth="1"/>
    <col min="82" max="16384" width="9.140625" style="14"/>
  </cols>
  <sheetData>
    <row r="2" spans="1:33" ht="18.75">
      <c r="A2" s="113" t="str">
        <f>Assumptions!B3</f>
        <v>PROJECT NAME: SANTEE COOPER</v>
      </c>
    </row>
    <row r="4" spans="1:33" ht="18.75">
      <c r="A4" s="81" t="s">
        <v>169</v>
      </c>
    </row>
    <row r="7" spans="1:33" ht="18.75">
      <c r="A7" s="113" t="s">
        <v>226</v>
      </c>
    </row>
    <row r="8" spans="1:33">
      <c r="C8" s="390">
        <f>'Power Price Assumption'!F9</f>
        <v>0.66849315068493154</v>
      </c>
      <c r="D8" s="390">
        <f>'Power Price Assumption'!G9</f>
        <v>1.6684931506849314</v>
      </c>
      <c r="E8" s="390">
        <f>'Power Price Assumption'!H9</f>
        <v>2.6684931506849314</v>
      </c>
      <c r="F8" s="390">
        <f>'Power Price Assumption'!I9</f>
        <v>3.6684931506849314</v>
      </c>
      <c r="G8" s="390">
        <f>'Power Price Assumption'!J9</f>
        <v>4.668493150684931</v>
      </c>
      <c r="H8" s="390">
        <f>'Power Price Assumption'!K9</f>
        <v>5.668493150684931</v>
      </c>
      <c r="I8" s="390">
        <f>'Power Price Assumption'!L9</f>
        <v>6.668493150684931</v>
      </c>
      <c r="J8" s="390">
        <f>'Power Price Assumption'!M9</f>
        <v>7.668493150684931</v>
      </c>
      <c r="K8" s="390">
        <f>'Power Price Assumption'!N9</f>
        <v>8.668493150684931</v>
      </c>
      <c r="L8" s="390">
        <f>'Power Price Assumption'!O9</f>
        <v>9.668493150684931</v>
      </c>
      <c r="M8" s="390">
        <f>'Power Price Assumption'!P9</f>
        <v>10.668493150684931</v>
      </c>
      <c r="N8" s="390">
        <f>'Power Price Assumption'!Q9</f>
        <v>11.668493150684931</v>
      </c>
      <c r="O8" s="390">
        <f>'Power Price Assumption'!R9</f>
        <v>12.668493150684931</v>
      </c>
      <c r="P8" s="390">
        <f>'Power Price Assumption'!S9</f>
        <v>13.668493150684931</v>
      </c>
      <c r="Q8" s="390">
        <f>'Power Price Assumption'!T9</f>
        <v>14.668493150684931</v>
      </c>
      <c r="R8" s="390">
        <f>'Power Price Assumption'!U9</f>
        <v>15.668493150684931</v>
      </c>
      <c r="S8" s="390">
        <f>'Power Price Assumption'!V9</f>
        <v>16.668493150684931</v>
      </c>
      <c r="T8" s="390">
        <f>'Power Price Assumption'!W9</f>
        <v>17.668493150684931</v>
      </c>
      <c r="U8" s="390">
        <f>'Power Price Assumption'!X9</f>
        <v>18.668493150684931</v>
      </c>
      <c r="V8" s="390">
        <f>'Power Price Assumption'!Y9</f>
        <v>19.668493150684931</v>
      </c>
      <c r="W8" s="390">
        <f>'Power Price Assumption'!Z9</f>
        <v>20.668493150684931</v>
      </c>
      <c r="X8" s="390">
        <f>'Power Price Assumption'!AA9</f>
        <v>21.668493150684931</v>
      </c>
      <c r="Y8" s="390">
        <f>'Power Price Assumption'!AB9</f>
        <v>22.668493150684931</v>
      </c>
      <c r="Z8" s="390">
        <f>'Power Price Assumption'!AC9</f>
        <v>23.668493150684931</v>
      </c>
      <c r="AA8" s="390">
        <f>'Power Price Assumption'!AD9</f>
        <v>24.668493150684931</v>
      </c>
      <c r="AB8" s="390">
        <f>'Power Price Assumption'!AE9</f>
        <v>25.668493150684931</v>
      </c>
      <c r="AC8" s="390">
        <f>'Power Price Assumption'!AF9</f>
        <v>26.668493150684931</v>
      </c>
      <c r="AD8" s="390">
        <f>'Power Price Assumption'!AG9</f>
        <v>27.668493150684931</v>
      </c>
      <c r="AE8" s="390">
        <f>'Power Price Assumption'!AH9</f>
        <v>28.668493150684931</v>
      </c>
      <c r="AF8" s="390">
        <f>'Power Price Assumption'!AI9</f>
        <v>29.668493150684931</v>
      </c>
      <c r="AG8" s="390">
        <f>'Power Price Assumption'!AJ9</f>
        <v>30.668493150684931</v>
      </c>
    </row>
    <row r="9" spans="1:33" ht="13.5" outlineLevel="1" thickBot="1">
      <c r="A9" s="157" t="s">
        <v>73</v>
      </c>
      <c r="B9" s="2"/>
      <c r="C9" s="382">
        <f>'Power Price Assumption'!F10</f>
        <v>2001</v>
      </c>
      <c r="D9" s="382">
        <f>'Power Price Assumption'!G10</f>
        <v>2002</v>
      </c>
      <c r="E9" s="382">
        <f>'Power Price Assumption'!H10</f>
        <v>2003</v>
      </c>
      <c r="F9" s="382">
        <f>'Power Price Assumption'!I10</f>
        <v>2004</v>
      </c>
      <c r="G9" s="382">
        <f>'Power Price Assumption'!J10</f>
        <v>2005</v>
      </c>
      <c r="H9" s="382">
        <f>'Power Price Assumption'!K10</f>
        <v>2006</v>
      </c>
      <c r="I9" s="382">
        <f>'Power Price Assumption'!L10</f>
        <v>2007</v>
      </c>
      <c r="J9" s="382">
        <f>'Power Price Assumption'!M10</f>
        <v>2008</v>
      </c>
      <c r="K9" s="382">
        <f>'Power Price Assumption'!N10</f>
        <v>2009</v>
      </c>
      <c r="L9" s="382">
        <f>'Power Price Assumption'!O10</f>
        <v>2010</v>
      </c>
      <c r="M9" s="382">
        <f>'Power Price Assumption'!P10</f>
        <v>2011</v>
      </c>
      <c r="N9" s="382">
        <f>'Power Price Assumption'!Q10</f>
        <v>2012</v>
      </c>
      <c r="O9" s="382">
        <f>'Power Price Assumption'!R10</f>
        <v>2013</v>
      </c>
      <c r="P9" s="382">
        <f>'Power Price Assumption'!S10</f>
        <v>2014</v>
      </c>
      <c r="Q9" s="382">
        <f>'Power Price Assumption'!T10</f>
        <v>2015</v>
      </c>
      <c r="R9" s="382">
        <f>'Power Price Assumption'!U10</f>
        <v>2016</v>
      </c>
      <c r="S9" s="382">
        <f>'Power Price Assumption'!V10</f>
        <v>2017</v>
      </c>
      <c r="T9" s="382">
        <f>'Power Price Assumption'!W10</f>
        <v>2018</v>
      </c>
      <c r="U9" s="382">
        <f>'Power Price Assumption'!X10</f>
        <v>2019</v>
      </c>
      <c r="V9" s="382">
        <f>'Power Price Assumption'!Y10</f>
        <v>2020</v>
      </c>
      <c r="W9" s="382">
        <f>'Power Price Assumption'!Z10</f>
        <v>2021</v>
      </c>
      <c r="X9" s="382">
        <f>'Power Price Assumption'!AA10</f>
        <v>2022</v>
      </c>
      <c r="Y9" s="382">
        <f>'Power Price Assumption'!AB10</f>
        <v>2023</v>
      </c>
      <c r="Z9" s="382">
        <f>'Power Price Assumption'!AC10</f>
        <v>2024</v>
      </c>
      <c r="AA9" s="382">
        <f>'Power Price Assumption'!AD10</f>
        <v>2025</v>
      </c>
      <c r="AB9" s="382">
        <f>'Power Price Assumption'!AE10</f>
        <v>2026</v>
      </c>
      <c r="AC9" s="382">
        <f>'Power Price Assumption'!AF10</f>
        <v>2027</v>
      </c>
      <c r="AD9" s="382">
        <f>'Power Price Assumption'!AG10</f>
        <v>2028</v>
      </c>
      <c r="AE9" s="382">
        <f>'Power Price Assumption'!AH10</f>
        <v>2029</v>
      </c>
      <c r="AF9" s="382">
        <f>'Power Price Assumption'!AI10</f>
        <v>2030</v>
      </c>
      <c r="AG9" s="382">
        <f>'Power Price Assumption'!AJ10</f>
        <v>2031</v>
      </c>
    </row>
    <row r="10" spans="1:33" outlineLevel="1">
      <c r="A10" s="181"/>
      <c r="B10" s="3"/>
      <c r="C10" s="391"/>
      <c r="D10" s="391"/>
      <c r="E10" s="391"/>
      <c r="F10" s="391"/>
      <c r="G10" s="391"/>
      <c r="H10" s="391"/>
      <c r="I10" s="391"/>
      <c r="J10" s="391"/>
      <c r="K10" s="391"/>
      <c r="L10" s="391"/>
      <c r="M10" s="391"/>
      <c r="N10" s="391"/>
      <c r="O10" s="391"/>
      <c r="P10" s="391"/>
      <c r="Q10" s="391"/>
      <c r="R10" s="391"/>
      <c r="S10" s="391"/>
      <c r="T10" s="391"/>
      <c r="U10" s="391"/>
      <c r="V10" s="391"/>
      <c r="W10" s="391"/>
      <c r="X10" s="391"/>
      <c r="Y10" s="391"/>
      <c r="Z10" s="391"/>
      <c r="AA10" s="391"/>
      <c r="AB10" s="391"/>
      <c r="AC10" s="391"/>
      <c r="AD10" s="391"/>
      <c r="AE10" s="391"/>
      <c r="AF10" s="391"/>
      <c r="AG10" s="391"/>
    </row>
    <row r="11" spans="1:33" outlineLevel="1">
      <c r="A11" s="3"/>
      <c r="B11" s="3"/>
      <c r="C11" s="392"/>
      <c r="D11" s="392"/>
      <c r="E11" s="392"/>
      <c r="F11" s="392"/>
      <c r="G11" s="392"/>
      <c r="H11" s="392"/>
      <c r="I11" s="393"/>
      <c r="J11" s="393"/>
      <c r="K11" s="394"/>
      <c r="L11" s="394"/>
      <c r="M11" s="393"/>
      <c r="N11" s="393"/>
      <c r="O11" s="392"/>
      <c r="P11" s="392"/>
      <c r="Q11" s="392"/>
      <c r="R11" s="392"/>
      <c r="S11" s="392"/>
      <c r="T11" s="392"/>
      <c r="U11" s="392"/>
      <c r="V11" s="392"/>
      <c r="W11" s="392"/>
      <c r="X11" s="392"/>
      <c r="Y11" s="392"/>
      <c r="Z11" s="392"/>
      <c r="AA11" s="392"/>
      <c r="AB11" s="392"/>
      <c r="AC11" s="392"/>
      <c r="AD11" s="392"/>
      <c r="AE11" s="392"/>
      <c r="AF11" s="392"/>
      <c r="AG11" s="392"/>
    </row>
    <row r="12" spans="1:33">
      <c r="A12" s="9" t="s">
        <v>83</v>
      </c>
      <c r="C12" s="395">
        <f>IS!D72</f>
        <v>7180.8554577419409</v>
      </c>
      <c r="D12" s="396">
        <f>IS!E72</f>
        <v>10656.059055720523</v>
      </c>
      <c r="E12" s="396">
        <f>IS!F72</f>
        <v>10656.059055720523</v>
      </c>
      <c r="F12" s="396">
        <f>IS!G72</f>
        <v>10656.059055720523</v>
      </c>
      <c r="G12" s="396">
        <f>IS!H72</f>
        <v>10656.059055720523</v>
      </c>
      <c r="H12" s="396">
        <f>IS!I72</f>
        <v>10656.059055720523</v>
      </c>
      <c r="I12" s="396">
        <f>IS!J72</f>
        <v>10656.059055720523</v>
      </c>
      <c r="J12" s="396">
        <f>IS!K72</f>
        <v>10656.059055720523</v>
      </c>
      <c r="K12" s="396">
        <f>IS!L72</f>
        <v>10656.059055720523</v>
      </c>
      <c r="L12" s="396">
        <f>IS!M72</f>
        <v>10656.059055720523</v>
      </c>
      <c r="M12" s="396">
        <f>IS!N72</f>
        <v>10656.059055720523</v>
      </c>
      <c r="N12" s="396">
        <f>IS!O72</f>
        <v>10656.059055720523</v>
      </c>
      <c r="O12" s="396">
        <f>IS!P72</f>
        <v>10656.059055720523</v>
      </c>
      <c r="P12" s="396">
        <f>IS!Q72</f>
        <v>10656.059055720523</v>
      </c>
      <c r="Q12" s="396">
        <f>IS!R72</f>
        <v>10656.059055720523</v>
      </c>
      <c r="R12" s="396">
        <f>IS!S72</f>
        <v>10656.059055720523</v>
      </c>
      <c r="S12" s="396">
        <f>IS!T72</f>
        <v>10656.059055720523</v>
      </c>
      <c r="T12" s="396">
        <f>IS!U72</f>
        <v>10656.059055720523</v>
      </c>
      <c r="U12" s="396">
        <f>IS!V72</f>
        <v>10656.059055720523</v>
      </c>
      <c r="V12" s="396">
        <f>IS!W72</f>
        <v>10656.059055720523</v>
      </c>
      <c r="W12" s="396">
        <f>IS!X72</f>
        <v>10656.059055720523</v>
      </c>
      <c r="X12" s="396">
        <f>IS!Y72</f>
        <v>10656.059055720523</v>
      </c>
      <c r="Y12" s="396">
        <f>IS!Z72</f>
        <v>10656.059055720523</v>
      </c>
      <c r="Z12" s="396">
        <f>IS!AA72</f>
        <v>10656.059055720523</v>
      </c>
      <c r="AA12" s="396">
        <f>IS!AB72</f>
        <v>10656.059055720523</v>
      </c>
      <c r="AB12" s="396">
        <f>IS!AC72</f>
        <v>-2661.551304279476</v>
      </c>
      <c r="AC12" s="396">
        <f>IS!AD72</f>
        <v>-2661.551304279476</v>
      </c>
      <c r="AD12" s="396">
        <f>IS!AE72</f>
        <v>-2661.551304279476</v>
      </c>
      <c r="AE12" s="396">
        <f>IS!AF72</f>
        <v>-2661.551304279476</v>
      </c>
      <c r="AF12" s="396">
        <f>IS!AG72</f>
        <v>-2661.551304279476</v>
      </c>
      <c r="AG12" s="396">
        <f>IS!AH72</f>
        <v>-2661.551304279476</v>
      </c>
    </row>
    <row r="14" spans="1:33">
      <c r="A14" s="10" t="s">
        <v>164</v>
      </c>
      <c r="C14" s="397">
        <f>Debt!B102</f>
        <v>0</v>
      </c>
      <c r="D14" s="397">
        <f>Debt!C102</f>
        <v>0</v>
      </c>
      <c r="E14" s="397">
        <f>Debt!D102</f>
        <v>0</v>
      </c>
      <c r="F14" s="397">
        <f>Debt!E102</f>
        <v>0</v>
      </c>
      <c r="G14" s="397">
        <f>Debt!F102</f>
        <v>0</v>
      </c>
      <c r="H14" s="397">
        <f>Debt!G102</f>
        <v>0</v>
      </c>
      <c r="I14" s="397">
        <f>Debt!H102</f>
        <v>0</v>
      </c>
      <c r="J14" s="397">
        <f>Debt!I102</f>
        <v>0</v>
      </c>
      <c r="K14" s="397">
        <f>Debt!J102</f>
        <v>0</v>
      </c>
      <c r="L14" s="397">
        <f>Debt!K102</f>
        <v>0</v>
      </c>
      <c r="M14" s="397">
        <f>Debt!L102</f>
        <v>0</v>
      </c>
      <c r="N14" s="397">
        <f>Debt!M102</f>
        <v>0</v>
      </c>
      <c r="O14" s="397">
        <f>Debt!N102</f>
        <v>0</v>
      </c>
      <c r="P14" s="397">
        <f>Debt!O102</f>
        <v>0</v>
      </c>
      <c r="Q14" s="397">
        <f>Debt!P102</f>
        <v>0</v>
      </c>
      <c r="R14" s="397">
        <f>Debt!Q102</f>
        <v>0</v>
      </c>
      <c r="S14" s="397">
        <f>Debt!R102</f>
        <v>0</v>
      </c>
      <c r="T14" s="397">
        <f>Debt!S102</f>
        <v>0</v>
      </c>
      <c r="U14" s="397">
        <f>Debt!T102</f>
        <v>0</v>
      </c>
      <c r="V14" s="397">
        <f>Debt!U102</f>
        <v>0</v>
      </c>
      <c r="W14" s="397">
        <f>Debt!V102</f>
        <v>0</v>
      </c>
      <c r="X14" s="397">
        <f>Debt!W102</f>
        <v>0</v>
      </c>
      <c r="Y14" s="397">
        <f>Debt!X102</f>
        <v>0</v>
      </c>
      <c r="Z14" s="397">
        <f>Debt!Y102</f>
        <v>0</v>
      </c>
      <c r="AA14" s="397">
        <f>Debt!Z102</f>
        <v>0</v>
      </c>
      <c r="AB14" s="397">
        <f>Debt!AA102</f>
        <v>0</v>
      </c>
      <c r="AC14" s="397">
        <f>Debt!AB102</f>
        <v>0</v>
      </c>
      <c r="AD14" s="397">
        <f>Debt!AC102</f>
        <v>0</v>
      </c>
      <c r="AE14" s="397">
        <f>Debt!AD102</f>
        <v>0</v>
      </c>
      <c r="AF14" s="397">
        <f>Debt!AE102</f>
        <v>0</v>
      </c>
      <c r="AG14" s="397">
        <f>Debt!AF102</f>
        <v>0</v>
      </c>
    </row>
    <row r="15" spans="1:33">
      <c r="A15" s="10" t="s">
        <v>154</v>
      </c>
      <c r="C15" s="398">
        <f>-Debt!B108</f>
        <v>0</v>
      </c>
      <c r="D15" s="398">
        <f>-Debt!C108</f>
        <v>-2123.9879922877017</v>
      </c>
      <c r="E15" s="398">
        <f>-Debt!D108</f>
        <v>-2396.4565121406281</v>
      </c>
      <c r="F15" s="398">
        <f>-Debt!E108</f>
        <v>-2587.7721598576695</v>
      </c>
      <c r="G15" s="398">
        <f>-Debt!F108</f>
        <v>-2794.3610565888121</v>
      </c>
      <c r="H15" s="398">
        <f>-Debt!G108</f>
        <v>-3017.442507384274</v>
      </c>
      <c r="I15" s="398">
        <f>-Debt!H108</f>
        <v>-3258.3331577359863</v>
      </c>
      <c r="J15" s="398">
        <f>-Debt!I108</f>
        <v>-3518.4547645300722</v>
      </c>
      <c r="K15" s="398">
        <f>-Debt!J108</f>
        <v>-3799.3425873756037</v>
      </c>
      <c r="L15" s="398">
        <f>-Debt!K108</f>
        <v>-4102.6544498359926</v>
      </c>
      <c r="M15" s="398">
        <f>-Debt!L108</f>
        <v>-4430.1805240431386</v>
      </c>
      <c r="N15" s="398">
        <f>-Debt!M108</f>
        <v>-4783.8538964439795</v>
      </c>
      <c r="O15" s="398">
        <f>-Debt!N108</f>
        <v>-5165.7619770393358</v>
      </c>
      <c r="P15" s="398">
        <f>-Debt!O108</f>
        <v>-5578.1588194533688</v>
      </c>
      <c r="Q15" s="398">
        <f>-Debt!P108</f>
        <v>-6023.4784245477167</v>
      </c>
      <c r="R15" s="398">
        <f>-Debt!Q108</f>
        <v>-6504.3491060993711</v>
      </c>
      <c r="S15" s="398">
        <f>-Debt!R108</f>
        <v>-7023.609003329726</v>
      </c>
      <c r="T15" s="398">
        <f>-Debt!S108</f>
        <v>-7584.3228318410493</v>
      </c>
      <c r="U15" s="398">
        <f>-Debt!T108</f>
        <v>-4381.7224857462079</v>
      </c>
      <c r="V15" s="398">
        <f>-Debt!U108</f>
        <v>0</v>
      </c>
      <c r="W15" s="398">
        <f>-Debt!V108</f>
        <v>0</v>
      </c>
      <c r="X15" s="398">
        <f>-Debt!W108</f>
        <v>0</v>
      </c>
      <c r="Y15" s="398">
        <f>-Debt!X108</f>
        <v>0</v>
      </c>
      <c r="Z15" s="398">
        <f>-Debt!Y108</f>
        <v>0</v>
      </c>
      <c r="AA15" s="398">
        <f>-Debt!Z108</f>
        <v>0</v>
      </c>
      <c r="AB15" s="398">
        <f>-Debt!AA108</f>
        <v>0</v>
      </c>
      <c r="AC15" s="398">
        <f>-Debt!AB108</f>
        <v>0</v>
      </c>
      <c r="AD15" s="398">
        <f>-Debt!AC108</f>
        <v>0</v>
      </c>
      <c r="AE15" s="398">
        <f>-Debt!AD108</f>
        <v>0</v>
      </c>
      <c r="AF15" s="398">
        <f>-Debt!AE108</f>
        <v>0</v>
      </c>
      <c r="AG15" s="398">
        <f>-Debt!AF108</f>
        <v>0</v>
      </c>
    </row>
    <row r="16" spans="1:33">
      <c r="A16" s="10" t="s">
        <v>153</v>
      </c>
      <c r="C16" s="385">
        <f>-Debt!B106</f>
        <v>0</v>
      </c>
      <c r="D16" s="385">
        <f>-Debt!C106</f>
        <v>-2063.8377228889249</v>
      </c>
      <c r="E16" s="385">
        <f>-Debt!D106</f>
        <v>-5979.1949182126245</v>
      </c>
      <c r="F16" s="385">
        <f>-Debt!E106</f>
        <v>-5787.8792704955831</v>
      </c>
      <c r="G16" s="385">
        <f>-Debt!F106</f>
        <v>-5581.290373764441</v>
      </c>
      <c r="H16" s="385">
        <f>-Debt!G106</f>
        <v>-5358.2089229689791</v>
      </c>
      <c r="I16" s="385">
        <f>-Debt!H106</f>
        <v>-5117.3182726172672</v>
      </c>
      <c r="J16" s="385">
        <f>-Debt!I106</f>
        <v>-4857.1966658231813</v>
      </c>
      <c r="K16" s="385">
        <f>-Debt!J106</f>
        <v>-4576.308842977649</v>
      </c>
      <c r="L16" s="385">
        <f>-Debt!K106</f>
        <v>-4272.9969805172605</v>
      </c>
      <c r="M16" s="385">
        <f>-Debt!L106</f>
        <v>-3945.4709063101136</v>
      </c>
      <c r="N16" s="385">
        <f>-Debt!M106</f>
        <v>-3591.7975339092736</v>
      </c>
      <c r="O16" s="385">
        <f>-Debt!N106</f>
        <v>-3209.8894533139173</v>
      </c>
      <c r="P16" s="385">
        <f>-Debt!O106</f>
        <v>-2797.4926108998843</v>
      </c>
      <c r="Q16" s="385">
        <f>-Debt!P106</f>
        <v>-2352.1730058055364</v>
      </c>
      <c r="R16" s="385">
        <f>-Debt!Q106</f>
        <v>-1871.3023242538814</v>
      </c>
      <c r="S16" s="385">
        <f>-Debt!R106</f>
        <v>-1352.0424270235274</v>
      </c>
      <c r="T16" s="385">
        <f>-Debt!S106</f>
        <v>-791.32859851220383</v>
      </c>
      <c r="U16" s="385">
        <f>-Debt!T106</f>
        <v>-185.85145852742318</v>
      </c>
      <c r="V16" s="385">
        <f>-Debt!U106</f>
        <v>0</v>
      </c>
      <c r="W16" s="385">
        <f>-Debt!V106</f>
        <v>0</v>
      </c>
      <c r="X16" s="385">
        <f>-Debt!W106</f>
        <v>0</v>
      </c>
      <c r="Y16" s="385">
        <f>-Debt!X106</f>
        <v>0</v>
      </c>
      <c r="Z16" s="385">
        <f>-Debt!Y106</f>
        <v>0</v>
      </c>
      <c r="AA16" s="385">
        <f>-Debt!Z106</f>
        <v>0</v>
      </c>
      <c r="AB16" s="385">
        <f>-Debt!AA106</f>
        <v>0</v>
      </c>
      <c r="AC16" s="385">
        <f>-Debt!AB106</f>
        <v>0</v>
      </c>
      <c r="AD16" s="385">
        <f>-Debt!AC106</f>
        <v>0</v>
      </c>
      <c r="AE16" s="385">
        <f>-Debt!AD106</f>
        <v>0</v>
      </c>
      <c r="AF16" s="385">
        <f>-Debt!AE106</f>
        <v>0</v>
      </c>
      <c r="AG16" s="385">
        <f>-Debt!AF106</f>
        <v>0</v>
      </c>
    </row>
    <row r="17" spans="1:33">
      <c r="A17" s="10"/>
      <c r="C17" s="396"/>
      <c r="D17" s="396"/>
      <c r="E17" s="396"/>
      <c r="F17" s="396"/>
      <c r="G17" s="396"/>
      <c r="H17" s="396"/>
      <c r="I17" s="396"/>
      <c r="J17" s="396"/>
      <c r="K17" s="396"/>
      <c r="L17" s="396"/>
      <c r="M17" s="396"/>
      <c r="N17" s="396"/>
      <c r="O17" s="396"/>
      <c r="P17" s="396"/>
      <c r="Q17" s="396"/>
      <c r="R17" s="396"/>
      <c r="S17" s="396"/>
      <c r="T17" s="396"/>
      <c r="U17" s="396"/>
      <c r="V17" s="396"/>
      <c r="W17" s="396"/>
      <c r="X17" s="396"/>
      <c r="Y17" s="396"/>
      <c r="Z17" s="396"/>
      <c r="AA17" s="396"/>
      <c r="AB17" s="396"/>
      <c r="AC17" s="396"/>
      <c r="AD17" s="396"/>
      <c r="AE17" s="396"/>
      <c r="AF17" s="396"/>
      <c r="AG17" s="396"/>
    </row>
    <row r="18" spans="1:33">
      <c r="A18" s="9" t="s">
        <v>90</v>
      </c>
      <c r="C18" s="399">
        <f t="shared" ref="C18:X18" si="0">SUM(C12:C16)</f>
        <v>7180.8554577419409</v>
      </c>
      <c r="D18" s="400">
        <f>SUM(D12:D16)</f>
        <v>6468.2333405438958</v>
      </c>
      <c r="E18" s="400">
        <f t="shared" si="0"/>
        <v>2280.4076253672702</v>
      </c>
      <c r="F18" s="400">
        <f t="shared" si="0"/>
        <v>2280.4076253672702</v>
      </c>
      <c r="G18" s="400">
        <f t="shared" si="0"/>
        <v>2280.4076253672702</v>
      </c>
      <c r="H18" s="400">
        <f t="shared" si="0"/>
        <v>2280.4076253672702</v>
      </c>
      <c r="I18" s="400">
        <f t="shared" si="0"/>
        <v>2280.4076253672702</v>
      </c>
      <c r="J18" s="400">
        <f t="shared" si="0"/>
        <v>2280.4076253672702</v>
      </c>
      <c r="K18" s="400">
        <f t="shared" si="0"/>
        <v>2280.4076253672702</v>
      </c>
      <c r="L18" s="400">
        <f t="shared" si="0"/>
        <v>2280.4076253672702</v>
      </c>
      <c r="M18" s="400">
        <f t="shared" si="0"/>
        <v>2280.4076253672711</v>
      </c>
      <c r="N18" s="400">
        <f t="shared" si="0"/>
        <v>2280.4076253672702</v>
      </c>
      <c r="O18" s="400">
        <f t="shared" si="0"/>
        <v>2280.4076253672702</v>
      </c>
      <c r="P18" s="400">
        <f t="shared" si="0"/>
        <v>2280.4076253672702</v>
      </c>
      <c r="Q18" s="400">
        <f t="shared" si="0"/>
        <v>2280.4076253672702</v>
      </c>
      <c r="R18" s="400">
        <f t="shared" si="0"/>
        <v>2280.4076253672711</v>
      </c>
      <c r="S18" s="400">
        <f t="shared" si="0"/>
        <v>2280.4076253672702</v>
      </c>
      <c r="T18" s="400">
        <f t="shared" si="0"/>
        <v>2280.4076253672702</v>
      </c>
      <c r="U18" s="400">
        <f t="shared" si="0"/>
        <v>6088.485111446892</v>
      </c>
      <c r="V18" s="400">
        <f t="shared" si="0"/>
        <v>10656.059055720523</v>
      </c>
      <c r="W18" s="400">
        <f t="shared" si="0"/>
        <v>10656.059055720523</v>
      </c>
      <c r="X18" s="400">
        <f t="shared" si="0"/>
        <v>10656.059055720523</v>
      </c>
      <c r="Y18" s="400">
        <f t="shared" ref="Y18:AG18" si="1">SUM(Y12:Y16)</f>
        <v>10656.059055720523</v>
      </c>
      <c r="Z18" s="400">
        <f t="shared" si="1"/>
        <v>10656.059055720523</v>
      </c>
      <c r="AA18" s="400">
        <f t="shared" si="1"/>
        <v>10656.059055720523</v>
      </c>
      <c r="AB18" s="400">
        <f t="shared" si="1"/>
        <v>-2661.551304279476</v>
      </c>
      <c r="AC18" s="400">
        <f t="shared" si="1"/>
        <v>-2661.551304279476</v>
      </c>
      <c r="AD18" s="400">
        <f t="shared" si="1"/>
        <v>-2661.551304279476</v>
      </c>
      <c r="AE18" s="400">
        <f t="shared" si="1"/>
        <v>-2661.551304279476</v>
      </c>
      <c r="AF18" s="400">
        <f t="shared" si="1"/>
        <v>-2661.551304279476</v>
      </c>
      <c r="AG18" s="400">
        <f t="shared" si="1"/>
        <v>-2661.551304279476</v>
      </c>
    </row>
    <row r="19" spans="1:33">
      <c r="A19" s="9"/>
      <c r="C19" s="395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01"/>
      <c r="Z19" s="401"/>
      <c r="AA19" s="401"/>
      <c r="AB19" s="401"/>
      <c r="AC19" s="401"/>
      <c r="AD19" s="401"/>
      <c r="AE19" s="401"/>
      <c r="AF19" s="401"/>
      <c r="AG19" s="401"/>
    </row>
    <row r="20" spans="1:33">
      <c r="A20" s="4" t="s">
        <v>91</v>
      </c>
      <c r="C20" s="401">
        <f>-Tax!B30</f>
        <v>0</v>
      </c>
      <c r="D20" s="401">
        <f>-Tax!C30</f>
        <v>0</v>
      </c>
      <c r="E20" s="401">
        <f>-Tax!D30</f>
        <v>0</v>
      </c>
      <c r="F20" s="401">
        <f>-Tax!E30</f>
        <v>0</v>
      </c>
      <c r="G20" s="401">
        <f>-Tax!F30</f>
        <v>0</v>
      </c>
      <c r="H20" s="401">
        <f>-Tax!G30</f>
        <v>0</v>
      </c>
      <c r="I20" s="401">
        <f>-Tax!H30</f>
        <v>0</v>
      </c>
      <c r="J20" s="401">
        <f>-Tax!I30</f>
        <v>0</v>
      </c>
      <c r="K20" s="401">
        <f>-Tax!J30</f>
        <v>0</v>
      </c>
      <c r="L20" s="401">
        <f>-Tax!K30</f>
        <v>0</v>
      </c>
      <c r="M20" s="401">
        <f>-Tax!L30</f>
        <v>0</v>
      </c>
      <c r="N20" s="401">
        <f>-Tax!M30</f>
        <v>0</v>
      </c>
      <c r="O20" s="401">
        <f>-Tax!N30</f>
        <v>0</v>
      </c>
      <c r="P20" s="401">
        <f>-Tax!O30</f>
        <v>0</v>
      </c>
      <c r="Q20" s="401">
        <f>-Tax!P30</f>
        <v>0</v>
      </c>
      <c r="R20" s="401">
        <f>-Tax!Q30</f>
        <v>0</v>
      </c>
      <c r="S20" s="401">
        <f>-Tax!R30</f>
        <v>0</v>
      </c>
      <c r="T20" s="401">
        <f>-Tax!S30</f>
        <v>0</v>
      </c>
      <c r="U20" s="401">
        <f>-Tax!T30</f>
        <v>-636.66354334323137</v>
      </c>
      <c r="V20" s="401">
        <f>-Tax!U30</f>
        <v>-636.66354334323137</v>
      </c>
      <c r="W20" s="401">
        <f>-Tax!V30</f>
        <v>-639.36354334323141</v>
      </c>
      <c r="X20" s="401">
        <f>-Tax!W30</f>
        <v>-639.36354334323141</v>
      </c>
      <c r="Y20" s="401">
        <f>-Tax!X30</f>
        <v>-639.36354334323141</v>
      </c>
      <c r="Z20" s="401">
        <f>-Tax!Y30</f>
        <v>-639.36354334323141</v>
      </c>
      <c r="AA20" s="401">
        <f>-Tax!Z30</f>
        <v>-639.36354334323141</v>
      </c>
      <c r="AB20" s="401">
        <f>-Tax!AA30</f>
        <v>0</v>
      </c>
      <c r="AC20" s="401">
        <f>-Tax!AB30</f>
        <v>0</v>
      </c>
      <c r="AD20" s="401">
        <f>-Tax!AC30</f>
        <v>0</v>
      </c>
      <c r="AE20" s="401">
        <f>-Tax!AD30</f>
        <v>0</v>
      </c>
      <c r="AF20" s="401">
        <f>-Tax!AE30</f>
        <v>0</v>
      </c>
      <c r="AG20" s="401">
        <f>-Tax!AF30</f>
        <v>0</v>
      </c>
    </row>
    <row r="21" spans="1:33">
      <c r="A21" s="4" t="s">
        <v>92</v>
      </c>
      <c r="C21" s="402">
        <f>-Tax!B41</f>
        <v>435.34874764039478</v>
      </c>
      <c r="D21" s="402">
        <f>-Tax!C41</f>
        <v>2588.8223085319942</v>
      </c>
      <c r="E21" s="402">
        <f>-Tax!D41</f>
        <v>2100.8643561650542</v>
      </c>
      <c r="F21" s="402">
        <f>-Tax!E41</f>
        <v>1651.8762903974919</v>
      </c>
      <c r="G21" s="402">
        <f>-Tax!F41</f>
        <v>1232.5682497108678</v>
      </c>
      <c r="H21" s="402">
        <f>-Tax!G41</f>
        <v>838.04785580757607</v>
      </c>
      <c r="I21" s="402">
        <f>-Tax!H41</f>
        <v>600.76406504041222</v>
      </c>
      <c r="J21" s="402">
        <f>-Tax!I41</f>
        <v>506.88487941990741</v>
      </c>
      <c r="K21" s="402">
        <f>-Tax!J41</f>
        <v>396.29417518333992</v>
      </c>
      <c r="L21" s="402">
        <f>-Tax!K41</f>
        <v>286.09160158627003</v>
      </c>
      <c r="M21" s="402">
        <f>-Tax!L41</f>
        <v>157.87436887054454</v>
      </c>
      <c r="N21" s="402">
        <f>-Tax!M41</f>
        <v>28.638093037601354</v>
      </c>
      <c r="O21" s="402">
        <f>-Tax!N41</f>
        <v>-120.13235418274171</v>
      </c>
      <c r="P21" s="402">
        <f>-Tax!O41</f>
        <v>-271.56266359033197</v>
      </c>
      <c r="Q21" s="402">
        <f>-Tax!P41</f>
        <v>-444.29895450884248</v>
      </c>
      <c r="R21" s="402">
        <f>-Tax!Q41</f>
        <v>-1933.3478692917076</v>
      </c>
      <c r="S21" s="402">
        <f>-Tax!R41</f>
        <v>-3436.9056600229114</v>
      </c>
      <c r="T21" s="402">
        <f>-Tax!S41</f>
        <v>-3648.822659017585</v>
      </c>
      <c r="U21" s="402">
        <f>-Tax!T41</f>
        <v>-3491.0384293320521</v>
      </c>
      <c r="V21" s="402">
        <f>-Tax!U41</f>
        <v>-3491.0384293320521</v>
      </c>
      <c r="W21" s="402">
        <f>-Tax!V41</f>
        <v>-3505.843429332052</v>
      </c>
      <c r="X21" s="402">
        <f>-Tax!W41</f>
        <v>-3505.843429332052</v>
      </c>
      <c r="Y21" s="402">
        <f>-Tax!X41</f>
        <v>-3505.843429332052</v>
      </c>
      <c r="Z21" s="402">
        <f>-Tax!Y41</f>
        <v>-3505.843429332052</v>
      </c>
      <c r="AA21" s="402">
        <f>-Tax!Z41</f>
        <v>-3505.843429332052</v>
      </c>
      <c r="AB21" s="402">
        <f>-Tax!AA41</f>
        <v>931.5429564978167</v>
      </c>
      <c r="AC21" s="402">
        <f>-Tax!AB41</f>
        <v>931.5429564978167</v>
      </c>
      <c r="AD21" s="402">
        <f>-Tax!AC41</f>
        <v>931.5429564978167</v>
      </c>
      <c r="AE21" s="402">
        <f>-Tax!AD41</f>
        <v>931.5429564978167</v>
      </c>
      <c r="AF21" s="402">
        <f>-Tax!AE41</f>
        <v>931.5429564978167</v>
      </c>
      <c r="AG21" s="402">
        <f>-Tax!AF41</f>
        <v>931.54295649781648</v>
      </c>
    </row>
    <row r="22" spans="1:33">
      <c r="A22" s="10"/>
      <c r="C22" s="403"/>
      <c r="D22" s="403"/>
      <c r="E22" s="403"/>
      <c r="F22" s="403"/>
      <c r="G22" s="403"/>
      <c r="H22" s="403"/>
      <c r="I22" s="403"/>
      <c r="J22" s="403"/>
      <c r="K22" s="403"/>
      <c r="L22" s="403"/>
      <c r="M22" s="403"/>
      <c r="N22" s="403"/>
      <c r="O22" s="403"/>
      <c r="P22" s="403"/>
      <c r="Q22" s="403"/>
      <c r="R22" s="403"/>
      <c r="S22" s="403"/>
      <c r="T22" s="403"/>
      <c r="U22" s="403"/>
      <c r="V22" s="403"/>
      <c r="W22" s="403"/>
      <c r="X22" s="403"/>
      <c r="Y22" s="403"/>
      <c r="Z22" s="403"/>
      <c r="AA22" s="403"/>
      <c r="AB22" s="403"/>
      <c r="AC22" s="403"/>
      <c r="AD22" s="403"/>
      <c r="AE22" s="403"/>
      <c r="AF22" s="403"/>
      <c r="AG22" s="403"/>
    </row>
    <row r="23" spans="1:33" s="13" customFormat="1">
      <c r="A23" s="9" t="s">
        <v>93</v>
      </c>
      <c r="C23" s="399">
        <f t="shared" ref="C23:X23" si="2">C18+C21+C20</f>
        <v>7616.2042053823352</v>
      </c>
      <c r="D23" s="399">
        <f t="shared" si="2"/>
        <v>9057.05564907589</v>
      </c>
      <c r="E23" s="399">
        <f t="shared" si="2"/>
        <v>4381.2719815323244</v>
      </c>
      <c r="F23" s="399">
        <f t="shared" si="2"/>
        <v>3932.2839157647622</v>
      </c>
      <c r="G23" s="399">
        <f t="shared" si="2"/>
        <v>3512.975875078138</v>
      </c>
      <c r="H23" s="399">
        <f t="shared" si="2"/>
        <v>3118.4554811748462</v>
      </c>
      <c r="I23" s="399">
        <f t="shared" si="2"/>
        <v>2881.1716904076825</v>
      </c>
      <c r="J23" s="399">
        <f t="shared" si="2"/>
        <v>2787.2925047871777</v>
      </c>
      <c r="K23" s="399">
        <f t="shared" si="2"/>
        <v>2676.7018005506102</v>
      </c>
      <c r="L23" s="399">
        <f t="shared" si="2"/>
        <v>2566.4992269535401</v>
      </c>
      <c r="M23" s="399">
        <f t="shared" si="2"/>
        <v>2438.2819942378155</v>
      </c>
      <c r="N23" s="399">
        <f t="shared" si="2"/>
        <v>2309.0457184048714</v>
      </c>
      <c r="O23" s="399">
        <f t="shared" si="2"/>
        <v>2160.2752711845283</v>
      </c>
      <c r="P23" s="399">
        <f t="shared" si="2"/>
        <v>2008.8449617769381</v>
      </c>
      <c r="Q23" s="399">
        <f t="shared" si="2"/>
        <v>1836.1086708584276</v>
      </c>
      <c r="R23" s="399">
        <f t="shared" si="2"/>
        <v>347.05975607556343</v>
      </c>
      <c r="S23" s="399">
        <f t="shared" si="2"/>
        <v>-1156.4980346556413</v>
      </c>
      <c r="T23" s="399">
        <f t="shared" si="2"/>
        <v>-1368.4150336503149</v>
      </c>
      <c r="U23" s="399">
        <f t="shared" si="2"/>
        <v>1960.7831387716085</v>
      </c>
      <c r="V23" s="399">
        <f t="shared" si="2"/>
        <v>6528.35708304524</v>
      </c>
      <c r="W23" s="399">
        <f t="shared" si="2"/>
        <v>6510.8520830452399</v>
      </c>
      <c r="X23" s="399">
        <f t="shared" si="2"/>
        <v>6510.8520830452399</v>
      </c>
      <c r="Y23" s="399">
        <f t="shared" ref="Y23:AG23" si="3">Y18+Y21+Y20</f>
        <v>6510.8520830452399</v>
      </c>
      <c r="Z23" s="399">
        <f t="shared" si="3"/>
        <v>6510.8520830452399</v>
      </c>
      <c r="AA23" s="399">
        <f t="shared" si="3"/>
        <v>6510.8520830452399</v>
      </c>
      <c r="AB23" s="399">
        <f t="shared" si="3"/>
        <v>-1730.0083477816593</v>
      </c>
      <c r="AC23" s="399">
        <f t="shared" si="3"/>
        <v>-1730.0083477816593</v>
      </c>
      <c r="AD23" s="399">
        <f t="shared" si="3"/>
        <v>-1730.0083477816593</v>
      </c>
      <c r="AE23" s="399">
        <f t="shared" si="3"/>
        <v>-1730.0083477816593</v>
      </c>
      <c r="AF23" s="399">
        <f t="shared" si="3"/>
        <v>-1730.0083477816593</v>
      </c>
      <c r="AG23" s="399">
        <f t="shared" si="3"/>
        <v>-1730.0083477816595</v>
      </c>
    </row>
    <row r="24" spans="1:33">
      <c r="A24" s="10"/>
      <c r="C24" s="395"/>
      <c r="D24" s="403"/>
      <c r="E24" s="403"/>
      <c r="F24" s="403"/>
      <c r="G24" s="403"/>
      <c r="H24" s="403"/>
      <c r="I24" s="403"/>
      <c r="J24" s="403"/>
      <c r="K24" s="403"/>
      <c r="L24" s="403"/>
      <c r="M24" s="403"/>
      <c r="N24" s="403"/>
      <c r="O24" s="403"/>
      <c r="P24" s="403"/>
      <c r="Q24" s="403"/>
      <c r="R24" s="403"/>
      <c r="S24" s="403"/>
      <c r="T24" s="403"/>
      <c r="U24" s="403"/>
      <c r="V24" s="403"/>
      <c r="W24" s="403"/>
      <c r="X24" s="403"/>
      <c r="Y24" s="403"/>
      <c r="Z24" s="403"/>
      <c r="AA24" s="403"/>
      <c r="AB24" s="403"/>
      <c r="AC24" s="403"/>
      <c r="AD24" s="403"/>
      <c r="AE24" s="403"/>
      <c r="AF24" s="403"/>
      <c r="AG24" s="403"/>
    </row>
    <row r="25" spans="1:33">
      <c r="A25" s="11" t="s">
        <v>94</v>
      </c>
      <c r="B25" s="204">
        <f>Assumptions!C76</f>
        <v>0</v>
      </c>
      <c r="C25" s="395">
        <f>$B$25*IS!D85</f>
        <v>0</v>
      </c>
      <c r="D25" s="395">
        <f>$B$25*IS!E85</f>
        <v>0</v>
      </c>
      <c r="E25" s="395">
        <f>$B$25*IS!F85</f>
        <v>0</v>
      </c>
      <c r="F25" s="395">
        <f>$B$25*IS!G85</f>
        <v>0</v>
      </c>
      <c r="G25" s="395">
        <f>$B$25*IS!H85</f>
        <v>0</v>
      </c>
      <c r="H25" s="395">
        <f>$B$25*IS!I85</f>
        <v>0</v>
      </c>
      <c r="I25" s="395">
        <f>$B$25*IS!J85</f>
        <v>0</v>
      </c>
      <c r="J25" s="395">
        <f>$B$25*IS!K85</f>
        <v>0</v>
      </c>
      <c r="K25" s="395">
        <f>$B$25*IS!L85</f>
        <v>0</v>
      </c>
      <c r="L25" s="395">
        <f>$B$25*IS!M85</f>
        <v>0</v>
      </c>
      <c r="M25" s="395">
        <f>$B$25*IS!N85</f>
        <v>0</v>
      </c>
      <c r="N25" s="395">
        <f>$B$25*IS!O85</f>
        <v>0</v>
      </c>
      <c r="O25" s="395">
        <f>$B$25*IS!P85</f>
        <v>0</v>
      </c>
      <c r="P25" s="395">
        <f>$B$25*IS!Q85</f>
        <v>0</v>
      </c>
      <c r="Q25" s="395">
        <f>$B$25*IS!R85</f>
        <v>0</v>
      </c>
      <c r="R25" s="395">
        <f>$B$25*IS!S85</f>
        <v>0</v>
      </c>
      <c r="S25" s="395">
        <f>$B$25*IS!T85</f>
        <v>0</v>
      </c>
      <c r="T25" s="395">
        <f>$B$25*IS!U85</f>
        <v>0</v>
      </c>
      <c r="U25" s="395">
        <f>$B$25*IS!V85</f>
        <v>0</v>
      </c>
      <c r="V25" s="395">
        <f>$B$25*IS!W85</f>
        <v>0</v>
      </c>
      <c r="W25" s="395">
        <f>$B$25*IS!X85</f>
        <v>0</v>
      </c>
      <c r="X25" s="395">
        <f>$B$25*IS!Y85</f>
        <v>0</v>
      </c>
      <c r="Y25" s="395">
        <f>$B$25*IS!Z85</f>
        <v>0</v>
      </c>
      <c r="Z25" s="395">
        <f>$B$25*IS!AA85</f>
        <v>0</v>
      </c>
      <c r="AA25" s="395">
        <f>$B$25*IS!AB85</f>
        <v>0</v>
      </c>
      <c r="AB25" s="395">
        <f>$B$25*IS!AC85</f>
        <v>0</v>
      </c>
      <c r="AC25" s="395">
        <f>$B$25*IS!AD85</f>
        <v>0</v>
      </c>
      <c r="AD25" s="395">
        <f>$B$25*IS!AE85</f>
        <v>0</v>
      </c>
      <c r="AE25" s="395">
        <f>$B$25*IS!AF85</f>
        <v>0</v>
      </c>
      <c r="AF25" s="395">
        <f>$B$25*IS!AG85</f>
        <v>0</v>
      </c>
      <c r="AG25" s="395">
        <f>$B$25*IS!AH85</f>
        <v>0</v>
      </c>
    </row>
    <row r="26" spans="1:33">
      <c r="A26" s="11" t="s">
        <v>347</v>
      </c>
      <c r="B26" s="204">
        <f>Assumptions!C77</f>
        <v>0</v>
      </c>
      <c r="C26" s="395">
        <f>(C23)*$B$26</f>
        <v>0</v>
      </c>
      <c r="D26" s="396">
        <f>(D23)*$B$26</f>
        <v>0</v>
      </c>
      <c r="E26" s="396">
        <f t="shared" ref="E26:W26" si="4">(E23)*$B$26</f>
        <v>0</v>
      </c>
      <c r="F26" s="396">
        <f t="shared" si="4"/>
        <v>0</v>
      </c>
      <c r="G26" s="396">
        <f t="shared" si="4"/>
        <v>0</v>
      </c>
      <c r="H26" s="396">
        <f t="shared" si="4"/>
        <v>0</v>
      </c>
      <c r="I26" s="396">
        <f t="shared" si="4"/>
        <v>0</v>
      </c>
      <c r="J26" s="396">
        <f t="shared" si="4"/>
        <v>0</v>
      </c>
      <c r="K26" s="396">
        <f t="shared" si="4"/>
        <v>0</v>
      </c>
      <c r="L26" s="396">
        <f t="shared" si="4"/>
        <v>0</v>
      </c>
      <c r="M26" s="396">
        <f t="shared" si="4"/>
        <v>0</v>
      </c>
      <c r="N26" s="396">
        <f t="shared" si="4"/>
        <v>0</v>
      </c>
      <c r="O26" s="396">
        <f t="shared" si="4"/>
        <v>0</v>
      </c>
      <c r="P26" s="396">
        <f t="shared" si="4"/>
        <v>0</v>
      </c>
      <c r="Q26" s="396">
        <f t="shared" si="4"/>
        <v>0</v>
      </c>
      <c r="R26" s="396">
        <f t="shared" si="4"/>
        <v>0</v>
      </c>
      <c r="S26" s="396">
        <f t="shared" si="4"/>
        <v>0</v>
      </c>
      <c r="T26" s="396">
        <f t="shared" si="4"/>
        <v>0</v>
      </c>
      <c r="U26" s="396">
        <f t="shared" si="4"/>
        <v>0</v>
      </c>
      <c r="V26" s="396">
        <f t="shared" si="4"/>
        <v>0</v>
      </c>
      <c r="W26" s="396">
        <f t="shared" si="4"/>
        <v>0</v>
      </c>
      <c r="X26" s="396">
        <f t="shared" ref="X26:AG26" si="5">(X23)*$B$26</f>
        <v>0</v>
      </c>
      <c r="Y26" s="396">
        <f t="shared" si="5"/>
        <v>0</v>
      </c>
      <c r="Z26" s="396">
        <f t="shared" si="5"/>
        <v>0</v>
      </c>
      <c r="AA26" s="396">
        <f t="shared" si="5"/>
        <v>0</v>
      </c>
      <c r="AB26" s="396">
        <f t="shared" si="5"/>
        <v>0</v>
      </c>
      <c r="AC26" s="396">
        <f t="shared" si="5"/>
        <v>0</v>
      </c>
      <c r="AD26" s="396">
        <f t="shared" si="5"/>
        <v>0</v>
      </c>
      <c r="AE26" s="396">
        <f t="shared" si="5"/>
        <v>0</v>
      </c>
      <c r="AF26" s="396">
        <f t="shared" si="5"/>
        <v>0</v>
      </c>
      <c r="AG26" s="396">
        <f t="shared" si="5"/>
        <v>0</v>
      </c>
    </row>
    <row r="27" spans="1:33">
      <c r="A27" s="10"/>
      <c r="C27" s="404"/>
      <c r="D27" s="404"/>
      <c r="E27" s="404"/>
      <c r="F27" s="404"/>
      <c r="G27" s="404"/>
      <c r="H27" s="403"/>
      <c r="I27" s="403"/>
      <c r="J27" s="403"/>
      <c r="K27" s="403"/>
      <c r="L27" s="403"/>
      <c r="M27" s="403"/>
      <c r="N27" s="403"/>
      <c r="O27" s="403"/>
      <c r="P27" s="403"/>
      <c r="Q27" s="403"/>
      <c r="R27" s="403"/>
      <c r="S27" s="403"/>
      <c r="T27" s="403"/>
      <c r="U27" s="403"/>
      <c r="V27" s="403"/>
      <c r="W27" s="403"/>
      <c r="X27" s="403"/>
      <c r="Y27" s="403"/>
      <c r="Z27" s="403"/>
      <c r="AA27" s="403"/>
      <c r="AB27" s="403"/>
      <c r="AC27" s="403"/>
      <c r="AD27" s="403"/>
      <c r="AE27" s="403"/>
      <c r="AF27" s="403"/>
      <c r="AG27" s="403"/>
    </row>
    <row r="28" spans="1:33">
      <c r="A28" s="11" t="s">
        <v>344</v>
      </c>
      <c r="B28" s="204">
        <f>Assumptions!C78</f>
        <v>1</v>
      </c>
      <c r="C28" s="395">
        <f>$B$28*IS!D85</f>
        <v>1384.246633545607</v>
      </c>
      <c r="D28" s="395">
        <f>$B$28*IS!E85</f>
        <v>-1038.0431568234453</v>
      </c>
      <c r="E28" s="395">
        <f>$B$28*IS!F85</f>
        <v>-921.14929606833289</v>
      </c>
      <c r="F28" s="395">
        <f>$B$28*IS!G85</f>
        <v>-794.92348016560527</v>
      </c>
      <c r="G28" s="395">
        <f>$B$28*IS!H85</f>
        <v>-658.62071372957791</v>
      </c>
      <c r="H28" s="395">
        <f>$B$28*IS!I85</f>
        <v>-511.43652636468198</v>
      </c>
      <c r="I28" s="395">
        <f>$B$28*IS!J85</f>
        <v>-352.50222461349546</v>
      </c>
      <c r="J28" s="395">
        <f>$B$28*IS!K85</f>
        <v>-180.87976485487519</v>
      </c>
      <c r="K28" s="395">
        <f>$B$28*IS!L85</f>
        <v>4.4437831084222061</v>
      </c>
      <c r="L28" s="395">
        <f>$B$28*IS!M85</f>
        <v>204.56221444898893</v>
      </c>
      <c r="M28" s="395">
        <f>$B$28*IS!N85</f>
        <v>420.65664498590218</v>
      </c>
      <c r="N28" s="395">
        <f>$B$28*IS!O85</f>
        <v>654.00248222966479</v>
      </c>
      <c r="O28" s="395">
        <f>$B$28*IS!P85</f>
        <v>905.97695294463892</v>
      </c>
      <c r="P28" s="395">
        <f>$B$28*IS!Q85</f>
        <v>1178.0672316572857</v>
      </c>
      <c r="Q28" s="395">
        <f>$B$28*IS!R85</f>
        <v>1471.879218085347</v>
      </c>
      <c r="R28" s="395">
        <f>$B$28*IS!S85</f>
        <v>1789.1470152930933</v>
      </c>
      <c r="S28" s="395">
        <f>$B$28*IS!T85</f>
        <v>2131.7431645135121</v>
      </c>
      <c r="T28" s="395">
        <f>$B$28*IS!U85</f>
        <v>2501.6896970442126</v>
      </c>
      <c r="U28" s="395">
        <f>$B$28*IS!V85</f>
        <v>2615.2449382044683</v>
      </c>
      <c r="V28" s="395">
        <f>$B$28*IS!W85</f>
        <v>2615.2449382044683</v>
      </c>
      <c r="W28" s="395">
        <f>$B$28*IS!X85</f>
        <v>2642.7399382044687</v>
      </c>
      <c r="X28" s="395">
        <f>$B$28*IS!Y85</f>
        <v>2642.7399382044687</v>
      </c>
      <c r="Y28" s="395">
        <f>$B$28*IS!Z85</f>
        <v>2642.7399382044687</v>
      </c>
      <c r="Z28" s="395">
        <f>$B$28*IS!AA85</f>
        <v>2642.7399382044687</v>
      </c>
      <c r="AA28" s="395">
        <f>$B$28*IS!AB85</f>
        <v>2642.7399382044687</v>
      </c>
      <c r="AB28" s="395">
        <f>$B$28*IS!AC85</f>
        <v>-5494.3199917555321</v>
      </c>
      <c r="AC28" s="395">
        <f>$B$28*IS!AD85</f>
        <v>-5494.3199917555321</v>
      </c>
      <c r="AD28" s="395">
        <f>$B$28*IS!AE85</f>
        <v>-5494.3199917555321</v>
      </c>
      <c r="AE28" s="395">
        <f>$B$28*IS!AF85</f>
        <v>-5494.3199917555321</v>
      </c>
      <c r="AF28" s="395">
        <f>$B$28*IS!AG85</f>
        <v>-5494.3199917555321</v>
      </c>
      <c r="AG28" s="395">
        <f>$B$28*IS!AH85</f>
        <v>-1626.20784691476</v>
      </c>
    </row>
    <row r="29" spans="1:33">
      <c r="A29" s="11" t="s">
        <v>346</v>
      </c>
      <c r="B29" s="204">
        <f>Assumptions!C79</f>
        <v>1</v>
      </c>
      <c r="C29" s="395">
        <f>$B$29*C23</f>
        <v>7616.2042053823352</v>
      </c>
      <c r="D29" s="395">
        <f t="shared" ref="D29:AG29" si="6">$B$29*D23</f>
        <v>9057.05564907589</v>
      </c>
      <c r="E29" s="395">
        <f t="shared" si="6"/>
        <v>4381.2719815323244</v>
      </c>
      <c r="F29" s="395">
        <f t="shared" si="6"/>
        <v>3932.2839157647622</v>
      </c>
      <c r="G29" s="395">
        <f t="shared" si="6"/>
        <v>3512.975875078138</v>
      </c>
      <c r="H29" s="395">
        <f t="shared" si="6"/>
        <v>3118.4554811748462</v>
      </c>
      <c r="I29" s="395">
        <f t="shared" si="6"/>
        <v>2881.1716904076825</v>
      </c>
      <c r="J29" s="395">
        <f t="shared" si="6"/>
        <v>2787.2925047871777</v>
      </c>
      <c r="K29" s="395">
        <f t="shared" si="6"/>
        <v>2676.7018005506102</v>
      </c>
      <c r="L29" s="395">
        <f t="shared" si="6"/>
        <v>2566.4992269535401</v>
      </c>
      <c r="M29" s="395">
        <f t="shared" si="6"/>
        <v>2438.2819942378155</v>
      </c>
      <c r="N29" s="395">
        <f t="shared" si="6"/>
        <v>2309.0457184048714</v>
      </c>
      <c r="O29" s="395">
        <f t="shared" si="6"/>
        <v>2160.2752711845283</v>
      </c>
      <c r="P29" s="395">
        <f t="shared" si="6"/>
        <v>2008.8449617769381</v>
      </c>
      <c r="Q29" s="395">
        <f t="shared" si="6"/>
        <v>1836.1086708584276</v>
      </c>
      <c r="R29" s="395">
        <f t="shared" si="6"/>
        <v>347.05975607556343</v>
      </c>
      <c r="S29" s="395">
        <f t="shared" si="6"/>
        <v>-1156.4980346556413</v>
      </c>
      <c r="T29" s="395">
        <f t="shared" si="6"/>
        <v>-1368.4150336503149</v>
      </c>
      <c r="U29" s="395">
        <f t="shared" si="6"/>
        <v>1960.7831387716085</v>
      </c>
      <c r="V29" s="395">
        <f t="shared" si="6"/>
        <v>6528.35708304524</v>
      </c>
      <c r="W29" s="395">
        <f t="shared" si="6"/>
        <v>6510.8520830452399</v>
      </c>
      <c r="X29" s="395">
        <f t="shared" si="6"/>
        <v>6510.8520830452399</v>
      </c>
      <c r="Y29" s="395">
        <f t="shared" si="6"/>
        <v>6510.8520830452399</v>
      </c>
      <c r="Z29" s="395">
        <f t="shared" si="6"/>
        <v>6510.8520830452399</v>
      </c>
      <c r="AA29" s="395">
        <f t="shared" si="6"/>
        <v>6510.8520830452399</v>
      </c>
      <c r="AB29" s="395">
        <f t="shared" si="6"/>
        <v>-1730.0083477816593</v>
      </c>
      <c r="AC29" s="395">
        <f t="shared" si="6"/>
        <v>-1730.0083477816593</v>
      </c>
      <c r="AD29" s="395">
        <f t="shared" si="6"/>
        <v>-1730.0083477816593</v>
      </c>
      <c r="AE29" s="395">
        <f t="shared" si="6"/>
        <v>-1730.0083477816593</v>
      </c>
      <c r="AF29" s="395">
        <f t="shared" si="6"/>
        <v>-1730.0083477816593</v>
      </c>
      <c r="AG29" s="395">
        <f t="shared" si="6"/>
        <v>-1730.0083477816595</v>
      </c>
    </row>
    <row r="30" spans="1:33">
      <c r="A30" s="10"/>
      <c r="C30" s="404"/>
      <c r="D30" s="404"/>
      <c r="E30" s="404"/>
      <c r="F30" s="404"/>
      <c r="G30" s="404"/>
      <c r="H30" s="403"/>
      <c r="I30" s="403"/>
      <c r="J30" s="403"/>
      <c r="K30" s="403"/>
      <c r="L30" s="403"/>
      <c r="M30" s="403"/>
      <c r="N30" s="403"/>
      <c r="O30" s="403"/>
      <c r="P30" s="403"/>
      <c r="Q30" s="403"/>
      <c r="R30" s="403"/>
      <c r="S30" s="403"/>
      <c r="T30" s="403"/>
      <c r="U30" s="403"/>
      <c r="V30" s="403"/>
      <c r="W30" s="403"/>
      <c r="X30" s="403"/>
      <c r="Y30" s="403"/>
      <c r="Z30" s="403"/>
      <c r="AA30" s="403"/>
      <c r="AB30" s="403"/>
      <c r="AC30" s="403"/>
      <c r="AD30" s="403"/>
      <c r="AE30" s="403"/>
      <c r="AF30" s="403"/>
      <c r="AG30" s="403"/>
    </row>
    <row r="31" spans="1:33">
      <c r="A31" s="50"/>
      <c r="D31" s="401"/>
      <c r="E31" s="401"/>
      <c r="F31" s="401"/>
      <c r="G31" s="401"/>
      <c r="H31" s="401"/>
      <c r="I31" s="401"/>
      <c r="J31" s="401"/>
      <c r="K31" s="401"/>
      <c r="L31" s="401"/>
      <c r="M31" s="401"/>
      <c r="N31" s="401"/>
      <c r="O31" s="401"/>
      <c r="P31" s="401"/>
      <c r="Q31" s="401"/>
      <c r="R31" s="401"/>
      <c r="S31" s="401"/>
      <c r="T31" s="401"/>
      <c r="U31" s="401"/>
      <c r="V31" s="401"/>
      <c r="W31" s="401"/>
      <c r="X31" s="401"/>
      <c r="Y31" s="401"/>
      <c r="Z31" s="401"/>
      <c r="AA31" s="401"/>
      <c r="AB31" s="401"/>
      <c r="AC31" s="401"/>
      <c r="AD31" s="401"/>
      <c r="AE31" s="401"/>
      <c r="AF31" s="401"/>
      <c r="AG31" s="401"/>
    </row>
    <row r="32" spans="1:33">
      <c r="A32" s="50"/>
      <c r="D32" s="401"/>
      <c r="E32" s="401"/>
      <c r="F32" s="401"/>
      <c r="G32" s="401"/>
      <c r="H32" s="401"/>
      <c r="I32" s="401"/>
      <c r="J32" s="401"/>
      <c r="K32" s="401"/>
      <c r="L32" s="401"/>
      <c r="M32" s="401"/>
      <c r="N32" s="401"/>
      <c r="O32" s="401"/>
      <c r="P32" s="401"/>
      <c r="Q32" s="401"/>
      <c r="R32" s="401"/>
      <c r="S32" s="401"/>
      <c r="T32" s="401"/>
      <c r="U32" s="401"/>
      <c r="V32" s="401"/>
      <c r="W32" s="401"/>
      <c r="X32" s="401"/>
      <c r="Y32" s="401"/>
      <c r="Z32" s="401"/>
      <c r="AA32" s="401"/>
      <c r="AB32" s="401"/>
      <c r="AC32" s="401"/>
      <c r="AD32" s="401"/>
      <c r="AE32" s="401"/>
      <c r="AF32" s="401"/>
      <c r="AG32" s="401"/>
    </row>
    <row r="33" spans="1:33" ht="18.75">
      <c r="A33" s="113" t="s">
        <v>95</v>
      </c>
      <c r="D33" s="401"/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  <c r="Q33" s="401"/>
      <c r="R33" s="401"/>
      <c r="S33" s="401"/>
      <c r="T33" s="401"/>
      <c r="U33" s="401"/>
      <c r="V33" s="401"/>
      <c r="W33" s="401"/>
      <c r="X33" s="401"/>
      <c r="Y33" s="401"/>
      <c r="Z33" s="401"/>
      <c r="AA33" s="401"/>
      <c r="AB33" s="401"/>
      <c r="AC33" s="401"/>
      <c r="AD33" s="401"/>
      <c r="AE33" s="401"/>
      <c r="AF33" s="401"/>
      <c r="AG33" s="401"/>
    </row>
    <row r="34" spans="1:33"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1"/>
      <c r="P34" s="391"/>
      <c r="Q34" s="391"/>
      <c r="R34" s="391"/>
      <c r="S34" s="391"/>
      <c r="T34" s="391"/>
      <c r="U34" s="391"/>
      <c r="V34" s="391"/>
      <c r="W34" s="391"/>
      <c r="X34" s="391"/>
      <c r="Y34" s="391"/>
      <c r="Z34" s="391"/>
      <c r="AA34" s="391"/>
      <c r="AB34" s="391"/>
      <c r="AC34" s="391"/>
      <c r="AD34" s="391"/>
      <c r="AE34" s="391"/>
      <c r="AF34" s="391"/>
      <c r="AG34" s="391"/>
    </row>
    <row r="35" spans="1:33" ht="13.5" thickBot="1">
      <c r="A35" s="157" t="s">
        <v>73</v>
      </c>
      <c r="B35" s="2"/>
      <c r="C35" s="382">
        <f>C9</f>
        <v>2001</v>
      </c>
      <c r="D35" s="382">
        <f t="shared" ref="D35:X35" si="7">D9</f>
        <v>2002</v>
      </c>
      <c r="E35" s="382">
        <f t="shared" si="7"/>
        <v>2003</v>
      </c>
      <c r="F35" s="382">
        <f t="shared" si="7"/>
        <v>2004</v>
      </c>
      <c r="G35" s="382">
        <f t="shared" si="7"/>
        <v>2005</v>
      </c>
      <c r="H35" s="382">
        <f t="shared" si="7"/>
        <v>2006</v>
      </c>
      <c r="I35" s="382">
        <f t="shared" si="7"/>
        <v>2007</v>
      </c>
      <c r="J35" s="382">
        <f t="shared" si="7"/>
        <v>2008</v>
      </c>
      <c r="K35" s="382">
        <f t="shared" si="7"/>
        <v>2009</v>
      </c>
      <c r="L35" s="382">
        <f t="shared" si="7"/>
        <v>2010</v>
      </c>
      <c r="M35" s="382">
        <f t="shared" si="7"/>
        <v>2011</v>
      </c>
      <c r="N35" s="382">
        <f t="shared" si="7"/>
        <v>2012</v>
      </c>
      <c r="O35" s="382">
        <f t="shared" si="7"/>
        <v>2013</v>
      </c>
      <c r="P35" s="382">
        <f t="shared" si="7"/>
        <v>2014</v>
      </c>
      <c r="Q35" s="382">
        <f t="shared" si="7"/>
        <v>2015</v>
      </c>
      <c r="R35" s="382">
        <f t="shared" si="7"/>
        <v>2016</v>
      </c>
      <c r="S35" s="382">
        <f t="shared" si="7"/>
        <v>2017</v>
      </c>
      <c r="T35" s="382">
        <f t="shared" si="7"/>
        <v>2018</v>
      </c>
      <c r="U35" s="382">
        <f t="shared" si="7"/>
        <v>2019</v>
      </c>
      <c r="V35" s="382">
        <f t="shared" si="7"/>
        <v>2020</v>
      </c>
      <c r="W35" s="382">
        <f t="shared" si="7"/>
        <v>2021</v>
      </c>
      <c r="X35" s="382">
        <f t="shared" si="7"/>
        <v>2022</v>
      </c>
      <c r="Y35" s="382">
        <f t="shared" ref="Y35:AG35" si="8">Y9</f>
        <v>2023</v>
      </c>
      <c r="Z35" s="382">
        <f t="shared" si="8"/>
        <v>2024</v>
      </c>
      <c r="AA35" s="382">
        <f t="shared" si="8"/>
        <v>2025</v>
      </c>
      <c r="AB35" s="382">
        <f t="shared" si="8"/>
        <v>2026</v>
      </c>
      <c r="AC35" s="382">
        <f t="shared" si="8"/>
        <v>2027</v>
      </c>
      <c r="AD35" s="382">
        <f t="shared" si="8"/>
        <v>2028</v>
      </c>
      <c r="AE35" s="382">
        <f t="shared" si="8"/>
        <v>2029</v>
      </c>
      <c r="AF35" s="382">
        <f t="shared" si="8"/>
        <v>2030</v>
      </c>
      <c r="AG35" s="382">
        <f t="shared" si="8"/>
        <v>2031</v>
      </c>
    </row>
    <row r="36" spans="1:33" ht="14.25" customHeight="1">
      <c r="A36" s="159"/>
      <c r="C36" s="414">
        <f>Assumptions!J16</f>
        <v>37256</v>
      </c>
      <c r="D36" s="414">
        <f>C36+365.25</f>
        <v>37621.25</v>
      </c>
      <c r="E36" s="414">
        <f t="shared" ref="E36:X36" si="9">D36+365.25</f>
        <v>37986.5</v>
      </c>
      <c r="F36" s="414">
        <f t="shared" si="9"/>
        <v>38351.75</v>
      </c>
      <c r="G36" s="414">
        <f t="shared" si="9"/>
        <v>38717</v>
      </c>
      <c r="H36" s="414">
        <f t="shared" si="9"/>
        <v>39082.25</v>
      </c>
      <c r="I36" s="414">
        <f t="shared" si="9"/>
        <v>39447.5</v>
      </c>
      <c r="J36" s="414">
        <f t="shared" si="9"/>
        <v>39812.75</v>
      </c>
      <c r="K36" s="414">
        <f t="shared" si="9"/>
        <v>40178</v>
      </c>
      <c r="L36" s="414">
        <f t="shared" si="9"/>
        <v>40543.25</v>
      </c>
      <c r="M36" s="414">
        <f t="shared" si="9"/>
        <v>40908.5</v>
      </c>
      <c r="N36" s="414">
        <f t="shared" si="9"/>
        <v>41273.75</v>
      </c>
      <c r="O36" s="414">
        <f t="shared" si="9"/>
        <v>41639</v>
      </c>
      <c r="P36" s="414">
        <f t="shared" si="9"/>
        <v>42004.25</v>
      </c>
      <c r="Q36" s="414">
        <f t="shared" si="9"/>
        <v>42369.5</v>
      </c>
      <c r="R36" s="414">
        <f t="shared" si="9"/>
        <v>42734.75</v>
      </c>
      <c r="S36" s="414">
        <f t="shared" si="9"/>
        <v>43100</v>
      </c>
      <c r="T36" s="414">
        <f t="shared" si="9"/>
        <v>43465.25</v>
      </c>
      <c r="U36" s="414">
        <f t="shared" si="9"/>
        <v>43830.5</v>
      </c>
      <c r="V36" s="414">
        <f t="shared" si="9"/>
        <v>44195.75</v>
      </c>
      <c r="W36" s="414">
        <f t="shared" si="9"/>
        <v>44561</v>
      </c>
      <c r="X36" s="414">
        <f t="shared" si="9"/>
        <v>44926.25</v>
      </c>
      <c r="Y36" s="414">
        <f t="shared" ref="Y36:AG36" si="10">X36+365.25</f>
        <v>45291.5</v>
      </c>
      <c r="Z36" s="414">
        <f t="shared" si="10"/>
        <v>45656.75</v>
      </c>
      <c r="AA36" s="414">
        <f t="shared" si="10"/>
        <v>46022</v>
      </c>
      <c r="AB36" s="414">
        <f t="shared" si="10"/>
        <v>46387.25</v>
      </c>
      <c r="AC36" s="414">
        <f t="shared" si="10"/>
        <v>46752.5</v>
      </c>
      <c r="AD36" s="414">
        <f t="shared" si="10"/>
        <v>47117.75</v>
      </c>
      <c r="AE36" s="414">
        <f t="shared" si="10"/>
        <v>47483</v>
      </c>
      <c r="AF36" s="414">
        <f t="shared" si="10"/>
        <v>47848.25</v>
      </c>
      <c r="AG36" s="414">
        <f t="shared" si="10"/>
        <v>48213.5</v>
      </c>
    </row>
    <row r="37" spans="1:33">
      <c r="A37" s="50"/>
      <c r="J37" s="405"/>
    </row>
    <row r="38" spans="1:33" s="13" customFormat="1">
      <c r="A38" s="9" t="s">
        <v>90</v>
      </c>
      <c r="C38" s="399">
        <f>$B$26*C18</f>
        <v>0</v>
      </c>
      <c r="D38" s="400">
        <f t="shared" ref="D38:X38" si="11">$B$26*D18</f>
        <v>0</v>
      </c>
      <c r="E38" s="400">
        <f t="shared" si="11"/>
        <v>0</v>
      </c>
      <c r="F38" s="400">
        <f t="shared" si="11"/>
        <v>0</v>
      </c>
      <c r="G38" s="400">
        <f t="shared" si="11"/>
        <v>0</v>
      </c>
      <c r="H38" s="400">
        <f t="shared" si="11"/>
        <v>0</v>
      </c>
      <c r="I38" s="400">
        <f t="shared" si="11"/>
        <v>0</v>
      </c>
      <c r="J38" s="400">
        <f t="shared" si="11"/>
        <v>0</v>
      </c>
      <c r="K38" s="400">
        <f t="shared" si="11"/>
        <v>0</v>
      </c>
      <c r="L38" s="400">
        <f t="shared" si="11"/>
        <v>0</v>
      </c>
      <c r="M38" s="400">
        <f t="shared" si="11"/>
        <v>0</v>
      </c>
      <c r="N38" s="400">
        <f t="shared" si="11"/>
        <v>0</v>
      </c>
      <c r="O38" s="400">
        <f t="shared" si="11"/>
        <v>0</v>
      </c>
      <c r="P38" s="400">
        <f t="shared" si="11"/>
        <v>0</v>
      </c>
      <c r="Q38" s="400">
        <f t="shared" si="11"/>
        <v>0</v>
      </c>
      <c r="R38" s="400">
        <f t="shared" si="11"/>
        <v>0</v>
      </c>
      <c r="S38" s="400">
        <f t="shared" si="11"/>
        <v>0</v>
      </c>
      <c r="T38" s="400">
        <f t="shared" si="11"/>
        <v>0</v>
      </c>
      <c r="U38" s="400">
        <f t="shared" si="11"/>
        <v>0</v>
      </c>
      <c r="V38" s="400">
        <f t="shared" si="11"/>
        <v>0</v>
      </c>
      <c r="W38" s="400">
        <f t="shared" si="11"/>
        <v>0</v>
      </c>
      <c r="X38" s="400">
        <f t="shared" si="11"/>
        <v>0</v>
      </c>
      <c r="Y38" s="400">
        <f t="shared" ref="Y38:AG38" si="12">$B$26*Y18</f>
        <v>0</v>
      </c>
      <c r="Z38" s="400">
        <f t="shared" si="12"/>
        <v>0</v>
      </c>
      <c r="AA38" s="400">
        <f t="shared" si="12"/>
        <v>0</v>
      </c>
      <c r="AB38" s="400">
        <f t="shared" si="12"/>
        <v>0</v>
      </c>
      <c r="AC38" s="400">
        <f t="shared" si="12"/>
        <v>0</v>
      </c>
      <c r="AD38" s="400">
        <f t="shared" si="12"/>
        <v>0</v>
      </c>
      <c r="AE38" s="400">
        <f t="shared" si="12"/>
        <v>0</v>
      </c>
      <c r="AF38" s="400">
        <f t="shared" si="12"/>
        <v>0</v>
      </c>
      <c r="AG38" s="400">
        <f t="shared" si="12"/>
        <v>0</v>
      </c>
    </row>
    <row r="39" spans="1:33">
      <c r="A39" s="9"/>
      <c r="C39" s="401"/>
      <c r="D39" s="401"/>
      <c r="E39" s="401"/>
      <c r="F39" s="401"/>
      <c r="G39" s="401"/>
      <c r="H39" s="401"/>
      <c r="I39" s="401"/>
      <c r="J39" s="401"/>
      <c r="K39" s="401"/>
      <c r="L39" s="401"/>
      <c r="M39" s="401"/>
      <c r="N39" s="401"/>
      <c r="O39" s="401"/>
      <c r="P39" s="401"/>
      <c r="Q39" s="401"/>
      <c r="R39" s="401"/>
      <c r="S39" s="401"/>
      <c r="T39" s="401"/>
      <c r="U39" s="401"/>
      <c r="V39" s="401"/>
      <c r="W39" s="401"/>
      <c r="X39" s="401"/>
      <c r="Y39" s="401"/>
      <c r="Z39" s="401"/>
      <c r="AA39" s="401"/>
      <c r="AB39" s="401"/>
      <c r="AC39" s="401"/>
      <c r="AD39" s="401"/>
      <c r="AE39" s="401"/>
      <c r="AF39" s="401"/>
      <c r="AG39" s="401"/>
    </row>
    <row r="40" spans="1:33">
      <c r="A40" s="10" t="s">
        <v>96</v>
      </c>
      <c r="C40" s="406">
        <f>$B$26*C20</f>
        <v>0</v>
      </c>
      <c r="D40" s="406">
        <f t="shared" ref="D40:X40" si="13">$B$26*D20</f>
        <v>0</v>
      </c>
      <c r="E40" s="406">
        <f t="shared" si="13"/>
        <v>0</v>
      </c>
      <c r="F40" s="406">
        <f t="shared" si="13"/>
        <v>0</v>
      </c>
      <c r="G40" s="406">
        <f t="shared" si="13"/>
        <v>0</v>
      </c>
      <c r="H40" s="406">
        <f t="shared" si="13"/>
        <v>0</v>
      </c>
      <c r="I40" s="406">
        <f t="shared" si="13"/>
        <v>0</v>
      </c>
      <c r="J40" s="406">
        <f t="shared" si="13"/>
        <v>0</v>
      </c>
      <c r="K40" s="406">
        <f t="shared" si="13"/>
        <v>0</v>
      </c>
      <c r="L40" s="406">
        <f t="shared" si="13"/>
        <v>0</v>
      </c>
      <c r="M40" s="406">
        <f t="shared" si="13"/>
        <v>0</v>
      </c>
      <c r="N40" s="406">
        <f t="shared" si="13"/>
        <v>0</v>
      </c>
      <c r="O40" s="406">
        <f t="shared" si="13"/>
        <v>0</v>
      </c>
      <c r="P40" s="406">
        <f t="shared" si="13"/>
        <v>0</v>
      </c>
      <c r="Q40" s="406">
        <f t="shared" si="13"/>
        <v>0</v>
      </c>
      <c r="R40" s="406">
        <f t="shared" si="13"/>
        <v>0</v>
      </c>
      <c r="S40" s="406">
        <f t="shared" si="13"/>
        <v>0</v>
      </c>
      <c r="T40" s="406">
        <f t="shared" si="13"/>
        <v>0</v>
      </c>
      <c r="U40" s="406">
        <f t="shared" si="13"/>
        <v>0</v>
      </c>
      <c r="V40" s="406">
        <f t="shared" si="13"/>
        <v>0</v>
      </c>
      <c r="W40" s="406">
        <f t="shared" si="13"/>
        <v>0</v>
      </c>
      <c r="X40" s="406">
        <f t="shared" si="13"/>
        <v>0</v>
      </c>
      <c r="Y40" s="406">
        <f t="shared" ref="Y40:AG40" si="14">$B$26*Y20</f>
        <v>0</v>
      </c>
      <c r="Z40" s="406">
        <f t="shared" si="14"/>
        <v>0</v>
      </c>
      <c r="AA40" s="406">
        <f t="shared" si="14"/>
        <v>0</v>
      </c>
      <c r="AB40" s="406">
        <f t="shared" si="14"/>
        <v>0</v>
      </c>
      <c r="AC40" s="406">
        <f t="shared" si="14"/>
        <v>0</v>
      </c>
      <c r="AD40" s="406">
        <f t="shared" si="14"/>
        <v>0</v>
      </c>
      <c r="AE40" s="406">
        <f t="shared" si="14"/>
        <v>0</v>
      </c>
      <c r="AF40" s="406">
        <f t="shared" si="14"/>
        <v>0</v>
      </c>
      <c r="AG40" s="406">
        <f t="shared" si="14"/>
        <v>0</v>
      </c>
    </row>
    <row r="41" spans="1:33">
      <c r="A41" s="10" t="s">
        <v>97</v>
      </c>
      <c r="C41" s="407">
        <f>$B$26*C21</f>
        <v>0</v>
      </c>
      <c r="D41" s="407">
        <f t="shared" ref="D41:X41" si="15">$B$26*D21</f>
        <v>0</v>
      </c>
      <c r="E41" s="407">
        <f t="shared" si="15"/>
        <v>0</v>
      </c>
      <c r="F41" s="407">
        <f t="shared" si="15"/>
        <v>0</v>
      </c>
      <c r="G41" s="407">
        <f t="shared" si="15"/>
        <v>0</v>
      </c>
      <c r="H41" s="407">
        <f t="shared" si="15"/>
        <v>0</v>
      </c>
      <c r="I41" s="407">
        <f t="shared" si="15"/>
        <v>0</v>
      </c>
      <c r="J41" s="407">
        <f t="shared" si="15"/>
        <v>0</v>
      </c>
      <c r="K41" s="407">
        <f t="shared" si="15"/>
        <v>0</v>
      </c>
      <c r="L41" s="407">
        <f t="shared" si="15"/>
        <v>0</v>
      </c>
      <c r="M41" s="407">
        <f t="shared" si="15"/>
        <v>0</v>
      </c>
      <c r="N41" s="407">
        <f t="shared" si="15"/>
        <v>0</v>
      </c>
      <c r="O41" s="407">
        <f t="shared" si="15"/>
        <v>0</v>
      </c>
      <c r="P41" s="407">
        <f t="shared" si="15"/>
        <v>0</v>
      </c>
      <c r="Q41" s="407">
        <f t="shared" si="15"/>
        <v>0</v>
      </c>
      <c r="R41" s="407">
        <f t="shared" si="15"/>
        <v>0</v>
      </c>
      <c r="S41" s="407">
        <f t="shared" si="15"/>
        <v>0</v>
      </c>
      <c r="T41" s="407">
        <f t="shared" si="15"/>
        <v>0</v>
      </c>
      <c r="U41" s="407">
        <f t="shared" si="15"/>
        <v>0</v>
      </c>
      <c r="V41" s="407">
        <f t="shared" si="15"/>
        <v>0</v>
      </c>
      <c r="W41" s="407">
        <f t="shared" si="15"/>
        <v>0</v>
      </c>
      <c r="X41" s="407">
        <f t="shared" si="15"/>
        <v>0</v>
      </c>
      <c r="Y41" s="407">
        <f t="shared" ref="Y41:AG41" si="16">$B$26*Y21</f>
        <v>0</v>
      </c>
      <c r="Z41" s="407">
        <f t="shared" si="16"/>
        <v>0</v>
      </c>
      <c r="AA41" s="407">
        <f t="shared" si="16"/>
        <v>0</v>
      </c>
      <c r="AB41" s="407">
        <f t="shared" si="16"/>
        <v>0</v>
      </c>
      <c r="AC41" s="407">
        <f t="shared" si="16"/>
        <v>0</v>
      </c>
      <c r="AD41" s="407">
        <f t="shared" si="16"/>
        <v>0</v>
      </c>
      <c r="AE41" s="407">
        <f t="shared" si="16"/>
        <v>0</v>
      </c>
      <c r="AF41" s="407">
        <f t="shared" si="16"/>
        <v>0</v>
      </c>
      <c r="AG41" s="407">
        <f t="shared" si="16"/>
        <v>0</v>
      </c>
    </row>
    <row r="42" spans="1:33">
      <c r="A42" s="10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401"/>
      <c r="AB42" s="401"/>
      <c r="AC42" s="401"/>
      <c r="AD42" s="401"/>
      <c r="AE42" s="401"/>
      <c r="AF42" s="401"/>
      <c r="AG42" s="401"/>
    </row>
    <row r="43" spans="1:33" s="13" customFormat="1">
      <c r="A43" s="9" t="s">
        <v>93</v>
      </c>
      <c r="C43" s="399">
        <f>$B$26*C23</f>
        <v>0</v>
      </c>
      <c r="D43" s="400">
        <f t="shared" ref="D43:X43" si="17">$B$26*D23</f>
        <v>0</v>
      </c>
      <c r="E43" s="400">
        <f t="shared" si="17"/>
        <v>0</v>
      </c>
      <c r="F43" s="400">
        <f t="shared" si="17"/>
        <v>0</v>
      </c>
      <c r="G43" s="400">
        <f t="shared" si="17"/>
        <v>0</v>
      </c>
      <c r="H43" s="400">
        <f t="shared" si="17"/>
        <v>0</v>
      </c>
      <c r="I43" s="400">
        <f t="shared" si="17"/>
        <v>0</v>
      </c>
      <c r="J43" s="400">
        <f t="shared" si="17"/>
        <v>0</v>
      </c>
      <c r="K43" s="400">
        <f t="shared" si="17"/>
        <v>0</v>
      </c>
      <c r="L43" s="400">
        <f t="shared" si="17"/>
        <v>0</v>
      </c>
      <c r="M43" s="400">
        <f t="shared" si="17"/>
        <v>0</v>
      </c>
      <c r="N43" s="400">
        <f t="shared" si="17"/>
        <v>0</v>
      </c>
      <c r="O43" s="400">
        <f t="shared" si="17"/>
        <v>0</v>
      </c>
      <c r="P43" s="400">
        <f t="shared" si="17"/>
        <v>0</v>
      </c>
      <c r="Q43" s="400">
        <f t="shared" si="17"/>
        <v>0</v>
      </c>
      <c r="R43" s="400">
        <f t="shared" si="17"/>
        <v>0</v>
      </c>
      <c r="S43" s="400">
        <f t="shared" si="17"/>
        <v>0</v>
      </c>
      <c r="T43" s="400">
        <f t="shared" si="17"/>
        <v>0</v>
      </c>
      <c r="U43" s="400">
        <f t="shared" si="17"/>
        <v>0</v>
      </c>
      <c r="V43" s="400">
        <f t="shared" si="17"/>
        <v>0</v>
      </c>
      <c r="W43" s="400">
        <f t="shared" si="17"/>
        <v>0</v>
      </c>
      <c r="X43" s="400">
        <f t="shared" si="17"/>
        <v>0</v>
      </c>
      <c r="Y43" s="400">
        <f t="shared" ref="Y43:AG43" si="18">$B$26*Y23</f>
        <v>0</v>
      </c>
      <c r="Z43" s="400">
        <f t="shared" si="18"/>
        <v>0</v>
      </c>
      <c r="AA43" s="400">
        <f t="shared" si="18"/>
        <v>0</v>
      </c>
      <c r="AB43" s="400">
        <f t="shared" si="18"/>
        <v>0</v>
      </c>
      <c r="AC43" s="400">
        <f t="shared" si="18"/>
        <v>0</v>
      </c>
      <c r="AD43" s="400">
        <f t="shared" si="18"/>
        <v>0</v>
      </c>
      <c r="AE43" s="400">
        <f t="shared" si="18"/>
        <v>0</v>
      </c>
      <c r="AF43" s="400">
        <f t="shared" si="18"/>
        <v>0</v>
      </c>
      <c r="AG43" s="400">
        <f t="shared" si="18"/>
        <v>0</v>
      </c>
    </row>
    <row r="44" spans="1:33">
      <c r="A44" s="9"/>
      <c r="J44" s="405"/>
    </row>
    <row r="45" spans="1:33">
      <c r="A45" s="89" t="s">
        <v>98</v>
      </c>
      <c r="C45" s="408">
        <f>-Assumptions!$C$76*Assumptions!D11</f>
        <v>0</v>
      </c>
      <c r="D45" s="197">
        <v>0</v>
      </c>
      <c r="E45" s="197">
        <v>0</v>
      </c>
      <c r="F45" s="197">
        <v>0</v>
      </c>
      <c r="G45" s="197">
        <v>0</v>
      </c>
      <c r="H45" s="197">
        <v>0</v>
      </c>
      <c r="I45" s="197">
        <v>0</v>
      </c>
      <c r="J45" s="197">
        <v>0</v>
      </c>
      <c r="K45" s="197">
        <v>0</v>
      </c>
      <c r="L45" s="197">
        <v>0</v>
      </c>
      <c r="M45" s="197">
        <v>0</v>
      </c>
      <c r="N45" s="197">
        <v>0</v>
      </c>
      <c r="O45" s="197">
        <v>0</v>
      </c>
      <c r="P45" s="197">
        <v>0</v>
      </c>
      <c r="Q45" s="197">
        <v>0</v>
      </c>
      <c r="R45" s="197">
        <v>0</v>
      </c>
      <c r="S45" s="197">
        <v>0</v>
      </c>
      <c r="T45" s="197">
        <v>0</v>
      </c>
      <c r="U45" s="197">
        <v>0</v>
      </c>
      <c r="V45" s="197">
        <v>0</v>
      </c>
      <c r="W45" s="197">
        <v>0</v>
      </c>
      <c r="X45" s="197">
        <v>0</v>
      </c>
      <c r="Y45" s="197">
        <v>0</v>
      </c>
      <c r="Z45" s="197">
        <v>0</v>
      </c>
      <c r="AA45" s="197">
        <v>0</v>
      </c>
      <c r="AB45" s="197">
        <v>0</v>
      </c>
      <c r="AC45" s="197">
        <v>0</v>
      </c>
      <c r="AD45" s="197">
        <v>0</v>
      </c>
      <c r="AE45" s="197">
        <v>0</v>
      </c>
      <c r="AF45" s="197">
        <v>0</v>
      </c>
      <c r="AG45" s="197">
        <v>0</v>
      </c>
    </row>
    <row r="46" spans="1:33">
      <c r="A46" s="89"/>
      <c r="C46" s="408"/>
      <c r="D46" s="409"/>
      <c r="E46" s="409"/>
      <c r="F46" s="409"/>
      <c r="G46" s="409"/>
      <c r="H46" s="409"/>
      <c r="I46" s="409"/>
      <c r="J46" s="409"/>
      <c r="K46" s="409"/>
      <c r="L46" s="409"/>
      <c r="M46" s="409"/>
      <c r="N46" s="409"/>
      <c r="O46" s="409"/>
      <c r="P46" s="409"/>
      <c r="Q46" s="409"/>
      <c r="R46" s="409"/>
      <c r="S46" s="409"/>
      <c r="T46" s="409"/>
      <c r="U46" s="409"/>
      <c r="V46" s="409"/>
      <c r="W46" s="409"/>
    </row>
    <row r="47" spans="1:33">
      <c r="A47" s="45"/>
      <c r="B47" s="45"/>
      <c r="C47" s="410"/>
    </row>
    <row r="48" spans="1:33">
      <c r="A48" s="50" t="s">
        <v>227</v>
      </c>
      <c r="C48" s="401"/>
      <c r="D48" s="401"/>
      <c r="E48" s="401"/>
      <c r="F48" s="401"/>
      <c r="G48" s="401"/>
      <c r="H48" s="401"/>
      <c r="I48" s="405"/>
    </row>
    <row r="49" spans="1:33">
      <c r="A49" s="14" t="s">
        <v>99</v>
      </c>
      <c r="C49" s="409">
        <f>C45+C43</f>
        <v>0</v>
      </c>
      <c r="D49" s="409">
        <f t="shared" ref="D49:X49" si="19">D45+D43</f>
        <v>0</v>
      </c>
      <c r="E49" s="409">
        <f t="shared" si="19"/>
        <v>0</v>
      </c>
      <c r="F49" s="409">
        <f t="shared" si="19"/>
        <v>0</v>
      </c>
      <c r="G49" s="409">
        <f t="shared" si="19"/>
        <v>0</v>
      </c>
      <c r="H49" s="409">
        <f t="shared" si="19"/>
        <v>0</v>
      </c>
      <c r="I49" s="409">
        <f t="shared" si="19"/>
        <v>0</v>
      </c>
      <c r="J49" s="409">
        <f t="shared" si="19"/>
        <v>0</v>
      </c>
      <c r="K49" s="409">
        <f t="shared" si="19"/>
        <v>0</v>
      </c>
      <c r="L49" s="409">
        <f t="shared" si="19"/>
        <v>0</v>
      </c>
      <c r="M49" s="409">
        <f t="shared" si="19"/>
        <v>0</v>
      </c>
      <c r="N49" s="409">
        <f t="shared" si="19"/>
        <v>0</v>
      </c>
      <c r="O49" s="409">
        <f t="shared" si="19"/>
        <v>0</v>
      </c>
      <c r="P49" s="409">
        <f t="shared" si="19"/>
        <v>0</v>
      </c>
      <c r="Q49" s="409">
        <f t="shared" si="19"/>
        <v>0</v>
      </c>
      <c r="R49" s="409">
        <f t="shared" si="19"/>
        <v>0</v>
      </c>
      <c r="S49" s="409">
        <f t="shared" si="19"/>
        <v>0</v>
      </c>
      <c r="T49" s="409">
        <f t="shared" si="19"/>
        <v>0</v>
      </c>
      <c r="U49" s="409">
        <f t="shared" si="19"/>
        <v>0</v>
      </c>
      <c r="V49" s="409">
        <f t="shared" si="19"/>
        <v>0</v>
      </c>
      <c r="W49" s="409">
        <f t="shared" si="19"/>
        <v>0</v>
      </c>
      <c r="X49" s="409">
        <f t="shared" si="19"/>
        <v>0</v>
      </c>
      <c r="Y49" s="409">
        <f t="shared" ref="Y49:AG49" si="20">Y45+Y43</f>
        <v>0</v>
      </c>
      <c r="Z49" s="409">
        <f t="shared" si="20"/>
        <v>0</v>
      </c>
      <c r="AA49" s="409">
        <f t="shared" si="20"/>
        <v>0</v>
      </c>
      <c r="AB49" s="409">
        <f t="shared" si="20"/>
        <v>0</v>
      </c>
      <c r="AC49" s="409">
        <f t="shared" si="20"/>
        <v>0</v>
      </c>
      <c r="AD49" s="409">
        <f t="shared" si="20"/>
        <v>0</v>
      </c>
      <c r="AE49" s="409">
        <f t="shared" si="20"/>
        <v>0</v>
      </c>
      <c r="AF49" s="409">
        <f t="shared" si="20"/>
        <v>0</v>
      </c>
      <c r="AG49" s="409">
        <f t="shared" si="20"/>
        <v>0</v>
      </c>
    </row>
    <row r="50" spans="1:33">
      <c r="A50" s="14" t="s">
        <v>7</v>
      </c>
      <c r="C50" s="595" t="e">
        <f>+XIRR(C49:T49,C36:T36)</f>
        <v>#NUM!</v>
      </c>
      <c r="D50" s="409"/>
      <c r="E50" s="409"/>
      <c r="F50" s="409"/>
      <c r="G50" s="409"/>
      <c r="H50" s="409"/>
      <c r="I50" s="409"/>
      <c r="J50" s="409"/>
      <c r="K50" s="409"/>
      <c r="L50" s="409"/>
      <c r="M50" s="409"/>
      <c r="N50" s="409"/>
      <c r="O50" s="409"/>
      <c r="P50" s="409"/>
      <c r="Q50" s="409"/>
      <c r="R50" s="409"/>
      <c r="S50" s="409"/>
      <c r="T50" s="409"/>
      <c r="U50" s="409"/>
      <c r="V50" s="409"/>
      <c r="W50" s="409"/>
      <c r="X50" s="409"/>
      <c r="Y50" s="409"/>
      <c r="Z50" s="409"/>
      <c r="AA50" s="409"/>
      <c r="AB50" s="409"/>
      <c r="AC50" s="409"/>
      <c r="AD50" s="409"/>
      <c r="AE50" s="409"/>
      <c r="AF50" s="409"/>
      <c r="AG50" s="409"/>
    </row>
    <row r="52" spans="1:33">
      <c r="A52" s="50" t="s">
        <v>283</v>
      </c>
    </row>
    <row r="53" spans="1:33">
      <c r="A53" s="14" t="s">
        <v>99</v>
      </c>
      <c r="C53" s="409">
        <f>C49</f>
        <v>0</v>
      </c>
      <c r="D53" s="409">
        <f t="shared" ref="D53:X53" si="21">D49</f>
        <v>0</v>
      </c>
      <c r="E53" s="409">
        <f t="shared" si="21"/>
        <v>0</v>
      </c>
      <c r="F53" s="409">
        <f t="shared" si="21"/>
        <v>0</v>
      </c>
      <c r="G53" s="409">
        <f t="shared" si="21"/>
        <v>0</v>
      </c>
      <c r="H53" s="409">
        <f t="shared" si="21"/>
        <v>0</v>
      </c>
      <c r="I53" s="409">
        <f t="shared" si="21"/>
        <v>0</v>
      </c>
      <c r="J53" s="409">
        <f t="shared" si="21"/>
        <v>0</v>
      </c>
      <c r="K53" s="409">
        <f t="shared" si="21"/>
        <v>0</v>
      </c>
      <c r="L53" s="409">
        <f t="shared" si="21"/>
        <v>0</v>
      </c>
      <c r="M53" s="409">
        <f t="shared" si="21"/>
        <v>0</v>
      </c>
      <c r="N53" s="409">
        <f t="shared" si="21"/>
        <v>0</v>
      </c>
      <c r="O53" s="409">
        <f t="shared" si="21"/>
        <v>0</v>
      </c>
      <c r="P53" s="409">
        <f t="shared" si="21"/>
        <v>0</v>
      </c>
      <c r="Q53" s="409">
        <f t="shared" si="21"/>
        <v>0</v>
      </c>
      <c r="R53" s="409">
        <f t="shared" si="21"/>
        <v>0</v>
      </c>
      <c r="S53" s="409">
        <f t="shared" si="21"/>
        <v>0</v>
      </c>
      <c r="T53" s="409">
        <f t="shared" si="21"/>
        <v>0</v>
      </c>
      <c r="U53" s="409">
        <f t="shared" si="21"/>
        <v>0</v>
      </c>
      <c r="V53" s="409">
        <f t="shared" si="21"/>
        <v>0</v>
      </c>
      <c r="W53" s="409">
        <f t="shared" si="21"/>
        <v>0</v>
      </c>
      <c r="X53" s="409">
        <f t="shared" si="21"/>
        <v>0</v>
      </c>
      <c r="Y53" s="409">
        <f t="shared" ref="Y53:AG53" si="22">Y49</f>
        <v>0</v>
      </c>
      <c r="Z53" s="409">
        <f t="shared" si="22"/>
        <v>0</v>
      </c>
      <c r="AA53" s="409">
        <f t="shared" si="22"/>
        <v>0</v>
      </c>
      <c r="AB53" s="409">
        <f t="shared" si="22"/>
        <v>0</v>
      </c>
      <c r="AC53" s="409">
        <f t="shared" si="22"/>
        <v>0</v>
      </c>
      <c r="AD53" s="409">
        <f t="shared" si="22"/>
        <v>0</v>
      </c>
      <c r="AE53" s="409">
        <f t="shared" si="22"/>
        <v>0</v>
      </c>
      <c r="AF53" s="409">
        <f t="shared" si="22"/>
        <v>0</v>
      </c>
      <c r="AG53" s="409">
        <f t="shared" si="22"/>
        <v>0</v>
      </c>
    </row>
    <row r="54" spans="1:33">
      <c r="A54" s="14" t="s">
        <v>282</v>
      </c>
      <c r="C54" s="412">
        <v>0</v>
      </c>
      <c r="D54" s="412">
        <v>0</v>
      </c>
      <c r="E54" s="412">
        <v>0</v>
      </c>
      <c r="F54" s="412">
        <v>0</v>
      </c>
      <c r="G54" s="412">
        <v>0</v>
      </c>
      <c r="H54" s="412">
        <v>0</v>
      </c>
      <c r="I54" s="412">
        <v>0</v>
      </c>
      <c r="J54" s="412">
        <v>0</v>
      </c>
      <c r="K54" s="412">
        <v>0</v>
      </c>
      <c r="L54" s="412">
        <v>0</v>
      </c>
      <c r="M54" s="412">
        <v>0</v>
      </c>
      <c r="N54" s="412">
        <v>0</v>
      </c>
      <c r="O54" s="412">
        <v>0</v>
      </c>
      <c r="P54" s="412">
        <v>0</v>
      </c>
      <c r="Q54" s="412">
        <v>0</v>
      </c>
      <c r="R54" s="412">
        <v>0</v>
      </c>
      <c r="S54" s="412">
        <v>0</v>
      </c>
      <c r="T54" s="412">
        <f>+Assumptions!D43*Assumptions!J21</f>
        <v>25925.981067632998</v>
      </c>
      <c r="U54" s="412">
        <v>0</v>
      </c>
      <c r="V54" s="412">
        <v>0</v>
      </c>
      <c r="W54" s="412">
        <v>0</v>
      </c>
      <c r="X54" s="413">
        <v>0</v>
      </c>
      <c r="Y54" s="413">
        <v>0</v>
      </c>
      <c r="Z54" s="413">
        <v>0</v>
      </c>
      <c r="AA54" s="413">
        <v>0</v>
      </c>
      <c r="AB54" s="413">
        <v>0</v>
      </c>
      <c r="AC54" s="413">
        <v>0</v>
      </c>
      <c r="AD54" s="413">
        <v>0</v>
      </c>
      <c r="AE54" s="413">
        <v>0</v>
      </c>
      <c r="AF54" s="413">
        <v>0</v>
      </c>
      <c r="AG54" s="413">
        <v>0</v>
      </c>
    </row>
    <row r="55" spans="1:33">
      <c r="A55" s="14" t="s">
        <v>100</v>
      </c>
      <c r="C55" s="409">
        <f t="shared" ref="C55:AG55" si="23">C53+C54</f>
        <v>0</v>
      </c>
      <c r="D55" s="409">
        <f t="shared" si="23"/>
        <v>0</v>
      </c>
      <c r="E55" s="409">
        <f t="shared" si="23"/>
        <v>0</v>
      </c>
      <c r="F55" s="409">
        <f t="shared" si="23"/>
        <v>0</v>
      </c>
      <c r="G55" s="409">
        <f t="shared" si="23"/>
        <v>0</v>
      </c>
      <c r="H55" s="409">
        <f t="shared" si="23"/>
        <v>0</v>
      </c>
      <c r="I55" s="409">
        <f t="shared" si="23"/>
        <v>0</v>
      </c>
      <c r="J55" s="409">
        <f t="shared" si="23"/>
        <v>0</v>
      </c>
      <c r="K55" s="409">
        <f t="shared" si="23"/>
        <v>0</v>
      </c>
      <c r="L55" s="409">
        <f t="shared" si="23"/>
        <v>0</v>
      </c>
      <c r="M55" s="409">
        <f t="shared" si="23"/>
        <v>0</v>
      </c>
      <c r="N55" s="409">
        <f t="shared" si="23"/>
        <v>0</v>
      </c>
      <c r="O55" s="409">
        <f t="shared" si="23"/>
        <v>0</v>
      </c>
      <c r="P55" s="409">
        <f t="shared" si="23"/>
        <v>0</v>
      </c>
      <c r="Q55" s="409">
        <f t="shared" si="23"/>
        <v>0</v>
      </c>
      <c r="R55" s="409">
        <f t="shared" si="23"/>
        <v>0</v>
      </c>
      <c r="S55" s="409">
        <f t="shared" si="23"/>
        <v>0</v>
      </c>
      <c r="T55" s="409">
        <f t="shared" si="23"/>
        <v>25925.981067632998</v>
      </c>
      <c r="U55" s="409">
        <f t="shared" si="23"/>
        <v>0</v>
      </c>
      <c r="V55" s="409">
        <f t="shared" si="23"/>
        <v>0</v>
      </c>
      <c r="W55" s="409">
        <f t="shared" si="23"/>
        <v>0</v>
      </c>
      <c r="X55" s="409">
        <f t="shared" si="23"/>
        <v>0</v>
      </c>
      <c r="Y55" s="409">
        <f t="shared" si="23"/>
        <v>0</v>
      </c>
      <c r="Z55" s="409">
        <f t="shared" si="23"/>
        <v>0</v>
      </c>
      <c r="AA55" s="409">
        <f t="shared" si="23"/>
        <v>0</v>
      </c>
      <c r="AB55" s="409">
        <f t="shared" si="23"/>
        <v>0</v>
      </c>
      <c r="AC55" s="409">
        <f t="shared" si="23"/>
        <v>0</v>
      </c>
      <c r="AD55" s="409">
        <f t="shared" si="23"/>
        <v>0</v>
      </c>
      <c r="AE55" s="409">
        <f t="shared" si="23"/>
        <v>0</v>
      </c>
      <c r="AF55" s="409">
        <f t="shared" si="23"/>
        <v>0</v>
      </c>
      <c r="AG55" s="409">
        <f t="shared" si="23"/>
        <v>0</v>
      </c>
    </row>
    <row r="56" spans="1:33">
      <c r="A56" s="40" t="s">
        <v>101</v>
      </c>
      <c r="C56" s="411"/>
      <c r="D56" s="409"/>
      <c r="E56" s="409"/>
      <c r="F56" s="409"/>
      <c r="G56" s="409"/>
      <c r="H56" s="409"/>
      <c r="I56" s="409"/>
      <c r="J56" s="409"/>
      <c r="K56" s="409"/>
      <c r="L56" s="409"/>
      <c r="M56" s="409"/>
      <c r="N56" s="409"/>
      <c r="O56" s="409"/>
      <c r="P56" s="409"/>
      <c r="Q56" s="409"/>
      <c r="R56" s="409"/>
      <c r="S56" s="409"/>
      <c r="T56" s="409"/>
      <c r="U56" s="409"/>
      <c r="V56" s="409"/>
      <c r="W56" s="409"/>
    </row>
    <row r="57" spans="1:33">
      <c r="A57" s="40"/>
      <c r="B57" s="107"/>
    </row>
    <row r="58" spans="1:33">
      <c r="C58" s="409">
        <f>+C55+C49</f>
        <v>0</v>
      </c>
      <c r="D58" s="409">
        <f>+D55</f>
        <v>0</v>
      </c>
      <c r="E58" s="409">
        <f t="shared" ref="E58:T58" si="24">+E55</f>
        <v>0</v>
      </c>
      <c r="F58" s="409">
        <f t="shared" si="24"/>
        <v>0</v>
      </c>
      <c r="G58" s="409">
        <f t="shared" si="24"/>
        <v>0</v>
      </c>
      <c r="H58" s="409">
        <f t="shared" si="24"/>
        <v>0</v>
      </c>
      <c r="I58" s="409">
        <f t="shared" si="24"/>
        <v>0</v>
      </c>
      <c r="J58" s="409">
        <f t="shared" si="24"/>
        <v>0</v>
      </c>
      <c r="K58" s="409">
        <f t="shared" si="24"/>
        <v>0</v>
      </c>
      <c r="L58" s="409">
        <f t="shared" si="24"/>
        <v>0</v>
      </c>
      <c r="M58" s="409">
        <f t="shared" si="24"/>
        <v>0</v>
      </c>
      <c r="N58" s="409">
        <f t="shared" si="24"/>
        <v>0</v>
      </c>
      <c r="O58" s="409">
        <f t="shared" si="24"/>
        <v>0</v>
      </c>
      <c r="P58" s="409">
        <f t="shared" si="24"/>
        <v>0</v>
      </c>
      <c r="Q58" s="409">
        <f t="shared" si="24"/>
        <v>0</v>
      </c>
      <c r="R58" s="409">
        <f t="shared" si="24"/>
        <v>0</v>
      </c>
      <c r="S58" s="409">
        <f t="shared" si="24"/>
        <v>0</v>
      </c>
      <c r="T58" s="409">
        <f t="shared" si="24"/>
        <v>25925.981067632998</v>
      </c>
    </row>
    <row r="70" spans="1:84">
      <c r="A70"/>
      <c r="B70"/>
      <c r="C70" s="381"/>
      <c r="D70" s="381"/>
      <c r="E70" s="381"/>
      <c r="F70" s="381"/>
      <c r="G70" s="381"/>
      <c r="H70" s="381"/>
      <c r="I70" s="381"/>
      <c r="J70" s="381"/>
      <c r="K70" s="381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1"/>
      <c r="AA70" s="381"/>
      <c r="AB70" s="381"/>
      <c r="AC70" s="381"/>
      <c r="AD70" s="381"/>
      <c r="AE70" s="381"/>
      <c r="AF70" s="381"/>
      <c r="AG70" s="381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</row>
    <row r="71" spans="1:84">
      <c r="A71"/>
      <c r="B71"/>
      <c r="C71" s="381"/>
      <c r="D71" s="381"/>
      <c r="E71" s="381"/>
      <c r="F71" s="381"/>
      <c r="G71" s="381"/>
      <c r="H71" s="381"/>
      <c r="I71" s="381"/>
      <c r="J71" s="381"/>
      <c r="K71" s="381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1"/>
      <c r="AA71" s="381"/>
      <c r="AB71" s="381"/>
      <c r="AC71" s="381"/>
      <c r="AD71" s="381"/>
      <c r="AE71" s="381"/>
      <c r="AF71" s="381"/>
      <c r="AG71" s="38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</row>
    <row r="72" spans="1:84">
      <c r="A72"/>
      <c r="B72"/>
      <c r="C72" s="381"/>
      <c r="D72" s="381"/>
      <c r="E72" s="381"/>
      <c r="F72" s="381"/>
      <c r="G72" s="381"/>
      <c r="H72" s="381"/>
      <c r="I72" s="381"/>
      <c r="J72" s="381"/>
      <c r="K72" s="381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1"/>
      <c r="AA72" s="381"/>
      <c r="AB72" s="381"/>
      <c r="AC72" s="381"/>
      <c r="AD72" s="381"/>
      <c r="AE72" s="381"/>
      <c r="AF72" s="381"/>
      <c r="AG72" s="381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</row>
    <row r="73" spans="1:84">
      <c r="A73"/>
      <c r="B73"/>
      <c r="C73" s="381"/>
      <c r="D73" s="381"/>
      <c r="E73" s="381"/>
      <c r="F73" s="381"/>
      <c r="G73" s="381"/>
      <c r="H73" s="381"/>
      <c r="I73" s="381"/>
      <c r="J73" s="381"/>
      <c r="K73" s="381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1"/>
      <c r="AA73" s="381"/>
      <c r="AB73" s="381"/>
      <c r="AC73" s="381"/>
      <c r="AD73" s="381"/>
      <c r="AE73" s="381"/>
      <c r="AF73" s="381"/>
      <c r="AG73" s="381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</row>
    <row r="74" spans="1:84">
      <c r="A74"/>
      <c r="B74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1"/>
      <c r="AA74" s="381"/>
      <c r="AB74" s="381"/>
      <c r="AC74" s="381"/>
      <c r="AD74" s="381"/>
      <c r="AE74" s="381"/>
      <c r="AF74" s="381"/>
      <c r="AG74" s="381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</row>
    <row r="75" spans="1:84">
      <c r="A75"/>
      <c r="B75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1"/>
      <c r="AA75" s="381"/>
      <c r="AB75" s="381"/>
      <c r="AC75" s="381"/>
      <c r="AD75" s="381"/>
      <c r="AE75" s="381"/>
      <c r="AF75" s="381"/>
      <c r="AG75" s="381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</row>
    <row r="76" spans="1:84">
      <c r="A76"/>
      <c r="B76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81"/>
      <c r="AB76" s="381"/>
      <c r="AC76" s="381"/>
      <c r="AD76" s="381"/>
      <c r="AE76" s="381"/>
      <c r="AF76" s="381"/>
      <c r="AG76" s="381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</row>
    <row r="77" spans="1:84">
      <c r="A77"/>
      <c r="B77"/>
      <c r="C77" s="381"/>
      <c r="D77" s="381"/>
      <c r="E77" s="381"/>
      <c r="F77" s="381"/>
      <c r="G77" s="381"/>
      <c r="H77" s="381"/>
      <c r="I77" s="381"/>
      <c r="J77" s="381"/>
      <c r="K77" s="381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1"/>
      <c r="AA77" s="381"/>
      <c r="AB77" s="381"/>
      <c r="AC77" s="381"/>
      <c r="AD77" s="381"/>
      <c r="AE77" s="381"/>
      <c r="AF77" s="381"/>
      <c r="AG77" s="381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</row>
    <row r="78" spans="1:84">
      <c r="A78"/>
      <c r="B78"/>
      <c r="C78" s="381"/>
      <c r="D78" s="381"/>
      <c r="E78" s="381"/>
      <c r="F78" s="381"/>
      <c r="G78" s="381"/>
      <c r="H78" s="381"/>
      <c r="I78" s="381"/>
      <c r="J78" s="381"/>
      <c r="K78" s="381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1"/>
      <c r="AA78" s="381"/>
      <c r="AB78" s="381"/>
      <c r="AC78" s="381"/>
      <c r="AD78" s="381"/>
      <c r="AE78" s="381"/>
      <c r="AF78" s="381"/>
      <c r="AG78" s="381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</row>
    <row r="79" spans="1:84">
      <c r="A79"/>
      <c r="B79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1"/>
      <c r="AA79" s="381"/>
      <c r="AB79" s="381"/>
      <c r="AC79" s="381"/>
      <c r="AD79" s="381"/>
      <c r="AE79" s="381"/>
      <c r="AF79" s="381"/>
      <c r="AG79" s="381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</row>
    <row r="80" spans="1:84">
      <c r="A80"/>
      <c r="B80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81"/>
      <c r="P80" s="381"/>
      <c r="Q80" s="381"/>
      <c r="R80" s="381"/>
      <c r="S80" s="381"/>
      <c r="T80" s="381"/>
      <c r="U80" s="381"/>
      <c r="V80" s="381"/>
      <c r="W80" s="381"/>
      <c r="X80" s="381"/>
      <c r="Y80" s="381"/>
      <c r="Z80" s="381"/>
      <c r="AA80" s="381"/>
      <c r="AB80" s="381"/>
      <c r="AC80" s="381"/>
      <c r="AD80" s="381"/>
      <c r="AE80" s="381"/>
      <c r="AF80" s="381"/>
      <c r="AG80" s="381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</row>
    <row r="81" spans="1:84">
      <c r="A81"/>
      <c r="B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81"/>
      <c r="AB81" s="381"/>
      <c r="AC81" s="381"/>
      <c r="AD81" s="381"/>
      <c r="AE81" s="381"/>
      <c r="AF81" s="381"/>
      <c r="AG81" s="3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</row>
    <row r="82" spans="1:84">
      <c r="A82"/>
      <c r="B82"/>
      <c r="C82" s="381"/>
      <c r="D82" s="381"/>
      <c r="E82" s="381"/>
      <c r="F82" s="381"/>
      <c r="G82" s="381"/>
      <c r="H82" s="381"/>
      <c r="I82" s="381"/>
      <c r="J82" s="381"/>
      <c r="K82" s="381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1"/>
      <c r="AA82" s="381"/>
      <c r="AB82" s="381"/>
      <c r="AC82" s="381"/>
      <c r="AD82" s="381"/>
      <c r="AE82" s="381"/>
      <c r="AF82" s="381"/>
      <c r="AG82" s="381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</row>
    <row r="83" spans="1:84">
      <c r="A83"/>
      <c r="B83"/>
      <c r="C83" s="381"/>
      <c r="D83" s="381"/>
      <c r="E83" s="381"/>
      <c r="F83" s="381"/>
      <c r="G83" s="381"/>
      <c r="H83" s="381"/>
      <c r="I83" s="381"/>
      <c r="J83" s="381"/>
      <c r="K83" s="381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1"/>
      <c r="AA83" s="381"/>
      <c r="AB83" s="381"/>
      <c r="AC83" s="381"/>
      <c r="AD83" s="381"/>
      <c r="AE83" s="381"/>
      <c r="AF83" s="381"/>
      <c r="AG83" s="381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</row>
    <row r="84" spans="1:84">
      <c r="A84"/>
      <c r="B84"/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1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</row>
  </sheetData>
  <pageMargins left="0.75" right="0.75" top="1" bottom="1" header="0.5" footer="0.5"/>
  <pageSetup scale="37" orientation="landscape" r:id="rId1"/>
  <headerFooter alignWithMargins="0">
    <oddFooter xml:space="preserve">&amp;L&amp;T, &amp;D&amp;C&amp;F&amp;R&amp;P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6"/>
  <sheetViews>
    <sheetView showGridLines="0" tabSelected="1" topLeftCell="A97" zoomScale="75" zoomScaleNormal="75" workbookViewId="0">
      <selection activeCell="C110" sqref="C110"/>
    </sheetView>
  </sheetViews>
  <sheetFormatPr defaultRowHeight="12.75" outlineLevelRow="1"/>
  <cols>
    <col min="1" max="1" width="36" style="14" customWidth="1"/>
    <col min="2" max="2" width="18.42578125" style="14" customWidth="1"/>
    <col min="3" max="6" width="14.5703125" style="14" customWidth="1"/>
    <col min="7" max="7" width="17.5703125" style="14" customWidth="1"/>
    <col min="8" max="8" width="16.140625" style="14" customWidth="1"/>
    <col min="9" max="9" width="16.28515625" style="14" customWidth="1"/>
    <col min="10" max="22" width="14.5703125" style="14" customWidth="1"/>
    <col min="23" max="42" width="14.42578125" style="14" customWidth="1"/>
    <col min="43" max="16384" width="9.140625" style="14"/>
  </cols>
  <sheetData>
    <row r="1" spans="1:32" ht="18.75" outlineLevel="1">
      <c r="A1" s="86"/>
    </row>
    <row r="2" spans="1:32" ht="18.75" outlineLevel="1">
      <c r="A2" s="86"/>
    </row>
    <row r="3" spans="1:32" outlineLevel="1"/>
    <row r="4" spans="1:32" ht="15.75" outlineLevel="1">
      <c r="A4" s="43"/>
      <c r="C4" s="69" t="s">
        <v>29</v>
      </c>
      <c r="D4" s="70"/>
      <c r="E4" s="70"/>
      <c r="F4" s="71"/>
      <c r="I4" s="69" t="s">
        <v>30</v>
      </c>
      <c r="J4" s="70"/>
      <c r="K4" s="70"/>
      <c r="L4" s="71"/>
      <c r="O4" s="69" t="s">
        <v>31</v>
      </c>
      <c r="P4" s="70"/>
      <c r="Q4" s="70"/>
      <c r="R4" s="71"/>
    </row>
    <row r="5" spans="1:32" outlineLevel="1">
      <c r="A5" s="43"/>
      <c r="C5" s="72" t="s">
        <v>170</v>
      </c>
      <c r="D5" s="73"/>
      <c r="E5" s="73"/>
      <c r="F5" s="267">
        <f>Assumptions!C66</f>
        <v>6.83E-2</v>
      </c>
      <c r="G5" s="268"/>
      <c r="H5" s="6"/>
      <c r="I5" s="269" t="s">
        <v>171</v>
      </c>
      <c r="J5" s="270"/>
      <c r="K5" s="270"/>
      <c r="L5" s="267">
        <f>Assumptions!D66</f>
        <v>0</v>
      </c>
      <c r="M5" s="6"/>
      <c r="N5" s="6"/>
      <c r="O5" s="269" t="s">
        <v>172</v>
      </c>
      <c r="P5" s="270"/>
      <c r="Q5" s="270"/>
      <c r="R5" s="267">
        <f>Assumptions!E66</f>
        <v>0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outlineLevel="1">
      <c r="A6" s="43"/>
      <c r="C6" s="72" t="s">
        <v>102</v>
      </c>
      <c r="D6" s="73"/>
      <c r="E6" s="73"/>
      <c r="F6" s="267">
        <f>Assumptions!C67</f>
        <v>0.01</v>
      </c>
      <c r="G6" s="6"/>
      <c r="H6" s="6"/>
      <c r="I6" s="269" t="s">
        <v>103</v>
      </c>
      <c r="J6" s="270"/>
      <c r="K6" s="270"/>
      <c r="L6" s="267">
        <f>Assumptions!D67</f>
        <v>0</v>
      </c>
      <c r="M6" s="6"/>
      <c r="N6" s="6"/>
      <c r="O6" s="269" t="s">
        <v>103</v>
      </c>
      <c r="P6" s="270"/>
      <c r="Q6" s="270"/>
      <c r="R6" s="267">
        <f>Assumptions!E67</f>
        <v>0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outlineLevel="1">
      <c r="A7" s="43"/>
      <c r="C7" s="74" t="s">
        <v>104</v>
      </c>
      <c r="D7" s="75"/>
      <c r="E7" s="75"/>
      <c r="F7" s="76">
        <f>F6+F5</f>
        <v>7.8299999999999995E-2</v>
      </c>
      <c r="I7" s="74" t="s">
        <v>104</v>
      </c>
      <c r="J7" s="75"/>
      <c r="K7" s="75"/>
      <c r="L7" s="76">
        <f>L5+L6</f>
        <v>0</v>
      </c>
      <c r="O7" s="74" t="s">
        <v>104</v>
      </c>
      <c r="P7" s="75"/>
      <c r="Q7" s="75"/>
      <c r="R7" s="76">
        <f>R5+R6</f>
        <v>0</v>
      </c>
    </row>
    <row r="8" spans="1:32" ht="15.75" outlineLevel="1">
      <c r="A8" s="43"/>
      <c r="C8" s="57" t="s">
        <v>105</v>
      </c>
      <c r="D8" s="77"/>
      <c r="E8" s="78"/>
      <c r="F8" s="61">
        <f>(Assumptions!C54-Assumptions!C48)/365.25</f>
        <v>17.995893223819301</v>
      </c>
      <c r="I8" s="57" t="s">
        <v>106</v>
      </c>
      <c r="J8" s="62"/>
      <c r="K8" s="62"/>
      <c r="L8" s="61">
        <f>(Assumptions!D54-Assumptions!C48)/365.25</f>
        <v>-100.58590006844626</v>
      </c>
      <c r="O8" s="57" t="s">
        <v>106</v>
      </c>
      <c r="P8" s="62"/>
      <c r="Q8" s="62"/>
      <c r="R8" s="61">
        <f>(Assumptions!E54-Assumptions!C48)/365.25</f>
        <v>-100.58590006844626</v>
      </c>
    </row>
    <row r="9" spans="1:32" ht="15.75" outlineLevel="1">
      <c r="A9" s="43"/>
      <c r="C9" s="63" t="s">
        <v>107</v>
      </c>
      <c r="D9" s="79"/>
      <c r="E9" s="79"/>
      <c r="F9" s="64">
        <f>B140</f>
        <v>11.820431960615442</v>
      </c>
      <c r="I9" s="63" t="s">
        <v>108</v>
      </c>
      <c r="J9" s="65"/>
      <c r="K9" s="65"/>
      <c r="L9" s="64" t="e">
        <f>B141</f>
        <v>#DIV/0!</v>
      </c>
      <c r="O9" s="63" t="s">
        <v>175</v>
      </c>
      <c r="P9" s="65"/>
      <c r="Q9" s="65"/>
      <c r="R9" s="64" t="e">
        <f>B142</f>
        <v>#DIV/0!</v>
      </c>
    </row>
    <row r="10" spans="1:32" outlineLevel="1">
      <c r="A10" s="43"/>
      <c r="C10" s="83" t="s">
        <v>109</v>
      </c>
      <c r="D10" s="84"/>
      <c r="E10" s="84"/>
      <c r="F10" s="262">
        <f>Assumptions!C52</f>
        <v>79074.242256280646</v>
      </c>
      <c r="G10" s="6"/>
      <c r="H10" s="6"/>
      <c r="I10" s="263" t="s">
        <v>109</v>
      </c>
      <c r="J10" s="264"/>
      <c r="K10" s="264"/>
      <c r="L10" s="262">
        <f>Assumptions!D52</f>
        <v>0</v>
      </c>
      <c r="M10" s="6"/>
      <c r="N10" s="6"/>
      <c r="O10" s="263" t="s">
        <v>109</v>
      </c>
      <c r="P10" s="264"/>
      <c r="Q10" s="264"/>
      <c r="R10" s="262">
        <f>Assumptions!E52</f>
        <v>0</v>
      </c>
      <c r="S10" s="6"/>
      <c r="T10" s="6"/>
    </row>
    <row r="11" spans="1:32" outlineLevel="1">
      <c r="A11" s="43"/>
      <c r="C11" s="85"/>
      <c r="D11" s="73"/>
      <c r="E11" s="73"/>
      <c r="F11" s="116"/>
      <c r="I11" s="85"/>
      <c r="J11" s="85"/>
      <c r="K11" s="85"/>
      <c r="L11" s="116"/>
      <c r="O11" s="85"/>
      <c r="P11" s="85"/>
      <c r="Q11" s="85"/>
      <c r="R11"/>
    </row>
    <row r="12" spans="1:32" outlineLevel="1">
      <c r="A12" s="43"/>
      <c r="B12" s="51"/>
      <c r="C12" s="85"/>
      <c r="D12" s="73"/>
      <c r="E12" s="73"/>
      <c r="F12" s="116"/>
      <c r="I12" s="85"/>
      <c r="J12" s="85"/>
      <c r="K12" s="85"/>
      <c r="L12" s="116"/>
      <c r="O12" s="85"/>
      <c r="P12" s="85"/>
      <c r="Q12" s="85"/>
      <c r="R12"/>
    </row>
    <row r="13" spans="1:32" outlineLevel="1">
      <c r="A13" s="43"/>
      <c r="B13" s="51"/>
      <c r="C13" s="555"/>
      <c r="D13" s="555"/>
      <c r="E13" s="555"/>
      <c r="F13" s="555"/>
      <c r="G13" s="555"/>
      <c r="H13" s="555"/>
      <c r="I13" s="555"/>
      <c r="J13" s="555"/>
      <c r="K13" s="555"/>
      <c r="L13" s="555"/>
      <c r="M13" s="555"/>
      <c r="N13" s="555"/>
      <c r="O13" s="555"/>
      <c r="P13" s="555"/>
      <c r="Q13" s="555"/>
      <c r="R13" s="555"/>
      <c r="S13" s="555"/>
      <c r="T13" s="555"/>
      <c r="U13" s="555"/>
      <c r="V13" s="555"/>
    </row>
    <row r="14" spans="1:32" outlineLevel="1">
      <c r="A14" s="43"/>
      <c r="B14" s="51"/>
      <c r="C14" s="555"/>
      <c r="D14" s="555"/>
      <c r="E14" s="555"/>
      <c r="F14" s="555"/>
      <c r="G14" s="555"/>
      <c r="H14" s="555"/>
      <c r="I14" s="555"/>
      <c r="J14" s="555"/>
      <c r="K14" s="555"/>
      <c r="L14" s="555"/>
      <c r="M14" s="555"/>
      <c r="N14" s="555"/>
      <c r="O14" s="555"/>
      <c r="P14" s="555"/>
      <c r="Q14" s="555"/>
      <c r="R14" s="555"/>
      <c r="S14" s="555"/>
      <c r="T14" s="555"/>
      <c r="U14" s="555"/>
      <c r="V14" s="555"/>
    </row>
    <row r="15" spans="1:32" outlineLevel="1">
      <c r="A15" s="43"/>
      <c r="C15" s="85"/>
      <c r="D15" s="73"/>
      <c r="E15" s="73"/>
      <c r="F15" s="116"/>
      <c r="I15" s="85"/>
      <c r="J15" s="85"/>
      <c r="K15" s="85"/>
      <c r="L15" s="116"/>
      <c r="O15" s="85"/>
      <c r="P15" s="85"/>
      <c r="Q15" s="85"/>
      <c r="R15"/>
    </row>
    <row r="16" spans="1:32" outlineLevel="1">
      <c r="A16" s="43"/>
      <c r="C16" s="446" t="s">
        <v>310</v>
      </c>
      <c r="D16" s="73"/>
      <c r="E16" s="85"/>
      <c r="F16" s="447">
        <f>-PMT(Assumptions!$C$68/2,Assumptions!$C$61,Assumptions!$C$52,,0)</f>
        <v>4187.8257151766265</v>
      </c>
      <c r="I16" s="85"/>
      <c r="J16" s="85"/>
      <c r="K16" s="85"/>
      <c r="L16" s="116"/>
      <c r="O16" s="85"/>
      <c r="P16" s="85"/>
      <c r="Q16" s="85"/>
      <c r="R16" s="116"/>
    </row>
    <row r="17" spans="1:38" outlineLevel="1">
      <c r="A17" s="43"/>
      <c r="C17" s="446"/>
      <c r="D17" s="73"/>
      <c r="E17" s="85"/>
      <c r="F17"/>
      <c r="I17" s="85"/>
      <c r="J17" s="85"/>
      <c r="K17" s="85"/>
      <c r="L17" s="116"/>
      <c r="O17" s="85"/>
      <c r="P17" s="85"/>
      <c r="Q17" s="85"/>
      <c r="R17"/>
    </row>
    <row r="18" spans="1:38" ht="18.75">
      <c r="A18" s="282" t="str">
        <f>Assumptions!B3</f>
        <v>PROJECT NAME: SANTEE COOPER</v>
      </c>
      <c r="C18" s="85"/>
      <c r="D18" s="73"/>
      <c r="E18" s="73"/>
      <c r="F18" s="116"/>
      <c r="G18" s="6"/>
      <c r="H18" s="6"/>
      <c r="I18" s="3"/>
      <c r="J18" s="3"/>
      <c r="K18" s="3"/>
      <c r="L18" s="116"/>
      <c r="M18" s="6"/>
      <c r="N18" s="6"/>
      <c r="O18" s="3"/>
      <c r="P18" s="3"/>
      <c r="Q18" s="3"/>
      <c r="R18" s="11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8">
      <c r="A19" s="43"/>
      <c r="C19" s="85"/>
      <c r="D19" s="73"/>
      <c r="E19" s="73"/>
      <c r="F19" s="116"/>
      <c r="G19" s="6"/>
      <c r="H19" s="6"/>
      <c r="I19" s="3"/>
      <c r="J19" s="3"/>
      <c r="K19" s="3"/>
      <c r="L19" s="116"/>
      <c r="M19" s="6"/>
      <c r="N19" s="6"/>
      <c r="O19" s="3"/>
      <c r="P19" s="3"/>
      <c r="Q19" s="3"/>
      <c r="R19" s="11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8" ht="18.75">
      <c r="A20" s="81" t="s">
        <v>217</v>
      </c>
      <c r="B20" s="565"/>
      <c r="C20" s="566"/>
      <c r="D20" s="567"/>
      <c r="E20" s="567"/>
      <c r="F20" s="567"/>
      <c r="G20" s="567"/>
      <c r="H20" s="567"/>
      <c r="I20" s="567"/>
      <c r="J20" s="567"/>
      <c r="K20" s="567"/>
      <c r="L20" s="567"/>
      <c r="M20" s="567"/>
      <c r="N20" s="567"/>
      <c r="O20" s="567"/>
      <c r="P20" s="567"/>
      <c r="Q20" s="567"/>
      <c r="R20" s="567"/>
      <c r="S20" s="567"/>
      <c r="T20" s="567"/>
      <c r="U20" s="567"/>
      <c r="V20" s="567"/>
      <c r="W20" s="567"/>
      <c r="X20" s="567"/>
      <c r="Y20" s="567"/>
      <c r="Z20" s="567"/>
      <c r="AA20" s="567"/>
      <c r="AB20" s="567"/>
      <c r="AC20" s="567"/>
      <c r="AD20" s="567"/>
      <c r="AE20" s="567"/>
      <c r="AF20" s="567"/>
      <c r="AG20" s="567"/>
      <c r="AH20" s="567"/>
      <c r="AI20" s="567"/>
      <c r="AJ20" s="567"/>
      <c r="AK20" s="567"/>
      <c r="AL20" s="567"/>
    </row>
    <row r="21" spans="1:38" s="15" customFormat="1">
      <c r="A21" s="3"/>
      <c r="B21" s="233"/>
      <c r="C21" s="233"/>
      <c r="D21" s="233"/>
      <c r="E21" s="233"/>
    </row>
    <row r="22" spans="1:38" s="190" customFormat="1" hidden="1">
      <c r="A22" s="441"/>
      <c r="B22" s="442"/>
      <c r="C22" s="442"/>
      <c r="D22" s="442"/>
      <c r="E22" s="442"/>
      <c r="F22" s="442"/>
      <c r="G22" s="442"/>
      <c r="H22" s="442"/>
      <c r="I22" s="442"/>
      <c r="J22" s="442"/>
      <c r="K22" s="442"/>
      <c r="L22" s="442"/>
      <c r="M22" s="442"/>
      <c r="N22" s="442"/>
      <c r="O22" s="442"/>
      <c r="P22" s="442"/>
      <c r="Q22" s="442"/>
      <c r="R22" s="442"/>
      <c r="S22" s="442"/>
      <c r="T22" s="442"/>
      <c r="U22" s="442"/>
      <c r="V22" s="442"/>
      <c r="W22" s="442"/>
      <c r="X22" s="442"/>
      <c r="Y22" s="442"/>
      <c r="Z22" s="442"/>
      <c r="AA22" s="442"/>
      <c r="AB22" s="442"/>
      <c r="AC22" s="442"/>
      <c r="AD22" s="442"/>
      <c r="AE22" s="442"/>
      <c r="AF22" s="442"/>
    </row>
    <row r="23" spans="1:38" ht="13.5" hidden="1" thickBot="1">
      <c r="A23" s="443" t="s">
        <v>73</v>
      </c>
      <c r="B23" s="443"/>
      <c r="C23" s="443"/>
      <c r="D23" s="443"/>
      <c r="E23" s="443"/>
      <c r="F23" s="443"/>
      <c r="G23" s="443"/>
      <c r="H23" s="443"/>
      <c r="I23" s="443"/>
      <c r="J23" s="443"/>
      <c r="K23" s="443"/>
      <c r="L23" s="443"/>
      <c r="M23" s="443"/>
      <c r="N23" s="443"/>
      <c r="O23" s="443"/>
      <c r="P23" s="443"/>
      <c r="Q23" s="443"/>
      <c r="R23" s="443"/>
      <c r="S23" s="443"/>
      <c r="T23" s="443"/>
      <c r="U23" s="443"/>
      <c r="V23" s="443"/>
      <c r="W23" s="443"/>
      <c r="X23" s="443"/>
      <c r="Y23" s="443"/>
      <c r="Z23" s="443"/>
      <c r="AA23" s="443"/>
      <c r="AB23" s="443"/>
      <c r="AC23" s="443"/>
      <c r="AD23" s="443"/>
      <c r="AE23" s="443"/>
      <c r="AF23" s="443"/>
      <c r="AG23" s="13"/>
      <c r="AH23" s="13"/>
    </row>
    <row r="24" spans="1:38" s="54" customFormat="1" hidden="1">
      <c r="A24" s="441"/>
      <c r="B24" s="444"/>
      <c r="C24" s="444"/>
      <c r="D24" s="444"/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44"/>
      <c r="R24" s="444"/>
      <c r="S24" s="444"/>
      <c r="T24" s="444"/>
      <c r="U24" s="444"/>
      <c r="V24" s="444"/>
      <c r="W24" s="444"/>
      <c r="X24" s="444"/>
      <c r="Y24" s="444"/>
      <c r="Z24" s="444"/>
      <c r="AA24" s="444"/>
      <c r="AB24" s="444"/>
      <c r="AC24" s="444"/>
      <c r="AD24" s="444"/>
      <c r="AE24" s="444"/>
      <c r="AF24" s="444"/>
      <c r="AG24" s="13"/>
      <c r="AH24" s="13"/>
    </row>
    <row r="25" spans="1:38">
      <c r="C25" s="51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spans="1:38">
      <c r="A26" s="43" t="s">
        <v>110</v>
      </c>
      <c r="B26" s="285">
        <f>B123</f>
        <v>0.05</v>
      </c>
      <c r="C26" s="285">
        <f t="shared" ref="C26:W26" si="0">C123</f>
        <v>0.05</v>
      </c>
      <c r="D26" s="285">
        <f t="shared" si="0"/>
        <v>0.05</v>
      </c>
      <c r="E26" s="285">
        <f t="shared" si="0"/>
        <v>0.05</v>
      </c>
      <c r="F26" s="285">
        <f t="shared" si="0"/>
        <v>0.05</v>
      </c>
      <c r="G26" s="285">
        <f t="shared" si="0"/>
        <v>0.05</v>
      </c>
      <c r="H26" s="285">
        <f t="shared" si="0"/>
        <v>0.05</v>
      </c>
      <c r="I26" s="285">
        <f t="shared" si="0"/>
        <v>0.05</v>
      </c>
      <c r="J26" s="285">
        <f t="shared" si="0"/>
        <v>0.05</v>
      </c>
      <c r="K26" s="285">
        <f t="shared" si="0"/>
        <v>0.05</v>
      </c>
      <c r="L26" s="285">
        <f t="shared" si="0"/>
        <v>0.05</v>
      </c>
      <c r="M26" s="285">
        <f t="shared" si="0"/>
        <v>0.05</v>
      </c>
      <c r="N26" s="285">
        <f t="shared" si="0"/>
        <v>0.05</v>
      </c>
      <c r="O26" s="285">
        <f t="shared" si="0"/>
        <v>0.05</v>
      </c>
      <c r="P26" s="285">
        <f t="shared" si="0"/>
        <v>0.05</v>
      </c>
      <c r="Q26" s="285">
        <f t="shared" si="0"/>
        <v>0.05</v>
      </c>
      <c r="R26" s="285">
        <f t="shared" si="0"/>
        <v>0.05</v>
      </c>
      <c r="S26" s="285">
        <f t="shared" si="0"/>
        <v>0.05</v>
      </c>
      <c r="T26" s="285">
        <f t="shared" si="0"/>
        <v>0.05</v>
      </c>
      <c r="U26" s="285">
        <f t="shared" si="0"/>
        <v>0.05</v>
      </c>
      <c r="V26" s="285">
        <f t="shared" si="0"/>
        <v>0</v>
      </c>
      <c r="W26" s="285">
        <f t="shared" si="0"/>
        <v>0</v>
      </c>
      <c r="X26" s="285">
        <f t="shared" ref="X26:AF26" si="1">X123</f>
        <v>0</v>
      </c>
      <c r="Y26" s="285">
        <f t="shared" si="1"/>
        <v>0</v>
      </c>
      <c r="Z26" s="285">
        <f t="shared" si="1"/>
        <v>0</v>
      </c>
      <c r="AA26" s="285">
        <f t="shared" si="1"/>
        <v>0</v>
      </c>
      <c r="AB26" s="285">
        <f t="shared" si="1"/>
        <v>0</v>
      </c>
      <c r="AC26" s="285">
        <f t="shared" si="1"/>
        <v>0</v>
      </c>
      <c r="AD26" s="285">
        <f t="shared" si="1"/>
        <v>0</v>
      </c>
      <c r="AE26" s="285">
        <f t="shared" si="1"/>
        <v>0</v>
      </c>
      <c r="AF26" s="285">
        <f t="shared" si="1"/>
        <v>0</v>
      </c>
      <c r="AG26" s="46"/>
      <c r="AH26" s="46"/>
    </row>
    <row r="27" spans="1:38">
      <c r="A27" s="47" t="str">
        <f>IF(SUM(B26:W26)&lt;&gt;1,"CHECK!","")</f>
        <v/>
      </c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</row>
    <row r="28" spans="1:38">
      <c r="A28" s="43" t="s">
        <v>111</v>
      </c>
      <c r="B28" s="286">
        <f>B128</f>
        <v>0.05</v>
      </c>
      <c r="C28" s="286">
        <f t="shared" ref="C28:W28" si="2">C128</f>
        <v>0.05</v>
      </c>
      <c r="D28" s="286">
        <f t="shared" si="2"/>
        <v>0.05</v>
      </c>
      <c r="E28" s="286">
        <f t="shared" si="2"/>
        <v>0.05</v>
      </c>
      <c r="F28" s="286">
        <f t="shared" si="2"/>
        <v>0.05</v>
      </c>
      <c r="G28" s="286">
        <f t="shared" si="2"/>
        <v>0.05</v>
      </c>
      <c r="H28" s="286">
        <f t="shared" si="2"/>
        <v>0.05</v>
      </c>
      <c r="I28" s="286">
        <f t="shared" si="2"/>
        <v>0.05</v>
      </c>
      <c r="J28" s="286">
        <f t="shared" si="2"/>
        <v>0.05</v>
      </c>
      <c r="K28" s="286">
        <f t="shared" si="2"/>
        <v>0.05</v>
      </c>
      <c r="L28" s="286">
        <f t="shared" si="2"/>
        <v>0.05</v>
      </c>
      <c r="M28" s="286">
        <f t="shared" si="2"/>
        <v>0.05</v>
      </c>
      <c r="N28" s="286">
        <f t="shared" si="2"/>
        <v>0.05</v>
      </c>
      <c r="O28" s="286">
        <f t="shared" si="2"/>
        <v>0.05</v>
      </c>
      <c r="P28" s="286">
        <f t="shared" si="2"/>
        <v>0.05</v>
      </c>
      <c r="Q28" s="286">
        <f t="shared" si="2"/>
        <v>0.05</v>
      </c>
      <c r="R28" s="286">
        <f t="shared" si="2"/>
        <v>0.05</v>
      </c>
      <c r="S28" s="286">
        <f t="shared" si="2"/>
        <v>0.05</v>
      </c>
      <c r="T28" s="286">
        <f t="shared" si="2"/>
        <v>0.05</v>
      </c>
      <c r="U28" s="286">
        <f t="shared" si="2"/>
        <v>0.05</v>
      </c>
      <c r="V28" s="286">
        <f t="shared" si="2"/>
        <v>0</v>
      </c>
      <c r="W28" s="286">
        <f t="shared" si="2"/>
        <v>0</v>
      </c>
      <c r="X28" s="286">
        <f t="shared" ref="X28:AF28" si="3">X128</f>
        <v>0</v>
      </c>
      <c r="Y28" s="286">
        <f t="shared" si="3"/>
        <v>0</v>
      </c>
      <c r="Z28" s="286">
        <f t="shared" si="3"/>
        <v>0</v>
      </c>
      <c r="AA28" s="286">
        <f t="shared" si="3"/>
        <v>0</v>
      </c>
      <c r="AB28" s="286">
        <f t="shared" si="3"/>
        <v>0</v>
      </c>
      <c r="AC28" s="286">
        <f t="shared" si="3"/>
        <v>0</v>
      </c>
      <c r="AD28" s="286">
        <f t="shared" si="3"/>
        <v>0</v>
      </c>
      <c r="AE28" s="286">
        <f t="shared" si="3"/>
        <v>0</v>
      </c>
      <c r="AF28" s="286">
        <f t="shared" si="3"/>
        <v>0</v>
      </c>
    </row>
    <row r="29" spans="1:38">
      <c r="A29" s="47" t="str">
        <f>IF(SUM(B28:W28)&lt;&gt;1,"CHECK!","")</f>
        <v/>
      </c>
      <c r="B29" s="197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7"/>
      <c r="AF29" s="197"/>
    </row>
    <row r="30" spans="1:38">
      <c r="A30" s="43" t="s">
        <v>112</v>
      </c>
      <c r="B30" s="286">
        <f>B133</f>
        <v>0.05</v>
      </c>
      <c r="C30" s="286">
        <f t="shared" ref="C30:W30" si="4">C133</f>
        <v>0.05</v>
      </c>
      <c r="D30" s="286">
        <f t="shared" si="4"/>
        <v>0.05</v>
      </c>
      <c r="E30" s="286">
        <f t="shared" si="4"/>
        <v>0.05</v>
      </c>
      <c r="F30" s="286">
        <f t="shared" si="4"/>
        <v>0.05</v>
      </c>
      <c r="G30" s="286">
        <f t="shared" si="4"/>
        <v>0.05</v>
      </c>
      <c r="H30" s="286">
        <f t="shared" si="4"/>
        <v>0.05</v>
      </c>
      <c r="I30" s="286">
        <f t="shared" si="4"/>
        <v>0.05</v>
      </c>
      <c r="J30" s="286">
        <f t="shared" si="4"/>
        <v>0.05</v>
      </c>
      <c r="K30" s="286">
        <f t="shared" si="4"/>
        <v>0.05</v>
      </c>
      <c r="L30" s="286">
        <f t="shared" si="4"/>
        <v>0.05</v>
      </c>
      <c r="M30" s="286">
        <f t="shared" si="4"/>
        <v>0.05</v>
      </c>
      <c r="N30" s="286">
        <f t="shared" si="4"/>
        <v>0.05</v>
      </c>
      <c r="O30" s="286">
        <f t="shared" si="4"/>
        <v>0.05</v>
      </c>
      <c r="P30" s="286">
        <f t="shared" si="4"/>
        <v>0.05</v>
      </c>
      <c r="Q30" s="286">
        <f t="shared" si="4"/>
        <v>0.05</v>
      </c>
      <c r="R30" s="286">
        <f t="shared" si="4"/>
        <v>0.05</v>
      </c>
      <c r="S30" s="286">
        <f t="shared" si="4"/>
        <v>0.05</v>
      </c>
      <c r="T30" s="286">
        <f t="shared" si="4"/>
        <v>0.05</v>
      </c>
      <c r="U30" s="286">
        <f t="shared" si="4"/>
        <v>0.05</v>
      </c>
      <c r="V30" s="286">
        <f t="shared" si="4"/>
        <v>0</v>
      </c>
      <c r="W30" s="286">
        <f t="shared" si="4"/>
        <v>0</v>
      </c>
      <c r="X30" s="286">
        <f t="shared" ref="X30:AF30" si="5">X133</f>
        <v>0</v>
      </c>
      <c r="Y30" s="286">
        <f t="shared" si="5"/>
        <v>0</v>
      </c>
      <c r="Z30" s="286">
        <f t="shared" si="5"/>
        <v>0</v>
      </c>
      <c r="AA30" s="286">
        <f t="shared" si="5"/>
        <v>0</v>
      </c>
      <c r="AB30" s="286">
        <f t="shared" si="5"/>
        <v>0</v>
      </c>
      <c r="AC30" s="286">
        <f t="shared" si="5"/>
        <v>0</v>
      </c>
      <c r="AD30" s="286">
        <f t="shared" si="5"/>
        <v>0</v>
      </c>
      <c r="AE30" s="286">
        <f t="shared" si="5"/>
        <v>0</v>
      </c>
      <c r="AF30" s="286">
        <f t="shared" si="5"/>
        <v>0</v>
      </c>
      <c r="AG30" s="6"/>
      <c r="AH30" s="6"/>
    </row>
    <row r="31" spans="1:38">
      <c r="A31" s="47" t="str">
        <f>IF(SUM(B30:W30)&lt;&gt;1,"CHECK!","")</f>
        <v/>
      </c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</row>
    <row r="32" spans="1:38">
      <c r="A32" s="47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</row>
    <row r="33" spans="1:34">
      <c r="A33" s="48" t="str">
        <f>CONCATENATE("Tranche 1 @ ",F7*100,"%")</f>
        <v>Tranche 1 @ 7.83%</v>
      </c>
      <c r="C33" s="49"/>
    </row>
    <row r="34" spans="1:34">
      <c r="A34" s="451">
        <f>Assumptions!C48</f>
        <v>36739</v>
      </c>
      <c r="B34" s="562">
        <v>36769</v>
      </c>
      <c r="C34" s="562">
        <v>37134</v>
      </c>
      <c r="D34" s="562">
        <v>37499</v>
      </c>
      <c r="E34" s="562">
        <v>37864</v>
      </c>
      <c r="F34" s="562">
        <v>38230</v>
      </c>
      <c r="G34" s="562">
        <v>38595</v>
      </c>
      <c r="H34" s="562">
        <v>38960</v>
      </c>
      <c r="I34" s="562">
        <v>39325</v>
      </c>
      <c r="J34" s="562">
        <v>39691</v>
      </c>
      <c r="K34" s="562">
        <v>40056</v>
      </c>
      <c r="L34" s="562">
        <v>40421</v>
      </c>
      <c r="M34" s="562">
        <v>40786</v>
      </c>
      <c r="N34" s="562">
        <v>41152</v>
      </c>
      <c r="O34" s="562">
        <v>41517</v>
      </c>
      <c r="P34" s="562">
        <v>41882</v>
      </c>
      <c r="Q34" s="562">
        <v>42247</v>
      </c>
      <c r="R34" s="562">
        <v>42613</v>
      </c>
      <c r="S34" s="562">
        <v>42978</v>
      </c>
      <c r="T34" s="562">
        <v>43343</v>
      </c>
      <c r="U34" s="562">
        <v>43708</v>
      </c>
      <c r="V34" s="562">
        <v>44074</v>
      </c>
      <c r="W34" s="562">
        <v>44439</v>
      </c>
      <c r="X34" s="562">
        <v>44804</v>
      </c>
      <c r="Y34" s="562">
        <v>45169</v>
      </c>
      <c r="Z34" s="562">
        <v>45535</v>
      </c>
      <c r="AA34" s="562">
        <v>45900</v>
      </c>
      <c r="AB34" s="562">
        <v>46265</v>
      </c>
      <c r="AC34" s="562">
        <v>46630</v>
      </c>
      <c r="AD34" s="562">
        <v>46996</v>
      </c>
      <c r="AE34" s="562">
        <v>47361</v>
      </c>
      <c r="AF34" s="562">
        <v>47726</v>
      </c>
    </row>
    <row r="35" spans="1:34">
      <c r="A35" s="51" t="s">
        <v>113</v>
      </c>
      <c r="B35" s="231">
        <f>+Assumptions!D12</f>
        <v>79074.242256280646</v>
      </c>
      <c r="C35" s="51">
        <f>B43</f>
        <v>79074.242256280646</v>
      </c>
      <c r="D35" s="51">
        <f t="shared" ref="D35:AF35" si="6">C43</f>
        <v>75775.031003251643</v>
      </c>
      <c r="E35" s="51">
        <f t="shared" si="6"/>
        <v>73284.753218660699</v>
      </c>
      <c r="F35" s="51">
        <f t="shared" si="6"/>
        <v>70595.669778744603</v>
      </c>
      <c r="G35" s="51">
        <f t="shared" si="6"/>
        <v>67691.909486790333</v>
      </c>
      <c r="H35" s="51">
        <f t="shared" si="6"/>
        <v>64556.334105241971</v>
      </c>
      <c r="I35" s="51">
        <f t="shared" si="6"/>
        <v>61170.437204380622</v>
      </c>
      <c r="J35" s="51">
        <f t="shared" si="6"/>
        <v>57514.2349358192</v>
      </c>
      <c r="K35" s="51">
        <f t="shared" si="6"/>
        <v>53566.148086147841</v>
      </c>
      <c r="L35" s="51">
        <f t="shared" si="6"/>
        <v>49302.874714600774</v>
      </c>
      <c r="M35" s="51">
        <f t="shared" si="6"/>
        <v>44699.252623041342</v>
      </c>
      <c r="N35" s="51">
        <f t="shared" si="6"/>
        <v>39728.110846551579</v>
      </c>
      <c r="O35" s="51">
        <f t="shared" si="6"/>
        <v>34360.109288111154</v>
      </c>
      <c r="P35" s="51">
        <f t="shared" si="6"/>
        <v>28563.565550876188</v>
      </c>
      <c r="Q35" s="51">
        <f t="shared" si="6"/>
        <v>22304.267946007429</v>
      </c>
      <c r="R35" s="51">
        <f t="shared" si="6"/>
        <v>15545.273572404269</v>
      </c>
      <c r="S35" s="51">
        <f t="shared" si="6"/>
        <v>8246.6902765941832</v>
      </c>
      <c r="T35" s="51">
        <f t="shared" si="6"/>
        <v>365.44120588655687</v>
      </c>
      <c r="U35" s="51">
        <f t="shared" si="6"/>
        <v>0</v>
      </c>
      <c r="V35" s="51">
        <f t="shared" si="6"/>
        <v>0</v>
      </c>
      <c r="W35" s="51">
        <f t="shared" si="6"/>
        <v>0</v>
      </c>
      <c r="X35" s="51">
        <f t="shared" si="6"/>
        <v>0</v>
      </c>
      <c r="Y35" s="51">
        <f t="shared" si="6"/>
        <v>0</v>
      </c>
      <c r="Z35" s="51">
        <f t="shared" si="6"/>
        <v>0</v>
      </c>
      <c r="AA35" s="51">
        <f t="shared" si="6"/>
        <v>0</v>
      </c>
      <c r="AB35" s="51">
        <f t="shared" si="6"/>
        <v>0</v>
      </c>
      <c r="AC35" s="51">
        <f t="shared" si="6"/>
        <v>0</v>
      </c>
      <c r="AD35" s="51">
        <f t="shared" si="6"/>
        <v>0</v>
      </c>
      <c r="AE35" s="51">
        <f t="shared" si="6"/>
        <v>0</v>
      </c>
      <c r="AF35" s="51">
        <f t="shared" si="6"/>
        <v>0</v>
      </c>
      <c r="AG35" s="51"/>
      <c r="AH35" s="51"/>
    </row>
    <row r="36" spans="1:34">
      <c r="A36" s="51" t="s">
        <v>114</v>
      </c>
      <c r="B36" s="552">
        <v>0</v>
      </c>
      <c r="C36" s="51">
        <f>+IF(C35&lt;1,0,IF(Assumptions!$C$58=1,$F$16-C37,B35*C$26/2))</f>
        <v>2123.9879922877017</v>
      </c>
      <c r="D36" s="51">
        <f>+IF(D35&lt;1,0,IF(Assumptions!$C$58=1,$F$16-D37,C35*D$26/2))</f>
        <v>1221.2332513993251</v>
      </c>
      <c r="E36" s="51">
        <f>+IF(E35&lt;1,0,IF(Assumptions!$C$58=1,$F$16-E37,D35*E$26/2))</f>
        <v>1318.7276266660606</v>
      </c>
      <c r="F36" s="51">
        <f>+IF(F35&lt;1,0,IF(Assumptions!$C$58=1,$F$16-F37,E35*F$26/2))</f>
        <v>1424.0052433387755</v>
      </c>
      <c r="G36" s="51">
        <f>+IF(G35&lt;1,0,IF(Assumptions!$C$58=1,$F$16-G37,F35*G$26/2))</f>
        <v>1537.6874587687853</v>
      </c>
      <c r="H36" s="51">
        <f>+IF(H35&lt;1,0,IF(Assumptions!$C$58=1,$F$16-H37,G35*H$26/2))</f>
        <v>1660.4452349564035</v>
      </c>
      <c r="I36" s="51">
        <f>+IF(I35&lt;1,0,IF(Assumptions!$C$58=1,$F$16-I37,H35*I$26/2))</f>
        <v>1793.0030986251254</v>
      </c>
      <c r="J36" s="51">
        <f>+IF(J35&lt;1,0,IF(Assumptions!$C$58=1,$F$16-J37,I35*J$26/2))</f>
        <v>1936.1434174393048</v>
      </c>
      <c r="K36" s="51">
        <f>+IF(K35&lt;1,0,IF(Assumptions!$C$58=1,$F$16-K37,J35*K$26/2))</f>
        <v>2090.7110176039387</v>
      </c>
      <c r="L36" s="51">
        <f>+IF(L35&lt;1,0,IF(Assumptions!$C$58=1,$F$16-L37,K35*L$26/2))</f>
        <v>2257.6181701000064</v>
      </c>
      <c r="M36" s="51">
        <f>+IF(M35&lt;1,0,IF(Assumptions!$C$58=1,$F$16-M37,L35*M$26/2))</f>
        <v>2437.8499749845578</v>
      </c>
      <c r="N36" s="51">
        <f>+IF(N35&lt;1,0,IF(Assumptions!$C$58=1,$F$16-N37,M35*N$26/2))</f>
        <v>2632.4701755341321</v>
      </c>
      <c r="O36" s="51">
        <f>+IF(O35&lt;1,0,IF(Assumptions!$C$58=1,$F$16-O37,N35*O$26/2))</f>
        <v>2842.6274365470749</v>
      </c>
      <c r="P36" s="51">
        <f>+IF(P35&lt;1,0,IF(Assumptions!$C$58=1,$F$16-P37,O35*P$26/2))</f>
        <v>3069.5621238598242</v>
      </c>
      <c r="Q36" s="51">
        <f>+IF(Q35&lt;1,0,IF(Assumptions!$C$58=1,$F$16-Q37,P35*Q$26/2))</f>
        <v>3314.6136250904356</v>
      </c>
      <c r="R36" s="51">
        <f>+IF(R35&lt;1,0,IF(Assumptions!$C$58=1,$F$16-R37,Q35*R$26/2))</f>
        <v>3579.2282548169997</v>
      </c>
      <c r="S36" s="51">
        <f>+IF(S35&lt;1,0,IF(Assumptions!$C$58=1,$F$16-S37,R35*S$26/2))</f>
        <v>3864.9677908479644</v>
      </c>
      <c r="T36" s="51">
        <f>+IF(T35&lt;1,0,IF(Assumptions!$C$58=1,$F$16-T37,S35*T$26/2))</f>
        <v>4173.5186919661683</v>
      </c>
      <c r="U36" s="51">
        <f>+IF(U35&lt;1,0,IF(Assumptions!$C$58=1,$F$16-U37,T35*U$26/2))</f>
        <v>0</v>
      </c>
      <c r="V36" s="51">
        <f>+IF(V35&lt;1,0,IF(Assumptions!$C$58=1,$F$16-V37,U35*V$26/2))</f>
        <v>0</v>
      </c>
      <c r="W36" s="51">
        <f>+IF(W35&lt;1,0,IF(Assumptions!$C$58=1,$F$16-W37,V35*W$26/2))</f>
        <v>0</v>
      </c>
      <c r="X36" s="51">
        <f>+IF(X35&lt;1,0,IF(Assumptions!$C$58=1,$F$16-X37,W35*X$26/2))</f>
        <v>0</v>
      </c>
      <c r="Y36" s="51">
        <f>+IF(Y35&lt;1,0,IF(Assumptions!$C$58=1,$F$16-Y37,X35*Y$26/2))</f>
        <v>0</v>
      </c>
      <c r="Z36" s="51">
        <f>+IF(Z35&lt;1,0,IF(Assumptions!$C$58=1,$F$16-Z37,Y35*Z$26/2))</f>
        <v>0</v>
      </c>
      <c r="AA36" s="51">
        <f>+IF(AA35&lt;1,0,IF(Assumptions!$C$58=1,$F$16-AA37,Z35*AA$26/2))</f>
        <v>0</v>
      </c>
      <c r="AB36" s="51">
        <f>+IF(AB35&lt;1,0,IF(Assumptions!$C$58=1,$F$16-AB37,AA35*AB$26/2))</f>
        <v>0</v>
      </c>
      <c r="AC36" s="51">
        <f>+IF(AC35&lt;1,0,IF(Assumptions!$C$58=1,$F$16-AC37,AB35*AC$26/2))</f>
        <v>0</v>
      </c>
      <c r="AD36" s="51">
        <f>+IF(AD35&lt;1,0,IF(Assumptions!$C$58=1,$F$16-AD37,AC35*AD$26/2))</f>
        <v>0</v>
      </c>
      <c r="AE36" s="51">
        <f>+IF(AE35&lt;1,0,IF(Assumptions!$C$58=1,$F$16-AE37,AD35*AE$26/2))</f>
        <v>0</v>
      </c>
      <c r="AF36" s="51">
        <f>+IF(AF35&lt;1,0,IF(Assumptions!$C$58=1,$F$16-AF37,AE35*AF$26/2))</f>
        <v>0</v>
      </c>
      <c r="AG36" s="51"/>
      <c r="AH36" s="51"/>
    </row>
    <row r="37" spans="1:34">
      <c r="A37" s="51" t="s">
        <v>115</v>
      </c>
      <c r="B37" s="233">
        <v>0</v>
      </c>
      <c r="C37" s="51">
        <f>C35*($F$7*YEARFRAC(Assumptions!J18,C34))</f>
        <v>2063.8377228889249</v>
      </c>
      <c r="D37" s="51">
        <f t="shared" ref="D37:AF37" si="7">D35*$F$7/2</f>
        <v>2966.5924637773014</v>
      </c>
      <c r="E37" s="51">
        <f t="shared" si="7"/>
        <v>2869.098088510566</v>
      </c>
      <c r="F37" s="51">
        <f t="shared" si="7"/>
        <v>2763.8204718378511</v>
      </c>
      <c r="G37" s="51">
        <f t="shared" si="7"/>
        <v>2650.1382564078413</v>
      </c>
      <c r="H37" s="51">
        <f t="shared" si="7"/>
        <v>2527.380480220223</v>
      </c>
      <c r="I37" s="51">
        <f t="shared" si="7"/>
        <v>2394.8226165515011</v>
      </c>
      <c r="J37" s="51">
        <f t="shared" si="7"/>
        <v>2251.6822977373217</v>
      </c>
      <c r="K37" s="51">
        <f t="shared" si="7"/>
        <v>2097.1146975726879</v>
      </c>
      <c r="L37" s="51">
        <f t="shared" si="7"/>
        <v>1930.2075450766201</v>
      </c>
      <c r="M37" s="51">
        <f t="shared" si="7"/>
        <v>1749.9757401920685</v>
      </c>
      <c r="N37" s="51">
        <f t="shared" si="7"/>
        <v>1555.3555396424943</v>
      </c>
      <c r="O37" s="51">
        <f t="shared" si="7"/>
        <v>1345.1982786295516</v>
      </c>
      <c r="P37" s="51">
        <f t="shared" si="7"/>
        <v>1118.2635913168026</v>
      </c>
      <c r="Q37" s="51">
        <f t="shared" si="7"/>
        <v>873.21209008619076</v>
      </c>
      <c r="R37" s="51">
        <f t="shared" si="7"/>
        <v>608.59746035962712</v>
      </c>
      <c r="S37" s="51">
        <f t="shared" si="7"/>
        <v>322.85792432866225</v>
      </c>
      <c r="T37" s="51">
        <f t="shared" si="7"/>
        <v>14.3070232104587</v>
      </c>
      <c r="U37" s="51">
        <f t="shared" si="7"/>
        <v>0</v>
      </c>
      <c r="V37" s="51">
        <f t="shared" si="7"/>
        <v>0</v>
      </c>
      <c r="W37" s="51">
        <f t="shared" si="7"/>
        <v>0</v>
      </c>
      <c r="X37" s="51">
        <f t="shared" si="7"/>
        <v>0</v>
      </c>
      <c r="Y37" s="51">
        <f t="shared" si="7"/>
        <v>0</v>
      </c>
      <c r="Z37" s="51">
        <f t="shared" si="7"/>
        <v>0</v>
      </c>
      <c r="AA37" s="51">
        <f t="shared" si="7"/>
        <v>0</v>
      </c>
      <c r="AB37" s="51">
        <f t="shared" si="7"/>
        <v>0</v>
      </c>
      <c r="AC37" s="51">
        <f t="shared" si="7"/>
        <v>0</v>
      </c>
      <c r="AD37" s="51">
        <f t="shared" si="7"/>
        <v>0</v>
      </c>
      <c r="AE37" s="51">
        <f t="shared" si="7"/>
        <v>0</v>
      </c>
      <c r="AF37" s="51">
        <f t="shared" si="7"/>
        <v>0</v>
      </c>
      <c r="AG37" s="51"/>
      <c r="AH37" s="51"/>
    </row>
    <row r="38" spans="1:34">
      <c r="A38" s="51" t="s">
        <v>116</v>
      </c>
      <c r="B38" s="233">
        <f>B35-B36</f>
        <v>79074.242256280646</v>
      </c>
      <c r="C38" s="51">
        <f>+IF(SUM($C$36:C36)+SUM($B$41:B41)&gt;=$B$35,0,C35-C36)</f>
        <v>76950.254263992945</v>
      </c>
      <c r="D38" s="51">
        <f>+IF(SUM($C$36:D36)+SUM($B$41:C41)&gt;=$B$35,0,D35-D36)</f>
        <v>74553.797751852311</v>
      </c>
      <c r="E38" s="51">
        <f>+IF(SUM($C$36:E36)+SUM($B$41:D41)&gt;=$B$35,0,E35-E36)</f>
        <v>71966.025591994636</v>
      </c>
      <c r="F38" s="51">
        <f>+IF(SUM($C$36:F36)+SUM($B$41:E41)&gt;=$B$35,0,F35-F36)</f>
        <v>69171.664535405827</v>
      </c>
      <c r="G38" s="51">
        <f>+IF(SUM($C$36:G36)+SUM($B$41:F41)&gt;=$B$35,0,G35-G36)</f>
        <v>66154.222028021555</v>
      </c>
      <c r="H38" s="51">
        <f>+IF(SUM($C$36:H36)+SUM($B$41:G41)&gt;=$B$35,0,H35-H36)</f>
        <v>62895.888870285569</v>
      </c>
      <c r="I38" s="51">
        <f>+IF(SUM($C$36:I36)+SUM($B$41:H41)&gt;=$B$35,0,I35-I36)</f>
        <v>59377.434105755499</v>
      </c>
      <c r="J38" s="51">
        <f>+IF(SUM($C$36:J36)+SUM($B$41:I41)&gt;=$B$35,0,J35-J36)</f>
        <v>55578.091518379893</v>
      </c>
      <c r="K38" s="51">
        <f>+IF(SUM($C$36:K36)+SUM($B$41:J41)&gt;=$B$35,0,K35-K36)</f>
        <v>51475.437068543906</v>
      </c>
      <c r="L38" s="51">
        <f>+IF(SUM($C$36:L36)+SUM($B$41:K41)&gt;=$B$35,0,L35-L36)</f>
        <v>47045.256544500764</v>
      </c>
      <c r="M38" s="51">
        <f>+IF(SUM($C$36:M36)+SUM($B$41:L41)&gt;=$B$35,0,M35-M36)</f>
        <v>42261.402648056785</v>
      </c>
      <c r="N38" s="51">
        <f>+IF(SUM($C$36:N36)+SUM($B$41:M41)&gt;=$B$35,0,N35-N36)</f>
        <v>37095.640671017449</v>
      </c>
      <c r="O38" s="51">
        <f>+IF(SUM($C$36:O36)+SUM($B$41:N41)&gt;=$B$35,0,O35-O36)</f>
        <v>31517.48185156408</v>
      </c>
      <c r="P38" s="51">
        <f>+IF(SUM($C$36:P36)+SUM($B$41:O41)&gt;=$B$35,0,P35-P36)</f>
        <v>25494.003427016363</v>
      </c>
      <c r="Q38" s="51">
        <f>+IF(SUM($C$36:Q36)+SUM($B$41:P41)&gt;=$B$35,0,Q35-Q36)</f>
        <v>18989.654320916994</v>
      </c>
      <c r="R38" s="51">
        <f>+IF(SUM($C$36:R36)+SUM($B$41:Q41)&gt;=$B$35,0,R35-R36)</f>
        <v>11966.045317587268</v>
      </c>
      <c r="S38" s="51">
        <f>+IF(SUM($C$36:S36)+SUM($B$41:R41)&gt;=$B$35,0,S35-S36)</f>
        <v>4381.7224857462188</v>
      </c>
      <c r="T38" s="51">
        <f>+IF(SUM($C$36:T36)+SUM($B$41:S41)&gt;=$B$35,0,T35-T36)</f>
        <v>0</v>
      </c>
      <c r="U38" s="51">
        <f>+IF(SUM($C$36:U36)+SUM($B$41:T41)&gt;=$B$35,0,U35-U36)</f>
        <v>0</v>
      </c>
      <c r="V38" s="51">
        <f>+IF(SUM($C$36:V36)+SUM($B$41:U41)&gt;=$B$35,0,V35-V36)</f>
        <v>0</v>
      </c>
      <c r="W38" s="51">
        <f>+IF(SUM($C$36:W36)+SUM($B$41:V41)&gt;=$B$35,0,W35-W36)</f>
        <v>0</v>
      </c>
      <c r="X38" s="51">
        <f>+IF(SUM($C$36:X36)+SUM($B$41:W41)&gt;=$B$35,0,X35-X36)</f>
        <v>0</v>
      </c>
      <c r="Y38" s="51">
        <f>+IF(SUM($C$36:Y36)+SUM($B$41:X41)&gt;=$B$35,0,Y35-Y36)</f>
        <v>0</v>
      </c>
      <c r="Z38" s="51">
        <f>+IF(SUM($C$36:Z36)+SUM($B$41:Y41)&gt;=$B$35,0,Z35-Z36)</f>
        <v>0</v>
      </c>
      <c r="AA38" s="51">
        <f>+IF(SUM($C$36:AA36)+SUM($B$41:Z41)&gt;=$B$35,0,AA35-AA36)</f>
        <v>0</v>
      </c>
      <c r="AB38" s="51">
        <f>+IF(SUM($C$36:AB36)+SUM($B$41:AA41)&gt;=$B$35,0,AB35-AB36)</f>
        <v>0</v>
      </c>
      <c r="AC38" s="51">
        <f>+IF(SUM($C$36:AC36)+SUM($B$41:AB41)&gt;=$B$35,0,AC35-AC36)</f>
        <v>0</v>
      </c>
      <c r="AD38" s="51">
        <f>+IF(SUM($C$36:AD36)+SUM($B$41:AC41)&gt;=$B$35,0,AD35-AD36)</f>
        <v>0</v>
      </c>
      <c r="AE38" s="51">
        <f>+IF(SUM($C$36:AE36)+SUM($B$41:AD41)&gt;=$B$35,0,AE35-AE36)</f>
        <v>0</v>
      </c>
      <c r="AF38" s="51">
        <f>+IF(SUM($C$36:AF36)+SUM($B$41:AE41)&gt;=$B$35,0,AF35-AF36)</f>
        <v>0</v>
      </c>
      <c r="AG38" s="51"/>
      <c r="AH38" s="51"/>
    </row>
    <row r="39" spans="1:34">
      <c r="A39" s="451">
        <v>36557</v>
      </c>
      <c r="B39" s="562">
        <v>36950</v>
      </c>
      <c r="C39" s="562">
        <v>37315</v>
      </c>
      <c r="D39" s="562">
        <v>37680</v>
      </c>
      <c r="E39" s="562">
        <v>38046</v>
      </c>
      <c r="F39" s="562">
        <v>38411</v>
      </c>
      <c r="G39" s="562">
        <v>38776</v>
      </c>
      <c r="H39" s="562">
        <v>39141</v>
      </c>
      <c r="I39" s="562">
        <v>39507</v>
      </c>
      <c r="J39" s="562">
        <v>39872</v>
      </c>
      <c r="K39" s="562">
        <v>40237</v>
      </c>
      <c r="L39" s="562">
        <v>40602</v>
      </c>
      <c r="M39" s="562">
        <v>40968</v>
      </c>
      <c r="N39" s="562">
        <v>41333</v>
      </c>
      <c r="O39" s="562">
        <v>41698</v>
      </c>
      <c r="P39" s="562">
        <v>42063</v>
      </c>
      <c r="Q39" s="562">
        <v>42429</v>
      </c>
      <c r="R39" s="562">
        <v>42794</v>
      </c>
      <c r="S39" s="562">
        <v>43159</v>
      </c>
      <c r="T39" s="562">
        <v>43524</v>
      </c>
      <c r="U39" s="562">
        <v>43890</v>
      </c>
      <c r="V39" s="562">
        <v>44255</v>
      </c>
      <c r="W39" s="562">
        <v>44620</v>
      </c>
      <c r="X39" s="562">
        <v>44985</v>
      </c>
      <c r="Y39" s="562">
        <v>45351</v>
      </c>
      <c r="Z39" s="562">
        <v>45716</v>
      </c>
      <c r="AA39" s="562">
        <v>46081</v>
      </c>
      <c r="AB39" s="562">
        <v>46446</v>
      </c>
      <c r="AC39" s="562">
        <v>46812</v>
      </c>
      <c r="AD39" s="562">
        <v>47177</v>
      </c>
      <c r="AE39" s="562">
        <v>47542</v>
      </c>
      <c r="AF39" s="562">
        <v>47907</v>
      </c>
      <c r="AG39" s="51"/>
      <c r="AH39" s="51"/>
    </row>
    <row r="40" spans="1:34">
      <c r="A40" s="51" t="s">
        <v>113</v>
      </c>
      <c r="B40" s="233">
        <f>B38</f>
        <v>79074.242256280646</v>
      </c>
      <c r="C40" s="51">
        <f t="shared" ref="C40:AF40" si="8">C38</f>
        <v>76950.254263992945</v>
      </c>
      <c r="D40" s="51">
        <f t="shared" si="8"/>
        <v>74553.797751852311</v>
      </c>
      <c r="E40" s="51">
        <f t="shared" si="8"/>
        <v>71966.025591994636</v>
      </c>
      <c r="F40" s="51">
        <f t="shared" si="8"/>
        <v>69171.664535405827</v>
      </c>
      <c r="G40" s="51">
        <f t="shared" si="8"/>
        <v>66154.222028021555</v>
      </c>
      <c r="H40" s="51">
        <f t="shared" si="8"/>
        <v>62895.888870285569</v>
      </c>
      <c r="I40" s="51">
        <f t="shared" si="8"/>
        <v>59377.434105755499</v>
      </c>
      <c r="J40" s="51">
        <f t="shared" si="8"/>
        <v>55578.091518379893</v>
      </c>
      <c r="K40" s="51">
        <f t="shared" si="8"/>
        <v>51475.437068543906</v>
      </c>
      <c r="L40" s="51">
        <f t="shared" si="8"/>
        <v>47045.256544500764</v>
      </c>
      <c r="M40" s="51">
        <f t="shared" si="8"/>
        <v>42261.402648056785</v>
      </c>
      <c r="N40" s="51">
        <f t="shared" si="8"/>
        <v>37095.640671017449</v>
      </c>
      <c r="O40" s="51">
        <f t="shared" si="8"/>
        <v>31517.48185156408</v>
      </c>
      <c r="P40" s="51">
        <f t="shared" si="8"/>
        <v>25494.003427016363</v>
      </c>
      <c r="Q40" s="51">
        <f t="shared" si="8"/>
        <v>18989.654320916994</v>
      </c>
      <c r="R40" s="51">
        <f t="shared" si="8"/>
        <v>11966.045317587268</v>
      </c>
      <c r="S40" s="51">
        <f t="shared" si="8"/>
        <v>4381.7224857462188</v>
      </c>
      <c r="T40" s="51">
        <f t="shared" si="8"/>
        <v>0</v>
      </c>
      <c r="U40" s="51">
        <f t="shared" si="8"/>
        <v>0</v>
      </c>
      <c r="V40" s="51">
        <f t="shared" si="8"/>
        <v>0</v>
      </c>
      <c r="W40" s="51">
        <f t="shared" si="8"/>
        <v>0</v>
      </c>
      <c r="X40" s="51">
        <f t="shared" si="8"/>
        <v>0</v>
      </c>
      <c r="Y40" s="51">
        <f t="shared" si="8"/>
        <v>0</v>
      </c>
      <c r="Z40" s="51">
        <f t="shared" si="8"/>
        <v>0</v>
      </c>
      <c r="AA40" s="51">
        <f t="shared" si="8"/>
        <v>0</v>
      </c>
      <c r="AB40" s="51">
        <f t="shared" si="8"/>
        <v>0</v>
      </c>
      <c r="AC40" s="51">
        <f t="shared" si="8"/>
        <v>0</v>
      </c>
      <c r="AD40" s="51">
        <f t="shared" si="8"/>
        <v>0</v>
      </c>
      <c r="AE40" s="51">
        <f t="shared" si="8"/>
        <v>0</v>
      </c>
      <c r="AF40" s="51">
        <f t="shared" si="8"/>
        <v>0</v>
      </c>
      <c r="AG40" s="51"/>
      <c r="AH40" s="51"/>
    </row>
    <row r="41" spans="1:34">
      <c r="A41" s="51" t="s">
        <v>114</v>
      </c>
      <c r="B41" s="553">
        <v>0</v>
      </c>
      <c r="C41" s="51">
        <f>+IF(C40&lt;1,0,IF(Assumptions!$C$58=1,$F$16-C42,C40*C$26/2))</f>
        <v>1175.223260741303</v>
      </c>
      <c r="D41" s="51">
        <f>+IF(D40&lt;1,0,IF(Assumptions!$C$58=1,$F$16-D42,D40*D$26/2))</f>
        <v>1269.0445331916089</v>
      </c>
      <c r="E41" s="51">
        <f>+IF(E40&lt;1,0,IF(Assumptions!$C$58=1,$F$16-E42,E40*E$26/2))</f>
        <v>1370.3558132500366</v>
      </c>
      <c r="F41" s="51">
        <f>+IF(F40&lt;1,0,IF(Assumptions!$C$58=1,$F$16-F42,F40*F$26/2))</f>
        <v>1479.7550486154887</v>
      </c>
      <c r="G41" s="51">
        <f>+IF(G40&lt;1,0,IF(Assumptions!$C$58=1,$F$16-G42,G40*G$26/2))</f>
        <v>1597.8879227795828</v>
      </c>
      <c r="H41" s="51">
        <f>+IF(H40&lt;1,0,IF(Assumptions!$C$58=1,$F$16-H42,H40*H$26/2))</f>
        <v>1725.4516659049468</v>
      </c>
      <c r="I41" s="51">
        <f>+IF(I40&lt;1,0,IF(Assumptions!$C$58=1,$F$16-I42,I40*I$26/2))</f>
        <v>1863.1991699362989</v>
      </c>
      <c r="J41" s="51">
        <f>+IF(J40&lt;1,0,IF(Assumptions!$C$58=1,$F$16-J42,J40*J$26/2))</f>
        <v>2011.943432232054</v>
      </c>
      <c r="K41" s="51">
        <f>+IF(K40&lt;1,0,IF(Assumptions!$C$58=1,$F$16-K42,K40*K$26/2))</f>
        <v>2172.5623539431326</v>
      </c>
      <c r="L41" s="51">
        <f>+IF(L40&lt;1,0,IF(Assumptions!$C$58=1,$F$16-L42,L40*L$26/2))</f>
        <v>2346.0039214594217</v>
      </c>
      <c r="M41" s="51">
        <f>+IF(M40&lt;1,0,IF(Assumptions!$C$58=1,$F$16-M42,M40*M$26/2))</f>
        <v>2533.2918015052037</v>
      </c>
      <c r="N41" s="51">
        <f>+IF(N40&lt;1,0,IF(Assumptions!$C$58=1,$F$16-N42,N40*N$26/2))</f>
        <v>2735.5313829062934</v>
      </c>
      <c r="O41" s="51">
        <f>+IF(O40&lt;1,0,IF(Assumptions!$C$58=1,$F$16-O42,O40*O$26/2))</f>
        <v>2953.916300687893</v>
      </c>
      <c r="P41" s="51">
        <f>+IF(P40&lt;1,0,IF(Assumptions!$C$58=1,$F$16-P42,P40*P$26/2))</f>
        <v>3189.7354810089359</v>
      </c>
      <c r="Q41" s="51">
        <f>+IF(Q40&lt;1,0,IF(Assumptions!$C$58=1,$F$16-Q42,Q40*Q$26/2))</f>
        <v>3444.3807485127263</v>
      </c>
      <c r="R41" s="51">
        <f>+IF(R40&lt;1,0,IF(Assumptions!$C$58=1,$F$16-R42,R40*R$26/2))</f>
        <v>3719.3550409930849</v>
      </c>
      <c r="S41" s="51">
        <f>+IF(S40&lt;1,0,IF(Assumptions!$C$58=1,$F$16-S42,S40*S$26/2))</f>
        <v>4016.2812798596619</v>
      </c>
      <c r="T41" s="51">
        <f>+IF(T40&lt;1,0,IF(Assumptions!$C$58=1,$F$16-T42,T40*T$26/2))</f>
        <v>0</v>
      </c>
      <c r="U41" s="51">
        <f>+IF(U40&lt;1,0,IF(Assumptions!$C$58=1,$F$16-U42,U40*U$26/2))</f>
        <v>0</v>
      </c>
      <c r="V41" s="51">
        <f>+IF(V40&lt;1,0,IF(Assumptions!$C$58=1,$F$16-V42,V40*V$26/2))</f>
        <v>0</v>
      </c>
      <c r="W41" s="51">
        <f>+IF(W40&lt;1,0,IF(Assumptions!$C$58=1,$F$16-W42,W40*W$26/2))</f>
        <v>0</v>
      </c>
      <c r="X41" s="51">
        <f>+IF(X40&lt;1,0,IF(Assumptions!$C$58=1,$F$16-X42,X40*X$26/2))</f>
        <v>0</v>
      </c>
      <c r="Y41" s="51">
        <f>+IF(Y40&lt;1,0,IF(Assumptions!$C$58=1,$F$16-Y42,Y40*Y$26/2))</f>
        <v>0</v>
      </c>
      <c r="Z41" s="51">
        <f>+IF(Z40&lt;1,0,IF(Assumptions!$C$58=1,$F$16-Z42,Z40*Z$26/2))</f>
        <v>0</v>
      </c>
      <c r="AA41" s="51">
        <f>+IF(AA40&lt;1,0,IF(Assumptions!$C$58=1,$F$16-AA42,AA40*AA$26/2))</f>
        <v>0</v>
      </c>
      <c r="AB41" s="51">
        <f>+IF(AB40&lt;1,0,IF(Assumptions!$C$58=1,$F$16-AB42,AB40*AB$26/2))</f>
        <v>0</v>
      </c>
      <c r="AC41" s="51">
        <f>+IF(AC40&lt;1,0,IF(Assumptions!$C$58=1,$F$16-AC42,AC40*AC$26/2))</f>
        <v>0</v>
      </c>
      <c r="AD41" s="51">
        <f>+IF(AD40&lt;1,0,IF(Assumptions!$C$58=1,$F$16-AD42,AD40*AD$26/2))</f>
        <v>0</v>
      </c>
      <c r="AE41" s="51">
        <f>+IF(AE40&lt;1,0,IF(Assumptions!$C$58=1,$F$16-AE42,AE40*AE$26/2))</f>
        <v>0</v>
      </c>
      <c r="AF41" s="51">
        <f>+IF(AF40&lt;1,0,IF(Assumptions!$C$58=1,$F$16-AF42,AF40*AF$26/2))</f>
        <v>0</v>
      </c>
      <c r="AG41" s="51"/>
      <c r="AH41" s="51"/>
    </row>
    <row r="42" spans="1:34">
      <c r="A42" s="51" t="s">
        <v>115</v>
      </c>
      <c r="B42" s="233">
        <v>0</v>
      </c>
      <c r="C42" s="233">
        <f t="shared" ref="C42:AF42" si="9">C40*$F$7/2</f>
        <v>3012.6024544353236</v>
      </c>
      <c r="D42" s="233">
        <f t="shared" si="9"/>
        <v>2918.7811819850176</v>
      </c>
      <c r="E42" s="233">
        <f t="shared" si="9"/>
        <v>2817.46990192659</v>
      </c>
      <c r="F42" s="233">
        <f t="shared" si="9"/>
        <v>2708.0706665611378</v>
      </c>
      <c r="G42" s="233">
        <f t="shared" si="9"/>
        <v>2589.9377923970437</v>
      </c>
      <c r="H42" s="233">
        <f t="shared" si="9"/>
        <v>2462.3740492716797</v>
      </c>
      <c r="I42" s="233">
        <f t="shared" si="9"/>
        <v>2324.6265452403277</v>
      </c>
      <c r="J42" s="233">
        <f t="shared" si="9"/>
        <v>2175.8822829445726</v>
      </c>
      <c r="K42" s="233">
        <f t="shared" si="9"/>
        <v>2015.2633612334937</v>
      </c>
      <c r="L42" s="233">
        <f t="shared" si="9"/>
        <v>1841.8217937172049</v>
      </c>
      <c r="M42" s="233">
        <f t="shared" si="9"/>
        <v>1654.5339136714231</v>
      </c>
      <c r="N42" s="233">
        <f t="shared" si="9"/>
        <v>1452.2943322703329</v>
      </c>
      <c r="O42" s="233">
        <f t="shared" si="9"/>
        <v>1233.9094144887335</v>
      </c>
      <c r="P42" s="233">
        <f t="shared" si="9"/>
        <v>998.0902341676906</v>
      </c>
      <c r="Q42" s="233">
        <f t="shared" si="9"/>
        <v>743.44496666390023</v>
      </c>
      <c r="R42" s="233">
        <f t="shared" si="9"/>
        <v>468.47067418354152</v>
      </c>
      <c r="S42" s="233">
        <f t="shared" si="9"/>
        <v>171.54443531696447</v>
      </c>
      <c r="T42" s="233">
        <f t="shared" si="9"/>
        <v>0</v>
      </c>
      <c r="U42" s="233">
        <f t="shared" si="9"/>
        <v>0</v>
      </c>
      <c r="V42" s="233">
        <f t="shared" si="9"/>
        <v>0</v>
      </c>
      <c r="W42" s="233">
        <f t="shared" si="9"/>
        <v>0</v>
      </c>
      <c r="X42" s="233">
        <f t="shared" si="9"/>
        <v>0</v>
      </c>
      <c r="Y42" s="233">
        <f t="shared" si="9"/>
        <v>0</v>
      </c>
      <c r="Z42" s="233">
        <f t="shared" si="9"/>
        <v>0</v>
      </c>
      <c r="AA42" s="233">
        <f t="shared" si="9"/>
        <v>0</v>
      </c>
      <c r="AB42" s="233">
        <f t="shared" si="9"/>
        <v>0</v>
      </c>
      <c r="AC42" s="233">
        <f t="shared" si="9"/>
        <v>0</v>
      </c>
      <c r="AD42" s="233">
        <f t="shared" si="9"/>
        <v>0</v>
      </c>
      <c r="AE42" s="233">
        <f t="shared" si="9"/>
        <v>0</v>
      </c>
      <c r="AF42" s="233">
        <f t="shared" si="9"/>
        <v>0</v>
      </c>
      <c r="AG42" s="51"/>
      <c r="AH42" s="51"/>
    </row>
    <row r="43" spans="1:34">
      <c r="A43" s="51" t="s">
        <v>116</v>
      </c>
      <c r="B43" s="233">
        <f>+IF(SUM($B$36:B36)+SUM($B$41:B41)&gt;=$B$35,0,B40-B41)</f>
        <v>79074.242256280646</v>
      </c>
      <c r="C43" s="233">
        <f>+IF(SUM($B$36:C36)+SUM($B$41:C41)&gt;=$B$35,0,C40-C41)</f>
        <v>75775.031003251643</v>
      </c>
      <c r="D43" s="233">
        <f>+IF(SUM($B$36:D36)+SUM($B$41:D41)&gt;=$B$35,0,D40-D41)</f>
        <v>73284.753218660699</v>
      </c>
      <c r="E43" s="233">
        <f>+IF(SUM($B$36:E36)+SUM($B$41:E41)&gt;=$B$35,0,E40-E41)</f>
        <v>70595.669778744603</v>
      </c>
      <c r="F43" s="233">
        <f>+IF(SUM($B$36:F36)+SUM($B$41:F41)&gt;=$B$35,0,F40-F41)</f>
        <v>67691.909486790333</v>
      </c>
      <c r="G43" s="233">
        <f>+IF(SUM($B$36:G36)+SUM($B$41:G41)&gt;=$B$35,0,G40-G41)</f>
        <v>64556.334105241971</v>
      </c>
      <c r="H43" s="233">
        <f>+IF(SUM($B$36:H36)+SUM($B$41:H41)&gt;=$B$35,0,H40-H41)</f>
        <v>61170.437204380622</v>
      </c>
      <c r="I43" s="233">
        <f>+IF(SUM($B$36:I36)+SUM($B$41:I41)&gt;=$B$35,0,I40-I41)</f>
        <v>57514.2349358192</v>
      </c>
      <c r="J43" s="233">
        <f>+IF(SUM($B$36:J36)+SUM($B$41:J41)&gt;=$B$35,0,J40-J41)</f>
        <v>53566.148086147841</v>
      </c>
      <c r="K43" s="233">
        <f>+IF(SUM($B$36:K36)+SUM($B$41:K41)&gt;=$B$35,0,K40-K41)</f>
        <v>49302.874714600774</v>
      </c>
      <c r="L43" s="233">
        <f>+IF(SUM($B$36:L36)+SUM($B$41:L41)&gt;=$B$35,0,L40-L41)</f>
        <v>44699.252623041342</v>
      </c>
      <c r="M43" s="233">
        <f>+IF(SUM($B$36:M36)+SUM($B$41:M41)&gt;=$B$35,0,M40-M41)</f>
        <v>39728.110846551579</v>
      </c>
      <c r="N43" s="233">
        <f>+IF(SUM($B$36:N36)+SUM($B$41:N41)&gt;=$B$35,0,N40-N41)</f>
        <v>34360.109288111154</v>
      </c>
      <c r="O43" s="233">
        <f>+IF(SUM($B$36:O36)+SUM($B$41:O41)&gt;=$B$35,0,O40-O41)</f>
        <v>28563.565550876188</v>
      </c>
      <c r="P43" s="233">
        <f>+IF(SUM($B$36:P36)+SUM($B$41:P41)&gt;=$B$35,0,P40-P41)</f>
        <v>22304.267946007429</v>
      </c>
      <c r="Q43" s="233">
        <f>+IF(SUM($B$36:Q36)+SUM($B$41:Q41)&gt;=$B$35,0,Q40-Q41)</f>
        <v>15545.273572404269</v>
      </c>
      <c r="R43" s="233">
        <f>+IF(SUM($B$36:R36)+SUM($B$41:R41)&gt;=$B$35,0,R40-R41)</f>
        <v>8246.6902765941832</v>
      </c>
      <c r="S43" s="233">
        <f>+IF(SUM($B$36:S36)+SUM($B$41:S41)&gt;=$B$35,0,S40-S41)</f>
        <v>365.44120588655687</v>
      </c>
      <c r="T43" s="233">
        <f>+IF(SUM($B$36:T36)+SUM($B$41:T41)&gt;=$B$35,0,T40-T41)</f>
        <v>0</v>
      </c>
      <c r="U43" s="233">
        <f>+IF(SUM($B$36:U36)+SUM($B$41:U41)&gt;=$B$35,0,U40-U41)</f>
        <v>0</v>
      </c>
      <c r="V43" s="233">
        <f>+IF(SUM($B$36:V36)+SUM($B$41:V41)&gt;=$B$35,0,V40-V41)</f>
        <v>0</v>
      </c>
      <c r="W43" s="233">
        <f>+IF(SUM($B$36:W36)+SUM($B$41:W41)&gt;=$B$35,0,W40-W41)</f>
        <v>0</v>
      </c>
      <c r="X43" s="233">
        <f>+IF(SUM($B$36:X36)+SUM($B$41:X41)&gt;=$B$35,0,X40-X41)</f>
        <v>0</v>
      </c>
      <c r="Y43" s="233">
        <f>+IF(SUM($B$36:Y36)+SUM($B$41:Y41)&gt;=$B$35,0,Y40-Y41)</f>
        <v>0</v>
      </c>
      <c r="Z43" s="233">
        <f>+IF(SUM($B$36:Z36)+SUM($B$41:Z41)&gt;=$B$35,0,Z40-Z41)</f>
        <v>0</v>
      </c>
      <c r="AA43" s="233">
        <f>+IF(SUM($B$36:AA36)+SUM($B$41:AA41)&gt;=$B$35,0,AA40-AA41)</f>
        <v>0</v>
      </c>
      <c r="AB43" s="233">
        <f>+IF(SUM($B$36:AB36)+SUM($B$41:AB41)&gt;=$B$35,0,AB40-AB41)</f>
        <v>0</v>
      </c>
      <c r="AC43" s="233">
        <f>+IF(SUM($B$36:AC36)+SUM($B$41:AC41)&gt;=$B$35,0,AC40-AC41)</f>
        <v>0</v>
      </c>
      <c r="AD43" s="233">
        <f>+IF(SUM($B$36:AD36)+SUM($B$41:AD41)&gt;=$B$35,0,AD40-AD41)</f>
        <v>0</v>
      </c>
      <c r="AE43" s="233">
        <f>+IF(SUM($B$36:AE36)+SUM($B$41:AE41)&gt;=$B$35,0,AE40-AE41)</f>
        <v>0</v>
      </c>
      <c r="AF43" s="233">
        <f>+IF(SUM($B$36:AF36)+SUM($B$41:AF41)&gt;=$B$35,0,AF40-AF41)</f>
        <v>0</v>
      </c>
      <c r="AG43" s="51"/>
      <c r="AH43" s="51"/>
    </row>
    <row r="44" spans="1:34">
      <c r="B44" s="233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</row>
    <row r="45" spans="1:34">
      <c r="B45" s="233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</row>
    <row r="46" spans="1:34">
      <c r="B46" s="233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</row>
    <row r="47" spans="1:34">
      <c r="B47" s="563">
        <v>2000</v>
      </c>
      <c r="C47" s="564">
        <v>2001</v>
      </c>
      <c r="D47" s="564">
        <v>2002</v>
      </c>
      <c r="E47" s="563">
        <v>2003</v>
      </c>
      <c r="F47" s="564">
        <v>2004</v>
      </c>
      <c r="G47" s="564">
        <v>2005</v>
      </c>
      <c r="H47" s="563">
        <v>2006</v>
      </c>
      <c r="I47" s="564">
        <v>2007</v>
      </c>
      <c r="J47" s="564">
        <v>2008</v>
      </c>
      <c r="K47" s="563">
        <v>2009</v>
      </c>
      <c r="L47" s="564">
        <v>2010</v>
      </c>
      <c r="M47" s="564">
        <v>2011</v>
      </c>
      <c r="N47" s="563">
        <v>2012</v>
      </c>
      <c r="O47" s="564">
        <v>2013</v>
      </c>
      <c r="P47" s="564">
        <v>2014</v>
      </c>
      <c r="Q47" s="563">
        <v>2015</v>
      </c>
      <c r="R47" s="564">
        <v>2016</v>
      </c>
      <c r="S47" s="564">
        <v>2017</v>
      </c>
      <c r="T47" s="563">
        <v>2018</v>
      </c>
      <c r="U47" s="564">
        <v>2019</v>
      </c>
      <c r="V47" s="564">
        <v>2020</v>
      </c>
      <c r="W47" s="563">
        <v>2021</v>
      </c>
      <c r="X47" s="564">
        <v>2022</v>
      </c>
      <c r="Y47" s="564">
        <v>2023</v>
      </c>
      <c r="Z47" s="563">
        <v>2024</v>
      </c>
      <c r="AA47" s="564">
        <v>2025</v>
      </c>
      <c r="AB47" s="564">
        <v>2026</v>
      </c>
      <c r="AC47" s="563">
        <v>2027</v>
      </c>
      <c r="AD47" s="564">
        <v>2028</v>
      </c>
      <c r="AE47" s="564">
        <v>2029</v>
      </c>
      <c r="AF47" s="563">
        <v>2030</v>
      </c>
      <c r="AG47" s="51"/>
      <c r="AH47" s="51"/>
    </row>
    <row r="48" spans="1:34">
      <c r="A48" s="53" t="s">
        <v>155</v>
      </c>
      <c r="B48" s="233">
        <f>+B37</f>
        <v>0</v>
      </c>
      <c r="C48" s="233">
        <f>+B42+C37</f>
        <v>2063.8377228889249</v>
      </c>
      <c r="D48" s="233">
        <f>+C42+D37</f>
        <v>5979.1949182126245</v>
      </c>
      <c r="E48" s="233">
        <f t="shared" ref="E48:AF48" si="10">+D42+E37</f>
        <v>5787.8792704955831</v>
      </c>
      <c r="F48" s="233">
        <f t="shared" si="10"/>
        <v>5581.290373764441</v>
      </c>
      <c r="G48" s="233">
        <f t="shared" si="10"/>
        <v>5358.2089229689791</v>
      </c>
      <c r="H48" s="233">
        <f t="shared" si="10"/>
        <v>5117.3182726172672</v>
      </c>
      <c r="I48" s="233">
        <f t="shared" si="10"/>
        <v>4857.1966658231813</v>
      </c>
      <c r="J48" s="233">
        <f t="shared" si="10"/>
        <v>4576.308842977649</v>
      </c>
      <c r="K48" s="233">
        <f t="shared" si="10"/>
        <v>4272.9969805172605</v>
      </c>
      <c r="L48" s="233">
        <f t="shared" si="10"/>
        <v>3945.4709063101136</v>
      </c>
      <c r="M48" s="233">
        <f t="shared" si="10"/>
        <v>3591.7975339092736</v>
      </c>
      <c r="N48" s="233">
        <f t="shared" si="10"/>
        <v>3209.8894533139173</v>
      </c>
      <c r="O48" s="233">
        <f t="shared" si="10"/>
        <v>2797.4926108998843</v>
      </c>
      <c r="P48" s="233">
        <f t="shared" si="10"/>
        <v>2352.1730058055364</v>
      </c>
      <c r="Q48" s="233">
        <f t="shared" si="10"/>
        <v>1871.3023242538814</v>
      </c>
      <c r="R48" s="233">
        <f t="shared" si="10"/>
        <v>1352.0424270235274</v>
      </c>
      <c r="S48" s="233">
        <f t="shared" si="10"/>
        <v>791.32859851220383</v>
      </c>
      <c r="T48" s="233">
        <f t="shared" si="10"/>
        <v>185.85145852742318</v>
      </c>
      <c r="U48" s="233">
        <f t="shared" si="10"/>
        <v>0</v>
      </c>
      <c r="V48" s="233">
        <f t="shared" si="10"/>
        <v>0</v>
      </c>
      <c r="W48" s="233">
        <f t="shared" si="10"/>
        <v>0</v>
      </c>
      <c r="X48" s="233">
        <f t="shared" si="10"/>
        <v>0</v>
      </c>
      <c r="Y48" s="233">
        <f t="shared" si="10"/>
        <v>0</v>
      </c>
      <c r="Z48" s="233">
        <f t="shared" si="10"/>
        <v>0</v>
      </c>
      <c r="AA48" s="233">
        <f t="shared" si="10"/>
        <v>0</v>
      </c>
      <c r="AB48" s="233">
        <f t="shared" si="10"/>
        <v>0</v>
      </c>
      <c r="AC48" s="233">
        <f t="shared" si="10"/>
        <v>0</v>
      </c>
      <c r="AD48" s="233">
        <f t="shared" si="10"/>
        <v>0</v>
      </c>
      <c r="AE48" s="233">
        <f t="shared" si="10"/>
        <v>0</v>
      </c>
      <c r="AF48" s="233">
        <f t="shared" si="10"/>
        <v>0</v>
      </c>
      <c r="AG48" s="51"/>
      <c r="AH48" s="51"/>
    </row>
    <row r="49" spans="1:32">
      <c r="A49" s="13" t="s">
        <v>156</v>
      </c>
      <c r="B49" s="233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  <c r="R49" s="51">
        <v>0</v>
      </c>
      <c r="S49" s="51">
        <v>0</v>
      </c>
      <c r="T49" s="51">
        <v>0</v>
      </c>
      <c r="U49" s="51">
        <v>0</v>
      </c>
      <c r="V49" s="51">
        <v>0</v>
      </c>
      <c r="W49" s="51">
        <v>0</v>
      </c>
      <c r="X49" s="51">
        <v>0</v>
      </c>
      <c r="Y49" s="51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</row>
    <row r="50" spans="1:32">
      <c r="A50" s="53" t="s">
        <v>163</v>
      </c>
      <c r="B50" s="233">
        <f>+IF(B56&lt;0,B36+B41+B56,B36+B41)</f>
        <v>0</v>
      </c>
      <c r="C50" s="233">
        <f>+IF(C56&lt;0,C36+B41+C56,C36+B41)</f>
        <v>2123.9879922877017</v>
      </c>
      <c r="D50" s="233">
        <f t="shared" ref="D50:AF50" si="11">+IF(D56&lt;0,D36+C41+D56,D36+C41)</f>
        <v>2396.4565121406281</v>
      </c>
      <c r="E50" s="233">
        <f t="shared" si="11"/>
        <v>2587.7721598576695</v>
      </c>
      <c r="F50" s="233">
        <f t="shared" si="11"/>
        <v>2794.3610565888121</v>
      </c>
      <c r="G50" s="233">
        <f t="shared" si="11"/>
        <v>3017.442507384274</v>
      </c>
      <c r="H50" s="233">
        <f t="shared" si="11"/>
        <v>3258.3331577359863</v>
      </c>
      <c r="I50" s="233">
        <f t="shared" si="11"/>
        <v>3518.4547645300722</v>
      </c>
      <c r="J50" s="233">
        <f t="shared" si="11"/>
        <v>3799.3425873756037</v>
      </c>
      <c r="K50" s="233">
        <f t="shared" si="11"/>
        <v>4102.6544498359926</v>
      </c>
      <c r="L50" s="233">
        <f t="shared" si="11"/>
        <v>4430.1805240431386</v>
      </c>
      <c r="M50" s="233">
        <f t="shared" si="11"/>
        <v>4783.8538964439795</v>
      </c>
      <c r="N50" s="233">
        <f t="shared" si="11"/>
        <v>5165.7619770393358</v>
      </c>
      <c r="O50" s="233">
        <f t="shared" si="11"/>
        <v>5578.1588194533688</v>
      </c>
      <c r="P50" s="233">
        <f t="shared" si="11"/>
        <v>6023.4784245477167</v>
      </c>
      <c r="Q50" s="233">
        <f t="shared" si="11"/>
        <v>6504.3491060993711</v>
      </c>
      <c r="R50" s="233">
        <f t="shared" si="11"/>
        <v>7023.609003329726</v>
      </c>
      <c r="S50" s="233">
        <f t="shared" si="11"/>
        <v>7584.3228318410493</v>
      </c>
      <c r="T50" s="233">
        <f t="shared" si="11"/>
        <v>4381.7224857462079</v>
      </c>
      <c r="U50" s="233">
        <f t="shared" si="11"/>
        <v>0</v>
      </c>
      <c r="V50" s="233">
        <f t="shared" si="11"/>
        <v>0</v>
      </c>
      <c r="W50" s="233">
        <f t="shared" si="11"/>
        <v>0</v>
      </c>
      <c r="X50" s="233">
        <f t="shared" si="11"/>
        <v>0</v>
      </c>
      <c r="Y50" s="233">
        <f t="shared" si="11"/>
        <v>0</v>
      </c>
      <c r="Z50" s="233">
        <f t="shared" si="11"/>
        <v>0</v>
      </c>
      <c r="AA50" s="233">
        <f t="shared" si="11"/>
        <v>0</v>
      </c>
      <c r="AB50" s="233">
        <f t="shared" si="11"/>
        <v>0</v>
      </c>
      <c r="AC50" s="233">
        <f t="shared" si="11"/>
        <v>0</v>
      </c>
      <c r="AD50" s="233">
        <f t="shared" si="11"/>
        <v>0</v>
      </c>
      <c r="AE50" s="233">
        <f t="shared" si="11"/>
        <v>0</v>
      </c>
      <c r="AF50" s="233">
        <f t="shared" si="11"/>
        <v>0</v>
      </c>
    </row>
    <row r="51" spans="1:32">
      <c r="B51" s="15"/>
    </row>
    <row r="52" spans="1:32">
      <c r="A52" s="51" t="s">
        <v>360</v>
      </c>
      <c r="B52" s="15"/>
      <c r="C52" s="51">
        <f>+C36+B41</f>
        <v>2123.9879922877017</v>
      </c>
      <c r="D52" s="51">
        <f t="shared" ref="D52:AF52" si="12">+D36+C41</f>
        <v>2396.4565121406281</v>
      </c>
      <c r="E52" s="51">
        <f t="shared" si="12"/>
        <v>2587.7721598576695</v>
      </c>
      <c r="F52" s="51">
        <f t="shared" si="12"/>
        <v>2794.3610565888121</v>
      </c>
      <c r="G52" s="51">
        <f t="shared" si="12"/>
        <v>3017.442507384274</v>
      </c>
      <c r="H52" s="51">
        <f t="shared" si="12"/>
        <v>3258.3331577359863</v>
      </c>
      <c r="I52" s="51">
        <f t="shared" si="12"/>
        <v>3518.4547645300722</v>
      </c>
      <c r="J52" s="51">
        <f t="shared" si="12"/>
        <v>3799.3425873756037</v>
      </c>
      <c r="K52" s="51">
        <f t="shared" si="12"/>
        <v>4102.6544498359926</v>
      </c>
      <c r="L52" s="51">
        <f t="shared" si="12"/>
        <v>4430.1805240431386</v>
      </c>
      <c r="M52" s="51">
        <f t="shared" si="12"/>
        <v>4783.8538964439795</v>
      </c>
      <c r="N52" s="51">
        <f t="shared" si="12"/>
        <v>5165.7619770393358</v>
      </c>
      <c r="O52" s="51">
        <f t="shared" si="12"/>
        <v>5578.1588194533688</v>
      </c>
      <c r="P52" s="51">
        <f t="shared" si="12"/>
        <v>6023.4784245477167</v>
      </c>
      <c r="Q52" s="51">
        <f t="shared" si="12"/>
        <v>6504.3491060993711</v>
      </c>
      <c r="R52" s="51">
        <f t="shared" si="12"/>
        <v>7023.609003329726</v>
      </c>
      <c r="S52" s="51">
        <f t="shared" si="12"/>
        <v>7584.3228318410493</v>
      </c>
      <c r="T52" s="51">
        <f t="shared" si="12"/>
        <v>8189.7999718258307</v>
      </c>
      <c r="U52" s="51">
        <f t="shared" si="12"/>
        <v>0</v>
      </c>
      <c r="V52" s="51">
        <f t="shared" si="12"/>
        <v>0</v>
      </c>
      <c r="W52" s="51">
        <f t="shared" si="12"/>
        <v>0</v>
      </c>
      <c r="X52" s="51">
        <f t="shared" si="12"/>
        <v>0</v>
      </c>
      <c r="Y52" s="51">
        <f t="shared" si="12"/>
        <v>0</v>
      </c>
      <c r="Z52" s="51">
        <f t="shared" si="12"/>
        <v>0</v>
      </c>
      <c r="AA52" s="51">
        <f t="shared" si="12"/>
        <v>0</v>
      </c>
      <c r="AB52" s="51">
        <f t="shared" si="12"/>
        <v>0</v>
      </c>
      <c r="AC52" s="51">
        <f t="shared" si="12"/>
        <v>0</v>
      </c>
      <c r="AD52" s="51">
        <f t="shared" si="12"/>
        <v>0</v>
      </c>
      <c r="AE52" s="51">
        <f t="shared" si="12"/>
        <v>0</v>
      </c>
      <c r="AF52" s="51">
        <f t="shared" si="12"/>
        <v>0</v>
      </c>
    </row>
    <row r="53" spans="1:32">
      <c r="A53" s="51" t="s">
        <v>361</v>
      </c>
      <c r="B53" s="15"/>
      <c r="C53" s="51">
        <f>+SUM($C$52:C52)</f>
        <v>2123.9879922877017</v>
      </c>
      <c r="D53" s="51">
        <f>+SUM($C$52:D52)</f>
        <v>4520.4445044283293</v>
      </c>
      <c r="E53" s="51">
        <f>+SUM($C$52:E52)</f>
        <v>7108.2166642859993</v>
      </c>
      <c r="F53" s="51">
        <f>+SUM($C$52:F52)</f>
        <v>9902.5777208748113</v>
      </c>
      <c r="G53" s="51">
        <f>+SUM($C$52:G52)</f>
        <v>12920.020228259085</v>
      </c>
      <c r="H53" s="51">
        <f>+SUM($C$52:H52)</f>
        <v>16178.353385995071</v>
      </c>
      <c r="I53" s="51">
        <f>+SUM($C$52:I52)</f>
        <v>19696.808150525143</v>
      </c>
      <c r="J53" s="51">
        <f>+SUM($C$52:J52)</f>
        <v>23496.150737900745</v>
      </c>
      <c r="K53" s="51">
        <f>+SUM($C$52:K52)</f>
        <v>27598.80518773674</v>
      </c>
      <c r="L53" s="51">
        <f>+SUM($C$52:L52)</f>
        <v>32028.985711779878</v>
      </c>
      <c r="M53" s="51">
        <f>+SUM($C$52:M52)</f>
        <v>36812.839608223861</v>
      </c>
      <c r="N53" s="51">
        <f>+SUM($C$52:N52)</f>
        <v>41978.601585263197</v>
      </c>
      <c r="O53" s="51">
        <f>+SUM($C$52:O52)</f>
        <v>47556.760404716566</v>
      </c>
      <c r="P53" s="51">
        <f>+SUM($C$52:P52)</f>
        <v>53580.238829264286</v>
      </c>
      <c r="Q53" s="51">
        <f>+SUM($C$52:Q52)</f>
        <v>60084.587935363656</v>
      </c>
      <c r="R53" s="51">
        <f>+SUM($C$52:R52)</f>
        <v>67108.196938693378</v>
      </c>
      <c r="S53" s="51">
        <f>+SUM($C$52:S52)</f>
        <v>74692.519770534433</v>
      </c>
      <c r="T53" s="51">
        <f>+SUM($C$52:T52)</f>
        <v>82882.319742360269</v>
      </c>
      <c r="U53" s="51">
        <f>+SUM($C$52:U52)</f>
        <v>82882.319742360269</v>
      </c>
      <c r="V53" s="51">
        <f>+SUM($C$52:V52)</f>
        <v>82882.319742360269</v>
      </c>
      <c r="W53" s="51">
        <f>+SUM($C$52:W52)</f>
        <v>82882.319742360269</v>
      </c>
      <c r="X53" s="51">
        <f>+SUM($C$52:X52)</f>
        <v>82882.319742360269</v>
      </c>
      <c r="Y53" s="51">
        <f>+SUM($C$52:Y52)</f>
        <v>82882.319742360269</v>
      </c>
      <c r="Z53" s="51">
        <f>+SUM($C$52:Z52)</f>
        <v>82882.319742360269</v>
      </c>
      <c r="AA53" s="51">
        <f>+SUM($C$52:AA52)</f>
        <v>82882.319742360269</v>
      </c>
      <c r="AB53" s="51">
        <f>+SUM($C$52:AB52)</f>
        <v>82882.319742360269</v>
      </c>
      <c r="AC53" s="51">
        <f>+SUM($C$52:AC52)</f>
        <v>82882.319742360269</v>
      </c>
      <c r="AD53" s="51">
        <f>+SUM($C$52:AD52)</f>
        <v>82882.319742360269</v>
      </c>
      <c r="AE53" s="51">
        <f>+SUM($C$52:AE52)</f>
        <v>82882.319742360269</v>
      </c>
      <c r="AF53" s="51">
        <f>+SUM($C$52:AF52)</f>
        <v>82882.319742360269</v>
      </c>
    </row>
    <row r="54" spans="1:32">
      <c r="A54" s="451"/>
      <c r="B54" s="233"/>
      <c r="C54" s="233"/>
      <c r="D54" s="233"/>
      <c r="E54" s="233"/>
      <c r="F54" s="233"/>
      <c r="G54" s="233"/>
      <c r="H54" s="233"/>
      <c r="I54" s="233"/>
      <c r="J54" s="233"/>
      <c r="K54" s="233"/>
      <c r="L54" s="233"/>
      <c r="M54" s="233"/>
      <c r="N54" s="233"/>
      <c r="O54" s="233"/>
      <c r="P54" s="233"/>
      <c r="Q54" s="233"/>
      <c r="R54" s="233"/>
      <c r="S54" s="233"/>
      <c r="T54" s="233"/>
      <c r="U54" s="233"/>
      <c r="V54" s="233"/>
      <c r="W54" s="233"/>
      <c r="X54" s="233"/>
      <c r="Y54" s="233"/>
      <c r="Z54" s="233"/>
      <c r="AA54" s="233"/>
      <c r="AB54" s="233"/>
      <c r="AC54" s="233"/>
      <c r="AD54" s="233"/>
      <c r="AE54" s="233"/>
      <c r="AF54" s="233"/>
    </row>
    <row r="55" spans="1:32">
      <c r="A55" s="451"/>
      <c r="B55" s="233"/>
      <c r="C55" s="233"/>
      <c r="D55" s="233"/>
      <c r="E55" s="233"/>
      <c r="F55" s="233"/>
      <c r="G55" s="233"/>
      <c r="H55" s="233"/>
      <c r="I55" s="233"/>
      <c r="J55" s="233"/>
      <c r="K55" s="233"/>
      <c r="L55" s="233"/>
      <c r="M55" s="233"/>
      <c r="N55" s="233"/>
      <c r="O55" s="233"/>
      <c r="P55" s="233"/>
      <c r="Q55" s="233"/>
      <c r="R55" s="233"/>
      <c r="S55" s="233"/>
      <c r="T55" s="233"/>
      <c r="U55" s="233"/>
      <c r="V55" s="233"/>
      <c r="W55" s="233"/>
      <c r="X55" s="233"/>
      <c r="Y55" s="233"/>
      <c r="Z55" s="233"/>
      <c r="AA55" s="233"/>
      <c r="AB55" s="233"/>
      <c r="AC55" s="233"/>
      <c r="AD55" s="233"/>
      <c r="AE55" s="233"/>
      <c r="AF55" s="233"/>
    </row>
    <row r="56" spans="1:32">
      <c r="A56" s="51" t="s">
        <v>362</v>
      </c>
      <c r="B56" s="51">
        <f>+$B$35-B53</f>
        <v>79074.242256280646</v>
      </c>
      <c r="C56" s="51">
        <f>+IF(B56&lt;=0,0,$B$35-C53)</f>
        <v>76950.254263992945</v>
      </c>
      <c r="D56" s="51">
        <f t="shared" ref="D56:AF56" si="13">+IF(C56&lt;=0,0,$B$35-D53)</f>
        <v>74553.797751852311</v>
      </c>
      <c r="E56" s="51">
        <f t="shared" si="13"/>
        <v>71966.02559199465</v>
      </c>
      <c r="F56" s="51">
        <f t="shared" si="13"/>
        <v>69171.664535405842</v>
      </c>
      <c r="G56" s="51">
        <f t="shared" si="13"/>
        <v>66154.222028021555</v>
      </c>
      <c r="H56" s="51">
        <f t="shared" si="13"/>
        <v>62895.888870285577</v>
      </c>
      <c r="I56" s="51">
        <f t="shared" si="13"/>
        <v>59377.434105755499</v>
      </c>
      <c r="J56" s="51">
        <f t="shared" si="13"/>
        <v>55578.091518379901</v>
      </c>
      <c r="K56" s="51">
        <f t="shared" si="13"/>
        <v>51475.437068543906</v>
      </c>
      <c r="L56" s="51">
        <f t="shared" si="13"/>
        <v>47045.256544500764</v>
      </c>
      <c r="M56" s="51">
        <f t="shared" si="13"/>
        <v>42261.402648056785</v>
      </c>
      <c r="N56" s="51">
        <f t="shared" si="13"/>
        <v>37095.640671017449</v>
      </c>
      <c r="O56" s="51">
        <f t="shared" si="13"/>
        <v>31517.48185156408</v>
      </c>
      <c r="P56" s="51">
        <f t="shared" si="13"/>
        <v>25494.00342701636</v>
      </c>
      <c r="Q56" s="51">
        <f t="shared" si="13"/>
        <v>18989.65432091699</v>
      </c>
      <c r="R56" s="51">
        <f t="shared" si="13"/>
        <v>11966.045317587268</v>
      </c>
      <c r="S56" s="51">
        <f t="shared" si="13"/>
        <v>4381.7224857462134</v>
      </c>
      <c r="T56" s="51">
        <f t="shared" si="13"/>
        <v>-3808.0774860796228</v>
      </c>
      <c r="U56" s="51">
        <f t="shared" si="13"/>
        <v>0</v>
      </c>
      <c r="V56" s="51">
        <f t="shared" si="13"/>
        <v>0</v>
      </c>
      <c r="W56" s="51">
        <f t="shared" si="13"/>
        <v>0</v>
      </c>
      <c r="X56" s="51">
        <f t="shared" si="13"/>
        <v>0</v>
      </c>
      <c r="Y56" s="51">
        <f t="shared" si="13"/>
        <v>0</v>
      </c>
      <c r="Z56" s="51">
        <f t="shared" si="13"/>
        <v>0</v>
      </c>
      <c r="AA56" s="51">
        <f t="shared" si="13"/>
        <v>0</v>
      </c>
      <c r="AB56" s="51">
        <f t="shared" si="13"/>
        <v>0</v>
      </c>
      <c r="AC56" s="51">
        <f t="shared" si="13"/>
        <v>0</v>
      </c>
      <c r="AD56" s="51">
        <f t="shared" si="13"/>
        <v>0</v>
      </c>
      <c r="AE56" s="51">
        <f t="shared" si="13"/>
        <v>0</v>
      </c>
      <c r="AF56" s="51">
        <f t="shared" si="13"/>
        <v>0</v>
      </c>
    </row>
    <row r="57" spans="1:32">
      <c r="A57" s="51"/>
      <c r="B57" s="15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</row>
    <row r="58" spans="1:32">
      <c r="A58" s="51"/>
      <c r="B58" s="15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</row>
    <row r="59" spans="1:32">
      <c r="A59" s="51"/>
      <c r="B59" s="15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</row>
    <row r="60" spans="1:32">
      <c r="A60" s="51"/>
      <c r="B60" s="15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</row>
    <row r="61" spans="1:32">
      <c r="A61" s="51"/>
      <c r="B61" s="15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</row>
    <row r="62" spans="1:32">
      <c r="A62" s="51"/>
      <c r="B62" s="15"/>
      <c r="C62" s="568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</row>
    <row r="63" spans="1:32" hidden="1" outlineLevel="1">
      <c r="A63" s="452" t="str">
        <f>CONCATENATE("Tranche 2 @ ",L7*100,"%")</f>
        <v>Tranche 2 @ 0%</v>
      </c>
      <c r="B63" s="15"/>
      <c r="C63" s="49"/>
    </row>
    <row r="64" spans="1:32" hidden="1" outlineLevel="1">
      <c r="A64" s="284">
        <f>A34</f>
        <v>36739</v>
      </c>
      <c r="B64" s="233"/>
    </row>
    <row r="65" spans="1:34" hidden="1" outlineLevel="1">
      <c r="A65" s="51" t="s">
        <v>113</v>
      </c>
      <c r="B65" s="115">
        <f>L10</f>
        <v>0</v>
      </c>
      <c r="C65" s="51">
        <f>B73</f>
        <v>0</v>
      </c>
      <c r="D65" s="51">
        <f t="shared" ref="D65:AF65" si="14">C73</f>
        <v>0</v>
      </c>
      <c r="E65" s="51">
        <f t="shared" si="14"/>
        <v>0</v>
      </c>
      <c r="F65" s="51">
        <f t="shared" si="14"/>
        <v>0</v>
      </c>
      <c r="G65" s="51">
        <f t="shared" si="14"/>
        <v>0</v>
      </c>
      <c r="H65" s="51">
        <f t="shared" si="14"/>
        <v>0</v>
      </c>
      <c r="I65" s="51">
        <f t="shared" si="14"/>
        <v>0</v>
      </c>
      <c r="J65" s="51">
        <f t="shared" si="14"/>
        <v>0</v>
      </c>
      <c r="K65" s="51">
        <f t="shared" si="14"/>
        <v>0</v>
      </c>
      <c r="L65" s="51">
        <f t="shared" si="14"/>
        <v>0</v>
      </c>
      <c r="M65" s="51">
        <f t="shared" si="14"/>
        <v>0</v>
      </c>
      <c r="N65" s="51">
        <f t="shared" si="14"/>
        <v>0</v>
      </c>
      <c r="O65" s="51">
        <f t="shared" si="14"/>
        <v>0</v>
      </c>
      <c r="P65" s="51">
        <f t="shared" si="14"/>
        <v>0</v>
      </c>
      <c r="Q65" s="51">
        <f t="shared" si="14"/>
        <v>0</v>
      </c>
      <c r="R65" s="51">
        <f t="shared" si="14"/>
        <v>0</v>
      </c>
      <c r="S65" s="51">
        <f t="shared" si="14"/>
        <v>0</v>
      </c>
      <c r="T65" s="51">
        <f t="shared" si="14"/>
        <v>0</v>
      </c>
      <c r="U65" s="51">
        <f t="shared" si="14"/>
        <v>0</v>
      </c>
      <c r="V65" s="51">
        <f t="shared" si="14"/>
        <v>0</v>
      </c>
      <c r="W65" s="51">
        <f t="shared" si="14"/>
        <v>0</v>
      </c>
      <c r="X65" s="51">
        <f t="shared" si="14"/>
        <v>0</v>
      </c>
      <c r="Y65" s="51">
        <f t="shared" si="14"/>
        <v>0</v>
      </c>
      <c r="Z65" s="51">
        <f t="shared" si="14"/>
        <v>0</v>
      </c>
      <c r="AA65" s="51">
        <f t="shared" si="14"/>
        <v>0</v>
      </c>
      <c r="AB65" s="51">
        <f t="shared" si="14"/>
        <v>0</v>
      </c>
      <c r="AC65" s="51">
        <f t="shared" si="14"/>
        <v>0</v>
      </c>
      <c r="AD65" s="51">
        <f t="shared" si="14"/>
        <v>0</v>
      </c>
      <c r="AE65" s="51">
        <f t="shared" si="14"/>
        <v>0</v>
      </c>
      <c r="AF65" s="51">
        <f t="shared" si="14"/>
        <v>0</v>
      </c>
      <c r="AG65" s="51"/>
      <c r="AH65" s="19"/>
    </row>
    <row r="66" spans="1:34" hidden="1" outlineLevel="1">
      <c r="A66" s="51" t="s">
        <v>114</v>
      </c>
      <c r="B66" s="233">
        <v>0</v>
      </c>
      <c r="C66" s="51">
        <f>$B$65*C28/2</f>
        <v>0</v>
      </c>
      <c r="D66" s="51">
        <f t="shared" ref="D66:W66" si="15">$B$65*D28/2</f>
        <v>0</v>
      </c>
      <c r="E66" s="51">
        <f t="shared" si="15"/>
        <v>0</v>
      </c>
      <c r="F66" s="51">
        <f t="shared" si="15"/>
        <v>0</v>
      </c>
      <c r="G66" s="51">
        <f t="shared" si="15"/>
        <v>0</v>
      </c>
      <c r="H66" s="51">
        <f t="shared" si="15"/>
        <v>0</v>
      </c>
      <c r="I66" s="51">
        <f t="shared" si="15"/>
        <v>0</v>
      </c>
      <c r="J66" s="51">
        <f t="shared" si="15"/>
        <v>0</v>
      </c>
      <c r="K66" s="51">
        <f t="shared" si="15"/>
        <v>0</v>
      </c>
      <c r="L66" s="51">
        <f t="shared" si="15"/>
        <v>0</v>
      </c>
      <c r="M66" s="51">
        <f t="shared" si="15"/>
        <v>0</v>
      </c>
      <c r="N66" s="51">
        <f t="shared" si="15"/>
        <v>0</v>
      </c>
      <c r="O66" s="51">
        <f t="shared" si="15"/>
        <v>0</v>
      </c>
      <c r="P66" s="51">
        <f t="shared" si="15"/>
        <v>0</v>
      </c>
      <c r="Q66" s="51">
        <f t="shared" si="15"/>
        <v>0</v>
      </c>
      <c r="R66" s="51">
        <f t="shared" si="15"/>
        <v>0</v>
      </c>
      <c r="S66" s="51">
        <f t="shared" si="15"/>
        <v>0</v>
      </c>
      <c r="T66" s="51">
        <f t="shared" si="15"/>
        <v>0</v>
      </c>
      <c r="U66" s="51">
        <f t="shared" si="15"/>
        <v>0</v>
      </c>
      <c r="V66" s="51">
        <f t="shared" si="15"/>
        <v>0</v>
      </c>
      <c r="W66" s="51">
        <f t="shared" si="15"/>
        <v>0</v>
      </c>
      <c r="X66" s="51">
        <f t="shared" ref="X66:AF66" si="16">$B$65*X28/2</f>
        <v>0</v>
      </c>
      <c r="Y66" s="51">
        <f t="shared" si="16"/>
        <v>0</v>
      </c>
      <c r="Z66" s="51">
        <f t="shared" si="16"/>
        <v>0</v>
      </c>
      <c r="AA66" s="51">
        <f t="shared" si="16"/>
        <v>0</v>
      </c>
      <c r="AB66" s="51">
        <f t="shared" si="16"/>
        <v>0</v>
      </c>
      <c r="AC66" s="51">
        <f t="shared" si="16"/>
        <v>0</v>
      </c>
      <c r="AD66" s="51">
        <f t="shared" si="16"/>
        <v>0</v>
      </c>
      <c r="AE66" s="51">
        <f t="shared" si="16"/>
        <v>0</v>
      </c>
      <c r="AF66" s="51">
        <f t="shared" si="16"/>
        <v>0</v>
      </c>
      <c r="AG66" s="51"/>
      <c r="AH66" s="19"/>
    </row>
    <row r="67" spans="1:34" hidden="1" outlineLevel="1">
      <c r="A67" s="51" t="s">
        <v>115</v>
      </c>
      <c r="B67" s="233">
        <v>0</v>
      </c>
      <c r="C67" s="51">
        <f>C65*$L$7/2</f>
        <v>0</v>
      </c>
      <c r="D67" s="51">
        <f t="shared" ref="D67:W67" si="17">D65*$L$7/2</f>
        <v>0</v>
      </c>
      <c r="E67" s="51">
        <f t="shared" si="17"/>
        <v>0</v>
      </c>
      <c r="F67" s="51">
        <f t="shared" si="17"/>
        <v>0</v>
      </c>
      <c r="G67" s="51">
        <f t="shared" si="17"/>
        <v>0</v>
      </c>
      <c r="H67" s="51">
        <f t="shared" si="17"/>
        <v>0</v>
      </c>
      <c r="I67" s="51">
        <f t="shared" si="17"/>
        <v>0</v>
      </c>
      <c r="J67" s="51">
        <f t="shared" si="17"/>
        <v>0</v>
      </c>
      <c r="K67" s="51">
        <f t="shared" si="17"/>
        <v>0</v>
      </c>
      <c r="L67" s="51">
        <f t="shared" si="17"/>
        <v>0</v>
      </c>
      <c r="M67" s="51">
        <f t="shared" si="17"/>
        <v>0</v>
      </c>
      <c r="N67" s="51">
        <f t="shared" si="17"/>
        <v>0</v>
      </c>
      <c r="O67" s="51">
        <f t="shared" si="17"/>
        <v>0</v>
      </c>
      <c r="P67" s="51">
        <f t="shared" si="17"/>
        <v>0</v>
      </c>
      <c r="Q67" s="51">
        <f t="shared" si="17"/>
        <v>0</v>
      </c>
      <c r="R67" s="51">
        <f t="shared" si="17"/>
        <v>0</v>
      </c>
      <c r="S67" s="51">
        <f t="shared" si="17"/>
        <v>0</v>
      </c>
      <c r="T67" s="51">
        <f t="shared" si="17"/>
        <v>0</v>
      </c>
      <c r="U67" s="51">
        <f t="shared" si="17"/>
        <v>0</v>
      </c>
      <c r="V67" s="51">
        <f t="shared" si="17"/>
        <v>0</v>
      </c>
      <c r="W67" s="51">
        <f t="shared" si="17"/>
        <v>0</v>
      </c>
      <c r="X67" s="51">
        <f t="shared" ref="X67:AF67" si="18">X65*$L$7/2</f>
        <v>0</v>
      </c>
      <c r="Y67" s="51">
        <f t="shared" si="18"/>
        <v>0</v>
      </c>
      <c r="Z67" s="51">
        <f t="shared" si="18"/>
        <v>0</v>
      </c>
      <c r="AA67" s="51">
        <f t="shared" si="18"/>
        <v>0</v>
      </c>
      <c r="AB67" s="51">
        <f t="shared" si="18"/>
        <v>0</v>
      </c>
      <c r="AC67" s="51">
        <f t="shared" si="18"/>
        <v>0</v>
      </c>
      <c r="AD67" s="51">
        <f t="shared" si="18"/>
        <v>0</v>
      </c>
      <c r="AE67" s="51">
        <f t="shared" si="18"/>
        <v>0</v>
      </c>
      <c r="AF67" s="51">
        <f t="shared" si="18"/>
        <v>0</v>
      </c>
      <c r="AG67" s="51"/>
      <c r="AH67" s="19"/>
    </row>
    <row r="68" spans="1:34" hidden="1" outlineLevel="1">
      <c r="A68" s="51" t="s">
        <v>116</v>
      </c>
      <c r="B68" s="233">
        <f>B65-B66</f>
        <v>0</v>
      </c>
      <c r="C68" s="51">
        <f t="shared" ref="C68:R68" si="19">C65-C66</f>
        <v>0</v>
      </c>
      <c r="D68" s="51">
        <f t="shared" si="19"/>
        <v>0</v>
      </c>
      <c r="E68" s="51">
        <f t="shared" si="19"/>
        <v>0</v>
      </c>
      <c r="F68" s="51">
        <f t="shared" si="19"/>
        <v>0</v>
      </c>
      <c r="G68" s="51">
        <f t="shared" si="19"/>
        <v>0</v>
      </c>
      <c r="H68" s="51">
        <f t="shared" si="19"/>
        <v>0</v>
      </c>
      <c r="I68" s="51">
        <f t="shared" si="19"/>
        <v>0</v>
      </c>
      <c r="J68" s="51">
        <f t="shared" si="19"/>
        <v>0</v>
      </c>
      <c r="K68" s="51">
        <f t="shared" si="19"/>
        <v>0</v>
      </c>
      <c r="L68" s="51">
        <f t="shared" si="19"/>
        <v>0</v>
      </c>
      <c r="M68" s="51">
        <f t="shared" si="19"/>
        <v>0</v>
      </c>
      <c r="N68" s="51">
        <f t="shared" si="19"/>
        <v>0</v>
      </c>
      <c r="O68" s="51">
        <f t="shared" si="19"/>
        <v>0</v>
      </c>
      <c r="P68" s="51">
        <f t="shared" si="19"/>
        <v>0</v>
      </c>
      <c r="Q68" s="51">
        <f t="shared" si="19"/>
        <v>0</v>
      </c>
      <c r="R68" s="51">
        <f t="shared" si="19"/>
        <v>0</v>
      </c>
      <c r="S68" s="51">
        <f t="shared" ref="S68:AF68" si="20">S65-S66</f>
        <v>0</v>
      </c>
      <c r="T68" s="51">
        <f t="shared" si="20"/>
        <v>0</v>
      </c>
      <c r="U68" s="51">
        <f t="shared" si="20"/>
        <v>0</v>
      </c>
      <c r="V68" s="51">
        <f t="shared" si="20"/>
        <v>0</v>
      </c>
      <c r="W68" s="51">
        <f t="shared" si="20"/>
        <v>0</v>
      </c>
      <c r="X68" s="51">
        <f t="shared" si="20"/>
        <v>0</v>
      </c>
      <c r="Y68" s="51">
        <f t="shared" si="20"/>
        <v>0</v>
      </c>
      <c r="Z68" s="51">
        <f t="shared" si="20"/>
        <v>0</v>
      </c>
      <c r="AA68" s="51">
        <f t="shared" si="20"/>
        <v>0</v>
      </c>
      <c r="AB68" s="51">
        <f t="shared" si="20"/>
        <v>0</v>
      </c>
      <c r="AC68" s="51">
        <f t="shared" si="20"/>
        <v>0</v>
      </c>
      <c r="AD68" s="51">
        <f t="shared" si="20"/>
        <v>0</v>
      </c>
      <c r="AE68" s="51">
        <f t="shared" si="20"/>
        <v>0</v>
      </c>
      <c r="AF68" s="51">
        <f t="shared" si="20"/>
        <v>0</v>
      </c>
      <c r="AG68" s="51"/>
      <c r="AH68" s="19"/>
    </row>
    <row r="69" spans="1:34" hidden="1" outlineLevel="1">
      <c r="A69" s="284">
        <f>A39</f>
        <v>36557</v>
      </c>
      <c r="B69" s="233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19"/>
    </row>
    <row r="70" spans="1:34" hidden="1" outlineLevel="1">
      <c r="A70" s="51" t="s">
        <v>113</v>
      </c>
      <c r="B70" s="233">
        <f>B68</f>
        <v>0</v>
      </c>
      <c r="C70" s="233">
        <f t="shared" ref="C70:W70" si="21">C68</f>
        <v>0</v>
      </c>
      <c r="D70" s="233">
        <f t="shared" si="21"/>
        <v>0</v>
      </c>
      <c r="E70" s="233">
        <f t="shared" si="21"/>
        <v>0</v>
      </c>
      <c r="F70" s="233">
        <f t="shared" si="21"/>
        <v>0</v>
      </c>
      <c r="G70" s="233">
        <f t="shared" si="21"/>
        <v>0</v>
      </c>
      <c r="H70" s="233">
        <f t="shared" si="21"/>
        <v>0</v>
      </c>
      <c r="I70" s="233">
        <f t="shared" si="21"/>
        <v>0</v>
      </c>
      <c r="J70" s="233">
        <f t="shared" si="21"/>
        <v>0</v>
      </c>
      <c r="K70" s="233">
        <f t="shared" si="21"/>
        <v>0</v>
      </c>
      <c r="L70" s="233">
        <f t="shared" si="21"/>
        <v>0</v>
      </c>
      <c r="M70" s="233">
        <f t="shared" si="21"/>
        <v>0</v>
      </c>
      <c r="N70" s="233">
        <f t="shared" si="21"/>
        <v>0</v>
      </c>
      <c r="O70" s="233">
        <f t="shared" si="21"/>
        <v>0</v>
      </c>
      <c r="P70" s="233">
        <f t="shared" si="21"/>
        <v>0</v>
      </c>
      <c r="Q70" s="233">
        <f t="shared" si="21"/>
        <v>0</v>
      </c>
      <c r="R70" s="233">
        <f t="shared" si="21"/>
        <v>0</v>
      </c>
      <c r="S70" s="233">
        <f t="shared" si="21"/>
        <v>0</v>
      </c>
      <c r="T70" s="233">
        <f t="shared" si="21"/>
        <v>0</v>
      </c>
      <c r="U70" s="233">
        <f t="shared" si="21"/>
        <v>0</v>
      </c>
      <c r="V70" s="233">
        <f t="shared" si="21"/>
        <v>0</v>
      </c>
      <c r="W70" s="233">
        <f t="shared" si="21"/>
        <v>0</v>
      </c>
      <c r="X70" s="233">
        <f t="shared" ref="X70:AF70" si="22">X68</f>
        <v>0</v>
      </c>
      <c r="Y70" s="233">
        <f t="shared" si="22"/>
        <v>0</v>
      </c>
      <c r="Z70" s="233">
        <f t="shared" si="22"/>
        <v>0</v>
      </c>
      <c r="AA70" s="233">
        <f t="shared" si="22"/>
        <v>0</v>
      </c>
      <c r="AB70" s="233">
        <f t="shared" si="22"/>
        <v>0</v>
      </c>
      <c r="AC70" s="233">
        <f t="shared" si="22"/>
        <v>0</v>
      </c>
      <c r="AD70" s="233">
        <f t="shared" si="22"/>
        <v>0</v>
      </c>
      <c r="AE70" s="233">
        <f t="shared" si="22"/>
        <v>0</v>
      </c>
      <c r="AF70" s="233">
        <f t="shared" si="22"/>
        <v>0</v>
      </c>
      <c r="AG70" s="51"/>
      <c r="AH70" s="19"/>
    </row>
    <row r="71" spans="1:34" hidden="1" outlineLevel="1">
      <c r="A71" s="51" t="s">
        <v>114</v>
      </c>
      <c r="B71" s="233">
        <f>B28*$B$65</f>
        <v>0</v>
      </c>
      <c r="C71" s="233">
        <f>C28*$B$65/2</f>
        <v>0</v>
      </c>
      <c r="D71" s="233">
        <f t="shared" ref="D71:W71" si="23">D28*$B$65/2</f>
        <v>0</v>
      </c>
      <c r="E71" s="233">
        <f t="shared" si="23"/>
        <v>0</v>
      </c>
      <c r="F71" s="233">
        <f t="shared" si="23"/>
        <v>0</v>
      </c>
      <c r="G71" s="233">
        <f t="shared" si="23"/>
        <v>0</v>
      </c>
      <c r="H71" s="233">
        <f t="shared" si="23"/>
        <v>0</v>
      </c>
      <c r="I71" s="233">
        <f t="shared" si="23"/>
        <v>0</v>
      </c>
      <c r="J71" s="233">
        <f t="shared" si="23"/>
        <v>0</v>
      </c>
      <c r="K71" s="233">
        <f t="shared" si="23"/>
        <v>0</v>
      </c>
      <c r="L71" s="233">
        <f t="shared" si="23"/>
        <v>0</v>
      </c>
      <c r="M71" s="233">
        <f t="shared" si="23"/>
        <v>0</v>
      </c>
      <c r="N71" s="233">
        <f t="shared" si="23"/>
        <v>0</v>
      </c>
      <c r="O71" s="233">
        <f t="shared" si="23"/>
        <v>0</v>
      </c>
      <c r="P71" s="233">
        <f t="shared" si="23"/>
        <v>0</v>
      </c>
      <c r="Q71" s="233">
        <f t="shared" si="23"/>
        <v>0</v>
      </c>
      <c r="R71" s="233">
        <f t="shared" si="23"/>
        <v>0</v>
      </c>
      <c r="S71" s="233">
        <f t="shared" si="23"/>
        <v>0</v>
      </c>
      <c r="T71" s="233">
        <f t="shared" si="23"/>
        <v>0</v>
      </c>
      <c r="U71" s="233">
        <f t="shared" si="23"/>
        <v>0</v>
      </c>
      <c r="V71" s="233">
        <f t="shared" si="23"/>
        <v>0</v>
      </c>
      <c r="W71" s="233">
        <f t="shared" si="23"/>
        <v>0</v>
      </c>
      <c r="X71" s="233">
        <f t="shared" ref="X71:AF71" si="24">X28*$B$65/2</f>
        <v>0</v>
      </c>
      <c r="Y71" s="233">
        <f t="shared" si="24"/>
        <v>0</v>
      </c>
      <c r="Z71" s="233">
        <f t="shared" si="24"/>
        <v>0</v>
      </c>
      <c r="AA71" s="233">
        <f t="shared" si="24"/>
        <v>0</v>
      </c>
      <c r="AB71" s="233">
        <f t="shared" si="24"/>
        <v>0</v>
      </c>
      <c r="AC71" s="233">
        <f t="shared" si="24"/>
        <v>0</v>
      </c>
      <c r="AD71" s="233">
        <f t="shared" si="24"/>
        <v>0</v>
      </c>
      <c r="AE71" s="233">
        <f t="shared" si="24"/>
        <v>0</v>
      </c>
      <c r="AF71" s="233">
        <f t="shared" si="24"/>
        <v>0</v>
      </c>
      <c r="AG71" s="51"/>
      <c r="AH71" s="19"/>
    </row>
    <row r="72" spans="1:34" hidden="1" outlineLevel="1">
      <c r="A72" s="51" t="s">
        <v>115</v>
      </c>
      <c r="B72" s="233">
        <f>B70*$L$7/2</f>
        <v>0</v>
      </c>
      <c r="C72" s="233">
        <f t="shared" ref="C72:W72" si="25">C70*$L$7/2</f>
        <v>0</v>
      </c>
      <c r="D72" s="233">
        <f t="shared" si="25"/>
        <v>0</v>
      </c>
      <c r="E72" s="233">
        <f t="shared" si="25"/>
        <v>0</v>
      </c>
      <c r="F72" s="233">
        <f t="shared" si="25"/>
        <v>0</v>
      </c>
      <c r="G72" s="233">
        <f t="shared" si="25"/>
        <v>0</v>
      </c>
      <c r="H72" s="233">
        <f t="shared" si="25"/>
        <v>0</v>
      </c>
      <c r="I72" s="233">
        <f t="shared" si="25"/>
        <v>0</v>
      </c>
      <c r="J72" s="233">
        <f t="shared" si="25"/>
        <v>0</v>
      </c>
      <c r="K72" s="233">
        <f t="shared" si="25"/>
        <v>0</v>
      </c>
      <c r="L72" s="233">
        <f t="shared" si="25"/>
        <v>0</v>
      </c>
      <c r="M72" s="233">
        <f t="shared" si="25"/>
        <v>0</v>
      </c>
      <c r="N72" s="233">
        <f t="shared" si="25"/>
        <v>0</v>
      </c>
      <c r="O72" s="233">
        <f t="shared" si="25"/>
        <v>0</v>
      </c>
      <c r="P72" s="233">
        <f t="shared" si="25"/>
        <v>0</v>
      </c>
      <c r="Q72" s="233">
        <f t="shared" si="25"/>
        <v>0</v>
      </c>
      <c r="R72" s="233">
        <f t="shared" si="25"/>
        <v>0</v>
      </c>
      <c r="S72" s="233">
        <f t="shared" si="25"/>
        <v>0</v>
      </c>
      <c r="T72" s="233">
        <f t="shared" si="25"/>
        <v>0</v>
      </c>
      <c r="U72" s="233">
        <f t="shared" si="25"/>
        <v>0</v>
      </c>
      <c r="V72" s="233">
        <f t="shared" si="25"/>
        <v>0</v>
      </c>
      <c r="W72" s="233">
        <f t="shared" si="25"/>
        <v>0</v>
      </c>
      <c r="X72" s="233">
        <f t="shared" ref="X72:AF72" si="26">X70*$L$7/2</f>
        <v>0</v>
      </c>
      <c r="Y72" s="233">
        <f t="shared" si="26"/>
        <v>0</v>
      </c>
      <c r="Z72" s="233">
        <f t="shared" si="26"/>
        <v>0</v>
      </c>
      <c r="AA72" s="233">
        <f t="shared" si="26"/>
        <v>0</v>
      </c>
      <c r="AB72" s="233">
        <f t="shared" si="26"/>
        <v>0</v>
      </c>
      <c r="AC72" s="233">
        <f t="shared" si="26"/>
        <v>0</v>
      </c>
      <c r="AD72" s="233">
        <f t="shared" si="26"/>
        <v>0</v>
      </c>
      <c r="AE72" s="233">
        <f t="shared" si="26"/>
        <v>0</v>
      </c>
      <c r="AF72" s="233">
        <f t="shared" si="26"/>
        <v>0</v>
      </c>
      <c r="AG72" s="51"/>
      <c r="AH72" s="19"/>
    </row>
    <row r="73" spans="1:34" hidden="1" outlineLevel="1">
      <c r="A73" s="51" t="s">
        <v>116</v>
      </c>
      <c r="B73" s="233">
        <f>B70-B71</f>
        <v>0</v>
      </c>
      <c r="C73" s="51">
        <f t="shared" ref="C73:R73" si="27">C70-C71</f>
        <v>0</v>
      </c>
      <c r="D73" s="51">
        <f t="shared" si="27"/>
        <v>0</v>
      </c>
      <c r="E73" s="51">
        <f t="shared" si="27"/>
        <v>0</v>
      </c>
      <c r="F73" s="51">
        <f t="shared" si="27"/>
        <v>0</v>
      </c>
      <c r="G73" s="51">
        <f t="shared" si="27"/>
        <v>0</v>
      </c>
      <c r="H73" s="51">
        <f t="shared" si="27"/>
        <v>0</v>
      </c>
      <c r="I73" s="51">
        <f t="shared" si="27"/>
        <v>0</v>
      </c>
      <c r="J73" s="51">
        <f t="shared" si="27"/>
        <v>0</v>
      </c>
      <c r="K73" s="51">
        <f t="shared" si="27"/>
        <v>0</v>
      </c>
      <c r="L73" s="51">
        <f t="shared" si="27"/>
        <v>0</v>
      </c>
      <c r="M73" s="51">
        <f t="shared" si="27"/>
        <v>0</v>
      </c>
      <c r="N73" s="51">
        <f t="shared" si="27"/>
        <v>0</v>
      </c>
      <c r="O73" s="51">
        <f t="shared" si="27"/>
        <v>0</v>
      </c>
      <c r="P73" s="51">
        <f t="shared" si="27"/>
        <v>0</v>
      </c>
      <c r="Q73" s="51">
        <f t="shared" si="27"/>
        <v>0</v>
      </c>
      <c r="R73" s="51">
        <f t="shared" si="27"/>
        <v>0</v>
      </c>
      <c r="S73" s="51">
        <f t="shared" ref="S73:AF73" si="28">S70-S71</f>
        <v>0</v>
      </c>
      <c r="T73" s="51">
        <f t="shared" si="28"/>
        <v>0</v>
      </c>
      <c r="U73" s="51">
        <f t="shared" si="28"/>
        <v>0</v>
      </c>
      <c r="V73" s="51">
        <f t="shared" si="28"/>
        <v>0</v>
      </c>
      <c r="W73" s="51">
        <f t="shared" si="28"/>
        <v>0</v>
      </c>
      <c r="X73" s="51">
        <f t="shared" si="28"/>
        <v>0</v>
      </c>
      <c r="Y73" s="51">
        <f t="shared" si="28"/>
        <v>0</v>
      </c>
      <c r="Z73" s="51">
        <f t="shared" si="28"/>
        <v>0</v>
      </c>
      <c r="AA73" s="51">
        <f t="shared" si="28"/>
        <v>0</v>
      </c>
      <c r="AB73" s="51">
        <f t="shared" si="28"/>
        <v>0</v>
      </c>
      <c r="AC73" s="51">
        <f t="shared" si="28"/>
        <v>0</v>
      </c>
      <c r="AD73" s="51">
        <f t="shared" si="28"/>
        <v>0</v>
      </c>
      <c r="AE73" s="51">
        <f t="shared" si="28"/>
        <v>0</v>
      </c>
      <c r="AF73" s="51">
        <f t="shared" si="28"/>
        <v>0</v>
      </c>
      <c r="AG73" s="51"/>
      <c r="AH73" s="19"/>
    </row>
    <row r="74" spans="1:34" hidden="1" outlineLevel="1">
      <c r="A74" s="51"/>
      <c r="B74" s="233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19"/>
    </row>
    <row r="75" spans="1:34" hidden="1" outlineLevel="1">
      <c r="A75" s="53" t="s">
        <v>155</v>
      </c>
      <c r="B75" s="233">
        <f>B72+B67</f>
        <v>0</v>
      </c>
      <c r="C75" s="233">
        <f t="shared" ref="C75:W75" si="29">C72+C67</f>
        <v>0</v>
      </c>
      <c r="D75" s="233">
        <f t="shared" si="29"/>
        <v>0</v>
      </c>
      <c r="E75" s="233">
        <f t="shared" si="29"/>
        <v>0</v>
      </c>
      <c r="F75" s="233">
        <f t="shared" si="29"/>
        <v>0</v>
      </c>
      <c r="G75" s="233">
        <f t="shared" si="29"/>
        <v>0</v>
      </c>
      <c r="H75" s="233">
        <f t="shared" si="29"/>
        <v>0</v>
      </c>
      <c r="I75" s="233">
        <f t="shared" si="29"/>
        <v>0</v>
      </c>
      <c r="J75" s="233">
        <f t="shared" si="29"/>
        <v>0</v>
      </c>
      <c r="K75" s="233">
        <f t="shared" si="29"/>
        <v>0</v>
      </c>
      <c r="L75" s="233">
        <f t="shared" si="29"/>
        <v>0</v>
      </c>
      <c r="M75" s="233">
        <f t="shared" si="29"/>
        <v>0</v>
      </c>
      <c r="N75" s="233">
        <f t="shared" si="29"/>
        <v>0</v>
      </c>
      <c r="O75" s="233">
        <f t="shared" si="29"/>
        <v>0</v>
      </c>
      <c r="P75" s="233">
        <f t="shared" si="29"/>
        <v>0</v>
      </c>
      <c r="Q75" s="233">
        <f t="shared" si="29"/>
        <v>0</v>
      </c>
      <c r="R75" s="233">
        <f t="shared" si="29"/>
        <v>0</v>
      </c>
      <c r="S75" s="233">
        <f t="shared" si="29"/>
        <v>0</v>
      </c>
      <c r="T75" s="233">
        <f t="shared" si="29"/>
        <v>0</v>
      </c>
      <c r="U75" s="233">
        <f t="shared" si="29"/>
        <v>0</v>
      </c>
      <c r="V75" s="233">
        <f t="shared" si="29"/>
        <v>0</v>
      </c>
      <c r="W75" s="233">
        <f t="shared" si="29"/>
        <v>0</v>
      </c>
      <c r="X75" s="233">
        <f t="shared" ref="X75:AF75" si="30">X72+X67</f>
        <v>0</v>
      </c>
      <c r="Y75" s="233">
        <f t="shared" si="30"/>
        <v>0</v>
      </c>
      <c r="Z75" s="233">
        <f t="shared" si="30"/>
        <v>0</v>
      </c>
      <c r="AA75" s="233">
        <f t="shared" si="30"/>
        <v>0</v>
      </c>
      <c r="AB75" s="233">
        <f t="shared" si="30"/>
        <v>0</v>
      </c>
      <c r="AC75" s="233">
        <f t="shared" si="30"/>
        <v>0</v>
      </c>
      <c r="AD75" s="233">
        <f t="shared" si="30"/>
        <v>0</v>
      </c>
      <c r="AE75" s="233">
        <f t="shared" si="30"/>
        <v>0</v>
      </c>
      <c r="AF75" s="233">
        <f t="shared" si="30"/>
        <v>0</v>
      </c>
      <c r="AG75" s="51"/>
      <c r="AH75" s="19"/>
    </row>
    <row r="76" spans="1:34" hidden="1" outlineLevel="1">
      <c r="A76" s="13" t="s">
        <v>156</v>
      </c>
      <c r="B76" s="233">
        <v>0</v>
      </c>
      <c r="C76" s="51">
        <v>0</v>
      </c>
      <c r="D76" s="51">
        <v>0</v>
      </c>
      <c r="E76" s="51">
        <v>0</v>
      </c>
      <c r="F76" s="51">
        <v>0</v>
      </c>
      <c r="G76" s="51">
        <v>0</v>
      </c>
      <c r="H76" s="51">
        <v>0</v>
      </c>
      <c r="I76" s="51">
        <v>0</v>
      </c>
      <c r="J76" s="51">
        <v>0</v>
      </c>
      <c r="K76" s="51">
        <v>0</v>
      </c>
      <c r="L76" s="51">
        <v>0</v>
      </c>
      <c r="M76" s="51">
        <v>0</v>
      </c>
      <c r="N76" s="51">
        <v>0</v>
      </c>
      <c r="O76" s="51">
        <v>0</v>
      </c>
      <c r="P76" s="51">
        <v>0</v>
      </c>
      <c r="Q76" s="51">
        <v>0</v>
      </c>
      <c r="R76" s="51">
        <v>0</v>
      </c>
      <c r="S76" s="51">
        <v>0</v>
      </c>
      <c r="T76" s="51">
        <v>0</v>
      </c>
      <c r="U76" s="51">
        <v>0</v>
      </c>
      <c r="V76" s="51">
        <v>0</v>
      </c>
      <c r="W76" s="51">
        <v>0</v>
      </c>
      <c r="X76" s="51">
        <v>0</v>
      </c>
      <c r="Y76" s="51">
        <v>0</v>
      </c>
      <c r="Z76" s="51">
        <v>0</v>
      </c>
      <c r="AA76" s="51">
        <v>0</v>
      </c>
      <c r="AB76" s="51">
        <v>0</v>
      </c>
      <c r="AC76" s="51">
        <v>0</v>
      </c>
      <c r="AD76" s="51">
        <v>0</v>
      </c>
      <c r="AE76" s="51">
        <v>0</v>
      </c>
      <c r="AF76" s="51">
        <v>0</v>
      </c>
      <c r="AG76" s="51"/>
      <c r="AH76" s="19"/>
    </row>
    <row r="77" spans="1:34" hidden="1" outlineLevel="1">
      <c r="A77" s="53" t="s">
        <v>163</v>
      </c>
      <c r="B77" s="233">
        <f>B71+B66</f>
        <v>0</v>
      </c>
      <c r="C77" s="233">
        <f t="shared" ref="C77:W77" si="31">C71+C66</f>
        <v>0</v>
      </c>
      <c r="D77" s="233">
        <f t="shared" si="31"/>
        <v>0</v>
      </c>
      <c r="E77" s="233">
        <f t="shared" si="31"/>
        <v>0</v>
      </c>
      <c r="F77" s="233">
        <f t="shared" si="31"/>
        <v>0</v>
      </c>
      <c r="G77" s="233">
        <f t="shared" si="31"/>
        <v>0</v>
      </c>
      <c r="H77" s="233">
        <f t="shared" si="31"/>
        <v>0</v>
      </c>
      <c r="I77" s="233">
        <f t="shared" si="31"/>
        <v>0</v>
      </c>
      <c r="J77" s="233">
        <f t="shared" si="31"/>
        <v>0</v>
      </c>
      <c r="K77" s="233">
        <f t="shared" si="31"/>
        <v>0</v>
      </c>
      <c r="L77" s="233">
        <f t="shared" si="31"/>
        <v>0</v>
      </c>
      <c r="M77" s="233">
        <f t="shared" si="31"/>
        <v>0</v>
      </c>
      <c r="N77" s="233">
        <f t="shared" si="31"/>
        <v>0</v>
      </c>
      <c r="O77" s="233">
        <f t="shared" si="31"/>
        <v>0</v>
      </c>
      <c r="P77" s="233">
        <f t="shared" si="31"/>
        <v>0</v>
      </c>
      <c r="Q77" s="233">
        <f t="shared" si="31"/>
        <v>0</v>
      </c>
      <c r="R77" s="233">
        <f t="shared" si="31"/>
        <v>0</v>
      </c>
      <c r="S77" s="233">
        <f t="shared" si="31"/>
        <v>0</v>
      </c>
      <c r="T77" s="233">
        <f t="shared" si="31"/>
        <v>0</v>
      </c>
      <c r="U77" s="233">
        <f t="shared" si="31"/>
        <v>0</v>
      </c>
      <c r="V77" s="233">
        <f t="shared" si="31"/>
        <v>0</v>
      </c>
      <c r="W77" s="233">
        <f t="shared" si="31"/>
        <v>0</v>
      </c>
      <c r="X77" s="233">
        <f t="shared" ref="X77:AF77" si="32">X71+X66</f>
        <v>0</v>
      </c>
      <c r="Y77" s="233">
        <f t="shared" si="32"/>
        <v>0</v>
      </c>
      <c r="Z77" s="233">
        <f t="shared" si="32"/>
        <v>0</v>
      </c>
      <c r="AA77" s="233">
        <f t="shared" si="32"/>
        <v>0</v>
      </c>
      <c r="AB77" s="233">
        <f t="shared" si="32"/>
        <v>0</v>
      </c>
      <c r="AC77" s="233">
        <f t="shared" si="32"/>
        <v>0</v>
      </c>
      <c r="AD77" s="233">
        <f t="shared" si="32"/>
        <v>0</v>
      </c>
      <c r="AE77" s="233">
        <f t="shared" si="32"/>
        <v>0</v>
      </c>
      <c r="AF77" s="233">
        <f t="shared" si="32"/>
        <v>0</v>
      </c>
      <c r="AG77" s="51"/>
      <c r="AH77" s="19"/>
    </row>
    <row r="78" spans="1:34" hidden="1" outlineLevel="1">
      <c r="B78" s="115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19"/>
    </row>
    <row r="79" spans="1:34" hidden="1" outlineLevel="1">
      <c r="B79" s="233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19"/>
    </row>
    <row r="80" spans="1:34" hidden="1" outlineLevel="1">
      <c r="A80" s="48" t="str">
        <f>CONCATENATE("Tranche 3 @ ",R7*100,"%")</f>
        <v>Tranche 3 @ 0%</v>
      </c>
      <c r="B80" s="15"/>
      <c r="C80" s="49"/>
    </row>
    <row r="81" spans="1:34" hidden="1" outlineLevel="1">
      <c r="A81" s="284">
        <f>A34</f>
        <v>36739</v>
      </c>
      <c r="B81" s="233"/>
    </row>
    <row r="82" spans="1:34" hidden="1" outlineLevel="1">
      <c r="A82" s="51" t="s">
        <v>113</v>
      </c>
      <c r="B82" s="115">
        <f>R10</f>
        <v>0</v>
      </c>
      <c r="C82" s="51">
        <f>B90</f>
        <v>0</v>
      </c>
      <c r="D82" s="51">
        <f t="shared" ref="D82:AF82" si="33">C90</f>
        <v>0</v>
      </c>
      <c r="E82" s="51">
        <f t="shared" si="33"/>
        <v>0</v>
      </c>
      <c r="F82" s="51">
        <f t="shared" si="33"/>
        <v>0</v>
      </c>
      <c r="G82" s="51">
        <f t="shared" si="33"/>
        <v>0</v>
      </c>
      <c r="H82" s="51">
        <f t="shared" si="33"/>
        <v>0</v>
      </c>
      <c r="I82" s="51">
        <f t="shared" si="33"/>
        <v>0</v>
      </c>
      <c r="J82" s="51">
        <f t="shared" si="33"/>
        <v>0</v>
      </c>
      <c r="K82" s="51">
        <f t="shared" si="33"/>
        <v>0</v>
      </c>
      <c r="L82" s="51">
        <f t="shared" si="33"/>
        <v>0</v>
      </c>
      <c r="M82" s="51">
        <f t="shared" si="33"/>
        <v>0</v>
      </c>
      <c r="N82" s="51">
        <f t="shared" si="33"/>
        <v>0</v>
      </c>
      <c r="O82" s="51">
        <f t="shared" si="33"/>
        <v>0</v>
      </c>
      <c r="P82" s="51">
        <f t="shared" si="33"/>
        <v>0</v>
      </c>
      <c r="Q82" s="51">
        <f t="shared" si="33"/>
        <v>0</v>
      </c>
      <c r="R82" s="51">
        <f t="shared" si="33"/>
        <v>0</v>
      </c>
      <c r="S82" s="51">
        <f t="shared" si="33"/>
        <v>0</v>
      </c>
      <c r="T82" s="51">
        <f t="shared" si="33"/>
        <v>0</v>
      </c>
      <c r="U82" s="51">
        <f t="shared" si="33"/>
        <v>0</v>
      </c>
      <c r="V82" s="51">
        <f t="shared" si="33"/>
        <v>0</v>
      </c>
      <c r="W82" s="51">
        <f t="shared" si="33"/>
        <v>0</v>
      </c>
      <c r="X82" s="51">
        <f t="shared" si="33"/>
        <v>0</v>
      </c>
      <c r="Y82" s="51">
        <f t="shared" si="33"/>
        <v>0</v>
      </c>
      <c r="Z82" s="51">
        <f t="shared" si="33"/>
        <v>0</v>
      </c>
      <c r="AA82" s="51">
        <f t="shared" si="33"/>
        <v>0</v>
      </c>
      <c r="AB82" s="51">
        <f t="shared" si="33"/>
        <v>0</v>
      </c>
      <c r="AC82" s="51">
        <f t="shared" si="33"/>
        <v>0</v>
      </c>
      <c r="AD82" s="51">
        <f t="shared" si="33"/>
        <v>0</v>
      </c>
      <c r="AE82" s="51">
        <f t="shared" si="33"/>
        <v>0</v>
      </c>
      <c r="AF82" s="51">
        <f t="shared" si="33"/>
        <v>0</v>
      </c>
      <c r="AG82" s="51"/>
      <c r="AH82" s="19"/>
    </row>
    <row r="83" spans="1:34" hidden="1" outlineLevel="1">
      <c r="A83" s="51" t="s">
        <v>114</v>
      </c>
      <c r="B83" s="233">
        <v>0</v>
      </c>
      <c r="C83" s="51">
        <f>$B$82*C30/2</f>
        <v>0</v>
      </c>
      <c r="D83" s="51">
        <f t="shared" ref="D83:W83" si="34">$B$82*D30/2</f>
        <v>0</v>
      </c>
      <c r="E83" s="51">
        <f t="shared" si="34"/>
        <v>0</v>
      </c>
      <c r="F83" s="51">
        <f t="shared" si="34"/>
        <v>0</v>
      </c>
      <c r="G83" s="51">
        <f t="shared" si="34"/>
        <v>0</v>
      </c>
      <c r="H83" s="51">
        <f t="shared" si="34"/>
        <v>0</v>
      </c>
      <c r="I83" s="51">
        <f t="shared" si="34"/>
        <v>0</v>
      </c>
      <c r="J83" s="51">
        <f t="shared" si="34"/>
        <v>0</v>
      </c>
      <c r="K83" s="51">
        <f t="shared" si="34"/>
        <v>0</v>
      </c>
      <c r="L83" s="51">
        <f t="shared" si="34"/>
        <v>0</v>
      </c>
      <c r="M83" s="51">
        <f t="shared" si="34"/>
        <v>0</v>
      </c>
      <c r="N83" s="51">
        <f t="shared" si="34"/>
        <v>0</v>
      </c>
      <c r="O83" s="51">
        <f t="shared" si="34"/>
        <v>0</v>
      </c>
      <c r="P83" s="51">
        <f t="shared" si="34"/>
        <v>0</v>
      </c>
      <c r="Q83" s="51">
        <f t="shared" si="34"/>
        <v>0</v>
      </c>
      <c r="R83" s="51">
        <f t="shared" si="34"/>
        <v>0</v>
      </c>
      <c r="S83" s="51">
        <f t="shared" si="34"/>
        <v>0</v>
      </c>
      <c r="T83" s="51">
        <f t="shared" si="34"/>
        <v>0</v>
      </c>
      <c r="U83" s="51">
        <f t="shared" si="34"/>
        <v>0</v>
      </c>
      <c r="V83" s="51">
        <f t="shared" si="34"/>
        <v>0</v>
      </c>
      <c r="W83" s="51">
        <f t="shared" si="34"/>
        <v>0</v>
      </c>
      <c r="X83" s="51">
        <f t="shared" ref="X83:AF83" si="35">$B$82*X30/2</f>
        <v>0</v>
      </c>
      <c r="Y83" s="51">
        <f t="shared" si="35"/>
        <v>0</v>
      </c>
      <c r="Z83" s="51">
        <f t="shared" si="35"/>
        <v>0</v>
      </c>
      <c r="AA83" s="51">
        <f t="shared" si="35"/>
        <v>0</v>
      </c>
      <c r="AB83" s="51">
        <f t="shared" si="35"/>
        <v>0</v>
      </c>
      <c r="AC83" s="51">
        <f t="shared" si="35"/>
        <v>0</v>
      </c>
      <c r="AD83" s="51">
        <f t="shared" si="35"/>
        <v>0</v>
      </c>
      <c r="AE83" s="51">
        <f t="shared" si="35"/>
        <v>0</v>
      </c>
      <c r="AF83" s="51">
        <f t="shared" si="35"/>
        <v>0</v>
      </c>
      <c r="AG83" s="231"/>
      <c r="AH83" s="19"/>
    </row>
    <row r="84" spans="1:34" hidden="1" outlineLevel="1">
      <c r="A84" s="51" t="s">
        <v>115</v>
      </c>
      <c r="B84" s="233">
        <v>0</v>
      </c>
      <c r="C84" s="51">
        <f>C82*$R$7/2</f>
        <v>0</v>
      </c>
      <c r="D84" s="51">
        <f t="shared" ref="D84:W84" si="36">D82*$R$7/2</f>
        <v>0</v>
      </c>
      <c r="E84" s="51">
        <f t="shared" si="36"/>
        <v>0</v>
      </c>
      <c r="F84" s="51">
        <f t="shared" si="36"/>
        <v>0</v>
      </c>
      <c r="G84" s="51">
        <f t="shared" si="36"/>
        <v>0</v>
      </c>
      <c r="H84" s="51">
        <f t="shared" si="36"/>
        <v>0</v>
      </c>
      <c r="I84" s="51">
        <f t="shared" si="36"/>
        <v>0</v>
      </c>
      <c r="J84" s="51">
        <f t="shared" si="36"/>
        <v>0</v>
      </c>
      <c r="K84" s="51">
        <f t="shared" si="36"/>
        <v>0</v>
      </c>
      <c r="L84" s="51">
        <f t="shared" si="36"/>
        <v>0</v>
      </c>
      <c r="M84" s="51">
        <f t="shared" si="36"/>
        <v>0</v>
      </c>
      <c r="N84" s="51">
        <f t="shared" si="36"/>
        <v>0</v>
      </c>
      <c r="O84" s="51">
        <f t="shared" si="36"/>
        <v>0</v>
      </c>
      <c r="P84" s="51">
        <f t="shared" si="36"/>
        <v>0</v>
      </c>
      <c r="Q84" s="51">
        <f t="shared" si="36"/>
        <v>0</v>
      </c>
      <c r="R84" s="51">
        <f t="shared" si="36"/>
        <v>0</v>
      </c>
      <c r="S84" s="51">
        <f t="shared" si="36"/>
        <v>0</v>
      </c>
      <c r="T84" s="51">
        <f t="shared" si="36"/>
        <v>0</v>
      </c>
      <c r="U84" s="51">
        <f t="shared" si="36"/>
        <v>0</v>
      </c>
      <c r="V84" s="51">
        <f t="shared" si="36"/>
        <v>0</v>
      </c>
      <c r="W84" s="51">
        <f t="shared" si="36"/>
        <v>0</v>
      </c>
      <c r="X84" s="51">
        <f t="shared" ref="X84:AF84" si="37">X82*$R$7/2</f>
        <v>0</v>
      </c>
      <c r="Y84" s="51">
        <f t="shared" si="37"/>
        <v>0</v>
      </c>
      <c r="Z84" s="51">
        <f t="shared" si="37"/>
        <v>0</v>
      </c>
      <c r="AA84" s="51">
        <f t="shared" si="37"/>
        <v>0</v>
      </c>
      <c r="AB84" s="51">
        <f t="shared" si="37"/>
        <v>0</v>
      </c>
      <c r="AC84" s="51">
        <f t="shared" si="37"/>
        <v>0</v>
      </c>
      <c r="AD84" s="51">
        <f t="shared" si="37"/>
        <v>0</v>
      </c>
      <c r="AE84" s="51">
        <f t="shared" si="37"/>
        <v>0</v>
      </c>
      <c r="AF84" s="51">
        <f t="shared" si="37"/>
        <v>0</v>
      </c>
      <c r="AG84" s="231"/>
      <c r="AH84" s="19"/>
    </row>
    <row r="85" spans="1:34" hidden="1" outlineLevel="1">
      <c r="A85" s="51" t="s">
        <v>116</v>
      </c>
      <c r="B85" s="233">
        <f>B82-B83</f>
        <v>0</v>
      </c>
      <c r="C85" s="51">
        <f t="shared" ref="C85:R85" si="38">C82-C83</f>
        <v>0</v>
      </c>
      <c r="D85" s="51">
        <f t="shared" si="38"/>
        <v>0</v>
      </c>
      <c r="E85" s="51">
        <f t="shared" si="38"/>
        <v>0</v>
      </c>
      <c r="F85" s="51">
        <f t="shared" si="38"/>
        <v>0</v>
      </c>
      <c r="G85" s="51">
        <f t="shared" si="38"/>
        <v>0</v>
      </c>
      <c r="H85" s="51">
        <f t="shared" si="38"/>
        <v>0</v>
      </c>
      <c r="I85" s="51">
        <f t="shared" si="38"/>
        <v>0</v>
      </c>
      <c r="J85" s="51">
        <f t="shared" si="38"/>
        <v>0</v>
      </c>
      <c r="K85" s="51">
        <f t="shared" si="38"/>
        <v>0</v>
      </c>
      <c r="L85" s="51">
        <f t="shared" si="38"/>
        <v>0</v>
      </c>
      <c r="M85" s="231">
        <f t="shared" si="38"/>
        <v>0</v>
      </c>
      <c r="N85" s="231">
        <f t="shared" si="38"/>
        <v>0</v>
      </c>
      <c r="O85" s="231">
        <f t="shared" si="38"/>
        <v>0</v>
      </c>
      <c r="P85" s="231">
        <f t="shared" si="38"/>
        <v>0</v>
      </c>
      <c r="Q85" s="231">
        <f t="shared" si="38"/>
        <v>0</v>
      </c>
      <c r="R85" s="231">
        <f t="shared" si="38"/>
        <v>0</v>
      </c>
      <c r="S85" s="231">
        <f t="shared" ref="S85:AF85" si="39">S82-S83</f>
        <v>0</v>
      </c>
      <c r="T85" s="231">
        <f t="shared" si="39"/>
        <v>0</v>
      </c>
      <c r="U85" s="231">
        <f t="shared" si="39"/>
        <v>0</v>
      </c>
      <c r="V85" s="231">
        <f t="shared" si="39"/>
        <v>0</v>
      </c>
      <c r="W85" s="231">
        <f t="shared" si="39"/>
        <v>0</v>
      </c>
      <c r="X85" s="231">
        <f t="shared" si="39"/>
        <v>0</v>
      </c>
      <c r="Y85" s="231">
        <f t="shared" si="39"/>
        <v>0</v>
      </c>
      <c r="Z85" s="231">
        <f t="shared" si="39"/>
        <v>0</v>
      </c>
      <c r="AA85" s="231">
        <f t="shared" si="39"/>
        <v>0</v>
      </c>
      <c r="AB85" s="231">
        <f t="shared" si="39"/>
        <v>0</v>
      </c>
      <c r="AC85" s="231">
        <f t="shared" si="39"/>
        <v>0</v>
      </c>
      <c r="AD85" s="231">
        <f t="shared" si="39"/>
        <v>0</v>
      </c>
      <c r="AE85" s="231">
        <f t="shared" si="39"/>
        <v>0</v>
      </c>
      <c r="AF85" s="231">
        <f t="shared" si="39"/>
        <v>0</v>
      </c>
      <c r="AG85" s="231"/>
      <c r="AH85" s="19"/>
    </row>
    <row r="86" spans="1:34" hidden="1" outlineLevel="1">
      <c r="A86" s="284">
        <f>A39</f>
        <v>36557</v>
      </c>
      <c r="B86" s="233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231"/>
      <c r="U86" s="231"/>
      <c r="V86" s="231"/>
      <c r="W86" s="231"/>
      <c r="X86" s="231"/>
      <c r="Y86" s="231"/>
      <c r="Z86" s="231"/>
      <c r="AA86" s="231"/>
      <c r="AB86" s="231"/>
      <c r="AC86" s="231"/>
      <c r="AD86" s="231"/>
      <c r="AE86" s="231"/>
      <c r="AF86" s="231"/>
      <c r="AG86" s="51"/>
      <c r="AH86" s="19"/>
    </row>
    <row r="87" spans="1:34" hidden="1" outlineLevel="1">
      <c r="A87" s="51" t="s">
        <v>113</v>
      </c>
      <c r="B87" s="233">
        <f>B85</f>
        <v>0</v>
      </c>
      <c r="C87" s="51">
        <f>C85</f>
        <v>0</v>
      </c>
      <c r="D87" s="51">
        <f t="shared" ref="D87:W87" si="40">D85</f>
        <v>0</v>
      </c>
      <c r="E87" s="51">
        <f t="shared" si="40"/>
        <v>0</v>
      </c>
      <c r="F87" s="51">
        <f t="shared" si="40"/>
        <v>0</v>
      </c>
      <c r="G87" s="51">
        <f t="shared" si="40"/>
        <v>0</v>
      </c>
      <c r="H87" s="51">
        <f t="shared" si="40"/>
        <v>0</v>
      </c>
      <c r="I87" s="51">
        <f t="shared" si="40"/>
        <v>0</v>
      </c>
      <c r="J87" s="51">
        <f t="shared" si="40"/>
        <v>0</v>
      </c>
      <c r="K87" s="51">
        <f t="shared" si="40"/>
        <v>0</v>
      </c>
      <c r="L87" s="51">
        <f t="shared" si="40"/>
        <v>0</v>
      </c>
      <c r="M87" s="51">
        <f t="shared" si="40"/>
        <v>0</v>
      </c>
      <c r="N87" s="51">
        <f t="shared" si="40"/>
        <v>0</v>
      </c>
      <c r="O87" s="51">
        <f t="shared" si="40"/>
        <v>0</v>
      </c>
      <c r="P87" s="51">
        <f t="shared" si="40"/>
        <v>0</v>
      </c>
      <c r="Q87" s="51">
        <f t="shared" si="40"/>
        <v>0</v>
      </c>
      <c r="R87" s="51">
        <f t="shared" si="40"/>
        <v>0</v>
      </c>
      <c r="S87" s="51">
        <f t="shared" si="40"/>
        <v>0</v>
      </c>
      <c r="T87" s="51">
        <f t="shared" si="40"/>
        <v>0</v>
      </c>
      <c r="U87" s="51">
        <f t="shared" si="40"/>
        <v>0</v>
      </c>
      <c r="V87" s="51">
        <f t="shared" si="40"/>
        <v>0</v>
      </c>
      <c r="W87" s="51">
        <f t="shared" si="40"/>
        <v>0</v>
      </c>
      <c r="X87" s="51">
        <f t="shared" ref="X87:AF87" si="41">X85</f>
        <v>0</v>
      </c>
      <c r="Y87" s="51">
        <f t="shared" si="41"/>
        <v>0</v>
      </c>
      <c r="Z87" s="51">
        <f t="shared" si="41"/>
        <v>0</v>
      </c>
      <c r="AA87" s="51">
        <f t="shared" si="41"/>
        <v>0</v>
      </c>
      <c r="AB87" s="51">
        <f t="shared" si="41"/>
        <v>0</v>
      </c>
      <c r="AC87" s="51">
        <f t="shared" si="41"/>
        <v>0</v>
      </c>
      <c r="AD87" s="51">
        <f t="shared" si="41"/>
        <v>0</v>
      </c>
      <c r="AE87" s="51">
        <f t="shared" si="41"/>
        <v>0</v>
      </c>
      <c r="AF87" s="51">
        <f t="shared" si="41"/>
        <v>0</v>
      </c>
      <c r="AG87" s="51"/>
      <c r="AH87" s="19"/>
    </row>
    <row r="88" spans="1:34" hidden="1" outlineLevel="1">
      <c r="A88" s="51" t="s">
        <v>114</v>
      </c>
      <c r="B88" s="233">
        <f>B82*B30</f>
        <v>0</v>
      </c>
      <c r="C88" s="51">
        <f>$B$82*C30/2</f>
        <v>0</v>
      </c>
      <c r="D88" s="51">
        <f t="shared" ref="D88:W88" si="42">$B$82*D30/2</f>
        <v>0</v>
      </c>
      <c r="E88" s="51">
        <f t="shared" si="42"/>
        <v>0</v>
      </c>
      <c r="F88" s="51">
        <f t="shared" si="42"/>
        <v>0</v>
      </c>
      <c r="G88" s="51">
        <f t="shared" si="42"/>
        <v>0</v>
      </c>
      <c r="H88" s="51">
        <f t="shared" si="42"/>
        <v>0</v>
      </c>
      <c r="I88" s="51">
        <f t="shared" si="42"/>
        <v>0</v>
      </c>
      <c r="J88" s="51">
        <f t="shared" si="42"/>
        <v>0</v>
      </c>
      <c r="K88" s="51">
        <f t="shared" si="42"/>
        <v>0</v>
      </c>
      <c r="L88" s="51">
        <f t="shared" si="42"/>
        <v>0</v>
      </c>
      <c r="M88" s="51">
        <f t="shared" si="42"/>
        <v>0</v>
      </c>
      <c r="N88" s="51">
        <f t="shared" si="42"/>
        <v>0</v>
      </c>
      <c r="O88" s="51">
        <f t="shared" si="42"/>
        <v>0</v>
      </c>
      <c r="P88" s="51">
        <f t="shared" si="42"/>
        <v>0</v>
      </c>
      <c r="Q88" s="51">
        <f t="shared" si="42"/>
        <v>0</v>
      </c>
      <c r="R88" s="51">
        <f t="shared" si="42"/>
        <v>0</v>
      </c>
      <c r="S88" s="51">
        <f t="shared" si="42"/>
        <v>0</v>
      </c>
      <c r="T88" s="51">
        <f t="shared" si="42"/>
        <v>0</v>
      </c>
      <c r="U88" s="51">
        <f t="shared" si="42"/>
        <v>0</v>
      </c>
      <c r="V88" s="51">
        <f t="shared" si="42"/>
        <v>0</v>
      </c>
      <c r="W88" s="51">
        <f t="shared" si="42"/>
        <v>0</v>
      </c>
      <c r="X88" s="51">
        <f t="shared" ref="X88:AF88" si="43">$B$82*X30/2</f>
        <v>0</v>
      </c>
      <c r="Y88" s="51">
        <f t="shared" si="43"/>
        <v>0</v>
      </c>
      <c r="Z88" s="51">
        <f t="shared" si="43"/>
        <v>0</v>
      </c>
      <c r="AA88" s="51">
        <f t="shared" si="43"/>
        <v>0</v>
      </c>
      <c r="AB88" s="51">
        <f t="shared" si="43"/>
        <v>0</v>
      </c>
      <c r="AC88" s="51">
        <f t="shared" si="43"/>
        <v>0</v>
      </c>
      <c r="AD88" s="51">
        <f t="shared" si="43"/>
        <v>0</v>
      </c>
      <c r="AE88" s="51">
        <f t="shared" si="43"/>
        <v>0</v>
      </c>
      <c r="AF88" s="51">
        <f t="shared" si="43"/>
        <v>0</v>
      </c>
      <c r="AG88" s="51"/>
      <c r="AH88" s="19"/>
    </row>
    <row r="89" spans="1:34" hidden="1" outlineLevel="1">
      <c r="A89" s="51" t="s">
        <v>115</v>
      </c>
      <c r="B89" s="233">
        <f>B87*$R$7/2</f>
        <v>0</v>
      </c>
      <c r="C89" s="233">
        <f t="shared" ref="C89:W89" si="44">C87*$R$7/2</f>
        <v>0</v>
      </c>
      <c r="D89" s="233">
        <f t="shared" si="44"/>
        <v>0</v>
      </c>
      <c r="E89" s="233">
        <f t="shared" si="44"/>
        <v>0</v>
      </c>
      <c r="F89" s="233">
        <f t="shared" si="44"/>
        <v>0</v>
      </c>
      <c r="G89" s="233">
        <f t="shared" si="44"/>
        <v>0</v>
      </c>
      <c r="H89" s="233">
        <f t="shared" si="44"/>
        <v>0</v>
      </c>
      <c r="I89" s="233">
        <f t="shared" si="44"/>
        <v>0</v>
      </c>
      <c r="J89" s="233">
        <f t="shared" si="44"/>
        <v>0</v>
      </c>
      <c r="K89" s="233">
        <f t="shared" si="44"/>
        <v>0</v>
      </c>
      <c r="L89" s="233">
        <f t="shared" si="44"/>
        <v>0</v>
      </c>
      <c r="M89" s="233">
        <f t="shared" si="44"/>
        <v>0</v>
      </c>
      <c r="N89" s="233">
        <f t="shared" si="44"/>
        <v>0</v>
      </c>
      <c r="O89" s="233">
        <f t="shared" si="44"/>
        <v>0</v>
      </c>
      <c r="P89" s="233">
        <f t="shared" si="44"/>
        <v>0</v>
      </c>
      <c r="Q89" s="233">
        <f t="shared" si="44"/>
        <v>0</v>
      </c>
      <c r="R89" s="233">
        <f t="shared" si="44"/>
        <v>0</v>
      </c>
      <c r="S89" s="233">
        <f t="shared" si="44"/>
        <v>0</v>
      </c>
      <c r="T89" s="233">
        <f t="shared" si="44"/>
        <v>0</v>
      </c>
      <c r="U89" s="233">
        <f t="shared" si="44"/>
        <v>0</v>
      </c>
      <c r="V89" s="233">
        <f t="shared" si="44"/>
        <v>0</v>
      </c>
      <c r="W89" s="233">
        <f t="shared" si="44"/>
        <v>0</v>
      </c>
      <c r="X89" s="233">
        <f t="shared" ref="X89:AF89" si="45">X87*$R$7/2</f>
        <v>0</v>
      </c>
      <c r="Y89" s="233">
        <f t="shared" si="45"/>
        <v>0</v>
      </c>
      <c r="Z89" s="233">
        <f t="shared" si="45"/>
        <v>0</v>
      </c>
      <c r="AA89" s="233">
        <f t="shared" si="45"/>
        <v>0</v>
      </c>
      <c r="AB89" s="233">
        <f t="shared" si="45"/>
        <v>0</v>
      </c>
      <c r="AC89" s="233">
        <f t="shared" si="45"/>
        <v>0</v>
      </c>
      <c r="AD89" s="233">
        <f t="shared" si="45"/>
        <v>0</v>
      </c>
      <c r="AE89" s="233">
        <f t="shared" si="45"/>
        <v>0</v>
      </c>
      <c r="AF89" s="233">
        <f t="shared" si="45"/>
        <v>0</v>
      </c>
      <c r="AG89" s="51"/>
      <c r="AH89" s="19"/>
    </row>
    <row r="90" spans="1:34" hidden="1" outlineLevel="1">
      <c r="A90" s="51" t="s">
        <v>116</v>
      </c>
      <c r="B90" s="51">
        <f>B87-B88</f>
        <v>0</v>
      </c>
      <c r="C90" s="51">
        <f t="shared" ref="C90:R90" si="46">C87-C88</f>
        <v>0</v>
      </c>
      <c r="D90" s="51">
        <f t="shared" si="46"/>
        <v>0</v>
      </c>
      <c r="E90" s="51">
        <f t="shared" si="46"/>
        <v>0</v>
      </c>
      <c r="F90" s="51">
        <f t="shared" si="46"/>
        <v>0</v>
      </c>
      <c r="G90" s="51">
        <f t="shared" si="46"/>
        <v>0</v>
      </c>
      <c r="H90" s="51">
        <f t="shared" si="46"/>
        <v>0</v>
      </c>
      <c r="I90" s="51">
        <f t="shared" si="46"/>
        <v>0</v>
      </c>
      <c r="J90" s="51">
        <f t="shared" si="46"/>
        <v>0</v>
      </c>
      <c r="K90" s="51">
        <f t="shared" si="46"/>
        <v>0</v>
      </c>
      <c r="L90" s="51">
        <f t="shared" si="46"/>
        <v>0</v>
      </c>
      <c r="M90" s="51">
        <f t="shared" si="46"/>
        <v>0</v>
      </c>
      <c r="N90" s="51">
        <f t="shared" si="46"/>
        <v>0</v>
      </c>
      <c r="O90" s="51">
        <f t="shared" si="46"/>
        <v>0</v>
      </c>
      <c r="P90" s="51">
        <f t="shared" si="46"/>
        <v>0</v>
      </c>
      <c r="Q90" s="51">
        <f t="shared" si="46"/>
        <v>0</v>
      </c>
      <c r="R90" s="51">
        <f t="shared" si="46"/>
        <v>0</v>
      </c>
      <c r="S90" s="51">
        <f t="shared" ref="S90:AF90" si="47">S87-S88</f>
        <v>0</v>
      </c>
      <c r="T90" s="231">
        <f t="shared" si="47"/>
        <v>0</v>
      </c>
      <c r="U90" s="231">
        <f t="shared" si="47"/>
        <v>0</v>
      </c>
      <c r="V90" s="231">
        <f t="shared" si="47"/>
        <v>0</v>
      </c>
      <c r="W90" s="231">
        <f t="shared" si="47"/>
        <v>0</v>
      </c>
      <c r="X90" s="231">
        <f t="shared" si="47"/>
        <v>0</v>
      </c>
      <c r="Y90" s="231">
        <f t="shared" si="47"/>
        <v>0</v>
      </c>
      <c r="Z90" s="231">
        <f t="shared" si="47"/>
        <v>0</v>
      </c>
      <c r="AA90" s="231">
        <f t="shared" si="47"/>
        <v>0</v>
      </c>
      <c r="AB90" s="231">
        <f t="shared" si="47"/>
        <v>0</v>
      </c>
      <c r="AC90" s="231">
        <f t="shared" si="47"/>
        <v>0</v>
      </c>
      <c r="AD90" s="231">
        <f t="shared" si="47"/>
        <v>0</v>
      </c>
      <c r="AE90" s="231">
        <f t="shared" si="47"/>
        <v>0</v>
      </c>
      <c r="AF90" s="231">
        <f t="shared" si="47"/>
        <v>0</v>
      </c>
      <c r="AG90" s="51"/>
      <c r="AH90" s="19"/>
    </row>
    <row r="91" spans="1:34" hidden="1" outlineLevel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231"/>
      <c r="U91" s="231"/>
      <c r="V91" s="231"/>
      <c r="W91" s="231"/>
      <c r="X91" s="231"/>
      <c r="Y91" s="231"/>
      <c r="Z91" s="231"/>
      <c r="AA91" s="231"/>
      <c r="AB91" s="231"/>
      <c r="AC91" s="231"/>
      <c r="AD91" s="231"/>
      <c r="AE91" s="231"/>
      <c r="AF91" s="231"/>
      <c r="AG91" s="51"/>
      <c r="AH91" s="19"/>
    </row>
    <row r="92" spans="1:34" hidden="1" outlineLevel="1">
      <c r="A92" s="53" t="s">
        <v>155</v>
      </c>
      <c r="B92" s="51">
        <f>B89+B84</f>
        <v>0</v>
      </c>
      <c r="C92" s="51">
        <f t="shared" ref="C92:W92" si="48">C89+C84</f>
        <v>0</v>
      </c>
      <c r="D92" s="51">
        <f t="shared" si="48"/>
        <v>0</v>
      </c>
      <c r="E92" s="51">
        <f t="shared" si="48"/>
        <v>0</v>
      </c>
      <c r="F92" s="51">
        <f t="shared" si="48"/>
        <v>0</v>
      </c>
      <c r="G92" s="51">
        <f t="shared" si="48"/>
        <v>0</v>
      </c>
      <c r="H92" s="51">
        <f t="shared" si="48"/>
        <v>0</v>
      </c>
      <c r="I92" s="51">
        <f t="shared" si="48"/>
        <v>0</v>
      </c>
      <c r="J92" s="51">
        <f t="shared" si="48"/>
        <v>0</v>
      </c>
      <c r="K92" s="51">
        <f t="shared" si="48"/>
        <v>0</v>
      </c>
      <c r="L92" s="51">
        <f t="shared" si="48"/>
        <v>0</v>
      </c>
      <c r="M92" s="51">
        <f t="shared" si="48"/>
        <v>0</v>
      </c>
      <c r="N92" s="51">
        <f t="shared" si="48"/>
        <v>0</v>
      </c>
      <c r="O92" s="51">
        <f t="shared" si="48"/>
        <v>0</v>
      </c>
      <c r="P92" s="51">
        <f t="shared" si="48"/>
        <v>0</v>
      </c>
      <c r="Q92" s="51">
        <f t="shared" si="48"/>
        <v>0</v>
      </c>
      <c r="R92" s="51">
        <f t="shared" si="48"/>
        <v>0</v>
      </c>
      <c r="S92" s="51">
        <f t="shared" si="48"/>
        <v>0</v>
      </c>
      <c r="T92" s="51">
        <f t="shared" si="48"/>
        <v>0</v>
      </c>
      <c r="U92" s="51">
        <f t="shared" si="48"/>
        <v>0</v>
      </c>
      <c r="V92" s="51">
        <f t="shared" si="48"/>
        <v>0</v>
      </c>
      <c r="W92" s="51">
        <f t="shared" si="48"/>
        <v>0</v>
      </c>
      <c r="X92" s="51">
        <f t="shared" ref="X92:AF92" si="49">X89+X84</f>
        <v>0</v>
      </c>
      <c r="Y92" s="51">
        <f t="shared" si="49"/>
        <v>0</v>
      </c>
      <c r="Z92" s="51">
        <f t="shared" si="49"/>
        <v>0</v>
      </c>
      <c r="AA92" s="51">
        <f t="shared" si="49"/>
        <v>0</v>
      </c>
      <c r="AB92" s="51">
        <f t="shared" si="49"/>
        <v>0</v>
      </c>
      <c r="AC92" s="51">
        <f t="shared" si="49"/>
        <v>0</v>
      </c>
      <c r="AD92" s="51">
        <f t="shared" si="49"/>
        <v>0</v>
      </c>
      <c r="AE92" s="51">
        <f t="shared" si="49"/>
        <v>0</v>
      </c>
      <c r="AF92" s="51">
        <f t="shared" si="49"/>
        <v>0</v>
      </c>
      <c r="AG92" s="51"/>
      <c r="AH92" s="19"/>
    </row>
    <row r="93" spans="1:34" hidden="1" outlineLevel="1">
      <c r="A93" s="13" t="s">
        <v>156</v>
      </c>
      <c r="B93" s="51">
        <v>0</v>
      </c>
      <c r="C93" s="51">
        <v>0</v>
      </c>
      <c r="D93" s="51">
        <v>0</v>
      </c>
      <c r="E93" s="51">
        <v>0</v>
      </c>
      <c r="F93" s="51">
        <v>0</v>
      </c>
      <c r="G93" s="51">
        <v>0</v>
      </c>
      <c r="H93" s="51">
        <v>0</v>
      </c>
      <c r="I93" s="51">
        <v>0</v>
      </c>
      <c r="J93" s="51">
        <v>0</v>
      </c>
      <c r="K93" s="51">
        <v>0</v>
      </c>
      <c r="L93" s="51">
        <v>0</v>
      </c>
      <c r="M93" s="51">
        <v>0</v>
      </c>
      <c r="N93" s="51">
        <v>0</v>
      </c>
      <c r="O93" s="51">
        <v>0</v>
      </c>
      <c r="P93" s="51">
        <v>0</v>
      </c>
      <c r="Q93" s="51">
        <v>0</v>
      </c>
      <c r="R93" s="51">
        <v>0</v>
      </c>
      <c r="S93" s="51">
        <v>0</v>
      </c>
      <c r="T93" s="231">
        <v>0</v>
      </c>
      <c r="U93" s="231">
        <v>0</v>
      </c>
      <c r="V93" s="231">
        <v>0</v>
      </c>
      <c r="W93" s="231">
        <v>0</v>
      </c>
      <c r="X93" s="231">
        <v>0</v>
      </c>
      <c r="Y93" s="231">
        <v>0</v>
      </c>
      <c r="Z93" s="231">
        <v>0</v>
      </c>
      <c r="AA93" s="231">
        <v>0</v>
      </c>
      <c r="AB93" s="231">
        <v>0</v>
      </c>
      <c r="AC93" s="231">
        <v>0</v>
      </c>
      <c r="AD93" s="231">
        <v>0</v>
      </c>
      <c r="AE93" s="231">
        <v>0</v>
      </c>
      <c r="AF93" s="231">
        <v>0</v>
      </c>
      <c r="AG93" s="51"/>
      <c r="AH93" s="19"/>
    </row>
    <row r="94" spans="1:34" hidden="1" outlineLevel="1">
      <c r="A94" s="53" t="s">
        <v>163</v>
      </c>
      <c r="B94" s="233">
        <f>B88+B83</f>
        <v>0</v>
      </c>
      <c r="C94" s="233">
        <f t="shared" ref="C94:W94" si="50">C88+C83</f>
        <v>0</v>
      </c>
      <c r="D94" s="233">
        <f t="shared" si="50"/>
        <v>0</v>
      </c>
      <c r="E94" s="233">
        <f t="shared" si="50"/>
        <v>0</v>
      </c>
      <c r="F94" s="233">
        <f t="shared" si="50"/>
        <v>0</v>
      </c>
      <c r="G94" s="233">
        <f t="shared" si="50"/>
        <v>0</v>
      </c>
      <c r="H94" s="233">
        <f t="shared" si="50"/>
        <v>0</v>
      </c>
      <c r="I94" s="233">
        <f t="shared" si="50"/>
        <v>0</v>
      </c>
      <c r="J94" s="233">
        <f t="shared" si="50"/>
        <v>0</v>
      </c>
      <c r="K94" s="233">
        <f t="shared" si="50"/>
        <v>0</v>
      </c>
      <c r="L94" s="233">
        <f t="shared" si="50"/>
        <v>0</v>
      </c>
      <c r="M94" s="233">
        <f t="shared" si="50"/>
        <v>0</v>
      </c>
      <c r="N94" s="233">
        <f t="shared" si="50"/>
        <v>0</v>
      </c>
      <c r="O94" s="233">
        <f t="shared" si="50"/>
        <v>0</v>
      </c>
      <c r="P94" s="233">
        <f t="shared" si="50"/>
        <v>0</v>
      </c>
      <c r="Q94" s="233">
        <f t="shared" si="50"/>
        <v>0</v>
      </c>
      <c r="R94" s="233">
        <f t="shared" si="50"/>
        <v>0</v>
      </c>
      <c r="S94" s="233">
        <f t="shared" si="50"/>
        <v>0</v>
      </c>
      <c r="T94" s="233">
        <f t="shared" si="50"/>
        <v>0</v>
      </c>
      <c r="U94" s="233">
        <f t="shared" si="50"/>
        <v>0</v>
      </c>
      <c r="V94" s="233">
        <f t="shared" si="50"/>
        <v>0</v>
      </c>
      <c r="W94" s="233">
        <f t="shared" si="50"/>
        <v>0</v>
      </c>
      <c r="X94" s="233">
        <f t="shared" ref="X94:AF94" si="51">X88+X83</f>
        <v>0</v>
      </c>
      <c r="Y94" s="233">
        <f t="shared" si="51"/>
        <v>0</v>
      </c>
      <c r="Z94" s="233">
        <f t="shared" si="51"/>
        <v>0</v>
      </c>
      <c r="AA94" s="233">
        <f t="shared" si="51"/>
        <v>0</v>
      </c>
      <c r="AB94" s="233">
        <f t="shared" si="51"/>
        <v>0</v>
      </c>
      <c r="AC94" s="233">
        <f t="shared" si="51"/>
        <v>0</v>
      </c>
      <c r="AD94" s="233">
        <f t="shared" si="51"/>
        <v>0</v>
      </c>
      <c r="AE94" s="233">
        <f t="shared" si="51"/>
        <v>0</v>
      </c>
      <c r="AF94" s="233">
        <f t="shared" si="51"/>
        <v>0</v>
      </c>
      <c r="AG94" s="51"/>
      <c r="AH94" s="19"/>
    </row>
    <row r="95" spans="1:34" collapsed="1"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7" spans="1:39">
      <c r="A97" s="66" t="s">
        <v>83</v>
      </c>
      <c r="B97" s="67">
        <v>0</v>
      </c>
      <c r="C97" s="67">
        <f>IS!D72</f>
        <v>7180.8554577419409</v>
      </c>
      <c r="D97" s="67">
        <f>IS!E72</f>
        <v>10656.059055720523</v>
      </c>
      <c r="E97" s="67">
        <f>IS!F72</f>
        <v>10656.059055720523</v>
      </c>
      <c r="F97" s="67">
        <f>IS!G72</f>
        <v>10656.059055720523</v>
      </c>
      <c r="G97" s="67">
        <f>IS!H72</f>
        <v>10656.059055720523</v>
      </c>
      <c r="H97" s="67">
        <f>IS!I72</f>
        <v>10656.059055720523</v>
      </c>
      <c r="I97" s="67">
        <f>IS!J72</f>
        <v>10656.059055720523</v>
      </c>
      <c r="J97" s="67">
        <f>IS!K72</f>
        <v>10656.059055720523</v>
      </c>
      <c r="K97" s="67">
        <f>IS!L72</f>
        <v>10656.059055720523</v>
      </c>
      <c r="L97" s="67">
        <f>IS!M72</f>
        <v>10656.059055720523</v>
      </c>
      <c r="M97" s="67">
        <f>IS!N72</f>
        <v>10656.059055720523</v>
      </c>
      <c r="N97" s="67">
        <f>IS!O72</f>
        <v>10656.059055720523</v>
      </c>
      <c r="O97" s="67">
        <f>IS!P72</f>
        <v>10656.059055720523</v>
      </c>
      <c r="P97" s="67">
        <f>IS!Q72</f>
        <v>10656.059055720523</v>
      </c>
      <c r="Q97" s="67">
        <f>IS!R72</f>
        <v>10656.059055720523</v>
      </c>
      <c r="R97" s="67">
        <f>IS!S72</f>
        <v>10656.059055720523</v>
      </c>
      <c r="S97" s="67">
        <f>IS!T72</f>
        <v>10656.059055720523</v>
      </c>
      <c r="T97" s="67">
        <f>IS!U72</f>
        <v>10656.059055720523</v>
      </c>
      <c r="U97" s="67">
        <f>IS!V72</f>
        <v>10656.059055720523</v>
      </c>
      <c r="V97" s="67">
        <f>IS!W72</f>
        <v>10656.059055720523</v>
      </c>
      <c r="W97" s="67">
        <f>IS!X72</f>
        <v>10656.059055720523</v>
      </c>
      <c r="X97" s="67">
        <f>IS!Y72</f>
        <v>10656.059055720523</v>
      </c>
      <c r="Y97" s="67">
        <f>IS!Z72</f>
        <v>10656.059055720523</v>
      </c>
      <c r="Z97" s="67">
        <f>IS!AA72</f>
        <v>10656.059055720523</v>
      </c>
      <c r="AA97" s="67">
        <f>IS!AB72</f>
        <v>10656.059055720523</v>
      </c>
      <c r="AB97" s="67">
        <f>IS!AC72</f>
        <v>-2661.551304279476</v>
      </c>
      <c r="AC97" s="67">
        <f>IS!AD72</f>
        <v>-2661.551304279476</v>
      </c>
      <c r="AD97" s="67">
        <f>IS!AE72</f>
        <v>-2661.551304279476</v>
      </c>
      <c r="AE97" s="67">
        <f>IS!AF72</f>
        <v>-2661.551304279476</v>
      </c>
      <c r="AF97" s="67">
        <f>IS!AG72</f>
        <v>-2661.551304279476</v>
      </c>
      <c r="AG97" s="67"/>
      <c r="AH97" s="1"/>
      <c r="AI97" s="1"/>
      <c r="AJ97" s="1"/>
      <c r="AK97" s="1"/>
      <c r="AL97" s="1"/>
      <c r="AM97" s="1"/>
    </row>
    <row r="98" spans="1:39">
      <c r="A98" s="45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45"/>
      <c r="AH98" s="45"/>
      <c r="AI98" s="45"/>
      <c r="AJ98" s="45"/>
      <c r="AK98" s="45"/>
      <c r="AL98" s="45"/>
      <c r="AM98" s="45"/>
    </row>
    <row r="99" spans="1:39">
      <c r="A99" s="52" t="s">
        <v>160</v>
      </c>
      <c r="B99" s="52">
        <f>+B48+B50</f>
        <v>0</v>
      </c>
      <c r="C99" s="52">
        <f t="shared" ref="C99:AF99" si="52">+C48+C50</f>
        <v>4187.8257151766265</v>
      </c>
      <c r="D99" s="52">
        <f t="shared" si="52"/>
        <v>8375.6514303532531</v>
      </c>
      <c r="E99" s="52">
        <f t="shared" si="52"/>
        <v>8375.6514303532531</v>
      </c>
      <c r="F99" s="52">
        <f t="shared" si="52"/>
        <v>8375.6514303532531</v>
      </c>
      <c r="G99" s="52">
        <f t="shared" si="52"/>
        <v>8375.6514303532531</v>
      </c>
      <c r="H99" s="52">
        <f t="shared" si="52"/>
        <v>8375.6514303532531</v>
      </c>
      <c r="I99" s="52">
        <f t="shared" si="52"/>
        <v>8375.6514303532531</v>
      </c>
      <c r="J99" s="52">
        <f t="shared" si="52"/>
        <v>8375.6514303532531</v>
      </c>
      <c r="K99" s="52">
        <f t="shared" si="52"/>
        <v>8375.6514303532531</v>
      </c>
      <c r="L99" s="52">
        <f t="shared" si="52"/>
        <v>8375.6514303532531</v>
      </c>
      <c r="M99" s="52">
        <f t="shared" si="52"/>
        <v>8375.6514303532531</v>
      </c>
      <c r="N99" s="52">
        <f t="shared" si="52"/>
        <v>8375.6514303532531</v>
      </c>
      <c r="O99" s="52">
        <f t="shared" si="52"/>
        <v>8375.6514303532531</v>
      </c>
      <c r="P99" s="52">
        <f t="shared" si="52"/>
        <v>8375.6514303532531</v>
      </c>
      <c r="Q99" s="52">
        <f t="shared" si="52"/>
        <v>8375.6514303532531</v>
      </c>
      <c r="R99" s="52">
        <f t="shared" si="52"/>
        <v>8375.6514303532531</v>
      </c>
      <c r="S99" s="52">
        <f t="shared" si="52"/>
        <v>8375.6514303532531</v>
      </c>
      <c r="T99" s="52">
        <f t="shared" si="52"/>
        <v>4567.5739442736312</v>
      </c>
      <c r="U99" s="52">
        <f t="shared" si="52"/>
        <v>0</v>
      </c>
      <c r="V99" s="52">
        <f t="shared" si="52"/>
        <v>0</v>
      </c>
      <c r="W99" s="52">
        <f t="shared" si="52"/>
        <v>0</v>
      </c>
      <c r="X99" s="52">
        <f t="shared" si="52"/>
        <v>0</v>
      </c>
      <c r="Y99" s="52">
        <f t="shared" si="52"/>
        <v>0</v>
      </c>
      <c r="Z99" s="52">
        <f t="shared" si="52"/>
        <v>0</v>
      </c>
      <c r="AA99" s="52">
        <f t="shared" si="52"/>
        <v>0</v>
      </c>
      <c r="AB99" s="52">
        <f t="shared" si="52"/>
        <v>0</v>
      </c>
      <c r="AC99" s="52">
        <f t="shared" si="52"/>
        <v>0</v>
      </c>
      <c r="AD99" s="52">
        <f t="shared" si="52"/>
        <v>0</v>
      </c>
      <c r="AE99" s="52">
        <f t="shared" si="52"/>
        <v>0</v>
      </c>
      <c r="AF99" s="52">
        <f t="shared" si="52"/>
        <v>0</v>
      </c>
      <c r="AG99" s="52"/>
      <c r="AH99" s="52"/>
      <c r="AI99" s="52"/>
      <c r="AJ99" s="52"/>
      <c r="AK99" s="52"/>
      <c r="AL99" s="52"/>
      <c r="AM99" s="52"/>
    </row>
    <row r="100" spans="1:39">
      <c r="A100" s="52" t="s">
        <v>161</v>
      </c>
      <c r="B100" s="52">
        <f>B66+B67+B71+B72</f>
        <v>0</v>
      </c>
      <c r="C100" s="52">
        <f t="shared" ref="C100:W100" si="53">C66+C67+C71+C72</f>
        <v>0</v>
      </c>
      <c r="D100" s="52">
        <f t="shared" si="53"/>
        <v>0</v>
      </c>
      <c r="E100" s="52">
        <f t="shared" si="53"/>
        <v>0</v>
      </c>
      <c r="F100" s="52">
        <f t="shared" si="53"/>
        <v>0</v>
      </c>
      <c r="G100" s="52">
        <f t="shared" si="53"/>
        <v>0</v>
      </c>
      <c r="H100" s="52">
        <f t="shared" si="53"/>
        <v>0</v>
      </c>
      <c r="I100" s="52">
        <f t="shared" si="53"/>
        <v>0</v>
      </c>
      <c r="J100" s="52">
        <f t="shared" si="53"/>
        <v>0</v>
      </c>
      <c r="K100" s="52">
        <f t="shared" si="53"/>
        <v>0</v>
      </c>
      <c r="L100" s="52">
        <f t="shared" si="53"/>
        <v>0</v>
      </c>
      <c r="M100" s="52">
        <f t="shared" si="53"/>
        <v>0</v>
      </c>
      <c r="N100" s="52">
        <f t="shared" si="53"/>
        <v>0</v>
      </c>
      <c r="O100" s="52">
        <f t="shared" si="53"/>
        <v>0</v>
      </c>
      <c r="P100" s="52">
        <f t="shared" si="53"/>
        <v>0</v>
      </c>
      <c r="Q100" s="52">
        <f t="shared" si="53"/>
        <v>0</v>
      </c>
      <c r="R100" s="52">
        <f t="shared" si="53"/>
        <v>0</v>
      </c>
      <c r="S100" s="52">
        <f t="shared" si="53"/>
        <v>0</v>
      </c>
      <c r="T100" s="52">
        <f t="shared" si="53"/>
        <v>0</v>
      </c>
      <c r="U100" s="52">
        <f t="shared" si="53"/>
        <v>0</v>
      </c>
      <c r="V100" s="52">
        <f t="shared" si="53"/>
        <v>0</v>
      </c>
      <c r="W100" s="52">
        <f t="shared" si="53"/>
        <v>0</v>
      </c>
      <c r="X100" s="52">
        <f t="shared" ref="X100:AF100" si="54">X66+X67+X71+X72</f>
        <v>0</v>
      </c>
      <c r="Y100" s="52">
        <f t="shared" si="54"/>
        <v>0</v>
      </c>
      <c r="Z100" s="52">
        <f t="shared" si="54"/>
        <v>0</v>
      </c>
      <c r="AA100" s="52">
        <f t="shared" si="54"/>
        <v>0</v>
      </c>
      <c r="AB100" s="52">
        <f t="shared" si="54"/>
        <v>0</v>
      </c>
      <c r="AC100" s="52">
        <f t="shared" si="54"/>
        <v>0</v>
      </c>
      <c r="AD100" s="52">
        <f t="shared" si="54"/>
        <v>0</v>
      </c>
      <c r="AE100" s="52">
        <f t="shared" si="54"/>
        <v>0</v>
      </c>
      <c r="AF100" s="52">
        <f t="shared" si="54"/>
        <v>0</v>
      </c>
      <c r="AG100" s="52"/>
      <c r="AH100" s="52"/>
      <c r="AI100" s="52"/>
      <c r="AJ100" s="52"/>
      <c r="AK100" s="52"/>
      <c r="AL100" s="52"/>
      <c r="AM100" s="52"/>
    </row>
    <row r="101" spans="1:39">
      <c r="A101" s="52" t="s">
        <v>162</v>
      </c>
      <c r="B101" s="52">
        <f>B83+B84+B88+B89</f>
        <v>0</v>
      </c>
      <c r="C101" s="52">
        <f t="shared" ref="C101:W101" si="55">C83+C84+C88+C89</f>
        <v>0</v>
      </c>
      <c r="D101" s="52">
        <f t="shared" si="55"/>
        <v>0</v>
      </c>
      <c r="E101" s="52">
        <f t="shared" si="55"/>
        <v>0</v>
      </c>
      <c r="F101" s="52">
        <f t="shared" si="55"/>
        <v>0</v>
      </c>
      <c r="G101" s="52">
        <f t="shared" si="55"/>
        <v>0</v>
      </c>
      <c r="H101" s="52">
        <f t="shared" si="55"/>
        <v>0</v>
      </c>
      <c r="I101" s="52">
        <f t="shared" si="55"/>
        <v>0</v>
      </c>
      <c r="J101" s="52">
        <f t="shared" si="55"/>
        <v>0</v>
      </c>
      <c r="K101" s="52">
        <f t="shared" si="55"/>
        <v>0</v>
      </c>
      <c r="L101" s="52">
        <f t="shared" si="55"/>
        <v>0</v>
      </c>
      <c r="M101" s="52">
        <f t="shared" si="55"/>
        <v>0</v>
      </c>
      <c r="N101" s="52">
        <f t="shared" si="55"/>
        <v>0</v>
      </c>
      <c r="O101" s="52">
        <f t="shared" si="55"/>
        <v>0</v>
      </c>
      <c r="P101" s="52">
        <f t="shared" si="55"/>
        <v>0</v>
      </c>
      <c r="Q101" s="52">
        <f t="shared" si="55"/>
        <v>0</v>
      </c>
      <c r="R101" s="52">
        <f t="shared" si="55"/>
        <v>0</v>
      </c>
      <c r="S101" s="52">
        <f t="shared" si="55"/>
        <v>0</v>
      </c>
      <c r="T101" s="52">
        <f t="shared" si="55"/>
        <v>0</v>
      </c>
      <c r="U101" s="52">
        <f t="shared" si="55"/>
        <v>0</v>
      </c>
      <c r="V101" s="52">
        <f t="shared" si="55"/>
        <v>0</v>
      </c>
      <c r="W101" s="52">
        <f t="shared" si="55"/>
        <v>0</v>
      </c>
      <c r="X101" s="52">
        <f t="shared" ref="X101:AF101" si="56">X83+X84+X88+X89</f>
        <v>0</v>
      </c>
      <c r="Y101" s="52">
        <f t="shared" si="56"/>
        <v>0</v>
      </c>
      <c r="Z101" s="52">
        <f t="shared" si="56"/>
        <v>0</v>
      </c>
      <c r="AA101" s="52">
        <f t="shared" si="56"/>
        <v>0</v>
      </c>
      <c r="AB101" s="52">
        <f t="shared" si="56"/>
        <v>0</v>
      </c>
      <c r="AC101" s="52">
        <f t="shared" si="56"/>
        <v>0</v>
      </c>
      <c r="AD101" s="52">
        <f t="shared" si="56"/>
        <v>0</v>
      </c>
      <c r="AE101" s="52">
        <f t="shared" si="56"/>
        <v>0</v>
      </c>
      <c r="AF101" s="52">
        <f t="shared" si="56"/>
        <v>0</v>
      </c>
      <c r="AG101" s="52"/>
      <c r="AH101" s="52"/>
      <c r="AI101" s="52"/>
      <c r="AJ101" s="52"/>
      <c r="AK101" s="52"/>
      <c r="AL101" s="52"/>
      <c r="AM101" s="52"/>
    </row>
    <row r="102" spans="1:39">
      <c r="A102" s="45" t="s">
        <v>168</v>
      </c>
      <c r="B102" s="295">
        <v>0</v>
      </c>
      <c r="C102" s="295">
        <v>0</v>
      </c>
      <c r="D102" s="296">
        <v>0</v>
      </c>
      <c r="E102" s="296">
        <v>0</v>
      </c>
      <c r="F102" s="296">
        <v>0</v>
      </c>
      <c r="G102" s="296">
        <v>0</v>
      </c>
      <c r="H102" s="296">
        <v>0</v>
      </c>
      <c r="I102" s="296">
        <v>0</v>
      </c>
      <c r="J102" s="296">
        <v>0</v>
      </c>
      <c r="K102" s="296">
        <v>0</v>
      </c>
      <c r="L102" s="296">
        <v>0</v>
      </c>
      <c r="M102" s="296">
        <v>0</v>
      </c>
      <c r="N102" s="296">
        <v>0</v>
      </c>
      <c r="O102" s="296">
        <v>0</v>
      </c>
      <c r="P102" s="296">
        <v>0</v>
      </c>
      <c r="Q102" s="296">
        <v>0</v>
      </c>
      <c r="R102" s="296">
        <v>0</v>
      </c>
      <c r="S102" s="296">
        <v>0</v>
      </c>
      <c r="T102" s="296">
        <v>0</v>
      </c>
      <c r="U102" s="296">
        <v>0</v>
      </c>
      <c r="V102" s="296">
        <v>0</v>
      </c>
      <c r="W102" s="296">
        <v>0</v>
      </c>
      <c r="X102" s="296">
        <v>0</v>
      </c>
      <c r="Y102" s="296">
        <v>0</v>
      </c>
      <c r="Z102" s="296">
        <v>0</v>
      </c>
      <c r="AA102" s="296">
        <v>0</v>
      </c>
      <c r="AB102" s="296">
        <v>0</v>
      </c>
      <c r="AC102" s="296">
        <v>0</v>
      </c>
      <c r="AD102" s="296">
        <v>0</v>
      </c>
      <c r="AE102" s="296">
        <v>0</v>
      </c>
      <c r="AF102" s="296">
        <v>0</v>
      </c>
      <c r="AG102" s="52"/>
      <c r="AH102" s="52"/>
      <c r="AI102" s="52"/>
      <c r="AJ102" s="52"/>
      <c r="AK102" s="52"/>
      <c r="AL102" s="52"/>
      <c r="AM102" s="52"/>
    </row>
    <row r="103" spans="1:39"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2"/>
      <c r="AH103" s="52"/>
      <c r="AI103" s="52"/>
      <c r="AJ103" s="52"/>
      <c r="AK103" s="52"/>
      <c r="AL103" s="52"/>
      <c r="AM103" s="52"/>
    </row>
    <row r="104" spans="1:39">
      <c r="A104" s="53" t="s">
        <v>117</v>
      </c>
      <c r="B104" s="53">
        <f>SUM(B99:B101)-B102</f>
        <v>0</v>
      </c>
      <c r="C104" s="53">
        <f t="shared" ref="C104:W104" si="57">SUM(C99:C101)-C102</f>
        <v>4187.8257151766265</v>
      </c>
      <c r="D104" s="53">
        <f t="shared" si="57"/>
        <v>8375.6514303532531</v>
      </c>
      <c r="E104" s="53">
        <f t="shared" si="57"/>
        <v>8375.6514303532531</v>
      </c>
      <c r="F104" s="53">
        <f t="shared" si="57"/>
        <v>8375.6514303532531</v>
      </c>
      <c r="G104" s="53">
        <f t="shared" si="57"/>
        <v>8375.6514303532531</v>
      </c>
      <c r="H104" s="53">
        <f t="shared" si="57"/>
        <v>8375.6514303532531</v>
      </c>
      <c r="I104" s="53">
        <f t="shared" si="57"/>
        <v>8375.6514303532531</v>
      </c>
      <c r="J104" s="53">
        <f t="shared" si="57"/>
        <v>8375.6514303532531</v>
      </c>
      <c r="K104" s="53">
        <f t="shared" si="57"/>
        <v>8375.6514303532531</v>
      </c>
      <c r="L104" s="53">
        <f t="shared" si="57"/>
        <v>8375.6514303532531</v>
      </c>
      <c r="M104" s="53">
        <f t="shared" si="57"/>
        <v>8375.6514303532531</v>
      </c>
      <c r="N104" s="53">
        <f t="shared" si="57"/>
        <v>8375.6514303532531</v>
      </c>
      <c r="O104" s="53">
        <f t="shared" si="57"/>
        <v>8375.6514303532531</v>
      </c>
      <c r="P104" s="53">
        <f t="shared" si="57"/>
        <v>8375.6514303532531</v>
      </c>
      <c r="Q104" s="53">
        <f t="shared" si="57"/>
        <v>8375.6514303532531</v>
      </c>
      <c r="R104" s="53">
        <f t="shared" si="57"/>
        <v>8375.6514303532531</v>
      </c>
      <c r="S104" s="53">
        <f t="shared" si="57"/>
        <v>8375.6514303532531</v>
      </c>
      <c r="T104" s="53">
        <f t="shared" si="57"/>
        <v>4567.5739442736312</v>
      </c>
      <c r="U104" s="53">
        <f t="shared" si="57"/>
        <v>0</v>
      </c>
      <c r="V104" s="53">
        <f t="shared" si="57"/>
        <v>0</v>
      </c>
      <c r="W104" s="53">
        <f t="shared" si="57"/>
        <v>0</v>
      </c>
      <c r="X104" s="53">
        <f t="shared" ref="X104:AF104" si="58">SUM(X99:X101)-X102</f>
        <v>0</v>
      </c>
      <c r="Y104" s="53">
        <f t="shared" si="58"/>
        <v>0</v>
      </c>
      <c r="Z104" s="53">
        <f t="shared" si="58"/>
        <v>0</v>
      </c>
      <c r="AA104" s="53">
        <f t="shared" si="58"/>
        <v>0</v>
      </c>
      <c r="AB104" s="53">
        <f t="shared" si="58"/>
        <v>0</v>
      </c>
      <c r="AC104" s="53">
        <f t="shared" si="58"/>
        <v>0</v>
      </c>
      <c r="AD104" s="53">
        <f t="shared" si="58"/>
        <v>0</v>
      </c>
      <c r="AE104" s="53">
        <f t="shared" si="58"/>
        <v>0</v>
      </c>
      <c r="AF104" s="53">
        <f t="shared" si="58"/>
        <v>0</v>
      </c>
      <c r="AG104" s="53"/>
      <c r="AH104" s="53"/>
      <c r="AI104" s="53"/>
      <c r="AJ104" s="53"/>
      <c r="AK104" s="53"/>
      <c r="AL104" s="53"/>
      <c r="AM104" s="53"/>
    </row>
    <row r="105" spans="1:39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</row>
    <row r="106" spans="1:39">
      <c r="A106" s="53" t="s">
        <v>158</v>
      </c>
      <c r="B106" s="53">
        <f t="shared" ref="B106:W106" si="59">B48+B75+B92</f>
        <v>0</v>
      </c>
      <c r="C106" s="53">
        <f t="shared" si="59"/>
        <v>2063.8377228889249</v>
      </c>
      <c r="D106" s="53">
        <f t="shared" si="59"/>
        <v>5979.1949182126245</v>
      </c>
      <c r="E106" s="53">
        <f t="shared" si="59"/>
        <v>5787.8792704955831</v>
      </c>
      <c r="F106" s="53">
        <f t="shared" si="59"/>
        <v>5581.290373764441</v>
      </c>
      <c r="G106" s="53">
        <f t="shared" si="59"/>
        <v>5358.2089229689791</v>
      </c>
      <c r="H106" s="53">
        <f t="shared" si="59"/>
        <v>5117.3182726172672</v>
      </c>
      <c r="I106" s="53">
        <f t="shared" si="59"/>
        <v>4857.1966658231813</v>
      </c>
      <c r="J106" s="53">
        <f t="shared" si="59"/>
        <v>4576.308842977649</v>
      </c>
      <c r="K106" s="53">
        <f t="shared" si="59"/>
        <v>4272.9969805172605</v>
      </c>
      <c r="L106" s="53">
        <f t="shared" si="59"/>
        <v>3945.4709063101136</v>
      </c>
      <c r="M106" s="53">
        <f t="shared" si="59"/>
        <v>3591.7975339092736</v>
      </c>
      <c r="N106" s="53">
        <f t="shared" si="59"/>
        <v>3209.8894533139173</v>
      </c>
      <c r="O106" s="53">
        <f t="shared" si="59"/>
        <v>2797.4926108998843</v>
      </c>
      <c r="P106" s="53">
        <f t="shared" si="59"/>
        <v>2352.1730058055364</v>
      </c>
      <c r="Q106" s="53">
        <f t="shared" si="59"/>
        <v>1871.3023242538814</v>
      </c>
      <c r="R106" s="53">
        <f t="shared" si="59"/>
        <v>1352.0424270235274</v>
      </c>
      <c r="S106" s="53">
        <f t="shared" si="59"/>
        <v>791.32859851220383</v>
      </c>
      <c r="T106" s="53">
        <f t="shared" si="59"/>
        <v>185.85145852742318</v>
      </c>
      <c r="U106" s="53">
        <f t="shared" si="59"/>
        <v>0</v>
      </c>
      <c r="V106" s="53">
        <f t="shared" si="59"/>
        <v>0</v>
      </c>
      <c r="W106" s="53">
        <f t="shared" si="59"/>
        <v>0</v>
      </c>
      <c r="X106" s="53">
        <f t="shared" ref="X106:AF106" si="60">X48+X75+X92</f>
        <v>0</v>
      </c>
      <c r="Y106" s="53">
        <f t="shared" si="60"/>
        <v>0</v>
      </c>
      <c r="Z106" s="53">
        <f t="shared" si="60"/>
        <v>0</v>
      </c>
      <c r="AA106" s="53">
        <f t="shared" si="60"/>
        <v>0</v>
      </c>
      <c r="AB106" s="53">
        <f t="shared" si="60"/>
        <v>0</v>
      </c>
      <c r="AC106" s="53">
        <f t="shared" si="60"/>
        <v>0</v>
      </c>
      <c r="AD106" s="53">
        <f t="shared" si="60"/>
        <v>0</v>
      </c>
      <c r="AE106" s="53">
        <f t="shared" si="60"/>
        <v>0</v>
      </c>
      <c r="AF106" s="53">
        <f t="shared" si="60"/>
        <v>0</v>
      </c>
      <c r="AG106" s="53"/>
      <c r="AH106" s="53"/>
      <c r="AI106" s="53"/>
      <c r="AJ106" s="53"/>
      <c r="AK106" s="53"/>
      <c r="AL106" s="53"/>
      <c r="AM106" s="53"/>
    </row>
    <row r="107" spans="1:39">
      <c r="A107" s="53" t="s">
        <v>159</v>
      </c>
      <c r="B107" s="53">
        <f t="shared" ref="B107:W107" si="61">B49+B76+B93</f>
        <v>0</v>
      </c>
      <c r="C107" s="53">
        <f t="shared" si="61"/>
        <v>0</v>
      </c>
      <c r="D107" s="53">
        <f t="shared" si="61"/>
        <v>0</v>
      </c>
      <c r="E107" s="53">
        <f t="shared" si="61"/>
        <v>0</v>
      </c>
      <c r="F107" s="53">
        <f t="shared" si="61"/>
        <v>0</v>
      </c>
      <c r="G107" s="53">
        <f t="shared" si="61"/>
        <v>0</v>
      </c>
      <c r="H107" s="53">
        <f t="shared" si="61"/>
        <v>0</v>
      </c>
      <c r="I107" s="53">
        <f t="shared" si="61"/>
        <v>0</v>
      </c>
      <c r="J107" s="53">
        <f t="shared" si="61"/>
        <v>0</v>
      </c>
      <c r="K107" s="53">
        <f t="shared" si="61"/>
        <v>0</v>
      </c>
      <c r="L107" s="53">
        <f t="shared" si="61"/>
        <v>0</v>
      </c>
      <c r="M107" s="53">
        <f t="shared" si="61"/>
        <v>0</v>
      </c>
      <c r="N107" s="53">
        <f t="shared" si="61"/>
        <v>0</v>
      </c>
      <c r="O107" s="53">
        <f t="shared" si="61"/>
        <v>0</v>
      </c>
      <c r="P107" s="53">
        <f t="shared" si="61"/>
        <v>0</v>
      </c>
      <c r="Q107" s="53">
        <f t="shared" si="61"/>
        <v>0</v>
      </c>
      <c r="R107" s="53">
        <f t="shared" si="61"/>
        <v>0</v>
      </c>
      <c r="S107" s="53">
        <f t="shared" si="61"/>
        <v>0</v>
      </c>
      <c r="T107" s="53">
        <f t="shared" si="61"/>
        <v>0</v>
      </c>
      <c r="U107" s="53">
        <f t="shared" si="61"/>
        <v>0</v>
      </c>
      <c r="V107" s="53">
        <f t="shared" si="61"/>
        <v>0</v>
      </c>
      <c r="W107" s="53">
        <f t="shared" si="61"/>
        <v>0</v>
      </c>
      <c r="X107" s="53">
        <f t="shared" ref="X107:AF107" si="62">X49+X76+X93</f>
        <v>0</v>
      </c>
      <c r="Y107" s="53">
        <f t="shared" si="62"/>
        <v>0</v>
      </c>
      <c r="Z107" s="53">
        <f t="shared" si="62"/>
        <v>0</v>
      </c>
      <c r="AA107" s="53">
        <f t="shared" si="62"/>
        <v>0</v>
      </c>
      <c r="AB107" s="53">
        <f t="shared" si="62"/>
        <v>0</v>
      </c>
      <c r="AC107" s="53">
        <f t="shared" si="62"/>
        <v>0</v>
      </c>
      <c r="AD107" s="53">
        <f t="shared" si="62"/>
        <v>0</v>
      </c>
      <c r="AE107" s="53">
        <f t="shared" si="62"/>
        <v>0</v>
      </c>
      <c r="AF107" s="53">
        <f t="shared" si="62"/>
        <v>0</v>
      </c>
      <c r="AG107" s="53"/>
      <c r="AH107" s="53"/>
      <c r="AI107" s="53"/>
      <c r="AJ107" s="53"/>
      <c r="AK107" s="53"/>
      <c r="AL107" s="53"/>
      <c r="AM107" s="53"/>
    </row>
    <row r="108" spans="1:39">
      <c r="A108" s="53" t="s">
        <v>163</v>
      </c>
      <c r="B108" s="53">
        <f t="shared" ref="B108:W108" si="63">B94+B77+B50</f>
        <v>0</v>
      </c>
      <c r="C108" s="53">
        <f>C94+C77+C50</f>
        <v>2123.9879922877017</v>
      </c>
      <c r="D108" s="53">
        <f t="shared" si="63"/>
        <v>2396.4565121406281</v>
      </c>
      <c r="E108" s="53">
        <f t="shared" si="63"/>
        <v>2587.7721598576695</v>
      </c>
      <c r="F108" s="53">
        <f t="shared" si="63"/>
        <v>2794.3610565888121</v>
      </c>
      <c r="G108" s="53">
        <f t="shared" si="63"/>
        <v>3017.442507384274</v>
      </c>
      <c r="H108" s="53">
        <f t="shared" si="63"/>
        <v>3258.3331577359863</v>
      </c>
      <c r="I108" s="53">
        <f t="shared" si="63"/>
        <v>3518.4547645300722</v>
      </c>
      <c r="J108" s="53">
        <f t="shared" si="63"/>
        <v>3799.3425873756037</v>
      </c>
      <c r="K108" s="53">
        <f t="shared" si="63"/>
        <v>4102.6544498359926</v>
      </c>
      <c r="L108" s="53">
        <f t="shared" si="63"/>
        <v>4430.1805240431386</v>
      </c>
      <c r="M108" s="53">
        <f t="shared" si="63"/>
        <v>4783.8538964439795</v>
      </c>
      <c r="N108" s="53">
        <f t="shared" si="63"/>
        <v>5165.7619770393358</v>
      </c>
      <c r="O108" s="53">
        <f t="shared" si="63"/>
        <v>5578.1588194533688</v>
      </c>
      <c r="P108" s="53">
        <f t="shared" si="63"/>
        <v>6023.4784245477167</v>
      </c>
      <c r="Q108" s="53">
        <f t="shared" si="63"/>
        <v>6504.3491060993711</v>
      </c>
      <c r="R108" s="53">
        <f t="shared" si="63"/>
        <v>7023.609003329726</v>
      </c>
      <c r="S108" s="53">
        <f t="shared" si="63"/>
        <v>7584.3228318410493</v>
      </c>
      <c r="T108" s="53">
        <f t="shared" si="63"/>
        <v>4381.7224857462079</v>
      </c>
      <c r="U108" s="53">
        <f t="shared" si="63"/>
        <v>0</v>
      </c>
      <c r="V108" s="53">
        <f t="shared" si="63"/>
        <v>0</v>
      </c>
      <c r="W108" s="53">
        <f t="shared" si="63"/>
        <v>0</v>
      </c>
      <c r="X108" s="53">
        <f t="shared" ref="X108:AF108" si="64">X94+X77+X50</f>
        <v>0</v>
      </c>
      <c r="Y108" s="53">
        <f t="shared" si="64"/>
        <v>0</v>
      </c>
      <c r="Z108" s="53">
        <f t="shared" si="64"/>
        <v>0</v>
      </c>
      <c r="AA108" s="53">
        <f t="shared" si="64"/>
        <v>0</v>
      </c>
      <c r="AB108" s="53">
        <f t="shared" si="64"/>
        <v>0</v>
      </c>
      <c r="AC108" s="53">
        <f t="shared" si="64"/>
        <v>0</v>
      </c>
      <c r="AD108" s="53">
        <f t="shared" si="64"/>
        <v>0</v>
      </c>
      <c r="AE108" s="53">
        <f t="shared" si="64"/>
        <v>0</v>
      </c>
      <c r="AF108" s="53">
        <f t="shared" si="64"/>
        <v>0</v>
      </c>
      <c r="AG108" s="53"/>
      <c r="AH108" s="53"/>
      <c r="AI108" s="53"/>
      <c r="AJ108" s="53"/>
      <c r="AK108" s="53"/>
      <c r="AL108" s="53"/>
      <c r="AM108" s="53"/>
    </row>
    <row r="109" spans="1:39">
      <c r="A109" s="52"/>
      <c r="B109" s="52"/>
      <c r="C109" s="52"/>
      <c r="D109" s="52"/>
      <c r="E109" s="52"/>
      <c r="F109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</row>
    <row r="110" spans="1:39">
      <c r="A110" s="274" t="s">
        <v>118</v>
      </c>
      <c r="B110" s="275" t="str">
        <f>IF(B104&gt;0,B97/B104," ")</f>
        <v xml:space="preserve"> </v>
      </c>
      <c r="C110" s="275">
        <f t="shared" ref="C110:T110" si="65">IF(C104&gt;0,C97/C104," ")</f>
        <v>1.7146977802153067</v>
      </c>
      <c r="D110" s="275">
        <f t="shared" si="65"/>
        <v>1.2722663000400305</v>
      </c>
      <c r="E110" s="275">
        <f t="shared" si="65"/>
        <v>1.2722663000400305</v>
      </c>
      <c r="F110" s="275">
        <f t="shared" si="65"/>
        <v>1.2722663000400305</v>
      </c>
      <c r="G110" s="275">
        <f t="shared" si="65"/>
        <v>1.2722663000400305</v>
      </c>
      <c r="H110" s="275">
        <f t="shared" si="65"/>
        <v>1.2722663000400305</v>
      </c>
      <c r="I110" s="275">
        <f t="shared" si="65"/>
        <v>1.2722663000400305</v>
      </c>
      <c r="J110" s="275">
        <f t="shared" si="65"/>
        <v>1.2722663000400305</v>
      </c>
      <c r="K110" s="275">
        <f t="shared" si="65"/>
        <v>1.2722663000400305</v>
      </c>
      <c r="L110" s="275">
        <f t="shared" si="65"/>
        <v>1.2722663000400305</v>
      </c>
      <c r="M110" s="275">
        <f t="shared" si="65"/>
        <v>1.2722663000400305</v>
      </c>
      <c r="N110" s="275">
        <f t="shared" si="65"/>
        <v>1.2722663000400305</v>
      </c>
      <c r="O110" s="275">
        <f t="shared" si="65"/>
        <v>1.2722663000400305</v>
      </c>
      <c r="P110" s="275">
        <f t="shared" si="65"/>
        <v>1.2722663000400305</v>
      </c>
      <c r="Q110" s="275">
        <f t="shared" si="65"/>
        <v>1.2722663000400305</v>
      </c>
      <c r="R110" s="275">
        <f t="shared" si="65"/>
        <v>1.2722663000400305</v>
      </c>
      <c r="S110" s="275">
        <f t="shared" si="65"/>
        <v>1.2722663000400305</v>
      </c>
      <c r="T110" s="275">
        <f t="shared" si="65"/>
        <v>2.3329800865249326</v>
      </c>
      <c r="U110" s="275" t="str">
        <f>IF(U104&gt;1,U97/U104," ")</f>
        <v xml:space="preserve"> </v>
      </c>
      <c r="V110" s="275" t="str">
        <f t="shared" ref="V110:AF110" si="66">IF(V104&gt;1,V97/V104," ")</f>
        <v xml:space="preserve"> </v>
      </c>
      <c r="W110" s="371" t="str">
        <f t="shared" si="66"/>
        <v xml:space="preserve"> </v>
      </c>
      <c r="X110" s="371" t="str">
        <f t="shared" si="66"/>
        <v xml:space="preserve"> </v>
      </c>
      <c r="Y110" s="371" t="str">
        <f t="shared" si="66"/>
        <v xml:space="preserve"> </v>
      </c>
      <c r="Z110" s="371" t="str">
        <f t="shared" si="66"/>
        <v xml:space="preserve"> </v>
      </c>
      <c r="AA110" s="371" t="str">
        <f t="shared" si="66"/>
        <v xml:space="preserve"> </v>
      </c>
      <c r="AB110" s="371" t="str">
        <f t="shared" si="66"/>
        <v xml:space="preserve"> </v>
      </c>
      <c r="AC110" s="371" t="str">
        <f t="shared" si="66"/>
        <v xml:space="preserve"> </v>
      </c>
      <c r="AD110" s="371" t="str">
        <f t="shared" si="66"/>
        <v xml:space="preserve"> </v>
      </c>
      <c r="AE110" s="371" t="str">
        <f t="shared" si="66"/>
        <v xml:space="preserve"> </v>
      </c>
      <c r="AF110" s="371" t="str">
        <f t="shared" si="66"/>
        <v xml:space="preserve"> </v>
      </c>
      <c r="AG110" s="54"/>
      <c r="AH110" s="54"/>
      <c r="AI110" s="54"/>
      <c r="AJ110" s="54"/>
      <c r="AK110" s="54"/>
      <c r="AL110" s="54"/>
      <c r="AM110" s="54"/>
    </row>
    <row r="111" spans="1:39">
      <c r="A111" s="55"/>
      <c r="B111" s="273"/>
      <c r="C111" s="273"/>
      <c r="D111" s="273"/>
      <c r="E111" s="273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/>
      <c r="X111"/>
      <c r="Y111"/>
      <c r="Z111"/>
      <c r="AA111"/>
      <c r="AB111"/>
      <c r="AC111"/>
      <c r="AD111"/>
      <c r="AE111"/>
      <c r="AF111"/>
      <c r="AG111" s="54"/>
      <c r="AH111" s="54"/>
      <c r="AI111" s="54"/>
      <c r="AJ111" s="54"/>
      <c r="AK111" s="54"/>
      <c r="AL111" s="54"/>
      <c r="AM111" s="54"/>
    </row>
    <row r="112" spans="1:39">
      <c r="A112" s="55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/>
      <c r="X112"/>
      <c r="Y112"/>
      <c r="Z112"/>
      <c r="AA112"/>
      <c r="AB112"/>
      <c r="AC112"/>
      <c r="AD112"/>
      <c r="AE112"/>
      <c r="AF112"/>
      <c r="AG112" s="54"/>
      <c r="AH112" s="54"/>
      <c r="AI112" s="54"/>
      <c r="AJ112" s="54"/>
      <c r="AK112" s="54"/>
      <c r="AL112" s="54"/>
      <c r="AM112" s="54"/>
    </row>
    <row r="113" spans="1:39">
      <c r="A113" s="57" t="s">
        <v>182</v>
      </c>
      <c r="B113" s="58">
        <f>AVERAGE(C110:W110)</f>
        <v>1.3557743704100402</v>
      </c>
      <c r="C113"/>
      <c r="F113" s="54"/>
      <c r="G113"/>
      <c r="H113"/>
      <c r="I113"/>
      <c r="J113"/>
      <c r="K113" s="54"/>
      <c r="L113" s="54"/>
      <c r="M113" s="59"/>
      <c r="N113" s="54"/>
      <c r="O113" s="54"/>
      <c r="P113" s="60"/>
      <c r="Q113" s="60"/>
      <c r="R113" s="60"/>
      <c r="S113" s="54"/>
      <c r="T113" s="54"/>
      <c r="U113" s="54"/>
      <c r="V113" s="54"/>
      <c r="W113"/>
      <c r="X113"/>
      <c r="Y113"/>
      <c r="Z113"/>
      <c r="AA113"/>
      <c r="AB113"/>
      <c r="AC113"/>
      <c r="AD113"/>
      <c r="AE113"/>
      <c r="AF113"/>
      <c r="AG113" s="54"/>
      <c r="AH113" s="54"/>
      <c r="AI113" s="54"/>
      <c r="AJ113" s="54"/>
      <c r="AK113" s="54"/>
      <c r="AL113" s="54"/>
      <c r="AM113" s="54"/>
    </row>
    <row r="114" spans="1:39">
      <c r="A114" s="63" t="s">
        <v>183</v>
      </c>
      <c r="B114" s="80">
        <f>MIN(B110:W110)</f>
        <v>1.2722663000400305</v>
      </c>
      <c r="C114"/>
      <c r="F114" s="55"/>
      <c r="G114"/>
      <c r="H114"/>
      <c r="I114"/>
      <c r="J114"/>
      <c r="K114" s="55"/>
      <c r="L114" s="55"/>
      <c r="M114" s="55"/>
      <c r="N114" s="55"/>
      <c r="O114" s="55"/>
      <c r="P114" s="60"/>
      <c r="Q114" s="60"/>
      <c r="R114" s="60"/>
      <c r="S114" s="54"/>
      <c r="T114" s="54"/>
      <c r="U114" s="54"/>
      <c r="V114" s="54"/>
      <c r="W114"/>
      <c r="X114"/>
      <c r="Y114"/>
      <c r="Z114"/>
      <c r="AA114"/>
      <c r="AB114"/>
      <c r="AC114"/>
      <c r="AD114"/>
      <c r="AE114"/>
      <c r="AF114"/>
      <c r="AG114" s="54"/>
      <c r="AH114" s="54"/>
      <c r="AI114" s="54"/>
      <c r="AJ114" s="54"/>
      <c r="AK114" s="54"/>
      <c r="AL114" s="54"/>
      <c r="AM114" s="54"/>
    </row>
    <row r="117" spans="1:39" ht="13.5" thickBo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</row>
    <row r="119" spans="1:39">
      <c r="A119" s="50" t="s">
        <v>222</v>
      </c>
      <c r="B119" s="293">
        <v>2</v>
      </c>
    </row>
    <row r="120" spans="1:39">
      <c r="A120" s="189" t="s">
        <v>29</v>
      </c>
      <c r="C120" s="287"/>
      <c r="D120" s="287"/>
      <c r="E120" s="287"/>
      <c r="F120" s="287"/>
      <c r="G120" s="287"/>
      <c r="H120" s="287"/>
      <c r="I120" s="287"/>
      <c r="J120" s="287"/>
      <c r="K120" s="287"/>
      <c r="L120" s="287"/>
      <c r="M120" s="287"/>
      <c r="N120" s="287"/>
      <c r="O120" s="287"/>
      <c r="P120" s="287"/>
      <c r="Q120" s="287"/>
      <c r="R120" s="287"/>
      <c r="S120" s="287"/>
      <c r="T120" s="287"/>
      <c r="U120" s="287"/>
      <c r="V120" s="287"/>
      <c r="W120" s="287"/>
      <c r="X120" s="287"/>
      <c r="Y120" s="287"/>
      <c r="Z120" s="287"/>
      <c r="AA120" s="287"/>
      <c r="AB120" s="287"/>
      <c r="AC120" s="287"/>
      <c r="AD120" s="287"/>
      <c r="AE120" s="287"/>
      <c r="AF120" s="287"/>
    </row>
    <row r="121" spans="1:39">
      <c r="A121" s="290" t="s">
        <v>72</v>
      </c>
      <c r="B121" s="453">
        <v>0.03</v>
      </c>
      <c r="C121" s="453">
        <v>0.03</v>
      </c>
      <c r="D121" s="453">
        <v>0.03</v>
      </c>
      <c r="E121" s="453">
        <v>0.03</v>
      </c>
      <c r="F121" s="453">
        <v>0.03</v>
      </c>
      <c r="G121" s="453">
        <v>0.03</v>
      </c>
      <c r="H121" s="453">
        <v>0.03</v>
      </c>
      <c r="I121" s="453">
        <v>0.03</v>
      </c>
      <c r="J121" s="453">
        <v>0.03</v>
      </c>
      <c r="K121" s="453">
        <v>0.03</v>
      </c>
      <c r="L121" s="453">
        <v>0.03</v>
      </c>
      <c r="M121" s="453">
        <v>0.03</v>
      </c>
      <c r="N121" s="453">
        <v>0.03</v>
      </c>
      <c r="O121" s="453">
        <v>0.03</v>
      </c>
      <c r="P121" s="453">
        <v>0.03</v>
      </c>
      <c r="Q121" s="453">
        <v>0.03</v>
      </c>
      <c r="R121" s="453">
        <v>0.03</v>
      </c>
      <c r="S121" s="453">
        <v>0.03</v>
      </c>
      <c r="T121" s="453">
        <v>0.03</v>
      </c>
      <c r="U121" s="453">
        <v>0.03</v>
      </c>
      <c r="V121" s="453">
        <v>0.03</v>
      </c>
      <c r="W121" s="453">
        <f t="shared" ref="W121:AF121" si="67">1-SUM(B121:V121)</f>
        <v>0.36999999999999966</v>
      </c>
      <c r="X121" s="453">
        <f t="shared" si="67"/>
        <v>3.0000000000000027E-2</v>
      </c>
      <c r="Y121" s="453">
        <f t="shared" si="67"/>
        <v>3.0000000000000027E-2</v>
      </c>
      <c r="Z121" s="453">
        <f t="shared" si="67"/>
        <v>3.0000000000000027E-2</v>
      </c>
      <c r="AA121" s="453">
        <f t="shared" si="67"/>
        <v>3.0000000000000027E-2</v>
      </c>
      <c r="AB121" s="453">
        <f t="shared" si="67"/>
        <v>3.0000000000000027E-2</v>
      </c>
      <c r="AC121" s="453">
        <f t="shared" si="67"/>
        <v>3.0000000000000027E-2</v>
      </c>
      <c r="AD121" s="453">
        <f t="shared" si="67"/>
        <v>3.0000000000000027E-2</v>
      </c>
      <c r="AE121" s="453">
        <f t="shared" si="67"/>
        <v>3.0000000000000027E-2</v>
      </c>
      <c r="AF121" s="453">
        <f t="shared" si="67"/>
        <v>3.0000000000000027E-2</v>
      </c>
    </row>
    <row r="122" spans="1:39">
      <c r="A122" s="290" t="s">
        <v>220</v>
      </c>
      <c r="B122" s="453">
        <f t="shared" ref="B122:U122" si="68">100%/20</f>
        <v>0.05</v>
      </c>
      <c r="C122" s="453">
        <f t="shared" si="68"/>
        <v>0.05</v>
      </c>
      <c r="D122" s="453">
        <f t="shared" si="68"/>
        <v>0.05</v>
      </c>
      <c r="E122" s="453">
        <f t="shared" si="68"/>
        <v>0.05</v>
      </c>
      <c r="F122" s="453">
        <f t="shared" si="68"/>
        <v>0.05</v>
      </c>
      <c r="G122" s="453">
        <f t="shared" si="68"/>
        <v>0.05</v>
      </c>
      <c r="H122" s="453">
        <f t="shared" si="68"/>
        <v>0.05</v>
      </c>
      <c r="I122" s="453">
        <f t="shared" si="68"/>
        <v>0.05</v>
      </c>
      <c r="J122" s="453">
        <f t="shared" si="68"/>
        <v>0.05</v>
      </c>
      <c r="K122" s="453">
        <f t="shared" si="68"/>
        <v>0.05</v>
      </c>
      <c r="L122" s="453">
        <f t="shared" si="68"/>
        <v>0.05</v>
      </c>
      <c r="M122" s="453">
        <f t="shared" si="68"/>
        <v>0.05</v>
      </c>
      <c r="N122" s="453">
        <f t="shared" si="68"/>
        <v>0.05</v>
      </c>
      <c r="O122" s="453">
        <f t="shared" si="68"/>
        <v>0.05</v>
      </c>
      <c r="P122" s="453">
        <f t="shared" si="68"/>
        <v>0.05</v>
      </c>
      <c r="Q122" s="454">
        <f t="shared" si="68"/>
        <v>0.05</v>
      </c>
      <c r="R122" s="454">
        <f t="shared" si="68"/>
        <v>0.05</v>
      </c>
      <c r="S122" s="454">
        <f t="shared" si="68"/>
        <v>0.05</v>
      </c>
      <c r="T122" s="454">
        <f t="shared" si="68"/>
        <v>0.05</v>
      </c>
      <c r="U122" s="454">
        <f t="shared" si="68"/>
        <v>0.05</v>
      </c>
      <c r="V122" s="454">
        <v>0</v>
      </c>
      <c r="W122" s="454">
        <v>0</v>
      </c>
      <c r="X122" s="454">
        <v>0</v>
      </c>
      <c r="Y122" s="454">
        <v>0</v>
      </c>
      <c r="Z122" s="454">
        <v>0</v>
      </c>
      <c r="AA122" s="454">
        <v>0</v>
      </c>
      <c r="AB122" s="454">
        <v>0</v>
      </c>
      <c r="AC122" s="454">
        <v>0</v>
      </c>
      <c r="AD122" s="454">
        <v>0</v>
      </c>
      <c r="AE122" s="454">
        <v>0</v>
      </c>
      <c r="AF122" s="454">
        <v>0</v>
      </c>
    </row>
    <row r="123" spans="1:39">
      <c r="A123" s="290" t="s">
        <v>221</v>
      </c>
      <c r="B123" s="288">
        <f>CHOOSE($B$119,B121,B122)</f>
        <v>0.05</v>
      </c>
      <c r="C123" s="288">
        <f t="shared" ref="C123:AF123" si="69">CHOOSE($B$119,C121,C122)</f>
        <v>0.05</v>
      </c>
      <c r="D123" s="288">
        <f t="shared" si="69"/>
        <v>0.05</v>
      </c>
      <c r="E123" s="288">
        <f t="shared" si="69"/>
        <v>0.05</v>
      </c>
      <c r="F123" s="288">
        <f t="shared" si="69"/>
        <v>0.05</v>
      </c>
      <c r="G123" s="288">
        <f t="shared" si="69"/>
        <v>0.05</v>
      </c>
      <c r="H123" s="288">
        <f t="shared" si="69"/>
        <v>0.05</v>
      </c>
      <c r="I123" s="288">
        <f t="shared" si="69"/>
        <v>0.05</v>
      </c>
      <c r="J123" s="288">
        <f t="shared" si="69"/>
        <v>0.05</v>
      </c>
      <c r="K123" s="288">
        <f t="shared" si="69"/>
        <v>0.05</v>
      </c>
      <c r="L123" s="288">
        <f t="shared" si="69"/>
        <v>0.05</v>
      </c>
      <c r="M123" s="288">
        <f t="shared" si="69"/>
        <v>0.05</v>
      </c>
      <c r="N123" s="288">
        <f t="shared" si="69"/>
        <v>0.05</v>
      </c>
      <c r="O123" s="288">
        <f t="shared" si="69"/>
        <v>0.05</v>
      </c>
      <c r="P123" s="288">
        <f t="shared" si="69"/>
        <v>0.05</v>
      </c>
      <c r="Q123" s="288">
        <f t="shared" si="69"/>
        <v>0.05</v>
      </c>
      <c r="R123" s="288">
        <f t="shared" si="69"/>
        <v>0.05</v>
      </c>
      <c r="S123" s="288">
        <f t="shared" si="69"/>
        <v>0.05</v>
      </c>
      <c r="T123" s="288">
        <f t="shared" si="69"/>
        <v>0.05</v>
      </c>
      <c r="U123" s="288">
        <f t="shared" si="69"/>
        <v>0.05</v>
      </c>
      <c r="V123" s="288">
        <f t="shared" si="69"/>
        <v>0</v>
      </c>
      <c r="W123" s="288">
        <f t="shared" si="69"/>
        <v>0</v>
      </c>
      <c r="X123" s="288">
        <f t="shared" si="69"/>
        <v>0</v>
      </c>
      <c r="Y123" s="288">
        <f t="shared" si="69"/>
        <v>0</v>
      </c>
      <c r="Z123" s="288">
        <f t="shared" si="69"/>
        <v>0</v>
      </c>
      <c r="AA123" s="288">
        <f t="shared" si="69"/>
        <v>0</v>
      </c>
      <c r="AB123" s="288">
        <f t="shared" si="69"/>
        <v>0</v>
      </c>
      <c r="AC123" s="288">
        <f t="shared" si="69"/>
        <v>0</v>
      </c>
      <c r="AD123" s="288">
        <f t="shared" si="69"/>
        <v>0</v>
      </c>
      <c r="AE123" s="288">
        <f t="shared" si="69"/>
        <v>0</v>
      </c>
      <c r="AF123" s="288">
        <f t="shared" si="69"/>
        <v>0</v>
      </c>
    </row>
    <row r="124" spans="1:39"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</row>
    <row r="125" spans="1:39">
      <c r="A125" s="189" t="s">
        <v>30</v>
      </c>
      <c r="B125" s="289"/>
      <c r="C125" s="289"/>
      <c r="D125" s="289"/>
      <c r="E125" s="289"/>
      <c r="F125" s="289"/>
      <c r="G125" s="289"/>
      <c r="H125" s="289"/>
      <c r="I125" s="289"/>
      <c r="J125" s="289"/>
      <c r="K125" s="289"/>
      <c r="L125" s="289"/>
      <c r="M125" s="289"/>
      <c r="N125" s="289"/>
      <c r="O125" s="289"/>
      <c r="P125" s="289"/>
      <c r="Q125" s="289"/>
      <c r="R125" s="289"/>
      <c r="S125" s="289"/>
      <c r="T125" s="289"/>
      <c r="U125" s="289"/>
      <c r="V125" s="289"/>
      <c r="W125" s="289"/>
      <c r="X125" s="289"/>
      <c r="Y125" s="289"/>
      <c r="Z125" s="289"/>
      <c r="AA125" s="289"/>
      <c r="AB125" s="289"/>
      <c r="AC125" s="289"/>
      <c r="AD125" s="289"/>
      <c r="AE125" s="289"/>
      <c r="AF125" s="289"/>
    </row>
    <row r="126" spans="1:39">
      <c r="A126" s="290" t="s">
        <v>72</v>
      </c>
      <c r="B126" s="453">
        <v>0.03</v>
      </c>
      <c r="C126" s="453">
        <v>0.03</v>
      </c>
      <c r="D126" s="453">
        <v>0.03</v>
      </c>
      <c r="E126" s="453">
        <v>0.03</v>
      </c>
      <c r="F126" s="453">
        <v>0.03</v>
      </c>
      <c r="G126" s="453">
        <v>0.03</v>
      </c>
      <c r="H126" s="453">
        <v>0.03</v>
      </c>
      <c r="I126" s="453">
        <v>0.03</v>
      </c>
      <c r="J126" s="453">
        <v>0.03</v>
      </c>
      <c r="K126" s="453">
        <v>0.03</v>
      </c>
      <c r="L126" s="453">
        <v>0.03</v>
      </c>
      <c r="M126" s="453">
        <v>0.03</v>
      </c>
      <c r="N126" s="453">
        <v>0.03</v>
      </c>
      <c r="O126" s="453">
        <v>0.03</v>
      </c>
      <c r="P126" s="453">
        <v>0.03</v>
      </c>
      <c r="Q126" s="453">
        <v>0.03</v>
      </c>
      <c r="R126" s="453">
        <v>0.03</v>
      </c>
      <c r="S126" s="453">
        <v>0.03</v>
      </c>
      <c r="T126" s="453">
        <v>0.03</v>
      </c>
      <c r="U126" s="453">
        <v>0.03</v>
      </c>
      <c r="V126" s="453">
        <v>0.03</v>
      </c>
      <c r="W126" s="453">
        <f t="shared" ref="W126:AF126" si="70">1-SUM(B126:V126)</f>
        <v>0.36999999999999966</v>
      </c>
      <c r="X126" s="453">
        <f t="shared" si="70"/>
        <v>3.0000000000000027E-2</v>
      </c>
      <c r="Y126" s="453">
        <f t="shared" si="70"/>
        <v>3.0000000000000027E-2</v>
      </c>
      <c r="Z126" s="453">
        <f t="shared" si="70"/>
        <v>3.0000000000000027E-2</v>
      </c>
      <c r="AA126" s="453">
        <f t="shared" si="70"/>
        <v>3.0000000000000027E-2</v>
      </c>
      <c r="AB126" s="453">
        <f t="shared" si="70"/>
        <v>3.0000000000000027E-2</v>
      </c>
      <c r="AC126" s="453">
        <f t="shared" si="70"/>
        <v>3.0000000000000027E-2</v>
      </c>
      <c r="AD126" s="453">
        <f t="shared" si="70"/>
        <v>3.0000000000000027E-2</v>
      </c>
      <c r="AE126" s="453">
        <f t="shared" si="70"/>
        <v>3.0000000000000027E-2</v>
      </c>
      <c r="AF126" s="453">
        <f t="shared" si="70"/>
        <v>3.0000000000000027E-2</v>
      </c>
    </row>
    <row r="127" spans="1:39">
      <c r="A127" s="290" t="s">
        <v>220</v>
      </c>
      <c r="B127" s="453">
        <f t="shared" ref="B127:U127" si="71">100%/20</f>
        <v>0.05</v>
      </c>
      <c r="C127" s="453">
        <f t="shared" si="71"/>
        <v>0.05</v>
      </c>
      <c r="D127" s="453">
        <f t="shared" si="71"/>
        <v>0.05</v>
      </c>
      <c r="E127" s="453">
        <f t="shared" si="71"/>
        <v>0.05</v>
      </c>
      <c r="F127" s="453">
        <f t="shared" si="71"/>
        <v>0.05</v>
      </c>
      <c r="G127" s="453">
        <f t="shared" si="71"/>
        <v>0.05</v>
      </c>
      <c r="H127" s="453">
        <f t="shared" si="71"/>
        <v>0.05</v>
      </c>
      <c r="I127" s="453">
        <f t="shared" si="71"/>
        <v>0.05</v>
      </c>
      <c r="J127" s="453">
        <f t="shared" si="71"/>
        <v>0.05</v>
      </c>
      <c r="K127" s="453">
        <f t="shared" si="71"/>
        <v>0.05</v>
      </c>
      <c r="L127" s="453">
        <f t="shared" si="71"/>
        <v>0.05</v>
      </c>
      <c r="M127" s="453">
        <f t="shared" si="71"/>
        <v>0.05</v>
      </c>
      <c r="N127" s="453">
        <f t="shared" si="71"/>
        <v>0.05</v>
      </c>
      <c r="O127" s="453">
        <f t="shared" si="71"/>
        <v>0.05</v>
      </c>
      <c r="P127" s="453">
        <f t="shared" si="71"/>
        <v>0.05</v>
      </c>
      <c r="Q127" s="454">
        <f t="shared" si="71"/>
        <v>0.05</v>
      </c>
      <c r="R127" s="454">
        <f t="shared" si="71"/>
        <v>0.05</v>
      </c>
      <c r="S127" s="454">
        <f t="shared" si="71"/>
        <v>0.05</v>
      </c>
      <c r="T127" s="454">
        <f t="shared" si="71"/>
        <v>0.05</v>
      </c>
      <c r="U127" s="454">
        <f t="shared" si="71"/>
        <v>0.05</v>
      </c>
      <c r="V127" s="454">
        <v>0</v>
      </c>
      <c r="W127" s="454">
        <v>0</v>
      </c>
      <c r="X127" s="454">
        <v>0</v>
      </c>
      <c r="Y127" s="454">
        <v>0</v>
      </c>
      <c r="Z127" s="454">
        <v>0</v>
      </c>
      <c r="AA127" s="454">
        <v>0</v>
      </c>
      <c r="AB127" s="454">
        <v>0</v>
      </c>
      <c r="AC127" s="454">
        <v>0</v>
      </c>
      <c r="AD127" s="454">
        <v>0</v>
      </c>
      <c r="AE127" s="454">
        <v>0</v>
      </c>
      <c r="AF127" s="454">
        <v>0</v>
      </c>
    </row>
    <row r="128" spans="1:39">
      <c r="A128" s="290" t="s">
        <v>221</v>
      </c>
      <c r="B128" s="288">
        <f>CHOOSE($B$119,B126,B127)</f>
        <v>0.05</v>
      </c>
      <c r="C128" s="288">
        <f t="shared" ref="C128:AF128" si="72">CHOOSE($B$119,C126,C127)</f>
        <v>0.05</v>
      </c>
      <c r="D128" s="288">
        <f t="shared" si="72"/>
        <v>0.05</v>
      </c>
      <c r="E128" s="288">
        <f t="shared" si="72"/>
        <v>0.05</v>
      </c>
      <c r="F128" s="288">
        <f t="shared" si="72"/>
        <v>0.05</v>
      </c>
      <c r="G128" s="288">
        <f t="shared" si="72"/>
        <v>0.05</v>
      </c>
      <c r="H128" s="288">
        <f t="shared" si="72"/>
        <v>0.05</v>
      </c>
      <c r="I128" s="288">
        <f t="shared" si="72"/>
        <v>0.05</v>
      </c>
      <c r="J128" s="288">
        <f t="shared" si="72"/>
        <v>0.05</v>
      </c>
      <c r="K128" s="288">
        <f t="shared" si="72"/>
        <v>0.05</v>
      </c>
      <c r="L128" s="288">
        <f t="shared" si="72"/>
        <v>0.05</v>
      </c>
      <c r="M128" s="288">
        <f t="shared" si="72"/>
        <v>0.05</v>
      </c>
      <c r="N128" s="288">
        <f t="shared" si="72"/>
        <v>0.05</v>
      </c>
      <c r="O128" s="288">
        <f t="shared" si="72"/>
        <v>0.05</v>
      </c>
      <c r="P128" s="288">
        <f t="shared" si="72"/>
        <v>0.05</v>
      </c>
      <c r="Q128" s="288">
        <f t="shared" si="72"/>
        <v>0.05</v>
      </c>
      <c r="R128" s="288">
        <f t="shared" si="72"/>
        <v>0.05</v>
      </c>
      <c r="S128" s="288">
        <f t="shared" si="72"/>
        <v>0.05</v>
      </c>
      <c r="T128" s="288">
        <f t="shared" si="72"/>
        <v>0.05</v>
      </c>
      <c r="U128" s="288">
        <f t="shared" si="72"/>
        <v>0.05</v>
      </c>
      <c r="V128" s="288">
        <f t="shared" si="72"/>
        <v>0</v>
      </c>
      <c r="W128" s="288">
        <f t="shared" si="72"/>
        <v>0</v>
      </c>
      <c r="X128" s="288">
        <f t="shared" si="72"/>
        <v>0</v>
      </c>
      <c r="Y128" s="288">
        <f t="shared" si="72"/>
        <v>0</v>
      </c>
      <c r="Z128" s="288">
        <f t="shared" si="72"/>
        <v>0</v>
      </c>
      <c r="AA128" s="288">
        <f t="shared" si="72"/>
        <v>0</v>
      </c>
      <c r="AB128" s="288">
        <f t="shared" si="72"/>
        <v>0</v>
      </c>
      <c r="AC128" s="288">
        <f t="shared" si="72"/>
        <v>0</v>
      </c>
      <c r="AD128" s="288">
        <f t="shared" si="72"/>
        <v>0</v>
      </c>
      <c r="AE128" s="288">
        <f t="shared" si="72"/>
        <v>0</v>
      </c>
      <c r="AF128" s="288">
        <f t="shared" si="72"/>
        <v>0</v>
      </c>
    </row>
    <row r="129" spans="1:48"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</row>
    <row r="130" spans="1:48">
      <c r="A130" s="189" t="s">
        <v>31</v>
      </c>
      <c r="B130" s="289"/>
      <c r="C130" s="289"/>
      <c r="D130" s="289"/>
      <c r="E130" s="289"/>
      <c r="F130" s="289"/>
      <c r="G130" s="289"/>
      <c r="H130" s="289"/>
      <c r="I130" s="289"/>
      <c r="J130" s="289"/>
      <c r="K130" s="289"/>
      <c r="L130" s="289"/>
      <c r="M130" s="289"/>
      <c r="N130" s="289"/>
      <c r="O130" s="289"/>
      <c r="P130" s="289"/>
      <c r="Q130" s="289"/>
      <c r="R130" s="289"/>
      <c r="S130" s="289"/>
      <c r="T130" s="289"/>
      <c r="U130" s="289"/>
      <c r="V130" s="289"/>
      <c r="W130" s="289"/>
      <c r="X130" s="289"/>
      <c r="Y130" s="289"/>
      <c r="Z130" s="289"/>
      <c r="AA130" s="289"/>
      <c r="AB130" s="289"/>
      <c r="AC130" s="289"/>
      <c r="AD130" s="289"/>
      <c r="AE130" s="289"/>
      <c r="AF130" s="289"/>
    </row>
    <row r="131" spans="1:48">
      <c r="A131" s="290" t="s">
        <v>72</v>
      </c>
      <c r="B131" s="453">
        <v>0.03</v>
      </c>
      <c r="C131" s="453">
        <v>0.03</v>
      </c>
      <c r="D131" s="453">
        <v>0.03</v>
      </c>
      <c r="E131" s="453">
        <v>0.03</v>
      </c>
      <c r="F131" s="453">
        <v>0.03</v>
      </c>
      <c r="G131" s="453">
        <v>0.03</v>
      </c>
      <c r="H131" s="453">
        <v>0.03</v>
      </c>
      <c r="I131" s="453">
        <v>0.03</v>
      </c>
      <c r="J131" s="453">
        <v>0.03</v>
      </c>
      <c r="K131" s="453">
        <v>0.03</v>
      </c>
      <c r="L131" s="453">
        <v>0.03</v>
      </c>
      <c r="M131" s="453">
        <v>0.03</v>
      </c>
      <c r="N131" s="453">
        <v>0.03</v>
      </c>
      <c r="O131" s="453">
        <v>0.03</v>
      </c>
      <c r="P131" s="453">
        <v>0.03</v>
      </c>
      <c r="Q131" s="453">
        <v>0.03</v>
      </c>
      <c r="R131" s="453">
        <v>0.03</v>
      </c>
      <c r="S131" s="453">
        <v>0.03</v>
      </c>
      <c r="T131" s="453">
        <v>0.03</v>
      </c>
      <c r="U131" s="453">
        <v>0.03</v>
      </c>
      <c r="V131" s="453">
        <v>0.03</v>
      </c>
      <c r="W131" s="453">
        <f t="shared" ref="W131:AF131" si="73">1-SUM(B131:V131)</f>
        <v>0.36999999999999966</v>
      </c>
      <c r="X131" s="453">
        <f t="shared" si="73"/>
        <v>3.0000000000000027E-2</v>
      </c>
      <c r="Y131" s="453">
        <f t="shared" si="73"/>
        <v>3.0000000000000027E-2</v>
      </c>
      <c r="Z131" s="453">
        <f t="shared" si="73"/>
        <v>3.0000000000000027E-2</v>
      </c>
      <c r="AA131" s="453">
        <f t="shared" si="73"/>
        <v>3.0000000000000027E-2</v>
      </c>
      <c r="AB131" s="453">
        <f t="shared" si="73"/>
        <v>3.0000000000000027E-2</v>
      </c>
      <c r="AC131" s="453">
        <f t="shared" si="73"/>
        <v>3.0000000000000027E-2</v>
      </c>
      <c r="AD131" s="453">
        <f t="shared" si="73"/>
        <v>3.0000000000000027E-2</v>
      </c>
      <c r="AE131" s="453">
        <f t="shared" si="73"/>
        <v>3.0000000000000027E-2</v>
      </c>
      <c r="AF131" s="453">
        <f t="shared" si="73"/>
        <v>3.0000000000000027E-2</v>
      </c>
    </row>
    <row r="132" spans="1:48">
      <c r="A132" s="290" t="s">
        <v>220</v>
      </c>
      <c r="B132" s="453">
        <f t="shared" ref="B132:U132" si="74">100%/20</f>
        <v>0.05</v>
      </c>
      <c r="C132" s="453">
        <f t="shared" si="74"/>
        <v>0.05</v>
      </c>
      <c r="D132" s="453">
        <f t="shared" si="74"/>
        <v>0.05</v>
      </c>
      <c r="E132" s="453">
        <f t="shared" si="74"/>
        <v>0.05</v>
      </c>
      <c r="F132" s="453">
        <f t="shared" si="74"/>
        <v>0.05</v>
      </c>
      <c r="G132" s="453">
        <f t="shared" si="74"/>
        <v>0.05</v>
      </c>
      <c r="H132" s="453">
        <f t="shared" si="74"/>
        <v>0.05</v>
      </c>
      <c r="I132" s="453">
        <f t="shared" si="74"/>
        <v>0.05</v>
      </c>
      <c r="J132" s="453">
        <f t="shared" si="74"/>
        <v>0.05</v>
      </c>
      <c r="K132" s="453">
        <f t="shared" si="74"/>
        <v>0.05</v>
      </c>
      <c r="L132" s="453">
        <f t="shared" si="74"/>
        <v>0.05</v>
      </c>
      <c r="M132" s="453">
        <f t="shared" si="74"/>
        <v>0.05</v>
      </c>
      <c r="N132" s="453">
        <f t="shared" si="74"/>
        <v>0.05</v>
      </c>
      <c r="O132" s="453">
        <f t="shared" si="74"/>
        <v>0.05</v>
      </c>
      <c r="P132" s="453">
        <f t="shared" si="74"/>
        <v>0.05</v>
      </c>
      <c r="Q132" s="454">
        <f t="shared" si="74"/>
        <v>0.05</v>
      </c>
      <c r="R132" s="454">
        <f t="shared" si="74"/>
        <v>0.05</v>
      </c>
      <c r="S132" s="454">
        <f t="shared" si="74"/>
        <v>0.05</v>
      </c>
      <c r="T132" s="454">
        <f t="shared" si="74"/>
        <v>0.05</v>
      </c>
      <c r="U132" s="454">
        <f t="shared" si="74"/>
        <v>0.05</v>
      </c>
      <c r="V132" s="454">
        <v>0</v>
      </c>
      <c r="W132" s="454">
        <v>0</v>
      </c>
      <c r="X132" s="454">
        <v>0</v>
      </c>
      <c r="Y132" s="454">
        <v>0</v>
      </c>
      <c r="Z132" s="454">
        <v>0</v>
      </c>
      <c r="AA132" s="454">
        <v>0</v>
      </c>
      <c r="AB132" s="454">
        <v>0</v>
      </c>
      <c r="AC132" s="454">
        <v>0</v>
      </c>
      <c r="AD132" s="454">
        <v>0</v>
      </c>
      <c r="AE132" s="454">
        <v>0</v>
      </c>
      <c r="AF132" s="454">
        <v>0</v>
      </c>
    </row>
    <row r="133" spans="1:48">
      <c r="A133" s="290" t="s">
        <v>221</v>
      </c>
      <c r="B133" s="288">
        <f>CHOOSE($B$119,B131,B132)</f>
        <v>0.05</v>
      </c>
      <c r="C133" s="288">
        <f t="shared" ref="C133:AF133" si="75">CHOOSE($B$119,C131,C132)</f>
        <v>0.05</v>
      </c>
      <c r="D133" s="288">
        <f t="shared" si="75"/>
        <v>0.05</v>
      </c>
      <c r="E133" s="288">
        <f t="shared" si="75"/>
        <v>0.05</v>
      </c>
      <c r="F133" s="288">
        <f t="shared" si="75"/>
        <v>0.05</v>
      </c>
      <c r="G133" s="288">
        <f t="shared" si="75"/>
        <v>0.05</v>
      </c>
      <c r="H133" s="288">
        <f t="shared" si="75"/>
        <v>0.05</v>
      </c>
      <c r="I133" s="288">
        <f t="shared" si="75"/>
        <v>0.05</v>
      </c>
      <c r="J133" s="288">
        <f t="shared" si="75"/>
        <v>0.05</v>
      </c>
      <c r="K133" s="288">
        <f t="shared" si="75"/>
        <v>0.05</v>
      </c>
      <c r="L133" s="288">
        <f t="shared" si="75"/>
        <v>0.05</v>
      </c>
      <c r="M133" s="288">
        <f t="shared" si="75"/>
        <v>0.05</v>
      </c>
      <c r="N133" s="288">
        <f t="shared" si="75"/>
        <v>0.05</v>
      </c>
      <c r="O133" s="288">
        <f t="shared" si="75"/>
        <v>0.05</v>
      </c>
      <c r="P133" s="288">
        <f t="shared" si="75"/>
        <v>0.05</v>
      </c>
      <c r="Q133" s="288">
        <f t="shared" si="75"/>
        <v>0.05</v>
      </c>
      <c r="R133" s="288">
        <f t="shared" si="75"/>
        <v>0.05</v>
      </c>
      <c r="S133" s="288">
        <f t="shared" si="75"/>
        <v>0.05</v>
      </c>
      <c r="T133" s="288">
        <f t="shared" si="75"/>
        <v>0.05</v>
      </c>
      <c r="U133" s="288">
        <f t="shared" si="75"/>
        <v>0.05</v>
      </c>
      <c r="V133" s="288">
        <f t="shared" si="75"/>
        <v>0</v>
      </c>
      <c r="W133" s="288">
        <f t="shared" si="75"/>
        <v>0</v>
      </c>
      <c r="X133" s="288">
        <f t="shared" si="75"/>
        <v>0</v>
      </c>
      <c r="Y133" s="288">
        <f t="shared" si="75"/>
        <v>0</v>
      </c>
      <c r="Z133" s="288">
        <f t="shared" si="75"/>
        <v>0</v>
      </c>
      <c r="AA133" s="288">
        <f t="shared" si="75"/>
        <v>0</v>
      </c>
      <c r="AB133" s="288">
        <f t="shared" si="75"/>
        <v>0</v>
      </c>
      <c r="AC133" s="288">
        <f t="shared" si="75"/>
        <v>0</v>
      </c>
      <c r="AD133" s="288">
        <f t="shared" si="75"/>
        <v>0</v>
      </c>
      <c r="AE133" s="288">
        <f t="shared" si="75"/>
        <v>0</v>
      </c>
      <c r="AF133" s="288">
        <f t="shared" si="75"/>
        <v>0</v>
      </c>
    </row>
    <row r="136" spans="1:48">
      <c r="B136" s="232"/>
      <c r="C136" s="232"/>
      <c r="D136" s="232"/>
      <c r="E136" s="232"/>
      <c r="F136" s="232"/>
      <c r="G136" s="232"/>
      <c r="H136" s="232"/>
      <c r="I136" s="232"/>
      <c r="J136" s="232"/>
      <c r="K136" s="232"/>
      <c r="L136" s="232"/>
      <c r="M136" s="232"/>
      <c r="N136" s="232"/>
      <c r="O136" s="232"/>
      <c r="P136" s="232"/>
      <c r="Q136" s="232"/>
      <c r="R136" s="232"/>
      <c r="S136" s="232"/>
      <c r="T136" s="232"/>
      <c r="U136" s="232"/>
      <c r="V136" s="232"/>
      <c r="W136" s="232"/>
      <c r="X136" s="232"/>
      <c r="Y136" s="232"/>
      <c r="Z136" s="232"/>
      <c r="AA136" s="232"/>
      <c r="AB136" s="232"/>
      <c r="AC136" s="232"/>
      <c r="AD136" s="232"/>
      <c r="AE136" s="232"/>
      <c r="AF136" s="232"/>
      <c r="AG136" s="232"/>
      <c r="AH136" s="232"/>
      <c r="AI136" s="232"/>
      <c r="AJ136" s="232"/>
      <c r="AK136" s="232"/>
      <c r="AL136" s="232"/>
      <c r="AM136" s="232"/>
      <c r="AN136" s="232"/>
      <c r="AO136" s="232"/>
      <c r="AP136" s="232"/>
      <c r="AQ136" s="232"/>
      <c r="AR136" s="232"/>
      <c r="AS136" s="232"/>
      <c r="AT136" s="232"/>
      <c r="AU136" s="232"/>
      <c r="AV136" s="232"/>
    </row>
    <row r="137" spans="1:48">
      <c r="A137" s="13" t="s">
        <v>223</v>
      </c>
      <c r="B137" s="112">
        <v>0</v>
      </c>
      <c r="C137" s="112">
        <v>1</v>
      </c>
      <c r="D137" s="112">
        <v>2</v>
      </c>
      <c r="E137" s="112">
        <v>3</v>
      </c>
      <c r="F137" s="112">
        <v>4</v>
      </c>
      <c r="G137" s="112">
        <v>5</v>
      </c>
      <c r="H137" s="112">
        <v>6</v>
      </c>
      <c r="I137" s="112">
        <v>7</v>
      </c>
      <c r="J137" s="112">
        <v>8</v>
      </c>
      <c r="K137" s="112">
        <v>9</v>
      </c>
      <c r="L137" s="112">
        <v>10</v>
      </c>
      <c r="M137" s="112">
        <v>11</v>
      </c>
      <c r="N137" s="112">
        <v>12</v>
      </c>
      <c r="O137" s="112">
        <v>13</v>
      </c>
      <c r="P137" s="112">
        <v>14</v>
      </c>
      <c r="Q137" s="112">
        <v>15</v>
      </c>
      <c r="R137" s="112">
        <v>16</v>
      </c>
      <c r="S137" s="112">
        <v>17</v>
      </c>
      <c r="T137" s="112">
        <v>18</v>
      </c>
      <c r="U137" s="112">
        <v>19</v>
      </c>
      <c r="V137" s="112">
        <v>20</v>
      </c>
      <c r="W137" s="112">
        <v>21</v>
      </c>
      <c r="X137" s="112">
        <v>21</v>
      </c>
      <c r="Y137" s="112">
        <v>21</v>
      </c>
      <c r="Z137" s="112">
        <v>21</v>
      </c>
      <c r="AA137" s="112">
        <v>21</v>
      </c>
      <c r="AB137" s="112">
        <v>21</v>
      </c>
      <c r="AC137" s="112">
        <v>21</v>
      </c>
      <c r="AD137" s="112">
        <v>21</v>
      </c>
      <c r="AE137" s="112">
        <v>21</v>
      </c>
      <c r="AF137" s="112">
        <v>21</v>
      </c>
      <c r="AG137" s="291"/>
      <c r="AH137" s="291"/>
      <c r="AI137" s="291"/>
      <c r="AJ137" s="291"/>
      <c r="AK137" s="291"/>
      <c r="AL137" s="291"/>
      <c r="AM137" s="291"/>
      <c r="AN137" s="291"/>
      <c r="AO137" s="291"/>
      <c r="AP137" s="291"/>
      <c r="AQ137" s="291"/>
    </row>
    <row r="138" spans="1:48">
      <c r="B138" s="112">
        <v>0.5</v>
      </c>
      <c r="C138" s="112">
        <v>1.5</v>
      </c>
      <c r="D138" s="112">
        <v>2.5</v>
      </c>
      <c r="E138" s="112">
        <v>3.5</v>
      </c>
      <c r="F138" s="112">
        <v>4.5</v>
      </c>
      <c r="G138" s="112">
        <v>5.5</v>
      </c>
      <c r="H138" s="112">
        <v>6.5</v>
      </c>
      <c r="I138" s="112">
        <v>7.5</v>
      </c>
      <c r="J138" s="112">
        <v>8.5</v>
      </c>
      <c r="K138" s="112">
        <v>9.5</v>
      </c>
      <c r="L138" s="112">
        <v>10.5</v>
      </c>
      <c r="M138" s="112">
        <v>11.5</v>
      </c>
      <c r="N138" s="112">
        <v>12.5</v>
      </c>
      <c r="O138" s="112">
        <v>13.5</v>
      </c>
      <c r="P138" s="112">
        <v>14.5</v>
      </c>
      <c r="Q138" s="112">
        <v>15.5</v>
      </c>
      <c r="R138" s="112">
        <v>16.5</v>
      </c>
      <c r="S138" s="112">
        <v>17.5</v>
      </c>
      <c r="T138" s="112">
        <v>18.5</v>
      </c>
      <c r="U138" s="112">
        <v>19.5</v>
      </c>
      <c r="V138" s="112">
        <v>20.5</v>
      </c>
      <c r="W138" s="112">
        <v>21.5</v>
      </c>
      <c r="X138" s="112">
        <v>21.5</v>
      </c>
      <c r="Y138" s="112">
        <v>21.5</v>
      </c>
      <c r="Z138" s="112">
        <v>21.5</v>
      </c>
      <c r="AA138" s="112">
        <v>21.5</v>
      </c>
      <c r="AB138" s="112">
        <v>21.5</v>
      </c>
      <c r="AC138" s="112">
        <v>21.5</v>
      </c>
      <c r="AD138" s="112">
        <v>21.5</v>
      </c>
      <c r="AE138" s="112">
        <v>21.5</v>
      </c>
      <c r="AF138" s="112">
        <v>21.5</v>
      </c>
      <c r="AG138" s="112"/>
      <c r="AH138" s="112"/>
      <c r="AI138" s="112"/>
      <c r="AJ138" s="112"/>
      <c r="AK138" s="112"/>
      <c r="AL138" s="112"/>
      <c r="AM138" s="112"/>
      <c r="AN138" s="112"/>
      <c r="AO138" s="51"/>
      <c r="AP138" s="51"/>
    </row>
    <row r="139" spans="1:48">
      <c r="A139" s="13" t="s">
        <v>157</v>
      </c>
      <c r="B139" s="292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</row>
    <row r="140" spans="1:48">
      <c r="A140" t="s">
        <v>29</v>
      </c>
      <c r="B140" s="294">
        <f>(SUMPRODUCT(B137:W137,B36:W36)+SUMPRODUCT(B138:W138,B41:W41))/B35</f>
        <v>11.820431960615442</v>
      </c>
      <c r="C140"/>
      <c r="D140"/>
      <c r="E140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</row>
    <row r="141" spans="1:48">
      <c r="A141" t="s">
        <v>30</v>
      </c>
      <c r="B141" s="294" t="e">
        <f>(SUMPRODUCT(B66:W66,B137:W137)+SUMPRODUCT(B138:W138,B71:W71))/B65</f>
        <v>#DIV/0!</v>
      </c>
      <c r="C141"/>
      <c r="D141"/>
      <c r="E141"/>
    </row>
    <row r="142" spans="1:48">
      <c r="A142" t="s">
        <v>31</v>
      </c>
      <c r="B142" s="294" t="e">
        <f>(SUMPRODUCT(B137:W137,B83:W83)+SUMPRODUCT(B138:W138,B88:W88))/B82</f>
        <v>#DIV/0!</v>
      </c>
      <c r="C142"/>
      <c r="D142"/>
      <c r="E142"/>
    </row>
    <row r="143" spans="1:48">
      <c r="A143"/>
      <c r="B143"/>
      <c r="C143"/>
      <c r="D143"/>
      <c r="E143"/>
    </row>
    <row r="144" spans="1:48">
      <c r="A144"/>
      <c r="B144"/>
      <c r="C144"/>
      <c r="D144"/>
      <c r="E144"/>
    </row>
    <row r="145" spans="1:32">
      <c r="A145"/>
      <c r="B145"/>
      <c r="C145"/>
      <c r="D145"/>
      <c r="E145"/>
    </row>
    <row r="146" spans="1:32">
      <c r="A146"/>
      <c r="B146"/>
      <c r="C146"/>
      <c r="D146"/>
      <c r="E146"/>
    </row>
    <row r="147" spans="1:32">
      <c r="A147"/>
      <c r="B147"/>
      <c r="C147"/>
      <c r="D147"/>
      <c r="E147"/>
    </row>
    <row r="148" spans="1:3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1:32">
      <c r="A149"/>
      <c r="B149"/>
      <c r="C149"/>
      <c r="D149"/>
      <c r="E149"/>
      <c r="F149" s="212"/>
      <c r="G149" s="212"/>
      <c r="H149" s="212"/>
      <c r="I149" s="212"/>
      <c r="J149" s="212"/>
      <c r="K149" s="212"/>
      <c r="L149" s="212"/>
      <c r="M149" s="212"/>
      <c r="N149" s="212"/>
      <c r="O149" s="212"/>
      <c r="P149" s="212"/>
      <c r="Q149" s="212"/>
      <c r="R149" s="212"/>
      <c r="S149" s="212"/>
      <c r="T149" s="212"/>
      <c r="U149" s="212"/>
      <c r="V149" s="212"/>
      <c r="W149"/>
      <c r="X149"/>
      <c r="Y149"/>
      <c r="Z149"/>
      <c r="AA149"/>
      <c r="AB149"/>
      <c r="AC149"/>
      <c r="AD149"/>
      <c r="AE149"/>
      <c r="AF149"/>
    </row>
    <row r="150" spans="1:3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1:3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1:32">
      <c r="A152"/>
      <c r="B152"/>
      <c r="C152"/>
      <c r="D152"/>
      <c r="E152"/>
    </row>
    <row r="153" spans="1:32">
      <c r="A153"/>
      <c r="B153"/>
      <c r="C153"/>
      <c r="D153"/>
      <c r="E153"/>
    </row>
    <row r="154" spans="1:32">
      <c r="A154"/>
      <c r="B154"/>
      <c r="C154"/>
      <c r="D154"/>
      <c r="E154"/>
    </row>
    <row r="155" spans="1:32">
      <c r="A155"/>
      <c r="B155"/>
      <c r="C155"/>
      <c r="D155"/>
      <c r="E155"/>
    </row>
    <row r="156" spans="1:32">
      <c r="A156"/>
      <c r="B156"/>
      <c r="C156"/>
      <c r="D156"/>
      <c r="E156"/>
    </row>
  </sheetData>
  <pageMargins left="0.75" right="0.75" top="1" bottom="1" header="0.5" footer="0.5"/>
  <pageSetup scale="33" orientation="landscape" r:id="rId1"/>
  <headerFooter alignWithMargins="0">
    <oddFooter xml:space="preserve">&amp;L&amp;T, &amp;D&amp;C&amp;F&amp;R&amp;P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19</vt:i4>
      </vt:variant>
    </vt:vector>
  </HeadingPairs>
  <TitlesOfParts>
    <vt:vector size="32" baseType="lpstr">
      <vt:lpstr>Preset Scenarios</vt:lpstr>
      <vt:lpstr>Tracking Sheet</vt:lpstr>
      <vt:lpstr>Scenarios</vt:lpstr>
      <vt:lpstr>Assumptions</vt:lpstr>
      <vt:lpstr>Power Price Assumption</vt:lpstr>
      <vt:lpstr>IS</vt:lpstr>
      <vt:lpstr>Return Analysis</vt:lpstr>
      <vt:lpstr>CF</vt:lpstr>
      <vt:lpstr>Debt</vt:lpstr>
      <vt:lpstr>IDC</vt:lpstr>
      <vt:lpstr>Depreciation</vt:lpstr>
      <vt:lpstr>Tax</vt:lpstr>
      <vt:lpstr>Observations</vt:lpstr>
      <vt:lpstr>AnnualHours</vt:lpstr>
      <vt:lpstr>Deg_Rate</vt:lpstr>
      <vt:lpstr>idc</vt:lpstr>
      <vt:lpstr>ISO_MW</vt:lpstr>
      <vt:lpstr>NetMW</vt:lpstr>
      <vt:lpstr>Assumptions!Print_Area</vt:lpstr>
      <vt:lpstr>CF!Print_Area</vt:lpstr>
      <vt:lpstr>Debt!Print_Area</vt:lpstr>
      <vt:lpstr>Depreciation!Print_Area</vt:lpstr>
      <vt:lpstr>IS!Print_Area</vt:lpstr>
      <vt:lpstr>'Preset Scenarios'!Print_Area</vt:lpstr>
      <vt:lpstr>'Return Analysis'!Print_Area</vt:lpstr>
      <vt:lpstr>Scenarios!Print_Area</vt:lpstr>
      <vt:lpstr>Tax!Print_Area</vt:lpstr>
      <vt:lpstr>CF!Print_Titles</vt:lpstr>
      <vt:lpstr>Debt!Print_Titles</vt:lpstr>
      <vt:lpstr>Depreciation!Print_Titles</vt:lpstr>
      <vt:lpstr>IS!Print_Titles</vt:lpstr>
      <vt:lpstr>Tax!Print_Titles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2000-01-25T17:57:15Z</cp:lastPrinted>
  <dcterms:created xsi:type="dcterms:W3CDTF">1999-04-02T01:38:38Z</dcterms:created>
  <dcterms:modified xsi:type="dcterms:W3CDTF">2023-09-13T22:14:08Z</dcterms:modified>
</cp:coreProperties>
</file>