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779475-27D5-494B-AE6C-31E0C6339E34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Preset Scenarios" sheetId="1" state="hidden" r:id="rId1"/>
    <sheet name="Tracking Sheet" sheetId="16" r:id="rId2"/>
    <sheet name="Assumptions" sheetId="2" r:id="rId3"/>
    <sheet name="Power Price Assumption" sheetId="3" r:id="rId4"/>
    <sheet name="IS" sheetId="4" r:id="rId5"/>
    <sheet name="CF" sheetId="5" r:id="rId6"/>
    <sheet name="Debt" sheetId="6" r:id="rId7"/>
    <sheet name="Depreciation" sheetId="7" r:id="rId8"/>
    <sheet name="Tax" sheetId="8" r:id="rId9"/>
  </sheets>
  <externalReferences>
    <externalReference r:id="rId10"/>
    <externalReference r:id="rId11"/>
  </externalReferences>
  <definedNames>
    <definedName name="AnnualHours">Assumptions!$G$15</definedName>
    <definedName name="Deg_Rate">Assumptions!$F$12</definedName>
    <definedName name="ISO_MW">Assumptions!$I$10</definedName>
    <definedName name="Main_Table">'[2]Maintenance Reserves'!$D$22:$I$45</definedName>
    <definedName name="Maint_Accrual">Assumptions!#REF!</definedName>
    <definedName name="NetMW">Assumptions!$I$11</definedName>
    <definedName name="_xlnm.Print_Area" localSheetId="2">Assumptions!$A$3:$P$92</definedName>
    <definedName name="_xlnm.Print_Area" localSheetId="5">CF!$A$2:$Y$53</definedName>
    <definedName name="_xlnm.Print_Area" localSheetId="6">Debt!$A$14:$W$116</definedName>
    <definedName name="_xlnm.Print_Area" localSheetId="7">Depreciation!$A$2:$Z$45</definedName>
    <definedName name="_xlnm.Print_Area" localSheetId="4">IS!$A$2:$Y$55</definedName>
    <definedName name="_xlnm.Print_Area" localSheetId="0">'Preset Scenarios'!$A$2:$M$30</definedName>
    <definedName name="_xlnm.Print_Area" localSheetId="8">Tax!$A$2:$Y$46</definedName>
    <definedName name="_xlnm.Print_Titles" localSheetId="5">CF!$A:$B</definedName>
    <definedName name="_xlnm.Print_Titles" localSheetId="6">Debt!$A:$A</definedName>
    <definedName name="_xlnm.Print_Titles" localSheetId="7">Depreciation!$A:$A</definedName>
    <definedName name="_xlnm.Print_Titles" localSheetId="4">IS!$A:$A</definedName>
    <definedName name="_xlnm.Print_Titles" localSheetId="8">Tax!$A:$C</definedName>
    <definedName name="Variable">Assumptions!#REF!</definedName>
    <definedName name="WaterTreatmentVar">Assumptions!#REF!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11" i="2" l="1"/>
  <c r="E11" i="2"/>
  <c r="C12" i="2"/>
  <c r="D12" i="2"/>
  <c r="E12" i="2"/>
  <c r="M12" i="2"/>
  <c r="M13" i="2"/>
  <c r="C14" i="2"/>
  <c r="D14" i="2"/>
  <c r="E14" i="2"/>
  <c r="M16" i="2"/>
  <c r="M17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I26" i="2"/>
  <c r="C27" i="2"/>
  <c r="E27" i="2"/>
  <c r="C28" i="2"/>
  <c r="E28" i="2"/>
  <c r="C29" i="2"/>
  <c r="E29" i="2"/>
  <c r="C30" i="2"/>
  <c r="E30" i="2"/>
  <c r="C31" i="2"/>
  <c r="D31" i="2"/>
  <c r="E31" i="2"/>
  <c r="C34" i="2"/>
  <c r="E34" i="2"/>
  <c r="C35" i="2"/>
  <c r="E35" i="2"/>
  <c r="C36" i="2"/>
  <c r="E36" i="2"/>
  <c r="C37" i="2"/>
  <c r="D37" i="2"/>
  <c r="E37" i="2"/>
  <c r="C39" i="2"/>
  <c r="E39" i="2"/>
  <c r="C40" i="2"/>
  <c r="E40" i="2"/>
  <c r="I40" i="2"/>
  <c r="C41" i="2"/>
  <c r="E41" i="2"/>
  <c r="I42" i="2"/>
  <c r="C43" i="2"/>
  <c r="D43" i="2"/>
  <c r="E43" i="2"/>
  <c r="I45" i="2"/>
  <c r="I46" i="2"/>
  <c r="I49" i="2"/>
  <c r="E51" i="2"/>
  <c r="I51" i="2"/>
  <c r="I52" i="2"/>
  <c r="B54" i="2"/>
  <c r="C54" i="2"/>
  <c r="D54" i="2"/>
  <c r="I55" i="2"/>
  <c r="I56" i="2"/>
  <c r="E57" i="2"/>
  <c r="E58" i="2"/>
  <c r="B59" i="2"/>
  <c r="C59" i="2"/>
  <c r="D59" i="2"/>
  <c r="E59" i="2"/>
  <c r="B61" i="2"/>
  <c r="C68" i="2"/>
  <c r="I68" i="2"/>
  <c r="J68" i="2"/>
  <c r="B69" i="2"/>
  <c r="C69" i="2"/>
  <c r="I69" i="2"/>
  <c r="J69" i="2"/>
  <c r="J72" i="2"/>
  <c r="I73" i="2"/>
  <c r="J73" i="2"/>
  <c r="C74" i="2"/>
  <c r="D74" i="2"/>
  <c r="I74" i="2"/>
  <c r="J74" i="2"/>
  <c r="I75" i="2"/>
  <c r="J75" i="2"/>
  <c r="C77" i="2"/>
  <c r="J77" i="2"/>
  <c r="C78" i="2"/>
  <c r="J78" i="2"/>
  <c r="C79" i="2"/>
  <c r="C80" i="2"/>
  <c r="J81" i="2"/>
  <c r="J82" i="2"/>
  <c r="J83" i="2"/>
  <c r="C84" i="2"/>
  <c r="C85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A2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D42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D47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D53" i="5"/>
  <c r="F5" i="6"/>
  <c r="L5" i="6"/>
  <c r="R5" i="6"/>
  <c r="F6" i="6"/>
  <c r="L6" i="6"/>
  <c r="R6" i="6"/>
  <c r="F7" i="6"/>
  <c r="L7" i="6"/>
  <c r="R7" i="6"/>
  <c r="F8" i="6"/>
  <c r="L8" i="6"/>
  <c r="R8" i="6"/>
  <c r="F9" i="6"/>
  <c r="L9" i="6"/>
  <c r="R9" i="6"/>
  <c r="F10" i="6"/>
  <c r="L10" i="6"/>
  <c r="R10" i="6"/>
  <c r="A14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27" i="6"/>
  <c r="A29" i="6"/>
  <c r="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46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63" i="6"/>
  <c r="A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B96" i="6"/>
  <c r="B97" i="6"/>
  <c r="W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W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W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B123" i="6"/>
  <c r="B124" i="6"/>
  <c r="B125" i="6"/>
  <c r="A2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E8" i="7"/>
  <c r="B13" i="7"/>
  <c r="B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7" i="7"/>
  <c r="C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2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2" i="3"/>
  <c r="C7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3" i="1"/>
  <c r="C23" i="1"/>
  <c r="D23" i="1"/>
  <c r="E23" i="1"/>
  <c r="C28" i="1"/>
  <c r="D28" i="1"/>
  <c r="E28" i="1"/>
  <c r="A2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W22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X24" i="8"/>
  <c r="Y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2" i="16"/>
  <c r="B10" i="16"/>
  <c r="C10" i="16"/>
</calcChain>
</file>

<file path=xl/sharedStrings.xml><?xml version="1.0" encoding="utf-8"?>
<sst xmlns="http://schemas.openxmlformats.org/spreadsheetml/2006/main" count="437" uniqueCount="322">
  <si>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</si>
  <si>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</si>
  <si>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</si>
  <si>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</si>
  <si>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</si>
  <si>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</si>
  <si>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</si>
  <si>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</si>
  <si>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</si>
  <si>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</si>
  <si>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</si>
  <si>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</si>
  <si>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</si>
  <si>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</si>
  <si>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</si>
  <si>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</si>
  <si>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</si>
  <si>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</si>
  <si>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</si>
  <si>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</si>
  <si>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</si>
  <si>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</si>
  <si>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</si>
  <si>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</si>
  <si>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</si>
  <si>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</si>
  <si>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</si>
  <si>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</si>
  <si>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</si>
  <si>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</si>
  <si>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</si>
  <si>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</si>
  <si>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</si>
  <si>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</si>
  <si>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</si>
  <si>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</si>
  <si>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</si>
  <si>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</si>
  <si>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</si>
  <si>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</si>
  <si>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</si>
  <si>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</si>
  <si>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</si>
  <si>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</si>
  <si>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</si>
  <si>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</si>
  <si>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</si>
  <si>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</si>
  <si>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</si>
  <si>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</si>
  <si>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</si>
  <si>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</si>
  <si>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</si>
  <si>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</si>
  <si>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</si>
  <si>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</si>
  <si>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</si>
  <si>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</si>
  <si>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</si>
  <si>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</si>
  <si>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</si>
  <si>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</si>
  <si>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</si>
  <si>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</si>
  <si>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</si>
  <si>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</si>
  <si>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</si>
  <si>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Min</t>
  </si>
  <si>
    <t>Avg.</t>
  </si>
  <si>
    <t>CPI Escalator</t>
  </si>
  <si>
    <t>Fixed O&amp;M</t>
  </si>
  <si>
    <t>Variable O&amp;M</t>
  </si>
  <si>
    <t>Major Maintenance &amp; Ongoing Capex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</si>
  <si>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</si>
  <si>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</si>
  <si>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</si>
  <si>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</si>
  <si>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</si>
  <si>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</si>
  <si>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</si>
  <si>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</si>
  <si>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</si>
  <si>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</si>
  <si>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</si>
  <si>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</si>
  <si>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</si>
  <si>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</si>
  <si>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</si>
  <si>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</si>
  <si>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</si>
  <si>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</si>
  <si>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</si>
  <si>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</si>
  <si>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</si>
  <si>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</si>
  <si>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</si>
  <si>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</si>
  <si>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</si>
  <si>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</si>
  <si>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</si>
  <si>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</si>
  <si>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</si>
  <si>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</si>
  <si>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</si>
  <si>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</si>
  <si>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</si>
  <si>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</si>
  <si>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</si>
  <si>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</si>
  <si>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CF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</si>
  <si>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</si>
  <si>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</si>
  <si>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</si>
  <si>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</si>
  <si>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</si>
  <si>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</si>
  <si>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</si>
  <si>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</si>
  <si>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</si>
  <si>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</si>
  <si>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</si>
  <si>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</si>
  <si>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</si>
  <si>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</si>
  <si>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</si>
  <si>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</si>
  <si>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</si>
  <si>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</si>
  <si>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</si>
  <si>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</si>
  <si>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</si>
  <si>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</si>
  <si>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</si>
  <si>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</si>
  <si>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</si>
  <si>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</si>
  <si>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</si>
  <si>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</si>
  <si>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</si>
  <si>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</si>
  <si>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</si>
  <si>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</si>
  <si>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</si>
  <si>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</si>
  <si>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</si>
  <si>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</si>
  <si>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</si>
  <si>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</si>
  <si>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</si>
  <si>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</si>
  <si>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</si>
  <si>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</si>
  <si>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</si>
  <si>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</si>
  <si>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</si>
  <si>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</si>
  <si>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</si>
  <si>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</si>
  <si>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</si>
  <si>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</si>
  <si>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</si>
  <si>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</si>
  <si>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</si>
  <si>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</si>
  <si>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</si>
  <si>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</si>
  <si>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</si>
  <si>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</si>
  <si>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</si>
  <si>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</si>
  <si>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</si>
  <si>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</si>
  <si>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</si>
  <si>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</si>
  <si>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</si>
  <si>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</si>
  <si>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</si>
  <si>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</si>
  <si>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</si>
  <si>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</si>
  <si>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</si>
  <si>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</si>
  <si>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</si>
  <si>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</si>
  <si>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</si>
  <si>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</si>
  <si>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</si>
  <si>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Maximum DSR Amount (12mths) (000 $)</t>
  </si>
  <si>
    <t>Debt Issuance</t>
  </si>
  <si>
    <t>Maximum DSR Amount (12mths) (kW/mo.)</t>
  </si>
  <si>
    <t>Increase in Op Exp (%)</t>
  </si>
  <si>
    <t>EQUITY PARTNER'S</t>
  </si>
  <si>
    <t>CHANGES</t>
  </si>
  <si>
    <t>DATE</t>
  </si>
  <si>
    <t>Equity Returns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</si>
  <si>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</si>
  <si>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</si>
  <si>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</si>
  <si>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</si>
  <si>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</si>
  <si>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</si>
  <si>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</si>
  <si>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</si>
  <si>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</si>
  <si>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</si>
  <si>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</si>
  <si>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</si>
  <si>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</si>
  <si>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</si>
  <si>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</si>
  <si>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</si>
  <si>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</si>
  <si>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</si>
  <si>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</si>
  <si>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</si>
  <si>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</si>
  <si>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Percentage of Peak Run Time</t>
  </si>
  <si>
    <t>First Fiscal Year</t>
  </si>
  <si>
    <t>Cost per Start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</si>
  <si>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</si>
  <si>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</si>
  <si>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</si>
  <si>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</si>
  <si>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</si>
  <si>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</si>
  <si>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</si>
  <si>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</si>
  <si>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</si>
  <si>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</si>
  <si>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</si>
  <si>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</si>
  <si>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PPA Start Date</t>
  </si>
  <si>
    <t>PPA Temination</t>
  </si>
  <si>
    <t>CAPACITY PRICE ASSUMPTIONS</t>
  </si>
  <si>
    <t>INCOME STATEMENT</t>
  </si>
  <si>
    <t>DEBT ISSUANCE</t>
  </si>
  <si>
    <t>DEPRECIATION SCHEDULE</t>
  </si>
  <si>
    <t>TAXES</t>
  </si>
  <si>
    <t>PROJECT NAME: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</si>
  <si>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</si>
  <si>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</si>
  <si>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</si>
  <si>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</si>
  <si>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</si>
  <si>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</si>
  <si>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</si>
  <si>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</si>
  <si>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</si>
  <si>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</si>
  <si>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</si>
  <si>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</si>
  <si>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</si>
  <si>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</si>
  <si>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</si>
  <si>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</si>
  <si>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 xml:space="preserve">  Contingency</t>
  </si>
  <si>
    <t>Total Uses</t>
  </si>
  <si>
    <t>Uses of Funds</t>
  </si>
  <si>
    <t xml:space="preserve">  Legal Fees</t>
  </si>
  <si>
    <t xml:space="preserve">  Capitalized Interests</t>
  </si>
  <si>
    <t>EPC:</t>
  </si>
  <si>
    <t>Type of Turbine</t>
  </si>
  <si>
    <t>Project Life (Years)</t>
  </si>
  <si>
    <t>Start of Commercial Operation</t>
  </si>
  <si>
    <t>End of Commercial Operation</t>
  </si>
  <si>
    <t xml:space="preserve">  Land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</si>
  <si>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</si>
  <si>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</si>
  <si>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</si>
  <si>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</si>
  <si>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</si>
  <si>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</si>
  <si>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</si>
  <si>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</si>
  <si>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</si>
  <si>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</si>
  <si>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</si>
  <si>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</si>
  <si>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</si>
  <si>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</si>
  <si>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20 Yrs After-Tax Cashflow &amp; w Residual Value</t>
  </si>
  <si>
    <t>FINANCING ASSUMPTIONS:</t>
  </si>
  <si>
    <t>Fixed Price Period</t>
  </si>
  <si>
    <t>No. of Years</t>
  </si>
  <si>
    <t>Market Price Period</t>
  </si>
  <si>
    <t xml:space="preserve">  Fixed Price Period</t>
  </si>
  <si>
    <t xml:space="preserve">  Market Price Period</t>
  </si>
  <si>
    <t>LM6000</t>
  </si>
  <si>
    <t>Block Payment</t>
  </si>
  <si>
    <t>Market Period:</t>
  </si>
  <si>
    <t>Fixed Price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</si>
  <si>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</si>
  <si>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</si>
  <si>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</si>
  <si>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</si>
  <si>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</si>
  <si>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</si>
  <si>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</si>
  <si>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</si>
  <si>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Net Generation (MW)</t>
  </si>
  <si>
    <t>Net Project Capacity (MW)</t>
  </si>
  <si>
    <t>Contractual  Capacity (MW)</t>
  </si>
  <si>
    <t>Contractual Capacity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</si>
  <si>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</si>
  <si>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</si>
  <si>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</si>
  <si>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</si>
  <si>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</si>
  <si>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</si>
  <si>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000 $/kW</t>
  </si>
  <si>
    <t>$/MW</t>
  </si>
  <si>
    <t>Fuel</t>
  </si>
  <si>
    <t>Debt Service Reserve Fee</t>
  </si>
  <si>
    <t>EPC</t>
  </si>
  <si>
    <t>Soft Cost &amp; Other Misc Project Cost</t>
  </si>
  <si>
    <t>Cost Summary</t>
  </si>
  <si>
    <t>000$/ MW</t>
  </si>
  <si>
    <t>Residual Value</t>
  </si>
  <si>
    <t>Equity Partner's Cashflow with Residual Value</t>
  </si>
  <si>
    <t>IRR WITH NO</t>
  </si>
  <si>
    <t>RESIDUAL VALUE</t>
  </si>
  <si>
    <t xml:space="preserve">IRR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</si>
</sst>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3" formatCode="0.000%"/>
    <numFmt numFmtId="179" formatCode="0.00\x_);\(0.00\x\)"/>
    <numFmt numFmtId="187" formatCode="0.0"/>
    <numFmt numFmtId="194" formatCode="_(* #,##0.0000_);_(* \(#,##0.0000\);_(* &quot;-&quot;??_);_(@_)"/>
    <numFmt numFmtId="204" formatCode="#,##0.0_);[Red]\(#,##0.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313" formatCode="mmmm\ d\,\ yyyy"/>
    <numFmt numFmtId="321" formatCode="mm/dd/yy"/>
  </numFmts>
  <fonts count="64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0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534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168" fontId="2" fillId="0" borderId="0" xfId="1" applyNumberFormat="1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5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5" applyFont="1" applyFill="1" applyProtection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6" xfId="0" applyFont="1" applyBorder="1"/>
    <xf numFmtId="179" fontId="19" fillId="0" borderId="7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7" xfId="0" applyNumberFormat="1" applyFont="1" applyBorder="1" applyAlignment="1">
      <alignment horizontal="center"/>
    </xf>
    <xf numFmtId="0" fontId="28" fillId="0" borderId="8" xfId="0" applyFont="1" applyBorder="1"/>
    <xf numFmtId="0" fontId="19" fillId="0" borderId="9" xfId="0" applyFont="1" applyBorder="1"/>
    <xf numFmtId="4" fontId="2" fillId="0" borderId="10" xfId="0" applyNumberFormat="1" applyFont="1" applyBorder="1" applyAlignment="1">
      <alignment horizontal="center"/>
    </xf>
    <xf numFmtId="0" fontId="28" fillId="0" borderId="11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4" fillId="0" borderId="0" xfId="0" applyFont="1"/>
    <xf numFmtId="0" fontId="10" fillId="0" borderId="6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73" fontId="2" fillId="0" borderId="10" xfId="0" applyNumberFormat="1" applyFont="1" applyBorder="1" applyAlignment="1">
      <alignment horizontal="center"/>
    </xf>
    <xf numFmtId="0" fontId="3" fillId="0" borderId="8" xfId="0" applyFont="1" applyBorder="1"/>
    <xf numFmtId="0" fontId="2" fillId="0" borderId="8" xfId="0" applyFont="1" applyFill="1" applyBorder="1"/>
    <xf numFmtId="0" fontId="3" fillId="0" borderId="11" xfId="0" applyFont="1" applyBorder="1"/>
    <xf numFmtId="179" fontId="19" fillId="0" borderId="10" xfId="0" applyNumberFormat="1" applyFont="1" applyBorder="1"/>
    <xf numFmtId="166" fontId="17" fillId="0" borderId="0" xfId="1" applyNumberFormat="1" applyFont="1"/>
    <xf numFmtId="38" fontId="3" fillId="0" borderId="0" xfId="1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166" fontId="3" fillId="0" borderId="0" xfId="1" applyNumberFormat="1" applyFont="1" applyFill="1"/>
    <xf numFmtId="0" fontId="2" fillId="0" borderId="0" xfId="0" applyFont="1" applyFill="1" applyBorder="1"/>
    <xf numFmtId="166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0" fontId="15" fillId="5" borderId="0" xfId="5" applyNumberFormat="1" applyFont="1" applyFill="1" applyAlignment="1">
      <alignment horizontal="center"/>
    </xf>
    <xf numFmtId="168" fontId="3" fillId="0" borderId="0" xfId="1" applyNumberFormat="1" applyFont="1" applyFill="1"/>
    <xf numFmtId="0" fontId="30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5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33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11" xfId="1" applyNumberFormat="1" applyFont="1" applyFill="1" applyBorder="1"/>
    <xf numFmtId="38" fontId="3" fillId="0" borderId="0" xfId="1" applyNumberFormat="1" applyFont="1" applyFill="1" applyBorder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66" fontId="3" fillId="0" borderId="4" xfId="1" applyNumberFormat="1" applyFont="1" applyFill="1" applyBorder="1"/>
    <xf numFmtId="0" fontId="42" fillId="0" borderId="0" xfId="0" applyFont="1"/>
    <xf numFmtId="0" fontId="3" fillId="0" borderId="15" xfId="0" applyFont="1" applyBorder="1"/>
    <xf numFmtId="10" fontId="3" fillId="0" borderId="0" xfId="5" applyNumberFormat="1" applyFont="1"/>
    <xf numFmtId="164" fontId="3" fillId="0" borderId="0" xfId="0" applyNumberFormat="1" applyFont="1"/>
    <xf numFmtId="166" fontId="43" fillId="0" borderId="0" xfId="1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0" fontId="44" fillId="0" borderId="0" xfId="0" applyFont="1"/>
    <xf numFmtId="0" fontId="12" fillId="0" borderId="5" xfId="0" applyFont="1" applyBorder="1"/>
    <xf numFmtId="38" fontId="3" fillId="0" borderId="11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43" fontId="3" fillId="0" borderId="0" xfId="1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8" fontId="26" fillId="0" borderId="0" xfId="0" applyNumberFormat="1" applyFont="1" applyFill="1" applyBorder="1"/>
    <xf numFmtId="38" fontId="33" fillId="0" borderId="0" xfId="0" applyNumberFormat="1" applyFont="1" applyFill="1" applyBorder="1"/>
    <xf numFmtId="38" fontId="44" fillId="0" borderId="0" xfId="0" applyNumberFormat="1" applyFont="1" applyFill="1" applyBorder="1"/>
    <xf numFmtId="38" fontId="6" fillId="0" borderId="0" xfId="0" applyNumberFormat="1" applyFont="1" applyFill="1" applyBorder="1"/>
    <xf numFmtId="38" fontId="27" fillId="0" borderId="0" xfId="0" applyNumberFormat="1" applyFont="1" applyFill="1" applyBorder="1"/>
    <xf numFmtId="14" fontId="30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0" fillId="0" borderId="0" xfId="0" applyNumberFormat="1" applyFont="1" applyFill="1" applyBorder="1"/>
    <xf numFmtId="3" fontId="30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5" fillId="0" borderId="0" xfId="1" applyNumberFormat="1" applyFont="1" applyFill="1" applyBorder="1" applyProtection="1"/>
    <xf numFmtId="166" fontId="40" fillId="0" borderId="0" xfId="1" applyNumberFormat="1" applyFont="1" applyFill="1" applyBorder="1"/>
    <xf numFmtId="166" fontId="41" fillId="0" borderId="0" xfId="1" applyNumberFormat="1" applyFont="1" applyFill="1" applyBorder="1"/>
    <xf numFmtId="10" fontId="40" fillId="0" borderId="0" xfId="1" applyNumberFormat="1" applyFont="1" applyFill="1" applyBorder="1"/>
    <xf numFmtId="166" fontId="40" fillId="0" borderId="0" xfId="1" applyNumberFormat="1" applyFont="1" applyFill="1" applyBorder="1" applyProtection="1"/>
    <xf numFmtId="166" fontId="4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5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23" fillId="0" borderId="16" xfId="0" applyFont="1" applyFill="1" applyBorder="1"/>
    <xf numFmtId="0" fontId="23" fillId="0" borderId="16" xfId="0" applyFont="1" applyFill="1" applyBorder="1" applyAlignment="1" applyProtection="1">
      <alignment horizontal="left"/>
    </xf>
    <xf numFmtId="0" fontId="24" fillId="0" borderId="16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45" fillId="0" borderId="5" xfId="0" applyFont="1" applyBorder="1" applyAlignment="1" applyProtection="1">
      <alignment horizontal="left"/>
    </xf>
    <xf numFmtId="0" fontId="45" fillId="0" borderId="0" xfId="0" applyFont="1" applyBorder="1" applyAlignment="1">
      <alignment horizontal="center"/>
    </xf>
    <xf numFmtId="0" fontId="28" fillId="0" borderId="0" xfId="0" applyFont="1" applyBorder="1"/>
    <xf numFmtId="0" fontId="28" fillId="0" borderId="5" xfId="0" applyFont="1" applyBorder="1" applyAlignment="1" applyProtection="1">
      <alignment horizontal="left"/>
    </xf>
    <xf numFmtId="10" fontId="46" fillId="0" borderId="0" xfId="0" applyNumberFormat="1" applyFont="1" applyBorder="1" applyAlignment="1" applyProtection="1">
      <alignment horizontal="center"/>
    </xf>
    <xf numFmtId="10" fontId="28" fillId="0" borderId="5" xfId="0" applyNumberFormat="1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8" fillId="0" borderId="5" xfId="0" applyFont="1" applyBorder="1"/>
    <xf numFmtId="0" fontId="28" fillId="0" borderId="4" xfId="0" applyFont="1" applyBorder="1"/>
    <xf numFmtId="0" fontId="28" fillId="0" borderId="17" xfId="0" applyFont="1" applyBorder="1"/>
    <xf numFmtId="0" fontId="28" fillId="0" borderId="1" xfId="0" applyFont="1" applyBorder="1"/>
    <xf numFmtId="0" fontId="45" fillId="0" borderId="5" xfId="0" applyFont="1" applyBorder="1"/>
    <xf numFmtId="0" fontId="28" fillId="0" borderId="5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0" fontId="48" fillId="0" borderId="5" xfId="0" applyFont="1" applyBorder="1"/>
    <xf numFmtId="173" fontId="28" fillId="0" borderId="0" xfId="0" applyNumberFormat="1" applyFont="1" applyBorder="1" applyAlignment="1">
      <alignment horizontal="center"/>
    </xf>
    <xf numFmtId="0" fontId="45" fillId="0" borderId="0" xfId="0" applyFont="1" applyBorder="1"/>
    <xf numFmtId="212" fontId="28" fillId="0" borderId="0" xfId="1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0" fontId="28" fillId="0" borderId="2" xfId="0" applyFont="1" applyFill="1" applyBorder="1"/>
    <xf numFmtId="0" fontId="23" fillId="0" borderId="2" xfId="0" applyFont="1" applyFill="1" applyBorder="1" applyAlignment="1">
      <alignment horizontal="centerContinuous"/>
    </xf>
    <xf numFmtId="0" fontId="45" fillId="0" borderId="5" xfId="0" applyFont="1" applyFill="1" applyBorder="1"/>
    <xf numFmtId="10" fontId="47" fillId="0" borderId="0" xfId="0" applyNumberFormat="1" applyFont="1" applyFill="1" applyBorder="1"/>
    <xf numFmtId="0" fontId="28" fillId="0" borderId="5" xfId="0" applyFont="1" applyFill="1" applyBorder="1"/>
    <xf numFmtId="10" fontId="10" fillId="0" borderId="0" xfId="5" applyNumberFormat="1" applyFont="1" applyFill="1" applyBorder="1" applyAlignment="1">
      <alignment horizontal="center"/>
    </xf>
    <xf numFmtId="10" fontId="47" fillId="0" borderId="0" xfId="5" applyNumberFormat="1" applyFont="1" applyFill="1" applyBorder="1" applyAlignment="1">
      <alignment horizontal="center"/>
    </xf>
    <xf numFmtId="0" fontId="28" fillId="0" borderId="17" xfId="0" applyFont="1" applyFill="1" applyBorder="1"/>
    <xf numFmtId="0" fontId="10" fillId="0" borderId="5" xfId="0" applyFont="1" applyBorder="1"/>
    <xf numFmtId="0" fontId="28" fillId="0" borderId="2" xfId="0" applyFont="1" applyBorder="1"/>
    <xf numFmtId="0" fontId="28" fillId="0" borderId="3" xfId="0" applyFont="1" applyBorder="1"/>
    <xf numFmtId="0" fontId="39" fillId="4" borderId="0" xfId="0" applyFont="1" applyFill="1" applyBorder="1" applyAlignment="1">
      <alignment horizontal="center"/>
    </xf>
    <xf numFmtId="0" fontId="28" fillId="0" borderId="18" xfId="0" applyFont="1" applyBorder="1" applyAlignment="1">
      <alignment horizontal="centerContinuous"/>
    </xf>
    <xf numFmtId="0" fontId="28" fillId="0" borderId="19" xfId="0" applyFont="1" applyBorder="1" applyAlignment="1">
      <alignment horizontal="centerContinuous"/>
    </xf>
    <xf numFmtId="4" fontId="28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9" fontId="47" fillId="3" borderId="0" xfId="0" applyNumberFormat="1" applyFont="1" applyFill="1" applyBorder="1" applyAlignment="1">
      <alignment horizontal="center"/>
    </xf>
    <xf numFmtId="166" fontId="12" fillId="0" borderId="0" xfId="1" applyNumberFormat="1" applyFont="1" applyFill="1" applyBorder="1"/>
    <xf numFmtId="38" fontId="2" fillId="0" borderId="0" xfId="0" applyNumberFormat="1" applyFont="1"/>
    <xf numFmtId="38" fontId="3" fillId="0" borderId="11" xfId="1" applyNumberFormat="1" applyFont="1" applyBorder="1"/>
    <xf numFmtId="0" fontId="49" fillId="0" borderId="0" xfId="0" applyFont="1"/>
    <xf numFmtId="0" fontId="50" fillId="0" borderId="0" xfId="0" applyFont="1"/>
    <xf numFmtId="10" fontId="47" fillId="3" borderId="0" xfId="0" applyNumberFormat="1" applyFont="1" applyFill="1" applyBorder="1" applyAlignment="1">
      <alignment horizontal="center"/>
    </xf>
    <xf numFmtId="7" fontId="28" fillId="0" borderId="0" xfId="1" applyNumberFormat="1" applyFont="1" applyBorder="1"/>
    <xf numFmtId="44" fontId="28" fillId="0" borderId="0" xfId="2" applyFont="1" applyFill="1" applyBorder="1"/>
    <xf numFmtId="0" fontId="28" fillId="4" borderId="0" xfId="0" applyFont="1" applyFill="1"/>
    <xf numFmtId="0" fontId="37" fillId="0" borderId="0" xfId="0" applyFont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8" fillId="0" borderId="0" xfId="0" applyFont="1" applyBorder="1" applyAlignment="1">
      <alignment horizontal="right"/>
    </xf>
    <xf numFmtId="0" fontId="23" fillId="0" borderId="0" xfId="1" applyNumberFormat="1" applyFont="1" applyBorder="1" applyAlignment="1">
      <alignment horizontal="right"/>
    </xf>
    <xf numFmtId="2" fontId="47" fillId="0" borderId="0" xfId="1" applyNumberFormat="1" applyFont="1" applyFill="1" applyBorder="1" applyAlignment="1">
      <alignment horizontal="right"/>
    </xf>
    <xf numFmtId="43" fontId="28" fillId="0" borderId="0" xfId="1" applyNumberFormat="1" applyFont="1" applyBorder="1" applyAlignment="1">
      <alignment horizontal="right"/>
    </xf>
    <xf numFmtId="44" fontId="28" fillId="0" borderId="0" xfId="2" applyFont="1" applyBorder="1" applyAlignment="1">
      <alignment horizontal="right"/>
    </xf>
    <xf numFmtId="9" fontId="47" fillId="0" borderId="0" xfId="0" applyNumberFormat="1" applyFont="1" applyBorder="1"/>
    <xf numFmtId="40" fontId="28" fillId="0" borderId="0" xfId="1" applyNumberFormat="1" applyFont="1" applyFill="1" applyBorder="1" applyAlignment="1">
      <alignment horizontal="right"/>
    </xf>
    <xf numFmtId="0" fontId="10" fillId="0" borderId="0" xfId="0" applyFont="1" applyBorder="1"/>
    <xf numFmtId="1" fontId="47" fillId="0" borderId="0" xfId="1" applyNumberFormat="1" applyFont="1" applyFill="1" applyBorder="1" applyAlignment="1">
      <alignment horizontal="right"/>
    </xf>
    <xf numFmtId="43" fontId="45" fillId="0" borderId="0" xfId="1" applyNumberFormat="1" applyFont="1" applyBorder="1" applyAlignment="1">
      <alignment horizontal="right"/>
    </xf>
    <xf numFmtId="7" fontId="28" fillId="0" borderId="0" xfId="1" applyNumberFormat="1" applyFont="1" applyBorder="1" applyAlignment="1">
      <alignment horizontal="right"/>
    </xf>
    <xf numFmtId="7" fontId="28" fillId="0" borderId="0" xfId="0" applyNumberFormat="1" applyFont="1" applyBorder="1"/>
    <xf numFmtId="7" fontId="45" fillId="0" borderId="0" xfId="2" applyNumberFormat="1" applyFont="1" applyBorder="1"/>
    <xf numFmtId="166" fontId="25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5" applyFont="1" applyFill="1" applyProtection="1"/>
    <xf numFmtId="0" fontId="28" fillId="0" borderId="5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7" fillId="0" borderId="0" xfId="5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51" fillId="0" borderId="0" xfId="0" applyFont="1" applyBorder="1"/>
    <xf numFmtId="1" fontId="47" fillId="3" borderId="20" xfId="1" applyNumberFormat="1" applyFont="1" applyFill="1" applyBorder="1" applyAlignment="1">
      <alignment horizontal="right"/>
    </xf>
    <xf numFmtId="10" fontId="30" fillId="0" borderId="0" xfId="5" applyNumberFormat="1" applyFont="1"/>
    <xf numFmtId="0" fontId="17" fillId="0" borderId="0" xfId="0" applyFont="1"/>
    <xf numFmtId="38" fontId="52" fillId="0" borderId="0" xfId="0" applyNumberFormat="1" applyFont="1"/>
    <xf numFmtId="166" fontId="3" fillId="0" borderId="0" xfId="1" applyNumberFormat="1" applyFont="1" applyFill="1" applyBorder="1" applyProtection="1"/>
    <xf numFmtId="166" fontId="2" fillId="0" borderId="13" xfId="1" applyNumberFormat="1" applyFont="1" applyBorder="1"/>
    <xf numFmtId="166" fontId="2" fillId="0" borderId="14" xfId="1" applyNumberFormat="1" applyFont="1" applyBorder="1"/>
    <xf numFmtId="166" fontId="2" fillId="0" borderId="21" xfId="1" applyNumberFormat="1" applyFont="1" applyBorder="1"/>
    <xf numFmtId="166" fontId="3" fillId="0" borderId="14" xfId="1" applyNumberFormat="1" applyFont="1" applyBorder="1" applyProtection="1"/>
    <xf numFmtId="166" fontId="3" fillId="0" borderId="21" xfId="1" applyNumberFormat="1" applyFont="1" applyBorder="1" applyProtection="1"/>
    <xf numFmtId="166" fontId="3" fillId="0" borderId="13" xfId="1" applyNumberFormat="1" applyFont="1" applyBorder="1" applyProtection="1"/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28" fillId="0" borderId="0" xfId="1" applyNumberFormat="1" applyFont="1" applyFill="1" applyBorder="1" applyAlignment="1" applyProtection="1">
      <alignment horizontal="center"/>
    </xf>
    <xf numFmtId="38" fontId="28" fillId="0" borderId="1" xfId="1" applyNumberFormat="1" applyFont="1" applyFill="1" applyBorder="1" applyAlignment="1" applyProtection="1">
      <alignment horizontal="center"/>
    </xf>
    <xf numFmtId="38" fontId="47" fillId="3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8" fillId="0" borderId="5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45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28" fillId="0" borderId="0" xfId="0" applyNumberFormat="1" applyFont="1" applyFill="1" applyBorder="1" applyAlignment="1">
      <alignment horizontal="center"/>
    </xf>
    <xf numFmtId="10" fontId="28" fillId="0" borderId="0" xfId="5" applyNumberFormat="1" applyFont="1" applyFill="1" applyBorder="1" applyAlignment="1">
      <alignment horizontal="center"/>
    </xf>
    <xf numFmtId="38" fontId="28" fillId="0" borderId="1" xfId="0" applyNumberFormat="1" applyFont="1" applyFill="1" applyBorder="1" applyAlignment="1">
      <alignment horizontal="center"/>
    </xf>
    <xf numFmtId="38" fontId="47" fillId="3" borderId="1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1" applyNumberFormat="1" applyFont="1" applyProtection="1"/>
    <xf numFmtId="166" fontId="0" fillId="0" borderId="0" xfId="1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0" fontId="22" fillId="0" borderId="0" xfId="3" applyFont="1" applyFill="1" applyBorder="1"/>
    <xf numFmtId="9" fontId="2" fillId="0" borderId="2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8" fillId="0" borderId="0" xfId="5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1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9" fontId="10" fillId="0" borderId="0" xfId="5" applyFont="1" applyFill="1" applyBorder="1" applyAlignment="1">
      <alignment horizontal="left"/>
    </xf>
    <xf numFmtId="0" fontId="10" fillId="0" borderId="0" xfId="0" quotePrefix="1" applyFont="1" applyBorder="1"/>
    <xf numFmtId="0" fontId="3" fillId="6" borderId="0" xfId="0" applyFont="1" applyFill="1"/>
    <xf numFmtId="0" fontId="10" fillId="6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0" fontId="10" fillId="0" borderId="16" xfId="0" applyFont="1" applyBorder="1"/>
    <xf numFmtId="0" fontId="45" fillId="0" borderId="5" xfId="0" applyFont="1" applyBorder="1" applyAlignment="1">
      <alignment horizontal="center"/>
    </xf>
    <xf numFmtId="166" fontId="28" fillId="0" borderId="0" xfId="1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4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9" fontId="28" fillId="0" borderId="1" xfId="5" applyFont="1" applyBorder="1"/>
    <xf numFmtId="164" fontId="28" fillId="0" borderId="1" xfId="5" applyNumberFormat="1" applyFont="1" applyBorder="1"/>
    <xf numFmtId="166" fontId="28" fillId="0" borderId="1" xfId="1" applyNumberFormat="1" applyFont="1" applyBorder="1"/>
    <xf numFmtId="166" fontId="28" fillId="0" borderId="15" xfId="1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8" fillId="0" borderId="0" xfId="0" applyFont="1"/>
    <xf numFmtId="0" fontId="56" fillId="0" borderId="0" xfId="0" applyFont="1"/>
    <xf numFmtId="38" fontId="28" fillId="0" borderId="4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5" applyNumberFormat="1" applyFont="1" applyBorder="1" applyAlignment="1">
      <alignment horizontal="center"/>
    </xf>
    <xf numFmtId="38" fontId="3" fillId="0" borderId="0" xfId="1" applyNumberFormat="1" applyFont="1" applyBorder="1"/>
    <xf numFmtId="313" fontId="47" fillId="3" borderId="0" xfId="0" applyNumberFormat="1" applyFont="1" applyFill="1" applyBorder="1" applyAlignment="1" applyProtection="1">
      <alignment horizontal="right"/>
    </xf>
    <xf numFmtId="0" fontId="45" fillId="0" borderId="0" xfId="0" applyFont="1" applyFill="1" applyBorder="1" applyAlignment="1">
      <alignment horizontal="centerContinuous"/>
    </xf>
    <xf numFmtId="0" fontId="8" fillId="4" borderId="0" xfId="3" applyFont="1" applyFill="1" applyBorder="1"/>
    <xf numFmtId="0" fontId="23" fillId="0" borderId="3" xfId="0" applyFont="1" applyBorder="1" applyAlignment="1">
      <alignment horizontal="centerContinuous"/>
    </xf>
    <xf numFmtId="0" fontId="45" fillId="0" borderId="4" xfId="0" applyFont="1" applyBorder="1" applyAlignment="1">
      <alignment horizontal="center"/>
    </xf>
    <xf numFmtId="0" fontId="28" fillId="0" borderId="22" xfId="0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10" fillId="0" borderId="24" xfId="0" applyFont="1" applyFill="1" applyBorder="1"/>
    <xf numFmtId="0" fontId="3" fillId="0" borderId="18" xfId="0" applyFont="1" applyBorder="1"/>
    <xf numFmtId="10" fontId="10" fillId="0" borderId="18" xfId="0" applyNumberFormat="1" applyFont="1" applyFill="1" applyBorder="1"/>
    <xf numFmtId="179" fontId="10" fillId="0" borderId="18" xfId="1" applyNumberFormat="1" applyFont="1" applyFill="1" applyBorder="1"/>
    <xf numFmtId="179" fontId="10" fillId="0" borderId="19" xfId="1" applyNumberFormat="1" applyFont="1" applyFill="1" applyBorder="1"/>
    <xf numFmtId="0" fontId="10" fillId="0" borderId="16" xfId="0" applyFont="1" applyFill="1" applyBorder="1"/>
    <xf numFmtId="10" fontId="10" fillId="0" borderId="2" xfId="0" applyNumberFormat="1" applyFont="1" applyFill="1" applyBorder="1"/>
    <xf numFmtId="179" fontId="10" fillId="0" borderId="2" xfId="1" applyNumberFormat="1" applyFont="1" applyFill="1" applyBorder="1"/>
    <xf numFmtId="179" fontId="10" fillId="0" borderId="3" xfId="1" applyNumberFormat="1" applyFont="1" applyFill="1" applyBorder="1"/>
    <xf numFmtId="0" fontId="3" fillId="0" borderId="17" xfId="0" applyFont="1" applyBorder="1"/>
    <xf numFmtId="37" fontId="47" fillId="3" borderId="0" xfId="0" applyNumberFormat="1" applyFont="1" applyFill="1" applyBorder="1" applyAlignment="1">
      <alignment horizontal="center"/>
    </xf>
    <xf numFmtId="2" fontId="47" fillId="3" borderId="0" xfId="0" applyNumberFormat="1" applyFont="1" applyFill="1" applyBorder="1" applyAlignment="1">
      <alignment horizontal="center"/>
    </xf>
    <xf numFmtId="321" fontId="47" fillId="3" borderId="0" xfId="0" applyNumberFormat="1" applyFont="1" applyFill="1" applyBorder="1" applyAlignment="1">
      <alignment horizontal="center"/>
    </xf>
    <xf numFmtId="37" fontId="2" fillId="0" borderId="21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73" fontId="47" fillId="3" borderId="0" xfId="0" applyNumberFormat="1" applyFont="1" applyFill="1" applyBorder="1" applyAlignment="1">
      <alignment horizontal="center"/>
    </xf>
    <xf numFmtId="173" fontId="57" fillId="3" borderId="0" xfId="0" applyNumberFormat="1" applyFont="1" applyFill="1" applyBorder="1" applyAlignment="1">
      <alignment horizontal="center"/>
    </xf>
    <xf numFmtId="173" fontId="3" fillId="0" borderId="25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1" xfId="0" applyNumberFormat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3" xfId="0" applyFont="1" applyBorder="1"/>
    <xf numFmtId="179" fontId="19" fillId="0" borderId="14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8" fillId="0" borderId="16" xfId="0" applyFont="1" applyFill="1" applyBorder="1" applyAlignment="1">
      <alignment horizontal="center"/>
    </xf>
    <xf numFmtId="0" fontId="28" fillId="0" borderId="0" xfId="0" applyFont="1" applyFill="1" applyBorder="1"/>
    <xf numFmtId="9" fontId="28" fillId="0" borderId="5" xfId="5" applyFont="1" applyBorder="1"/>
    <xf numFmtId="9" fontId="28" fillId="0" borderId="0" xfId="5" applyFont="1" applyBorder="1"/>
    <xf numFmtId="9" fontId="28" fillId="0" borderId="17" xfId="5" applyFont="1" applyBorder="1"/>
    <xf numFmtId="38" fontId="28" fillId="0" borderId="4" xfId="0" applyNumberFormat="1" applyFont="1" applyBorder="1"/>
    <xf numFmtId="0" fontId="56" fillId="0" borderId="0" xfId="0" applyFont="1" applyFill="1"/>
    <xf numFmtId="0" fontId="42" fillId="0" borderId="0" xfId="0" applyFont="1" applyFill="1"/>
    <xf numFmtId="0" fontId="8" fillId="0" borderId="0" xfId="0" applyFont="1" applyAlignment="1">
      <alignment horizontal="left"/>
    </xf>
    <xf numFmtId="0" fontId="8" fillId="3" borderId="0" xfId="0" applyFont="1" applyFill="1"/>
    <xf numFmtId="43" fontId="47" fillId="3" borderId="0" xfId="1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3" borderId="0" xfId="5" applyNumberFormat="1" applyFont="1" applyFill="1" applyAlignment="1">
      <alignment horizontal="right"/>
    </xf>
    <xf numFmtId="0" fontId="0" fillId="0" borderId="0" xfId="0" applyBorder="1"/>
    <xf numFmtId="10" fontId="1" fillId="0" borderId="0" xfId="5" applyNumberFormat="1" applyBorder="1"/>
    <xf numFmtId="10" fontId="0" fillId="0" borderId="0" xfId="0" applyNumberFormat="1" applyBorder="1"/>
    <xf numFmtId="10" fontId="1" fillId="3" borderId="0" xfId="5" applyNumberFormat="1" applyFill="1" applyBorder="1"/>
    <xf numFmtId="10" fontId="0" fillId="3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1" applyNumberFormat="1" applyFont="1"/>
    <xf numFmtId="43" fontId="0" fillId="0" borderId="0" xfId="1" applyNumberFormat="1" applyFont="1"/>
    <xf numFmtId="0" fontId="58" fillId="3" borderId="20" xfId="0" applyFont="1" applyFill="1" applyBorder="1" applyAlignment="1">
      <alignment horizontal="center"/>
    </xf>
    <xf numFmtId="194" fontId="0" fillId="0" borderId="0" xfId="1" applyNumberFormat="1" applyFont="1"/>
    <xf numFmtId="10" fontId="3" fillId="3" borderId="0" xfId="5" applyNumberFormat="1" applyFont="1" applyFill="1" applyProtection="1"/>
    <xf numFmtId="166" fontId="3" fillId="3" borderId="0" xfId="1" applyNumberFormat="1" applyFont="1" applyFill="1" applyBorder="1"/>
    <xf numFmtId="38" fontId="32" fillId="3" borderId="0" xfId="0" applyNumberFormat="1" applyFont="1" applyFill="1" applyBorder="1"/>
    <xf numFmtId="3" fontId="32" fillId="3" borderId="0" xfId="0" applyNumberFormat="1" applyFont="1" applyFill="1"/>
    <xf numFmtId="14" fontId="3" fillId="3" borderId="0" xfId="0" applyNumberFormat="1" applyFont="1" applyFill="1" applyAlignment="1">
      <alignment horizontal="center"/>
    </xf>
    <xf numFmtId="10" fontId="2" fillId="0" borderId="20" xfId="5" applyNumberFormat="1" applyFont="1" applyBorder="1"/>
    <xf numFmtId="0" fontId="23" fillId="0" borderId="5" xfId="0" applyFont="1" applyFill="1" applyBorder="1"/>
    <xf numFmtId="164" fontId="23" fillId="0" borderId="1" xfId="5" applyNumberFormat="1" applyFont="1" applyBorder="1" applyAlignment="1">
      <alignment horizontal="center"/>
    </xf>
    <xf numFmtId="164" fontId="45" fillId="0" borderId="0" xfId="5" applyNumberFormat="1" applyFont="1" applyBorder="1" applyAlignment="1">
      <alignment horizontal="center"/>
    </xf>
    <xf numFmtId="0" fontId="5" fillId="0" borderId="3" xfId="0" applyFont="1" applyFill="1" applyBorder="1"/>
    <xf numFmtId="0" fontId="59" fillId="0" borderId="5" xfId="0" applyFont="1" applyBorder="1" applyAlignment="1" applyProtection="1">
      <alignment horizontal="left"/>
    </xf>
    <xf numFmtId="0" fontId="23" fillId="0" borderId="17" xfId="0" applyFont="1" applyBorder="1" applyAlignment="1" applyProtection="1">
      <alignment horizontal="left"/>
    </xf>
    <xf numFmtId="0" fontId="55" fillId="0" borderId="5" xfId="0" applyFont="1" applyFill="1" applyBorder="1" applyAlignment="1" applyProtection="1">
      <alignment horizontal="left"/>
    </xf>
    <xf numFmtId="0" fontId="23" fillId="4" borderId="5" xfId="0" applyFont="1" applyFill="1" applyBorder="1" applyAlignment="1">
      <alignment horizontal="left"/>
    </xf>
    <xf numFmtId="0" fontId="39" fillId="4" borderId="4" xfId="0" applyFont="1" applyFill="1" applyBorder="1" applyAlignment="1">
      <alignment horizontal="center"/>
    </xf>
    <xf numFmtId="37" fontId="28" fillId="0" borderId="4" xfId="0" applyNumberFormat="1" applyFont="1" applyFill="1" applyBorder="1" applyAlignment="1">
      <alignment horizontal="center"/>
    </xf>
    <xf numFmtId="2" fontId="48" fillId="0" borderId="4" xfId="0" applyNumberFormat="1" applyFont="1" applyBorder="1" applyAlignment="1">
      <alignment horizontal="center"/>
    </xf>
    <xf numFmtId="39" fontId="28" fillId="0" borderId="4" xfId="0" applyNumberFormat="1" applyFont="1" applyFill="1" applyBorder="1" applyAlignment="1">
      <alignment horizontal="center"/>
    </xf>
    <xf numFmtId="173" fontId="28" fillId="0" borderId="4" xfId="5" applyNumberFormat="1" applyFont="1" applyFill="1" applyBorder="1" applyAlignment="1">
      <alignment horizontal="center"/>
    </xf>
    <xf numFmtId="173" fontId="45" fillId="0" borderId="4" xfId="5" applyNumberFormat="1" applyFont="1" applyFill="1" applyBorder="1" applyAlignment="1">
      <alignment horizontal="center"/>
    </xf>
    <xf numFmtId="17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28" fillId="0" borderId="4" xfId="5" applyFont="1" applyBorder="1" applyAlignment="1">
      <alignment horizontal="center"/>
    </xf>
    <xf numFmtId="9" fontId="23" fillId="0" borderId="4" xfId="5" applyFont="1" applyFill="1" applyBorder="1" applyAlignment="1">
      <alignment horizontal="center"/>
    </xf>
    <xf numFmtId="9" fontId="28" fillId="0" borderId="4" xfId="5" applyFont="1" applyFill="1" applyBorder="1" applyAlignment="1">
      <alignment horizontal="center"/>
    </xf>
    <xf numFmtId="9" fontId="47" fillId="3" borderId="4" xfId="5" applyFont="1" applyFill="1" applyBorder="1" applyAlignment="1">
      <alignment horizontal="center"/>
    </xf>
    <xf numFmtId="9" fontId="28" fillId="0" borderId="15" xfId="5" applyFont="1" applyBorder="1" applyAlignment="1">
      <alignment horizontal="center"/>
    </xf>
    <xf numFmtId="38" fontId="28" fillId="0" borderId="15" xfId="0" applyNumberFormat="1" applyFont="1" applyBorder="1" applyAlignment="1">
      <alignment horizontal="center"/>
    </xf>
    <xf numFmtId="0" fontId="17" fillId="0" borderId="0" xfId="0" applyFont="1" applyFill="1"/>
    <xf numFmtId="164" fontId="55" fillId="0" borderId="20" xfId="5" applyNumberFormat="1" applyFont="1" applyFill="1" applyBorder="1" applyAlignment="1">
      <alignment horizontal="right"/>
    </xf>
    <xf numFmtId="37" fontId="3" fillId="0" borderId="12" xfId="4" applyFont="1" applyBorder="1" applyAlignment="1">
      <alignment horizontal="left"/>
    </xf>
    <xf numFmtId="0" fontId="30" fillId="0" borderId="0" xfId="0" applyFont="1" applyBorder="1" applyAlignment="1">
      <alignment horizontal="center"/>
    </xf>
    <xf numFmtId="2" fontId="28" fillId="7" borderId="0" xfId="0" applyNumberFormat="1" applyFont="1" applyFill="1"/>
    <xf numFmtId="187" fontId="60" fillId="0" borderId="0" xfId="0" applyNumberFormat="1" applyFont="1"/>
    <xf numFmtId="187" fontId="30" fillId="0" borderId="0" xfId="0" applyNumberFormat="1" applyFont="1"/>
    <xf numFmtId="187" fontId="30" fillId="0" borderId="0" xfId="0" applyNumberFormat="1" applyFont="1" applyBorder="1" applyAlignment="1">
      <alignment horizontal="right"/>
    </xf>
    <xf numFmtId="171" fontId="30" fillId="0" borderId="0" xfId="4" applyNumberFormat="1" applyFont="1" applyBorder="1" applyAlignment="1"/>
    <xf numFmtId="0" fontId="28" fillId="0" borderId="26" xfId="0" applyFont="1" applyBorder="1"/>
    <xf numFmtId="0" fontId="28" fillId="0" borderId="11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0" fontId="10" fillId="0" borderId="17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5" xfId="1" applyNumberFormat="1" applyFont="1" applyFill="1" applyBorder="1"/>
    <xf numFmtId="179" fontId="28" fillId="0" borderId="2" xfId="1" applyNumberFormat="1" applyFont="1" applyFill="1" applyBorder="1"/>
    <xf numFmtId="179" fontId="28" fillId="0" borderId="3" xfId="1" applyNumberFormat="1" applyFont="1" applyFill="1" applyBorder="1"/>
    <xf numFmtId="0" fontId="61" fillId="4" borderId="0" xfId="3" applyFont="1" applyFill="1" applyBorder="1"/>
    <xf numFmtId="0" fontId="0" fillId="0" borderId="4" xfId="0" applyBorder="1"/>
    <xf numFmtId="0" fontId="0" fillId="0" borderId="15" xfId="0" applyBorder="1"/>
    <xf numFmtId="0" fontId="10" fillId="0" borderId="0" xfId="0" applyFont="1" applyFill="1" applyBorder="1"/>
    <xf numFmtId="0" fontId="62" fillId="0" borderId="16" xfId="0" applyFont="1" applyBorder="1"/>
    <xf numFmtId="10" fontId="28" fillId="0" borderId="2" xfId="5" applyNumberFormat="1" applyFont="1" applyBorder="1"/>
    <xf numFmtId="10" fontId="28" fillId="0" borderId="0" xfId="5" applyNumberFormat="1" applyFont="1" applyBorder="1"/>
    <xf numFmtId="10" fontId="28" fillId="0" borderId="1" xfId="5" applyNumberFormat="1" applyFont="1" applyBorder="1"/>
    <xf numFmtId="0" fontId="28" fillId="0" borderId="15" xfId="0" applyFont="1" applyBorder="1"/>
    <xf numFmtId="166" fontId="0" fillId="0" borderId="0" xfId="1" applyNumberFormat="1" applyFont="1"/>
    <xf numFmtId="38" fontId="0" fillId="3" borderId="0" xfId="0" applyNumberFormat="1" applyFill="1"/>
    <xf numFmtId="38" fontId="0" fillId="3" borderId="11" xfId="0" applyNumberFormat="1" applyFill="1" applyBorder="1"/>
    <xf numFmtId="38" fontId="3" fillId="3" borderId="0" xfId="0" applyNumberFormat="1" applyFont="1" applyFill="1"/>
    <xf numFmtId="6" fontId="45" fillId="0" borderId="0" xfId="0" quotePrefix="1" applyNumberFormat="1" applyFont="1" applyBorder="1" applyAlignment="1">
      <alignment horizontal="center"/>
    </xf>
    <xf numFmtId="38" fontId="47" fillId="3" borderId="0" xfId="1" applyNumberFormat="1" applyFont="1" applyFill="1" applyBorder="1" applyAlignment="1">
      <alignment horizontal="center"/>
    </xf>
    <xf numFmtId="38" fontId="28" fillId="0" borderId="0" xfId="1" applyNumberFormat="1" applyFont="1" applyBorder="1" applyAlignment="1">
      <alignment horizontal="center"/>
    </xf>
    <xf numFmtId="38" fontId="23" fillId="0" borderId="0" xfId="1" applyNumberFormat="1" applyFont="1" applyBorder="1" applyAlignment="1" applyProtection="1">
      <alignment horizontal="center"/>
    </xf>
    <xf numFmtId="0" fontId="45" fillId="0" borderId="0" xfId="0" quotePrefix="1" applyFont="1" applyBorder="1" applyAlignment="1">
      <alignment horizontal="center"/>
    </xf>
    <xf numFmtId="38" fontId="57" fillId="3" borderId="0" xfId="1" applyNumberFormat="1" applyFont="1" applyFill="1" applyBorder="1" applyAlignment="1">
      <alignment horizontal="center"/>
    </xf>
    <xf numFmtId="38" fontId="28" fillId="0" borderId="0" xfId="1" applyNumberFormat="1" applyFont="1" applyFill="1" applyBorder="1" applyAlignment="1">
      <alignment horizontal="center"/>
    </xf>
    <xf numFmtId="38" fontId="10" fillId="0" borderId="0" xfId="1" applyNumberFormat="1" applyFont="1" applyFill="1" applyBorder="1" applyAlignment="1">
      <alignment horizontal="center"/>
    </xf>
    <xf numFmtId="38" fontId="23" fillId="0" borderId="1" xfId="1" applyNumberFormat="1" applyFont="1" applyFill="1" applyBorder="1" applyAlignment="1">
      <alignment horizontal="center"/>
    </xf>
    <xf numFmtId="38" fontId="59" fillId="0" borderId="4" xfId="1" applyNumberFormat="1" applyFont="1" applyFill="1" applyBorder="1" applyAlignment="1">
      <alignment horizontal="center"/>
    </xf>
    <xf numFmtId="0" fontId="30" fillId="0" borderId="4" xfId="0" applyFont="1" applyFill="1" applyBorder="1"/>
    <xf numFmtId="38" fontId="51" fillId="0" borderId="4" xfId="1" applyNumberFormat="1" applyFont="1" applyFill="1" applyBorder="1" applyAlignment="1">
      <alignment horizontal="center"/>
    </xf>
    <xf numFmtId="38" fontId="51" fillId="0" borderId="15" xfId="1" applyNumberFormat="1" applyFont="1" applyFill="1" applyBorder="1" applyAlignment="1">
      <alignment horizontal="center"/>
    </xf>
    <xf numFmtId="6" fontId="51" fillId="0" borderId="4" xfId="0" quotePrefix="1" applyNumberFormat="1" applyFont="1" applyBorder="1" applyAlignment="1">
      <alignment horizontal="center"/>
    </xf>
    <xf numFmtId="38" fontId="59" fillId="0" borderId="0" xfId="0" applyNumberFormat="1" applyFont="1"/>
    <xf numFmtId="38" fontId="47" fillId="3" borderId="0" xfId="0" applyNumberFormat="1" applyFont="1" applyFill="1" applyBorder="1" applyAlignment="1">
      <alignment horizontal="right"/>
    </xf>
    <xf numFmtId="38" fontId="47" fillId="3" borderId="0" xfId="0" applyNumberFormat="1" applyFont="1" applyFill="1" applyBorder="1"/>
    <xf numFmtId="40" fontId="47" fillId="3" borderId="0" xfId="0" applyNumberFormat="1" applyFont="1" applyFill="1" applyBorder="1"/>
    <xf numFmtId="9" fontId="47" fillId="3" borderId="0" xfId="5" applyFont="1" applyFill="1" applyBorder="1"/>
    <xf numFmtId="15" fontId="47" fillId="3" borderId="0" xfId="0" applyNumberFormat="1" applyFont="1" applyFill="1" applyBorder="1"/>
    <xf numFmtId="166" fontId="47" fillId="3" borderId="0" xfId="1" applyNumberFormat="1" applyFont="1" applyFill="1" applyBorder="1"/>
    <xf numFmtId="204" fontId="47" fillId="3" borderId="0" xfId="0" applyNumberFormat="1" applyFont="1" applyFill="1" applyBorder="1"/>
    <xf numFmtId="204" fontId="28" fillId="0" borderId="0" xfId="0" applyNumberFormat="1" applyFont="1" applyBorder="1"/>
    <xf numFmtId="40" fontId="54" fillId="0" borderId="0" xfId="0" applyNumberFormat="1" applyFont="1" applyFill="1" applyBorder="1"/>
    <xf numFmtId="38" fontId="54" fillId="0" borderId="0" xfId="0" applyNumberFormat="1" applyFont="1" applyBorder="1"/>
    <xf numFmtId="10" fontId="47" fillId="3" borderId="0" xfId="0" applyNumberFormat="1" applyFont="1" applyFill="1" applyBorder="1"/>
    <xf numFmtId="204" fontId="54" fillId="0" borderId="0" xfId="0" applyNumberFormat="1" applyFont="1" applyBorder="1"/>
    <xf numFmtId="10" fontId="47" fillId="3" borderId="0" xfId="5" applyNumberFormat="1" applyFont="1" applyFill="1" applyBorder="1"/>
    <xf numFmtId="1" fontId="47" fillId="3" borderId="0" xfId="0" applyNumberFormat="1" applyFont="1" applyFill="1" applyBorder="1"/>
    <xf numFmtId="38" fontId="47" fillId="3" borderId="1" xfId="0" applyNumberFormat="1" applyFont="1" applyFill="1" applyBorder="1"/>
    <xf numFmtId="38" fontId="28" fillId="0" borderId="15" xfId="0" applyNumberFormat="1" applyFont="1" applyBorder="1"/>
    <xf numFmtId="0" fontId="23" fillId="0" borderId="2" xfId="0" applyFont="1" applyBorder="1" applyAlignment="1">
      <alignment horizontal="centerContinuous"/>
    </xf>
    <xf numFmtId="38" fontId="28" fillId="0" borderId="3" xfId="0" applyNumberFormat="1" applyFont="1" applyBorder="1"/>
    <xf numFmtId="10" fontId="47" fillId="3" borderId="1" xfId="0" applyNumberFormat="1" applyFont="1" applyFill="1" applyBorder="1"/>
    <xf numFmtId="0" fontId="3" fillId="3" borderId="0" xfId="0" applyFont="1" applyFill="1" applyBorder="1"/>
    <xf numFmtId="38" fontId="59" fillId="0" borderId="4" xfId="0" applyNumberFormat="1" applyFont="1" applyBorder="1"/>
    <xf numFmtId="0" fontId="3" fillId="3" borderId="1" xfId="0" applyFont="1" applyFill="1" applyBorder="1"/>
    <xf numFmtId="43" fontId="63" fillId="3" borderId="4" xfId="1" applyFont="1" applyFill="1" applyBorder="1"/>
    <xf numFmtId="38" fontId="10" fillId="5" borderId="28" xfId="0" applyNumberFormat="1" applyFont="1" applyFill="1" applyBorder="1" applyAlignment="1">
      <alignment horizontal="center"/>
    </xf>
    <xf numFmtId="38" fontId="51" fillId="0" borderId="4" xfId="0" applyNumberFormat="1" applyFont="1" applyBorder="1" applyAlignment="1">
      <alignment horizontal="center"/>
    </xf>
    <xf numFmtId="9" fontId="47" fillId="3" borderId="1" xfId="5" applyFont="1" applyFill="1" applyBorder="1"/>
    <xf numFmtId="38" fontId="3" fillId="3" borderId="0" xfId="0" applyNumberFormat="1" applyFont="1" applyFill="1" applyBorder="1"/>
    <xf numFmtId="166" fontId="3" fillId="3" borderId="0" xfId="1" applyNumberFormat="1" applyFont="1" applyFill="1"/>
    <xf numFmtId="38" fontId="45" fillId="0" borderId="0" xfId="0" applyNumberFormat="1" applyFont="1" applyBorder="1" applyAlignment="1">
      <alignment horizontal="center"/>
    </xf>
    <xf numFmtId="38" fontId="59" fillId="3" borderId="4" xfId="0" applyNumberFormat="1" applyFont="1" applyFill="1" applyBorder="1"/>
    <xf numFmtId="38" fontId="59" fillId="3" borderId="15" xfId="0" applyNumberFormat="1" applyFont="1" applyFill="1" applyBorder="1"/>
    <xf numFmtId="166" fontId="3" fillId="3" borderId="0" xfId="0" applyNumberFormat="1" applyFont="1" applyFill="1"/>
    <xf numFmtId="166" fontId="17" fillId="3" borderId="0" xfId="1" applyNumberFormat="1" applyFont="1" applyFill="1"/>
    <xf numFmtId="38" fontId="28" fillId="0" borderId="2" xfId="0" applyNumberFormat="1" applyFont="1" applyBorder="1"/>
    <xf numFmtId="38" fontId="28" fillId="0" borderId="1" xfId="0" applyNumberFormat="1" applyFont="1" applyBorder="1"/>
    <xf numFmtId="179" fontId="19" fillId="0" borderId="21" xfId="0" applyNumberFormat="1" applyFont="1" applyBorder="1" applyAlignment="1">
      <alignment horizontal="right"/>
    </xf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974423D-CC8A-9BBF-F519-2E5530C25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3C46359-AFF9-3628-A021-C2BAA80C5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1CF980C-CEEC-D0D5-6BA4-BE8D24963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7957AAF-3452-8793-F19D-00B4AE91A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wnsvill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7" customWidth="1"/>
    <col min="2" max="2" width="25" style="17" customWidth="1"/>
    <col min="3" max="6" width="25.28515625" style="17" customWidth="1"/>
    <col min="7" max="7" width="11.5703125" style="17" bestFit="1" customWidth="1"/>
    <col min="8" max="8" width="17.85546875" style="17" bestFit="1" customWidth="1"/>
    <col min="9" max="15" width="9.140625" style="17"/>
    <col min="16" max="16" width="23.140625" style="17" customWidth="1"/>
    <col min="17" max="17" width="38.5703125" style="17" customWidth="1"/>
    <col min="18" max="18" width="11.5703125" style="17" customWidth="1"/>
    <col min="19" max="19" width="22.7109375" style="17" customWidth="1"/>
    <col min="20" max="16384" width="9.140625" style="17"/>
  </cols>
  <sheetData>
    <row r="2" spans="1:24" ht="18.75">
      <c r="A2" s="358" t="s">
        <v>0</v>
      </c>
      <c r="B2" s="253"/>
      <c r="C2" s="328"/>
      <c r="D2" s="328"/>
      <c r="E2" s="253"/>
      <c r="F2" s="253"/>
      <c r="G2" s="38"/>
      <c r="H2" s="38"/>
      <c r="I2" s="38"/>
      <c r="J2" s="63"/>
      <c r="K2" s="63"/>
      <c r="L2" s="63"/>
    </row>
    <row r="3" spans="1:24" ht="18.75">
      <c r="A3" s="157"/>
      <c r="B3" s="157"/>
      <c r="C3" s="157"/>
      <c r="D3" s="157"/>
      <c r="E3" s="157"/>
      <c r="F3" s="157"/>
      <c r="G3" s="157"/>
      <c r="H3" s="157"/>
      <c r="I3" s="157"/>
    </row>
    <row r="4" spans="1:24" ht="20.25">
      <c r="B4" s="315"/>
      <c r="C4" s="315"/>
      <c r="D4" s="315"/>
      <c r="E4" s="315"/>
    </row>
    <row r="5" spans="1:24" ht="15.75">
      <c r="A5" s="329"/>
      <c r="B5" s="329"/>
      <c r="C5" s="329"/>
      <c r="D5" s="329"/>
      <c r="T5" s="63"/>
      <c r="U5" s="63"/>
    </row>
    <row r="6" spans="1:24" ht="15.75">
      <c r="A6" s="330" t="s">
        <v>1</v>
      </c>
      <c r="B6" s="330"/>
      <c r="C6" s="330"/>
      <c r="D6" s="330"/>
      <c r="E6" s="38"/>
      <c r="F6" s="63"/>
      <c r="G6" s="63"/>
      <c r="H6" s="63"/>
      <c r="I6" s="63"/>
      <c r="J6" s="63"/>
      <c r="K6" s="63"/>
      <c r="L6" s="63"/>
      <c r="M6" s="63"/>
      <c r="N6" s="63"/>
      <c r="T6" s="63"/>
      <c r="U6" s="63"/>
      <c r="V6" s="63"/>
      <c r="W6" s="63"/>
      <c r="X6" s="63"/>
    </row>
    <row r="7" spans="1:24" ht="15.75">
      <c r="A7" s="329" t="s">
        <v>2</v>
      </c>
      <c r="B7" s="330"/>
      <c r="C7" s="330"/>
      <c r="D7" s="330"/>
      <c r="E7" s="38"/>
      <c r="F7" s="63"/>
      <c r="G7" s="63"/>
      <c r="H7" s="63"/>
      <c r="I7" s="63"/>
      <c r="J7" s="63"/>
      <c r="K7" s="63"/>
      <c r="L7" s="63"/>
      <c r="M7" s="63"/>
      <c r="N7" s="63"/>
      <c r="T7" s="63"/>
      <c r="U7" s="63"/>
      <c r="V7" s="63"/>
      <c r="W7" s="63"/>
      <c r="X7" s="63"/>
    </row>
    <row r="8" spans="1:24" ht="15.75">
      <c r="A8" s="330"/>
      <c r="B8" s="330"/>
      <c r="C8" s="330"/>
      <c r="D8" s="330"/>
      <c r="E8" s="38"/>
      <c r="F8" s="63"/>
      <c r="G8" s="63"/>
      <c r="H8" s="63"/>
      <c r="I8" s="63"/>
      <c r="J8" s="63"/>
      <c r="K8" s="63"/>
      <c r="L8" s="63"/>
      <c r="M8" s="63"/>
      <c r="N8" s="63"/>
      <c r="T8" s="63"/>
      <c r="U8" s="63"/>
      <c r="V8" s="63"/>
      <c r="W8" s="63"/>
      <c r="X8" s="63"/>
    </row>
    <row r="9" spans="1:24" ht="15.75">
      <c r="A9" s="330" t="s">
        <v>3</v>
      </c>
      <c r="B9" s="330"/>
      <c r="C9" s="330"/>
      <c r="D9" s="330"/>
      <c r="E9" s="38"/>
      <c r="F9" s="63"/>
      <c r="G9" s="63"/>
      <c r="H9" s="63"/>
      <c r="I9" s="63"/>
      <c r="J9" s="63"/>
      <c r="K9" s="63"/>
      <c r="L9" s="63"/>
      <c r="M9" s="63"/>
      <c r="N9" s="63"/>
      <c r="T9" s="63"/>
      <c r="U9" s="63"/>
      <c r="V9" s="63"/>
      <c r="W9" s="63"/>
      <c r="X9" s="63"/>
    </row>
    <row r="10" spans="1:24" ht="15.75">
      <c r="A10" s="330"/>
      <c r="B10" s="330"/>
      <c r="C10" s="330"/>
      <c r="D10" s="330"/>
      <c r="E10" s="38"/>
      <c r="F10" s="63"/>
      <c r="G10" s="63"/>
      <c r="H10" s="63"/>
      <c r="I10" s="63"/>
      <c r="J10" s="63"/>
      <c r="K10" s="63"/>
      <c r="L10" s="63"/>
      <c r="M10" s="63"/>
      <c r="N10" s="63"/>
      <c r="T10" s="63"/>
      <c r="U10" s="63"/>
      <c r="V10" s="63"/>
      <c r="W10" s="63"/>
      <c r="X10" s="63"/>
    </row>
    <row r="11" spans="1:24" ht="15.75">
      <c r="A11" s="330" t="s">
        <v>4</v>
      </c>
      <c r="B11" s="330"/>
      <c r="C11" s="330"/>
      <c r="D11" s="330"/>
      <c r="E11" s="38"/>
      <c r="F11" s="63"/>
      <c r="G11" s="63"/>
      <c r="H11" s="63"/>
      <c r="I11" s="63"/>
      <c r="J11" s="63"/>
      <c r="K11" s="63"/>
      <c r="L11" s="63"/>
      <c r="M11" s="63"/>
      <c r="N11" s="63"/>
      <c r="T11" s="63"/>
      <c r="U11" s="63"/>
      <c r="V11" s="63"/>
      <c r="W11" s="63"/>
      <c r="X11" s="63"/>
    </row>
    <row r="12" spans="1:24" ht="15.75">
      <c r="A12" s="330"/>
      <c r="B12" s="330"/>
      <c r="C12" s="330"/>
      <c r="D12" s="330"/>
      <c r="E12" s="38"/>
      <c r="F12" s="63"/>
      <c r="G12" s="63"/>
      <c r="H12" s="63"/>
      <c r="I12" s="63"/>
      <c r="J12" s="63"/>
      <c r="K12" s="63"/>
      <c r="L12" s="63"/>
      <c r="M12" s="63"/>
      <c r="N12" s="63"/>
      <c r="T12" s="63"/>
      <c r="U12" s="63"/>
      <c r="V12" s="63"/>
      <c r="W12" s="63"/>
      <c r="X12" s="63"/>
    </row>
    <row r="13" spans="1:24" ht="16.5" thickBot="1">
      <c r="A13" s="330" t="s">
        <v>5</v>
      </c>
      <c r="B13" s="330"/>
      <c r="C13" s="330"/>
      <c r="D13" s="330"/>
      <c r="E13" s="38"/>
      <c r="F13" s="63"/>
      <c r="G13" s="63"/>
      <c r="H13" s="63"/>
      <c r="I13" s="63"/>
      <c r="J13" s="63"/>
      <c r="K13" s="63"/>
      <c r="L13" s="63"/>
      <c r="M13" s="63"/>
      <c r="N13" s="63"/>
      <c r="T13" s="63"/>
      <c r="U13" s="63"/>
      <c r="V13" s="63"/>
      <c r="W13" s="63"/>
      <c r="X13" s="63"/>
    </row>
    <row r="14" spans="1:24" ht="15.75">
      <c r="A14" s="333" t="s">
        <v>10</v>
      </c>
      <c r="B14" s="53"/>
      <c r="C14" s="226"/>
      <c r="D14" s="226"/>
      <c r="E14" s="227"/>
      <c r="G14" s="63"/>
      <c r="H14"/>
      <c r="I14"/>
      <c r="J14"/>
      <c r="K1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ht="15.75">
      <c r="A15" s="203"/>
      <c r="B15" s="198"/>
      <c r="C15" s="198"/>
      <c r="D15" s="198"/>
      <c r="E15" s="204"/>
      <c r="G15" s="63"/>
      <c r="H15"/>
      <c r="I15"/>
      <c r="J15"/>
      <c r="K15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ht="15.75">
      <c r="A16" s="334" t="s">
        <v>11</v>
      </c>
      <c r="B16" s="197" t="s">
        <v>12</v>
      </c>
      <c r="C16" s="197" t="s">
        <v>190</v>
      </c>
      <c r="D16" s="197" t="s">
        <v>4</v>
      </c>
      <c r="E16" s="360" t="s">
        <v>13</v>
      </c>
      <c r="G16" s="63"/>
      <c r="H16"/>
      <c r="I16"/>
      <c r="J16"/>
      <c r="K16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ht="15.75">
      <c r="A17" s="203"/>
      <c r="B17" s="198">
        <v>3</v>
      </c>
      <c r="C17" s="335">
        <v>1</v>
      </c>
      <c r="D17" s="198">
        <v>2</v>
      </c>
      <c r="E17" s="204">
        <v>1</v>
      </c>
      <c r="G17" s="63"/>
      <c r="H17"/>
      <c r="I17"/>
      <c r="J17"/>
      <c r="K17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ht="15.75">
      <c r="A18" s="203"/>
      <c r="B18" s="198"/>
      <c r="C18" s="335"/>
      <c r="D18" s="198"/>
      <c r="E18" s="204"/>
      <c r="G18" s="63"/>
      <c r="H18"/>
      <c r="I18"/>
      <c r="J18"/>
      <c r="K18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 ht="15.75">
      <c r="A19" s="203">
        <v>1</v>
      </c>
      <c r="B19" s="336">
        <v>0</v>
      </c>
      <c r="C19" s="337">
        <v>1</v>
      </c>
      <c r="D19" s="198">
        <v>0</v>
      </c>
      <c r="E19" s="338" t="s">
        <v>14</v>
      </c>
      <c r="G19" s="63"/>
      <c r="H19"/>
      <c r="I19"/>
      <c r="J19"/>
      <c r="K19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 ht="15.75">
      <c r="A20" s="203">
        <v>2</v>
      </c>
      <c r="B20" s="336">
        <v>1.4999999999999999E-2</v>
      </c>
      <c r="C20" s="337">
        <v>1.1000000000000001</v>
      </c>
      <c r="D20" s="198">
        <v>120</v>
      </c>
      <c r="E20" s="338" t="s">
        <v>15</v>
      </c>
      <c r="G20" s="63"/>
      <c r="H20"/>
      <c r="I20"/>
      <c r="J20"/>
      <c r="K20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 ht="15.75">
      <c r="A21" s="203">
        <v>3</v>
      </c>
      <c r="B21" s="336">
        <v>0.03</v>
      </c>
      <c r="C21" s="198"/>
      <c r="D21" s="198"/>
      <c r="E21" s="338" t="s">
        <v>16</v>
      </c>
      <c r="G21" s="63"/>
      <c r="H21"/>
      <c r="I21"/>
      <c r="J21"/>
      <c r="K21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 ht="15.75">
      <c r="A22" s="203">
        <v>4</v>
      </c>
      <c r="B22" s="336">
        <v>4.4999999999999998E-2</v>
      </c>
      <c r="C22" s="198"/>
      <c r="D22" s="198"/>
      <c r="E22" s="338"/>
      <c r="G22" s="63"/>
      <c r="H22"/>
      <c r="I22"/>
      <c r="J22"/>
      <c r="K22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pans="1:24" ht="16.5" thickBot="1">
      <c r="A23" s="339" t="s">
        <v>17</v>
      </c>
      <c r="B23" s="340">
        <f>INDEX(B19:B22,B17)</f>
        <v>0.03</v>
      </c>
      <c r="C23" s="341">
        <f>INDEX(C19:C22,C17)</f>
        <v>1</v>
      </c>
      <c r="D23" s="342">
        <f>INDEX(D19:D22,D17)</f>
        <v>120</v>
      </c>
      <c r="E23" s="343" t="str">
        <f>INDEX(E19:E22,E17)</f>
        <v>Base</v>
      </c>
      <c r="G23" s="63"/>
      <c r="H23"/>
      <c r="I23"/>
      <c r="J23"/>
      <c r="K2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ht="15.75">
      <c r="A24" s="120"/>
      <c r="B24" s="120"/>
      <c r="C24" s="120"/>
      <c r="D24" s="120"/>
      <c r="E24" s="63"/>
      <c r="F24" s="63"/>
      <c r="G24" s="63"/>
      <c r="H24" s="63"/>
      <c r="I24" s="63"/>
      <c r="J24" s="63"/>
      <c r="K24" s="63"/>
      <c r="L24" s="63"/>
      <c r="M24" s="63"/>
      <c r="N24" s="63"/>
      <c r="T24" s="63"/>
      <c r="U24" s="63"/>
      <c r="V24" s="63"/>
      <c r="W24" s="63"/>
      <c r="X24" s="63"/>
    </row>
    <row r="25" spans="1:24" ht="16.5" thickBot="1">
      <c r="A25" s="120"/>
      <c r="B25" s="120"/>
      <c r="C25" s="120"/>
      <c r="D25" s="120"/>
      <c r="E25" s="63"/>
      <c r="F25" s="63"/>
      <c r="G25" s="63"/>
      <c r="H25" s="63"/>
      <c r="I25" s="63"/>
      <c r="J25" s="63"/>
      <c r="K25" s="63"/>
      <c r="L25" s="63"/>
      <c r="M25" s="63"/>
      <c r="N25" s="63"/>
      <c r="T25" s="63"/>
      <c r="U25" s="63"/>
      <c r="V25" s="63"/>
      <c r="W25" s="63"/>
      <c r="X25" s="63"/>
    </row>
    <row r="26" spans="1:24" ht="20.25">
      <c r="A26" s="366"/>
      <c r="B26" s="53"/>
      <c r="C26" s="367" t="s">
        <v>191</v>
      </c>
      <c r="D26" s="361" t="s">
        <v>6</v>
      </c>
      <c r="E26" s="362"/>
      <c r="F26" s="332"/>
      <c r="G26" s="332"/>
      <c r="H26" s="63"/>
      <c r="I26" s="63"/>
      <c r="J26" s="63"/>
      <c r="K26" s="63"/>
      <c r="L26" s="63"/>
      <c r="M26" s="63"/>
      <c r="N26" s="63"/>
      <c r="T26" s="63"/>
      <c r="U26" s="63"/>
      <c r="V26" s="63"/>
      <c r="W26" s="63"/>
      <c r="X26" s="63"/>
    </row>
    <row r="27" spans="1:24" ht="16.5" thickBot="1">
      <c r="A27" s="205"/>
      <c r="B27" s="58"/>
      <c r="C27" s="363" t="s">
        <v>7</v>
      </c>
      <c r="D27" s="363" t="s">
        <v>8</v>
      </c>
      <c r="E27" s="364" t="s">
        <v>9</v>
      </c>
      <c r="F27" s="18"/>
      <c r="G27" s="18"/>
      <c r="H27"/>
      <c r="I27"/>
      <c r="J27"/>
      <c r="K27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pans="1:24" ht="16.5" thickBot="1">
      <c r="A28" s="368" t="s">
        <v>175</v>
      </c>
      <c r="B28" s="369"/>
      <c r="C28" s="370" t="e">
        <f>CF!#REF!</f>
        <v>#REF!</v>
      </c>
      <c r="D28" s="371">
        <f>Debt!J97</f>
        <v>0</v>
      </c>
      <c r="E28" s="372">
        <f>Debt!J96</f>
        <v>0</v>
      </c>
      <c r="F28" s="18"/>
      <c r="G28" s="18"/>
      <c r="H28"/>
      <c r="I28"/>
      <c r="J28"/>
      <c r="K28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spans="1:24" ht="15.75">
      <c r="H29"/>
      <c r="I29"/>
      <c r="J29"/>
      <c r="K29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spans="1:24" ht="15.75">
      <c r="A30"/>
      <c r="B30"/>
      <c r="C30"/>
      <c r="D30"/>
      <c r="E30"/>
      <c r="H30"/>
      <c r="I30"/>
      <c r="J30"/>
      <c r="K30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spans="1:24" ht="13.5" thickBot="1">
      <c r="A31"/>
      <c r="B31"/>
      <c r="C31"/>
      <c r="D31"/>
      <c r="E31"/>
    </row>
    <row r="32" spans="1:24" ht="15.75">
      <c r="A32" s="397" t="s">
        <v>210</v>
      </c>
      <c r="B32" s="53"/>
      <c r="C32" s="367" t="s">
        <v>191</v>
      </c>
      <c r="D32" s="361" t="s">
        <v>6</v>
      </c>
      <c r="E32" s="362"/>
    </row>
    <row r="33" spans="1:5" ht="16.5" thickBot="1">
      <c r="A33" s="262" t="s">
        <v>192</v>
      </c>
      <c r="B33" s="331" t="s">
        <v>193</v>
      </c>
      <c r="C33" s="331" t="s">
        <v>7</v>
      </c>
      <c r="D33" s="331" t="s">
        <v>8</v>
      </c>
      <c r="E33" s="365" t="s">
        <v>9</v>
      </c>
    </row>
    <row r="34" spans="1:5" ht="15.75">
      <c r="A34" s="373"/>
      <c r="B34" s="53"/>
      <c r="C34" s="374"/>
      <c r="D34" s="375"/>
      <c r="E34" s="376"/>
    </row>
    <row r="35" spans="1:5">
      <c r="A35" s="56"/>
      <c r="B35" s="18"/>
      <c r="C35" s="18"/>
      <c r="D35" s="18"/>
      <c r="E35" s="55"/>
    </row>
    <row r="36" spans="1:5">
      <c r="A36" s="56"/>
      <c r="B36" s="18"/>
      <c r="C36" s="18"/>
      <c r="D36" s="18"/>
      <c r="E36" s="55"/>
    </row>
    <row r="37" spans="1:5">
      <c r="A37" s="56"/>
      <c r="B37" s="18"/>
      <c r="C37" s="18"/>
      <c r="D37" s="18"/>
      <c r="E37" s="55"/>
    </row>
    <row r="38" spans="1:5" ht="13.5" thickBot="1">
      <c r="A38" s="377"/>
      <c r="B38" s="58"/>
      <c r="C38" s="58"/>
      <c r="D38" s="58"/>
      <c r="E38" s="144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9"/>
  <sheetViews>
    <sheetView tabSelected="1" zoomScale="75" zoomScaleNormal="75" workbookViewId="0">
      <selection activeCell="B26" sqref="B26"/>
    </sheetView>
  </sheetViews>
  <sheetFormatPr defaultColWidth="9.28515625" defaultRowHeight="12.75"/>
  <cols>
    <col min="1" max="1" width="63.85546875" style="17" bestFit="1" customWidth="1"/>
    <col min="2" max="6" width="24.5703125" style="17" customWidth="1"/>
    <col min="7" max="16384" width="9.28515625" style="17"/>
  </cols>
  <sheetData>
    <row r="2" spans="1:5" ht="18.75">
      <c r="A2" s="157" t="str">
        <f>Assumptions!A3</f>
        <v>PROJECT NAME:</v>
      </c>
    </row>
    <row r="4" spans="1:5" ht="18.75">
      <c r="A4" s="470" t="s">
        <v>306</v>
      </c>
    </row>
    <row r="6" spans="1:5" ht="13.5" thickBot="1"/>
    <row r="7" spans="1:5" ht="21" thickBot="1">
      <c r="A7" s="366"/>
      <c r="B7" s="367" t="s">
        <v>279</v>
      </c>
      <c r="C7" s="367" t="s">
        <v>279</v>
      </c>
      <c r="D7" s="229" t="s">
        <v>6</v>
      </c>
      <c r="E7" s="230"/>
    </row>
    <row r="8" spans="1:5" ht="16.5" thickBot="1">
      <c r="A8" s="203"/>
      <c r="B8" s="331" t="s">
        <v>319</v>
      </c>
      <c r="C8" s="331" t="s">
        <v>321</v>
      </c>
      <c r="D8" s="229" t="s">
        <v>303</v>
      </c>
      <c r="E8" s="230"/>
    </row>
    <row r="9" spans="1:5" ht="15.75">
      <c r="A9" s="459"/>
      <c r="B9" s="460" t="s">
        <v>320</v>
      </c>
      <c r="C9" s="460" t="s">
        <v>320</v>
      </c>
      <c r="D9" s="460" t="s">
        <v>8</v>
      </c>
      <c r="E9" s="461" t="s">
        <v>304</v>
      </c>
    </row>
    <row r="10" spans="1:5" ht="16.5" thickBot="1">
      <c r="A10" s="464" t="s">
        <v>305</v>
      </c>
      <c r="B10" s="465">
        <f>Assumptions!C84</f>
        <v>0.26886137127876286</v>
      </c>
      <c r="C10" s="465">
        <f>Assumptions!C85</f>
        <v>0.26886137127876286</v>
      </c>
      <c r="D10" s="466">
        <v>1.2888963749231688</v>
      </c>
      <c r="E10" s="467">
        <v>1.3927921351860328</v>
      </c>
    </row>
    <row r="11" spans="1:5" ht="15.75">
      <c r="A11" s="473"/>
      <c r="C11" s="462"/>
      <c r="D11" s="463"/>
      <c r="E11" s="463"/>
    </row>
    <row r="12" spans="1:5" ht="13.5" thickBot="1"/>
    <row r="13" spans="1:5" ht="15.75">
      <c r="A13" s="474" t="s">
        <v>307</v>
      </c>
      <c r="B13" s="475">
        <v>0.26886137127876286</v>
      </c>
      <c r="C13" s="475">
        <v>0.26886137127876286</v>
      </c>
      <c r="D13" s="468">
        <v>1.2888963749231688</v>
      </c>
      <c r="E13" s="469">
        <v>1.3927921351860328</v>
      </c>
    </row>
    <row r="14" spans="1:5" ht="15.75">
      <c r="A14" s="56"/>
      <c r="B14" s="18"/>
      <c r="C14" s="476"/>
      <c r="D14" s="198"/>
      <c r="E14" s="204"/>
    </row>
    <row r="15" spans="1:5" ht="15.75">
      <c r="A15" s="56"/>
      <c r="B15" s="18"/>
      <c r="C15" s="476"/>
      <c r="D15" s="198"/>
      <c r="E15" s="204"/>
    </row>
    <row r="16" spans="1:5" ht="15.75">
      <c r="A16" s="56"/>
      <c r="B16" s="18"/>
      <c r="C16" s="476"/>
      <c r="D16" s="198"/>
      <c r="E16" s="204"/>
    </row>
    <row r="17" spans="1:5" ht="15.75">
      <c r="A17" s="56"/>
      <c r="B17" s="18"/>
      <c r="C17" s="476"/>
      <c r="D17" s="198"/>
      <c r="E17" s="204"/>
    </row>
    <row r="18" spans="1:5" ht="15.75">
      <c r="A18" s="56"/>
      <c r="B18" s="18"/>
      <c r="C18" s="476"/>
      <c r="D18" s="198"/>
      <c r="E18" s="204"/>
    </row>
    <row r="19" spans="1:5" ht="16.5" thickBot="1">
      <c r="A19" s="377"/>
      <c r="B19" s="58"/>
      <c r="C19" s="477"/>
      <c r="D19" s="206"/>
      <c r="E19" s="478"/>
    </row>
  </sheetData>
  <pageMargins left="0.75" right="0.75" top="1" bottom="1" header="0.5" footer="0.5"/>
  <pageSetup scale="76" orientation="landscape" horizontalDpi="0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0"/>
  <sheetViews>
    <sheetView view="pageBreakPreview" topLeftCell="C9" zoomScale="60" zoomScaleNormal="75" workbookViewId="0"/>
  </sheetViews>
  <sheetFormatPr defaultRowHeight="12.75"/>
  <cols>
    <col min="1" max="1" width="52.7109375" style="17" customWidth="1"/>
    <col min="2" max="2" width="20.140625" style="17" customWidth="1"/>
    <col min="3" max="3" width="20.7109375" style="17" bestFit="1" customWidth="1"/>
    <col min="4" max="4" width="17.85546875" style="17" customWidth="1"/>
    <col min="5" max="5" width="20.140625" style="17" customWidth="1"/>
    <col min="6" max="6" width="10.140625" style="17" customWidth="1"/>
    <col min="7" max="7" width="14.140625" style="17" customWidth="1"/>
    <col min="8" max="8" width="40.140625" style="17" customWidth="1"/>
    <col min="9" max="9" width="14.42578125" style="17" customWidth="1"/>
    <col min="10" max="10" width="12" style="17" customWidth="1"/>
    <col min="11" max="11" width="11.42578125" style="17" customWidth="1"/>
    <col min="12" max="12" width="22.42578125" style="17" customWidth="1"/>
    <col min="13" max="13" width="19" style="17" customWidth="1"/>
    <col min="14" max="14" width="10.28515625" style="17" customWidth="1"/>
    <col min="15" max="26" width="12.85546875" style="17" customWidth="1"/>
    <col min="27" max="34" width="12" style="17" customWidth="1"/>
    <col min="35" max="35" width="9.140625" style="17"/>
    <col min="36" max="38" width="10" style="17" customWidth="1"/>
    <col min="39" max="39" width="12" style="17" customWidth="1"/>
    <col min="40" max="40" width="17.5703125" style="17" customWidth="1"/>
    <col min="41" max="41" width="22.42578125" style="17" customWidth="1"/>
    <col min="42" max="42" width="19" style="17" customWidth="1"/>
    <col min="43" max="43" width="10.28515625" style="17" customWidth="1"/>
    <col min="44" max="63" width="13.140625" style="17" customWidth="1"/>
    <col min="64" max="64" width="9.140625" style="17"/>
    <col min="65" max="74" width="10" style="17" customWidth="1"/>
    <col min="75" max="75" width="9.140625" style="17"/>
    <col min="76" max="81" width="10" style="17" customWidth="1"/>
    <col min="82" max="82" width="9.140625" style="17"/>
    <col min="83" max="88" width="10" style="17" customWidth="1"/>
    <col min="89" max="16384" width="9.140625" style="17"/>
  </cols>
  <sheetData>
    <row r="1" spans="1:39" ht="25.5" hidden="1">
      <c r="A1" s="351" t="s">
        <v>176</v>
      </c>
      <c r="J1" s="143"/>
      <c r="AM1" s="143"/>
    </row>
    <row r="2" spans="1:39" ht="13.5" customHeight="1">
      <c r="A2" s="351"/>
      <c r="J2" s="143"/>
      <c r="AM2" s="143"/>
    </row>
    <row r="3" spans="1:39" ht="19.5" customHeight="1">
      <c r="A3" s="406" t="s">
        <v>238</v>
      </c>
      <c r="J3" s="143"/>
      <c r="AM3" s="143"/>
    </row>
    <row r="4" spans="1:39" s="6" customFormat="1" ht="19.5" customHeight="1">
      <c r="A4" s="403"/>
      <c r="J4" s="404"/>
      <c r="AM4" s="404"/>
    </row>
    <row r="5" spans="1:39" ht="19.5" customHeight="1">
      <c r="A5" s="358" t="s">
        <v>18</v>
      </c>
      <c r="B5" s="6"/>
      <c r="C5" s="6"/>
      <c r="D5" s="6"/>
    </row>
    <row r="7" spans="1:39" ht="13.5" thickBot="1"/>
    <row r="8" spans="1:39" ht="15.75">
      <c r="A8" s="191" t="s">
        <v>19</v>
      </c>
      <c r="B8" s="53"/>
      <c r="C8" s="53"/>
      <c r="D8" s="193"/>
      <c r="E8" s="431"/>
      <c r="F8" s="18"/>
      <c r="G8" s="190" t="s">
        <v>213</v>
      </c>
      <c r="H8" s="217"/>
      <c r="I8" s="218"/>
      <c r="J8" s="359"/>
      <c r="L8" s="190" t="s">
        <v>48</v>
      </c>
      <c r="M8" s="217"/>
      <c r="N8" s="218"/>
      <c r="O8" s="218"/>
      <c r="P8" s="227"/>
    </row>
    <row r="9" spans="1:39" ht="15.75">
      <c r="A9" s="56"/>
      <c r="B9" s="18"/>
      <c r="C9" s="18"/>
      <c r="D9" s="18"/>
      <c r="E9" s="55"/>
      <c r="F9" s="18"/>
      <c r="G9" s="221"/>
      <c r="H9" s="398"/>
      <c r="I9" s="398"/>
      <c r="J9" s="55"/>
      <c r="L9" s="56"/>
      <c r="M9" s="18"/>
      <c r="N9" s="357"/>
      <c r="O9" s="18"/>
      <c r="P9" s="55"/>
    </row>
    <row r="10" spans="1:39" ht="15.75">
      <c r="A10" s="196" t="s">
        <v>21</v>
      </c>
      <c r="B10" s="18"/>
      <c r="C10" s="197" t="s">
        <v>22</v>
      </c>
      <c r="D10" s="483" t="s">
        <v>23</v>
      </c>
      <c r="E10" s="496" t="s">
        <v>309</v>
      </c>
      <c r="F10" s="18"/>
      <c r="G10" s="221" t="s">
        <v>261</v>
      </c>
      <c r="H10" s="18"/>
      <c r="I10" s="498" t="s">
        <v>287</v>
      </c>
      <c r="J10" s="55"/>
      <c r="L10" s="203"/>
      <c r="M10" s="398" t="s">
        <v>50</v>
      </c>
      <c r="N10" s="304" t="s">
        <v>51</v>
      </c>
      <c r="O10" s="304" t="s">
        <v>52</v>
      </c>
      <c r="P10" s="360" t="s">
        <v>53</v>
      </c>
    </row>
    <row r="11" spans="1:39" ht="15.75">
      <c r="A11" s="199" t="s">
        <v>24</v>
      </c>
      <c r="B11" s="18"/>
      <c r="C11" s="313">
        <f>D11/$D$14</f>
        <v>0.23573874028796099</v>
      </c>
      <c r="D11" s="484">
        <v>30159</v>
      </c>
      <c r="E11" s="492">
        <f>D11/$I$12</f>
        <v>263.39737991266378</v>
      </c>
      <c r="F11" s="18"/>
      <c r="G11" s="221" t="s">
        <v>26</v>
      </c>
      <c r="H11" s="398"/>
      <c r="I11" s="499">
        <v>4</v>
      </c>
      <c r="J11" s="402"/>
      <c r="L11" s="219" t="s">
        <v>54</v>
      </c>
      <c r="M11" s="220"/>
      <c r="N11" s="220"/>
      <c r="O11" s="220"/>
      <c r="P11" s="204"/>
    </row>
    <row r="12" spans="1:39" ht="15.75">
      <c r="A12" s="199" t="s">
        <v>188</v>
      </c>
      <c r="B12" s="18"/>
      <c r="C12" s="314">
        <f>D12/D14</f>
        <v>0.76426125971203906</v>
      </c>
      <c r="D12" s="485">
        <f>Assumptions!B51+Assumptions!C51+Assumptions!D51</f>
        <v>97775</v>
      </c>
      <c r="E12" s="492">
        <f>D12/$I$12</f>
        <v>853.93013100436679</v>
      </c>
      <c r="F12" s="18"/>
      <c r="G12" s="221" t="s">
        <v>214</v>
      </c>
      <c r="H12" s="398"/>
      <c r="I12" s="500">
        <v>114.5</v>
      </c>
      <c r="J12" s="402"/>
      <c r="L12" s="221" t="s">
        <v>55</v>
      </c>
      <c r="M12" s="306">
        <f>D18</f>
        <v>0</v>
      </c>
      <c r="N12" s="300">
        <v>15</v>
      </c>
      <c r="O12" s="391" t="s">
        <v>56</v>
      </c>
      <c r="P12" s="444">
        <v>0</v>
      </c>
    </row>
    <row r="13" spans="1:39" ht="15.75">
      <c r="A13" s="201"/>
      <c r="B13" s="18"/>
      <c r="C13" s="200"/>
      <c r="D13" s="485"/>
      <c r="E13" s="492"/>
      <c r="F13" s="18"/>
      <c r="G13" s="221" t="s">
        <v>215</v>
      </c>
      <c r="H13" s="398"/>
      <c r="I13" s="499">
        <v>11411</v>
      </c>
      <c r="J13" s="402"/>
      <c r="L13" s="221" t="s">
        <v>57</v>
      </c>
      <c r="M13" s="306">
        <f>D31</f>
        <v>122076.76499999998</v>
      </c>
      <c r="N13" s="300">
        <v>20</v>
      </c>
      <c r="O13" s="391" t="s">
        <v>58</v>
      </c>
      <c r="P13" s="444">
        <v>0</v>
      </c>
    </row>
    <row r="14" spans="1:39" ht="15.75">
      <c r="A14" s="202" t="s">
        <v>25</v>
      </c>
      <c r="B14" s="18"/>
      <c r="C14" s="305">
        <f>D14/$D$14</f>
        <v>1</v>
      </c>
      <c r="D14" s="486">
        <f>SUM(D11:D12)</f>
        <v>127934</v>
      </c>
      <c r="E14" s="494">
        <f>D14/$I$12</f>
        <v>1117.3275109170306</v>
      </c>
      <c r="F14" s="18"/>
      <c r="G14" s="221" t="s">
        <v>29</v>
      </c>
      <c r="H14" s="398"/>
      <c r="I14" s="499">
        <v>1200</v>
      </c>
      <c r="J14" s="402"/>
      <c r="L14" s="221"/>
      <c r="M14" s="307"/>
      <c r="N14" s="222"/>
      <c r="O14" s="222"/>
      <c r="P14" s="445"/>
    </row>
    <row r="15" spans="1:39" ht="15.75">
      <c r="A15" s="56"/>
      <c r="B15" s="18"/>
      <c r="C15" s="18"/>
      <c r="D15" s="18"/>
      <c r="E15" s="493"/>
      <c r="F15" s="18"/>
      <c r="G15" s="221" t="s">
        <v>216</v>
      </c>
      <c r="H15" s="398"/>
      <c r="I15" s="501">
        <v>1</v>
      </c>
      <c r="J15" s="402"/>
      <c r="L15" s="219" t="s">
        <v>60</v>
      </c>
      <c r="M15" s="307"/>
      <c r="N15" s="223"/>
      <c r="O15" s="222"/>
      <c r="P15" s="446"/>
    </row>
    <row r="16" spans="1:39" ht="15.75">
      <c r="A16" s="56"/>
      <c r="B16" s="18"/>
      <c r="C16" s="18"/>
      <c r="D16" s="18"/>
      <c r="E16" s="493"/>
      <c r="F16" s="18"/>
      <c r="G16" s="221" t="s">
        <v>217</v>
      </c>
      <c r="H16" s="398"/>
      <c r="I16" s="502">
        <v>36525</v>
      </c>
      <c r="J16" s="402"/>
      <c r="L16" s="221" t="s">
        <v>55</v>
      </c>
      <c r="M16" s="306">
        <f>D18</f>
        <v>0</v>
      </c>
      <c r="N16" s="300">
        <v>30</v>
      </c>
      <c r="O16" s="391" t="s">
        <v>58</v>
      </c>
      <c r="P16" s="447">
        <v>0.1</v>
      </c>
    </row>
    <row r="17" spans="1:21" ht="16.5" thickBot="1">
      <c r="A17" s="196" t="s">
        <v>257</v>
      </c>
      <c r="B17" s="18"/>
      <c r="C17" s="197"/>
      <c r="D17" s="487"/>
      <c r="E17" s="492"/>
      <c r="F17" s="18"/>
      <c r="G17" s="203" t="s">
        <v>185</v>
      </c>
      <c r="H17" s="198"/>
      <c r="I17" s="503">
        <v>6</v>
      </c>
      <c r="J17" s="402"/>
      <c r="L17" s="224" t="s">
        <v>57</v>
      </c>
      <c r="M17" s="308">
        <f>D31</f>
        <v>122076.76499999998</v>
      </c>
      <c r="N17" s="309">
        <v>20</v>
      </c>
      <c r="O17" s="392" t="s">
        <v>58</v>
      </c>
      <c r="P17" s="448">
        <v>0</v>
      </c>
    </row>
    <row r="18" spans="1:21" ht="15.75">
      <c r="A18" s="432"/>
      <c r="B18" s="18"/>
      <c r="C18" s="353"/>
      <c r="D18" s="18"/>
      <c r="E18" s="493"/>
      <c r="F18" s="18"/>
      <c r="G18" s="221" t="s">
        <v>263</v>
      </c>
      <c r="H18" s="398"/>
      <c r="I18" s="502">
        <v>36342</v>
      </c>
      <c r="J18" s="402"/>
    </row>
    <row r="19" spans="1:21" ht="16.5" thickBot="1">
      <c r="A19" s="199" t="s">
        <v>260</v>
      </c>
      <c r="B19" s="18"/>
      <c r="C19" s="18"/>
      <c r="D19" s="18"/>
      <c r="E19" s="493"/>
      <c r="F19" s="18"/>
      <c r="G19" s="221" t="s">
        <v>264</v>
      </c>
      <c r="H19" s="18"/>
      <c r="I19" s="502">
        <v>43617</v>
      </c>
      <c r="J19" s="402"/>
    </row>
    <row r="20" spans="1:21" ht="15.75">
      <c r="A20" s="203" t="s">
        <v>267</v>
      </c>
      <c r="B20" s="18"/>
      <c r="C20" s="354">
        <f t="shared" ref="C20:C31" si="0">D20/$D$43</f>
        <v>0.95421976533997965</v>
      </c>
      <c r="D20" s="484">
        <v>122076.76499999998</v>
      </c>
      <c r="E20" s="492">
        <f t="shared" ref="E20:E31" si="1">D20/$I$12</f>
        <v>1066.1726200873361</v>
      </c>
      <c r="F20" s="18"/>
      <c r="G20" s="221" t="s">
        <v>262</v>
      </c>
      <c r="H20" s="412"/>
      <c r="I20" s="499">
        <v>20</v>
      </c>
      <c r="J20" s="402"/>
      <c r="L20" s="190" t="s">
        <v>59</v>
      </c>
      <c r="M20" s="217"/>
      <c r="N20" s="218"/>
      <c r="O20" s="531"/>
      <c r="P20" s="54"/>
    </row>
    <row r="21" spans="1:21" ht="16.5" thickBot="1">
      <c r="A21" s="203" t="s">
        <v>268</v>
      </c>
      <c r="B21" s="18"/>
      <c r="C21" s="354">
        <f t="shared" si="0"/>
        <v>0</v>
      </c>
      <c r="D21" s="484">
        <v>0</v>
      </c>
      <c r="E21" s="492">
        <f t="shared" si="1"/>
        <v>0</v>
      </c>
      <c r="F21" s="18"/>
      <c r="G21" s="224" t="s">
        <v>317</v>
      </c>
      <c r="H21" s="58"/>
      <c r="I21" s="519"/>
      <c r="J21" s="144"/>
      <c r="L21" s="203"/>
      <c r="M21" s="198"/>
      <c r="N21" s="398"/>
      <c r="O21" s="214"/>
      <c r="P21" s="55"/>
    </row>
    <row r="22" spans="1:21" ht="15.75">
      <c r="A22" s="203" t="s">
        <v>269</v>
      </c>
      <c r="B22" s="18"/>
      <c r="C22" s="354">
        <f t="shared" si="0"/>
        <v>0</v>
      </c>
      <c r="D22" s="484">
        <v>0</v>
      </c>
      <c r="E22" s="492">
        <f t="shared" si="1"/>
        <v>0</v>
      </c>
      <c r="F22" s="18"/>
      <c r="G22" s="18"/>
      <c r="H22" s="18"/>
      <c r="I22" s="18"/>
      <c r="J22" s="214"/>
      <c r="L22" s="203" t="s">
        <v>61</v>
      </c>
      <c r="M22" s="198"/>
      <c r="N22" s="508">
        <v>0.35</v>
      </c>
      <c r="O22" s="214"/>
      <c r="P22" s="55"/>
    </row>
    <row r="23" spans="1:21" ht="16.5" thickBot="1">
      <c r="A23" s="203" t="s">
        <v>270</v>
      </c>
      <c r="B23" s="18"/>
      <c r="C23" s="354">
        <f t="shared" si="0"/>
        <v>0</v>
      </c>
      <c r="D23" s="484">
        <v>0</v>
      </c>
      <c r="E23" s="492">
        <f t="shared" si="1"/>
        <v>0</v>
      </c>
      <c r="F23" s="18"/>
      <c r="L23" s="203" t="s">
        <v>62</v>
      </c>
      <c r="M23" s="198"/>
      <c r="N23" s="510">
        <v>0.06</v>
      </c>
      <c r="O23" s="214"/>
      <c r="P23" s="55"/>
    </row>
    <row r="24" spans="1:21" ht="15.75">
      <c r="A24" s="203" t="s">
        <v>271</v>
      </c>
      <c r="B24" s="18"/>
      <c r="C24" s="354">
        <f t="shared" si="0"/>
        <v>0</v>
      </c>
      <c r="D24" s="484">
        <v>0</v>
      </c>
      <c r="E24" s="492">
        <f t="shared" si="1"/>
        <v>0</v>
      </c>
      <c r="F24" s="18"/>
      <c r="G24" s="190" t="s">
        <v>20</v>
      </c>
      <c r="H24" s="217"/>
      <c r="I24" s="514"/>
      <c r="J24" s="515"/>
      <c r="L24" s="399" t="s">
        <v>63</v>
      </c>
      <c r="M24" s="400"/>
      <c r="N24" s="501">
        <v>2.5000000000000001E-3</v>
      </c>
      <c r="O24" s="214"/>
      <c r="P24" s="471"/>
      <c r="Q24"/>
      <c r="R24"/>
      <c r="S24"/>
      <c r="T24"/>
      <c r="U24"/>
    </row>
    <row r="25" spans="1:21" ht="15.75">
      <c r="A25" s="203" t="s">
        <v>272</v>
      </c>
      <c r="B25" s="18"/>
      <c r="C25" s="354">
        <f t="shared" si="0"/>
        <v>0</v>
      </c>
      <c r="D25" s="484">
        <v>0</v>
      </c>
      <c r="E25" s="492">
        <f t="shared" si="1"/>
        <v>0</v>
      </c>
      <c r="F25" s="18"/>
      <c r="G25" s="428"/>
      <c r="H25" s="398"/>
      <c r="I25" s="317"/>
      <c r="J25" s="402"/>
      <c r="L25" s="203" t="s">
        <v>64</v>
      </c>
      <c r="M25" s="198"/>
      <c r="N25" s="510">
        <v>0.03</v>
      </c>
      <c r="O25" s="214"/>
      <c r="P25" s="471"/>
      <c r="Q25"/>
      <c r="R25"/>
      <c r="S25"/>
      <c r="T25"/>
      <c r="U25"/>
    </row>
    <row r="26" spans="1:21" ht="15.75">
      <c r="A26" s="203" t="s">
        <v>273</v>
      </c>
      <c r="B26" s="18"/>
      <c r="C26" s="354">
        <f t="shared" si="0"/>
        <v>0</v>
      </c>
      <c r="D26" s="484">
        <v>0</v>
      </c>
      <c r="E26" s="492">
        <f t="shared" si="1"/>
        <v>0</v>
      </c>
      <c r="F26" s="18"/>
      <c r="G26" s="203" t="s">
        <v>300</v>
      </c>
      <c r="H26" s="198"/>
      <c r="I26" s="504">
        <f>I11*I12</f>
        <v>458</v>
      </c>
      <c r="J26" s="402"/>
      <c r="L26" s="399" t="s">
        <v>219</v>
      </c>
      <c r="M26" s="400"/>
      <c r="N26" s="501">
        <v>0.01</v>
      </c>
      <c r="O26" s="214"/>
      <c r="P26" s="471"/>
      <c r="Q26"/>
      <c r="R26"/>
      <c r="S26"/>
      <c r="T26"/>
      <c r="U26"/>
    </row>
    <row r="27" spans="1:21" ht="15.75">
      <c r="A27" s="203" t="s">
        <v>274</v>
      </c>
      <c r="B27" s="18"/>
      <c r="C27" s="354">
        <f t="shared" si="0"/>
        <v>0</v>
      </c>
      <c r="D27" s="484">
        <v>0</v>
      </c>
      <c r="E27" s="492">
        <f t="shared" si="1"/>
        <v>0</v>
      </c>
      <c r="F27" s="18"/>
      <c r="G27" s="203" t="s">
        <v>30</v>
      </c>
      <c r="H27" s="198"/>
      <c r="I27" s="499">
        <v>787.8</v>
      </c>
      <c r="J27" s="402"/>
      <c r="L27" s="399" t="s">
        <v>220</v>
      </c>
      <c r="M27" s="400"/>
      <c r="N27" s="501"/>
      <c r="O27" s="214"/>
      <c r="P27" s="471"/>
      <c r="Q27"/>
      <c r="R27"/>
      <c r="S27"/>
      <c r="T27"/>
      <c r="U27"/>
    </row>
    <row r="28" spans="1:21" ht="15.75">
      <c r="A28" s="203" t="s">
        <v>275</v>
      </c>
      <c r="B28" s="18"/>
      <c r="C28" s="354">
        <f t="shared" si="0"/>
        <v>0</v>
      </c>
      <c r="D28" s="484">
        <v>0</v>
      </c>
      <c r="E28" s="492">
        <f t="shared" si="1"/>
        <v>0</v>
      </c>
      <c r="F28" s="18"/>
      <c r="G28" s="203" t="s">
        <v>35</v>
      </c>
      <c r="H28" s="198"/>
      <c r="I28" s="499">
        <v>110</v>
      </c>
      <c r="J28" s="402"/>
      <c r="L28" s="399" t="s">
        <v>221</v>
      </c>
      <c r="M28" s="400"/>
      <c r="N28" s="501"/>
      <c r="O28" s="214"/>
      <c r="P28" s="471"/>
      <c r="Q28"/>
      <c r="R28"/>
      <c r="S28"/>
      <c r="T28"/>
      <c r="U28"/>
    </row>
    <row r="29" spans="1:21" ht="15.75">
      <c r="A29" s="203" t="s">
        <v>276</v>
      </c>
      <c r="B29" s="18"/>
      <c r="C29" s="354">
        <f t="shared" si="0"/>
        <v>0</v>
      </c>
      <c r="D29" s="484">
        <v>0</v>
      </c>
      <c r="E29" s="492">
        <f t="shared" si="1"/>
        <v>0</v>
      </c>
      <c r="F29" s="18"/>
      <c r="G29" s="203" t="s">
        <v>218</v>
      </c>
      <c r="H29" s="198"/>
      <c r="I29" s="499">
        <v>0</v>
      </c>
      <c r="J29" s="402"/>
      <c r="L29" s="399" t="s">
        <v>222</v>
      </c>
      <c r="M29" s="400"/>
      <c r="N29" s="501"/>
      <c r="O29" s="214"/>
      <c r="P29" s="471"/>
      <c r="Q29"/>
      <c r="R29"/>
      <c r="S29"/>
      <c r="T29"/>
      <c r="U29"/>
    </row>
    <row r="30" spans="1:21" ht="16.5" thickBot="1">
      <c r="A30" s="207" t="s">
        <v>277</v>
      </c>
      <c r="B30" s="18"/>
      <c r="C30" s="430">
        <f t="shared" si="0"/>
        <v>0</v>
      </c>
      <c r="D30" s="488">
        <v>0</v>
      </c>
      <c r="E30" s="494">
        <f t="shared" si="1"/>
        <v>0</v>
      </c>
      <c r="F30" s="18"/>
      <c r="G30" s="205" t="s">
        <v>201</v>
      </c>
      <c r="H30" s="58"/>
      <c r="I30" s="512">
        <v>15</v>
      </c>
      <c r="J30" s="513"/>
      <c r="L30" s="399" t="s">
        <v>223</v>
      </c>
      <c r="M30" s="400"/>
      <c r="N30" s="501"/>
      <c r="O30" s="214"/>
      <c r="P30" s="471"/>
      <c r="Q30"/>
      <c r="R30"/>
      <c r="S30"/>
      <c r="T30"/>
      <c r="U30"/>
    </row>
    <row r="31" spans="1:21" ht="15.75">
      <c r="A31" s="203" t="s">
        <v>266</v>
      </c>
      <c r="B31" s="18"/>
      <c r="C31" s="354">
        <f t="shared" si="0"/>
        <v>0.95421976533997965</v>
      </c>
      <c r="D31" s="489">
        <f>SUM(D20:D30)</f>
        <v>122076.76499999998</v>
      </c>
      <c r="E31" s="492">
        <f t="shared" si="1"/>
        <v>1066.1726200873361</v>
      </c>
      <c r="F31" s="18"/>
      <c r="G31" s="18"/>
      <c r="H31" s="18"/>
      <c r="I31" s="18"/>
      <c r="J31" s="214"/>
      <c r="L31" s="399" t="s">
        <v>224</v>
      </c>
      <c r="M31" s="400"/>
      <c r="N31" s="501"/>
      <c r="O31" s="214"/>
      <c r="P31" s="471"/>
      <c r="Q31"/>
      <c r="R31"/>
      <c r="S31"/>
      <c r="T31"/>
      <c r="U31"/>
    </row>
    <row r="32" spans="1:21" ht="16.5" thickBot="1">
      <c r="A32" s="56"/>
      <c r="B32" s="18"/>
      <c r="C32" s="18"/>
      <c r="D32" s="18"/>
      <c r="E32" s="493"/>
      <c r="F32" s="18"/>
      <c r="L32" s="399" t="s">
        <v>225</v>
      </c>
      <c r="M32" s="400"/>
      <c r="N32" s="501"/>
      <c r="O32" s="214"/>
      <c r="P32" s="471"/>
      <c r="Q32"/>
      <c r="R32"/>
      <c r="S32"/>
      <c r="T32"/>
      <c r="U32"/>
    </row>
    <row r="33" spans="1:21" ht="15.75">
      <c r="A33" s="199" t="s">
        <v>252</v>
      </c>
      <c r="B33" s="18"/>
      <c r="C33" s="18"/>
      <c r="D33" s="18"/>
      <c r="E33" s="493"/>
      <c r="F33" s="18"/>
      <c r="G33" s="190" t="s">
        <v>230</v>
      </c>
      <c r="H33" s="217"/>
      <c r="I33" s="226"/>
      <c r="J33" s="515"/>
      <c r="L33" s="399" t="s">
        <v>226</v>
      </c>
      <c r="M33" s="400"/>
      <c r="N33" s="501"/>
      <c r="O33" s="214"/>
      <c r="P33" s="471"/>
      <c r="Q33"/>
      <c r="R33"/>
      <c r="S33"/>
      <c r="T33"/>
      <c r="U33"/>
    </row>
    <row r="34" spans="1:21" ht="15.75">
      <c r="A34" s="199" t="s">
        <v>258</v>
      </c>
      <c r="B34" s="18"/>
      <c r="C34" s="354">
        <f>D34/$D$43</f>
        <v>0</v>
      </c>
      <c r="D34" s="484">
        <v>0</v>
      </c>
      <c r="E34" s="492">
        <f>D34/$I$12</f>
        <v>0</v>
      </c>
      <c r="F34" s="18"/>
      <c r="G34" s="56"/>
      <c r="H34" s="18"/>
      <c r="I34" s="18"/>
      <c r="J34" s="402"/>
      <c r="L34" s="399" t="s">
        <v>227</v>
      </c>
      <c r="M34" s="400"/>
      <c r="N34" s="501"/>
      <c r="O34" s="214"/>
      <c r="P34" s="471"/>
      <c r="Q34"/>
      <c r="R34"/>
      <c r="S34"/>
      <c r="T34"/>
      <c r="U34"/>
    </row>
    <row r="35" spans="1:21" ht="16.5" thickBot="1">
      <c r="A35" s="199" t="s">
        <v>253</v>
      </c>
      <c r="B35" s="18"/>
      <c r="C35" s="354">
        <f>D35/$D$43</f>
        <v>8.627679070536555E-3</v>
      </c>
      <c r="D35" s="484">
        <v>1103.77</v>
      </c>
      <c r="E35" s="492">
        <f>D35/$I$12</f>
        <v>9.6399126637554584</v>
      </c>
      <c r="F35" s="18"/>
      <c r="G35" s="203" t="s">
        <v>231</v>
      </c>
      <c r="H35" s="18"/>
      <c r="I35" s="502">
        <v>36342</v>
      </c>
      <c r="J35" s="402"/>
      <c r="L35" s="401" t="s">
        <v>228</v>
      </c>
      <c r="M35" s="340"/>
      <c r="N35" s="523"/>
      <c r="O35" s="532"/>
      <c r="P35" s="472"/>
      <c r="Q35"/>
      <c r="R35"/>
      <c r="S35"/>
      <c r="T35"/>
      <c r="U35"/>
    </row>
    <row r="36" spans="1:21" ht="15.75">
      <c r="A36" s="207" t="s">
        <v>254</v>
      </c>
      <c r="B36" s="18"/>
      <c r="C36" s="430">
        <f>D36/$D$43</f>
        <v>0</v>
      </c>
      <c r="D36" s="488">
        <v>0</v>
      </c>
      <c r="E36" s="492">
        <f>D36/$I$12</f>
        <v>0</v>
      </c>
      <c r="F36" s="18"/>
      <c r="G36" s="203" t="s">
        <v>232</v>
      </c>
      <c r="H36" s="18"/>
      <c r="I36" s="502">
        <v>43983</v>
      </c>
      <c r="J36" s="402"/>
      <c r="O36"/>
      <c r="P36"/>
      <c r="Q36"/>
      <c r="R36"/>
      <c r="S36"/>
      <c r="T36"/>
      <c r="U36"/>
    </row>
    <row r="37" spans="1:21" ht="15.75">
      <c r="A37" s="203" t="s">
        <v>266</v>
      </c>
      <c r="B37" s="18"/>
      <c r="C37" s="354">
        <f>D37/$D$43</f>
        <v>8.627679070536555E-3</v>
      </c>
      <c r="D37" s="215">
        <f>SUM(D34:D36)</f>
        <v>1103.77</v>
      </c>
      <c r="E37" s="492">
        <f>D37/$I$12</f>
        <v>9.6399126637554584</v>
      </c>
      <c r="F37" s="18"/>
      <c r="G37" s="56"/>
      <c r="H37" s="18"/>
      <c r="I37" s="18"/>
      <c r="J37" s="402"/>
      <c r="O37"/>
      <c r="P37"/>
      <c r="Q37"/>
      <c r="R37"/>
      <c r="S37"/>
      <c r="T37"/>
      <c r="U37"/>
    </row>
    <row r="38" spans="1:21" ht="15.75">
      <c r="A38" s="56"/>
      <c r="B38" s="18"/>
      <c r="C38" s="18"/>
      <c r="D38" s="18"/>
      <c r="E38" s="493"/>
      <c r="F38" s="18"/>
      <c r="G38" s="207" t="s">
        <v>282</v>
      </c>
      <c r="H38" s="18"/>
      <c r="I38" s="18"/>
      <c r="J38" s="402"/>
      <c r="O38"/>
      <c r="P38"/>
      <c r="Q38"/>
      <c r="R38"/>
      <c r="S38"/>
      <c r="T38"/>
      <c r="U38"/>
    </row>
    <row r="39" spans="1:21" ht="15.75">
      <c r="A39" s="203" t="s">
        <v>259</v>
      </c>
      <c r="B39" s="18"/>
      <c r="C39" s="354">
        <f>D39/$D$43</f>
        <v>3.3545684384152577E-2</v>
      </c>
      <c r="D39" s="484">
        <v>4291.62</v>
      </c>
      <c r="E39" s="492">
        <f>D39/$I$12</f>
        <v>37.481397379912664</v>
      </c>
      <c r="F39" s="18"/>
      <c r="G39" s="203" t="s">
        <v>283</v>
      </c>
      <c r="H39" s="18"/>
      <c r="I39" s="499">
        <v>4</v>
      </c>
      <c r="J39" s="402"/>
      <c r="O39"/>
      <c r="P39"/>
      <c r="Q39"/>
      <c r="R39"/>
      <c r="S39"/>
      <c r="T39"/>
      <c r="U39"/>
    </row>
    <row r="40" spans="1:21" ht="15.75">
      <c r="A40" s="203" t="s">
        <v>265</v>
      </c>
      <c r="B40" s="18"/>
      <c r="C40" s="354">
        <f>D40/$D$43</f>
        <v>3.6068712053311724E-3</v>
      </c>
      <c r="D40" s="484">
        <v>461.44</v>
      </c>
      <c r="E40" s="492">
        <f>D40/$I$12</f>
        <v>4.0300436681222704</v>
      </c>
      <c r="F40" s="18"/>
      <c r="G40" s="203" t="s">
        <v>301</v>
      </c>
      <c r="H40" s="18"/>
      <c r="I40" s="505">
        <f>I26</f>
        <v>458</v>
      </c>
      <c r="J40" s="402"/>
      <c r="O40"/>
      <c r="P40"/>
      <c r="Q40"/>
      <c r="R40"/>
      <c r="S40"/>
      <c r="T40"/>
      <c r="U40"/>
    </row>
    <row r="41" spans="1:21" ht="15.75">
      <c r="A41" s="199" t="s">
        <v>255</v>
      </c>
      <c r="B41" s="18"/>
      <c r="C41" s="354">
        <f>D41/$D$43</f>
        <v>0</v>
      </c>
      <c r="D41" s="484">
        <v>0</v>
      </c>
      <c r="E41" s="492">
        <f>D41/$I$12</f>
        <v>0</v>
      </c>
      <c r="F41" s="18"/>
      <c r="G41" s="203" t="s">
        <v>229</v>
      </c>
      <c r="H41" s="198"/>
      <c r="I41" s="500">
        <v>4</v>
      </c>
      <c r="J41" s="402"/>
      <c r="Q41"/>
      <c r="R41"/>
      <c r="S41"/>
      <c r="T41"/>
      <c r="U41"/>
    </row>
    <row r="42" spans="1:21" ht="15.75">
      <c r="A42" s="203"/>
      <c r="B42" s="18"/>
      <c r="C42" s="18"/>
      <c r="D42" s="490"/>
      <c r="E42" s="492"/>
      <c r="F42" s="18"/>
      <c r="G42" s="203" t="s">
        <v>41</v>
      </c>
      <c r="H42" s="198"/>
      <c r="I42" s="506">
        <f>J70</f>
        <v>1.4087481804949056</v>
      </c>
      <c r="J42" s="402"/>
      <c r="Q42"/>
      <c r="R42"/>
      <c r="S42"/>
      <c r="T42"/>
      <c r="U42"/>
    </row>
    <row r="43" spans="1:21" ht="16.5" thickBot="1">
      <c r="A43" s="433" t="s">
        <v>256</v>
      </c>
      <c r="B43" s="58"/>
      <c r="C43" s="429">
        <f>C41+C40+C39+C37+C31</f>
        <v>1</v>
      </c>
      <c r="D43" s="491">
        <f>SUM(D39:D41,D37,D31)</f>
        <v>127933.59499999999</v>
      </c>
      <c r="E43" s="495">
        <f>D43/$I$12</f>
        <v>1117.3239737991266</v>
      </c>
      <c r="F43" s="18"/>
      <c r="G43" s="203" t="s">
        <v>43</v>
      </c>
      <c r="H43" s="198"/>
      <c r="I43" s="499">
        <v>0</v>
      </c>
      <c r="J43" s="402"/>
      <c r="Q43"/>
      <c r="R43"/>
      <c r="S43"/>
      <c r="T43"/>
      <c r="U43"/>
    </row>
    <row r="44" spans="1:21" ht="15.75">
      <c r="A44" s="18"/>
      <c r="B44" s="18"/>
      <c r="C44" s="18"/>
      <c r="D44" s="18"/>
      <c r="E44" s="280"/>
      <c r="F44" s="18"/>
      <c r="G44" s="203" t="s">
        <v>298</v>
      </c>
      <c r="H44" s="412"/>
      <c r="I44" s="508">
        <v>0.02</v>
      </c>
      <c r="J44" s="402"/>
      <c r="Q44"/>
      <c r="R44"/>
      <c r="S44"/>
      <c r="T44"/>
      <c r="U44"/>
    </row>
    <row r="45" spans="1:21" ht="16.5" thickBot="1">
      <c r="A45" s="18"/>
      <c r="B45" s="18"/>
      <c r="C45" s="18"/>
      <c r="D45" s="18"/>
      <c r="E45" s="280"/>
      <c r="F45" s="18"/>
      <c r="G45" s="203" t="s">
        <v>308</v>
      </c>
      <c r="H45" s="412"/>
      <c r="I45" s="507">
        <f>I40*(1-I44)</f>
        <v>448.84</v>
      </c>
      <c r="J45" s="402"/>
      <c r="K45"/>
      <c r="Q45"/>
      <c r="R45"/>
      <c r="S45"/>
      <c r="T45"/>
      <c r="U45"/>
    </row>
    <row r="46" spans="1:21" ht="15.75">
      <c r="A46" s="192" t="s">
        <v>281</v>
      </c>
      <c r="B46" s="53"/>
      <c r="C46" s="53"/>
      <c r="D46" s="154"/>
      <c r="E46" s="54"/>
      <c r="F46" s="18"/>
      <c r="G46" s="203" t="s">
        <v>299</v>
      </c>
      <c r="H46" s="18"/>
      <c r="I46" s="335">
        <f>I45*I14</f>
        <v>538608</v>
      </c>
      <c r="J46" s="402"/>
      <c r="K46"/>
      <c r="Q46"/>
      <c r="R46"/>
      <c r="S46"/>
      <c r="T46"/>
      <c r="U46"/>
    </row>
    <row r="47" spans="1:21" ht="15.75">
      <c r="A47" s="434" t="s">
        <v>177</v>
      </c>
      <c r="B47" s="356">
        <v>36739</v>
      </c>
      <c r="C47" s="18"/>
      <c r="D47" s="59"/>
      <c r="E47" s="55"/>
      <c r="F47" s="18"/>
      <c r="G47" s="56"/>
      <c r="H47" s="18"/>
      <c r="I47" s="18"/>
      <c r="J47" s="402"/>
      <c r="Q47"/>
      <c r="R47"/>
      <c r="S47"/>
      <c r="T47"/>
      <c r="U47"/>
    </row>
    <row r="48" spans="1:21" ht="15.75">
      <c r="A48" s="151"/>
      <c r="B48" s="18"/>
      <c r="C48" s="18"/>
      <c r="D48" s="18"/>
      <c r="E48" s="142"/>
      <c r="F48" s="112"/>
      <c r="G48" s="207" t="s">
        <v>284</v>
      </c>
      <c r="H48" s="18"/>
      <c r="I48" s="18"/>
      <c r="J48" s="402"/>
      <c r="K48"/>
      <c r="Q48"/>
      <c r="R48"/>
      <c r="S48"/>
      <c r="T48"/>
      <c r="U48"/>
    </row>
    <row r="49" spans="1:21" ht="15.75">
      <c r="A49" s="435" t="s">
        <v>278</v>
      </c>
      <c r="B49" s="228" t="s">
        <v>31</v>
      </c>
      <c r="C49" s="228" t="s">
        <v>32</v>
      </c>
      <c r="D49" s="228" t="s">
        <v>33</v>
      </c>
      <c r="E49" s="436" t="s">
        <v>34</v>
      </c>
      <c r="F49" s="59"/>
      <c r="G49" s="203" t="s">
        <v>283</v>
      </c>
      <c r="H49" s="18"/>
      <c r="I49" s="214">
        <f>I20-I39</f>
        <v>16</v>
      </c>
      <c r="J49" s="402"/>
      <c r="Q49"/>
      <c r="R49"/>
      <c r="S49"/>
      <c r="T49"/>
      <c r="U49"/>
    </row>
    <row r="50" spans="1:21" ht="15.75">
      <c r="A50" s="207" t="s">
        <v>36</v>
      </c>
      <c r="B50" s="189"/>
      <c r="C50" s="189"/>
      <c r="D50" s="189"/>
      <c r="E50" s="55"/>
      <c r="F50" s="18"/>
      <c r="G50" s="203" t="s">
        <v>302</v>
      </c>
      <c r="H50" s="18"/>
      <c r="I50" s="198">
        <v>497.4</v>
      </c>
      <c r="J50" s="402"/>
      <c r="Q50"/>
      <c r="R50"/>
      <c r="S50"/>
      <c r="T50"/>
      <c r="U50"/>
    </row>
    <row r="51" spans="1:21" ht="15.75">
      <c r="A51" s="208" t="s">
        <v>37</v>
      </c>
      <c r="B51" s="378">
        <v>15926</v>
      </c>
      <c r="C51" s="378">
        <v>29302</v>
      </c>
      <c r="D51" s="378">
        <v>52547</v>
      </c>
      <c r="E51" s="437">
        <f>SUM(B51:D51)</f>
        <v>97775</v>
      </c>
      <c r="F51" s="155"/>
      <c r="G51" s="203" t="s">
        <v>41</v>
      </c>
      <c r="H51" s="18"/>
      <c r="I51" s="506">
        <f>I64</f>
        <v>0.03</v>
      </c>
      <c r="J51" s="402"/>
      <c r="O51"/>
      <c r="P51"/>
      <c r="Q51"/>
      <c r="R51"/>
      <c r="S51"/>
      <c r="T51"/>
      <c r="U51"/>
    </row>
    <row r="52" spans="1:21" ht="15.75">
      <c r="A52" s="208" t="s">
        <v>38</v>
      </c>
      <c r="B52" s="379">
        <v>4</v>
      </c>
      <c r="C52" s="379">
        <v>10</v>
      </c>
      <c r="D52" s="379">
        <v>20</v>
      </c>
      <c r="E52" s="438"/>
      <c r="F52" s="155"/>
      <c r="G52" s="203" t="s">
        <v>43</v>
      </c>
      <c r="H52" s="198"/>
      <c r="I52" s="507" t="e">
        <f>#REF!</f>
        <v>#REF!</v>
      </c>
      <c r="J52" s="402"/>
      <c r="O52"/>
      <c r="P52"/>
      <c r="Q52"/>
      <c r="R52"/>
      <c r="S52"/>
      <c r="T52"/>
      <c r="U52"/>
    </row>
    <row r="53" spans="1:21" ht="15.75">
      <c r="A53" s="208" t="s">
        <v>39</v>
      </c>
      <c r="B53" s="380">
        <v>37833</v>
      </c>
      <c r="C53" s="380">
        <v>40390</v>
      </c>
      <c r="D53" s="380">
        <v>44043</v>
      </c>
      <c r="E53" s="437"/>
      <c r="F53" s="18"/>
      <c r="G53" s="203" t="s">
        <v>297</v>
      </c>
      <c r="H53" s="18"/>
      <c r="I53" s="508">
        <v>0.02</v>
      </c>
      <c r="J53" s="402"/>
      <c r="O53"/>
      <c r="P53"/>
      <c r="Q53"/>
      <c r="R53"/>
      <c r="S53"/>
      <c r="T53"/>
      <c r="U53"/>
    </row>
    <row r="54" spans="1:21" ht="15.75">
      <c r="A54" s="208" t="s">
        <v>40</v>
      </c>
      <c r="B54" s="231">
        <f>Debt!F9</f>
        <v>9.7625000000000011</v>
      </c>
      <c r="C54" s="231">
        <f>Debt!L9</f>
        <v>9.7625000000000011</v>
      </c>
      <c r="D54" s="231">
        <f>Debt!R9</f>
        <v>9.7625000000000011</v>
      </c>
      <c r="E54" s="439"/>
      <c r="F54" s="18"/>
      <c r="G54" s="203" t="s">
        <v>298</v>
      </c>
      <c r="H54" s="18"/>
      <c r="I54" s="508">
        <v>0.02</v>
      </c>
      <c r="J54" s="402"/>
      <c r="O54"/>
      <c r="P54"/>
      <c r="Q54"/>
      <c r="R54"/>
      <c r="S54"/>
      <c r="T54"/>
      <c r="U54"/>
    </row>
    <row r="55" spans="1:21" ht="15.75">
      <c r="A55" s="208"/>
      <c r="B55" s="18"/>
      <c r="C55" s="18"/>
      <c r="D55" s="18"/>
      <c r="E55" s="437"/>
      <c r="F55" s="18"/>
      <c r="G55" s="203" t="s">
        <v>308</v>
      </c>
      <c r="H55" s="412"/>
      <c r="I55" s="509">
        <f>I50*(1-I54)</f>
        <v>487.45199999999994</v>
      </c>
      <c r="J55" s="402"/>
      <c r="O55"/>
      <c r="P55"/>
      <c r="Q55"/>
      <c r="R55"/>
      <c r="S55"/>
      <c r="T55"/>
      <c r="U55"/>
    </row>
    <row r="56" spans="1:21" ht="15.75">
      <c r="A56" s="56"/>
      <c r="B56" s="18"/>
      <c r="C56" s="18"/>
      <c r="D56" s="18"/>
      <c r="E56" s="437"/>
      <c r="F56" s="18"/>
      <c r="G56" s="203" t="s">
        <v>299</v>
      </c>
      <c r="H56" s="18"/>
      <c r="I56" s="335">
        <f>I55*I14</f>
        <v>584942.39999999991</v>
      </c>
      <c r="J56" s="402"/>
      <c r="O56"/>
      <c r="P56"/>
      <c r="Q56"/>
      <c r="R56"/>
      <c r="S56"/>
      <c r="T56"/>
      <c r="U56"/>
    </row>
    <row r="57" spans="1:21" ht="15.75">
      <c r="A57" s="210" t="s">
        <v>42</v>
      </c>
      <c r="B57" s="384">
        <v>4.48E-2</v>
      </c>
      <c r="C57" s="384">
        <v>4.07E-2</v>
      </c>
      <c r="D57" s="384">
        <v>4.0549999999999996E-2</v>
      </c>
      <c r="E57" s="440">
        <f>SUMPRODUCT(B57:D57,$B$51:$D$51)/SUM($B$51:$D$51)</f>
        <v>4.1287210943492712E-2</v>
      </c>
      <c r="F57" s="18"/>
      <c r="G57" s="203" t="s">
        <v>49</v>
      </c>
      <c r="H57" s="198"/>
      <c r="I57" s="500">
        <v>1</v>
      </c>
      <c r="J57" s="402"/>
      <c r="O57"/>
      <c r="P57"/>
      <c r="Q57"/>
      <c r="R57"/>
      <c r="S57"/>
      <c r="T57"/>
      <c r="U57"/>
    </row>
    <row r="58" spans="1:21" ht="15.75">
      <c r="A58" s="210" t="s">
        <v>44</v>
      </c>
      <c r="B58" s="385">
        <v>2.2499999999999999E-2</v>
      </c>
      <c r="C58" s="385">
        <v>3.5000000000000003E-2</v>
      </c>
      <c r="D58" s="385">
        <v>4.1250000000000002E-2</v>
      </c>
      <c r="E58" s="441">
        <f>SUMPRODUCT(B58:D58,$B$51:$D$51)/SUM($B$51:$D$51)</f>
        <v>3.6322871388391721E-2</v>
      </c>
      <c r="F58" s="18"/>
      <c r="G58" s="56"/>
      <c r="H58" s="18"/>
      <c r="I58" s="18"/>
      <c r="J58" s="402"/>
      <c r="O58"/>
      <c r="P58"/>
      <c r="Q58"/>
      <c r="R58"/>
      <c r="S58"/>
      <c r="T58"/>
      <c r="U58"/>
    </row>
    <row r="59" spans="1:21" ht="16.5" thickBot="1">
      <c r="A59" s="208" t="s">
        <v>45</v>
      </c>
      <c r="B59" s="211">
        <f>Debt!F7</f>
        <v>6.7299999999999999E-2</v>
      </c>
      <c r="C59" s="211">
        <f>Debt!L7</f>
        <v>7.5700000000000003E-2</v>
      </c>
      <c r="D59" s="211">
        <f>Debt!R7</f>
        <v>8.1799999999999998E-2</v>
      </c>
      <c r="E59" s="440">
        <f>SUMPRODUCT(B59:D59,$B$51:$D$51)/SUM($B$51:$D$51)</f>
        <v>7.761008233188442E-2</v>
      </c>
      <c r="F59" s="18"/>
      <c r="G59" s="205" t="s">
        <v>1</v>
      </c>
      <c r="H59" s="206"/>
      <c r="I59" s="516">
        <v>0.03</v>
      </c>
      <c r="J59" s="513"/>
      <c r="O59"/>
      <c r="P59"/>
      <c r="Q59"/>
      <c r="R59"/>
      <c r="S59"/>
      <c r="T59"/>
      <c r="U59"/>
    </row>
    <row r="60" spans="1:21" ht="15.75">
      <c r="A60" s="203"/>
      <c r="B60" s="198"/>
      <c r="C60" s="198"/>
      <c r="D60" s="198"/>
      <c r="E60" s="442"/>
      <c r="F60" s="18"/>
      <c r="G60" s="18"/>
      <c r="H60" s="18"/>
      <c r="I60" s="18"/>
      <c r="J60" s="214"/>
      <c r="K60"/>
      <c r="L60"/>
      <c r="M60"/>
      <c r="O60"/>
      <c r="P60"/>
      <c r="Q60"/>
      <c r="R60"/>
      <c r="S60"/>
      <c r="T60"/>
      <c r="U60"/>
    </row>
    <row r="61" spans="1:21" ht="16.5" thickBot="1">
      <c r="A61" s="203" t="s">
        <v>187</v>
      </c>
      <c r="B61" s="209">
        <f>MAX(Debt!C87:Z87)</f>
        <v>12002.805437500001</v>
      </c>
      <c r="C61" s="198"/>
      <c r="D61" s="198"/>
      <c r="E61" s="443"/>
      <c r="F61" s="18"/>
      <c r="O61"/>
      <c r="P61"/>
      <c r="Q61"/>
      <c r="R61"/>
      <c r="S61"/>
      <c r="T61"/>
      <c r="U61"/>
    </row>
    <row r="62" spans="1:21" ht="15.75">
      <c r="A62" s="203" t="s">
        <v>189</v>
      </c>
      <c r="B62" s="209">
        <v>0</v>
      </c>
      <c r="C62" s="18"/>
      <c r="D62" s="18"/>
      <c r="E62" s="55"/>
      <c r="F62" s="18"/>
      <c r="G62" s="192" t="s">
        <v>66</v>
      </c>
      <c r="H62" s="226"/>
      <c r="I62" s="226"/>
      <c r="J62" s="54"/>
      <c r="O62"/>
      <c r="P62"/>
      <c r="Q62"/>
      <c r="R62"/>
      <c r="S62"/>
      <c r="T62"/>
      <c r="U62"/>
    </row>
    <row r="63" spans="1:21" ht="15.75">
      <c r="A63" s="203" t="s">
        <v>46</v>
      </c>
      <c r="B63" s="239">
        <v>0.02</v>
      </c>
      <c r="C63" s="198"/>
      <c r="D63" s="198"/>
      <c r="E63" s="443"/>
      <c r="F63" s="18"/>
      <c r="G63" s="56"/>
      <c r="H63" s="18"/>
      <c r="I63" s="18"/>
      <c r="J63" s="522" t="s">
        <v>310</v>
      </c>
      <c r="O63"/>
      <c r="P63"/>
      <c r="Q63"/>
      <c r="R63"/>
      <c r="S63"/>
      <c r="T63"/>
      <c r="U63"/>
    </row>
    <row r="64" spans="1:21" ht="15.75">
      <c r="A64" s="203" t="s">
        <v>47</v>
      </c>
      <c r="B64" s="239">
        <v>0.05</v>
      </c>
      <c r="C64" s="18"/>
      <c r="D64" s="18"/>
      <c r="E64" s="55"/>
      <c r="F64" s="18"/>
      <c r="G64" s="225" t="s">
        <v>69</v>
      </c>
      <c r="H64" s="198"/>
      <c r="I64" s="510">
        <v>0.03</v>
      </c>
      <c r="J64" s="518"/>
      <c r="O64"/>
      <c r="P64"/>
      <c r="Q64"/>
      <c r="R64"/>
      <c r="S64"/>
      <c r="T64"/>
      <c r="U64"/>
    </row>
    <row r="65" spans="1:21" ht="15.75">
      <c r="A65" s="56"/>
      <c r="B65" s="18"/>
      <c r="C65" s="18"/>
      <c r="D65" s="18"/>
      <c r="E65" s="55"/>
      <c r="F65" s="18"/>
      <c r="G65" s="203"/>
      <c r="H65" s="198"/>
      <c r="I65" s="18"/>
      <c r="J65" s="518"/>
      <c r="O65"/>
      <c r="P65"/>
      <c r="Q65"/>
      <c r="R65"/>
      <c r="S65"/>
      <c r="T65"/>
      <c r="U65"/>
    </row>
    <row r="66" spans="1:21" ht="15.75">
      <c r="A66" s="435" t="s">
        <v>279</v>
      </c>
      <c r="B66" s="18"/>
      <c r="C66" s="18"/>
      <c r="D66" s="18"/>
      <c r="E66" s="55"/>
      <c r="F66" s="18"/>
      <c r="G66" s="225" t="s">
        <v>198</v>
      </c>
      <c r="H66" s="198"/>
      <c r="I66" s="198"/>
      <c r="J66" s="518"/>
      <c r="O66"/>
      <c r="P66"/>
      <c r="Q66"/>
      <c r="R66"/>
      <c r="S66"/>
      <c r="T66"/>
      <c r="U66"/>
    </row>
    <row r="67" spans="1:21" ht="15.75">
      <c r="A67" s="434" t="s">
        <v>184</v>
      </c>
      <c r="B67" s="356">
        <v>36739</v>
      </c>
      <c r="C67" s="18"/>
      <c r="D67" s="18"/>
      <c r="E67" s="55"/>
      <c r="F67" s="18"/>
      <c r="G67" s="56"/>
      <c r="H67" s="18"/>
      <c r="I67" s="18"/>
      <c r="J67" s="518"/>
      <c r="O67"/>
      <c r="P67"/>
      <c r="Q67"/>
      <c r="R67"/>
      <c r="S67"/>
      <c r="T67"/>
      <c r="U67"/>
    </row>
    <row r="68" spans="1:21" ht="15.75">
      <c r="A68" s="203" t="s">
        <v>27</v>
      </c>
      <c r="B68" s="233">
        <v>0.5</v>
      </c>
      <c r="C68" s="298">
        <f>B68*D11</f>
        <v>15079.5</v>
      </c>
      <c r="D68" s="18"/>
      <c r="E68" s="55"/>
      <c r="F68" s="18"/>
      <c r="G68" s="203" t="s">
        <v>70</v>
      </c>
      <c r="H68" s="198"/>
      <c r="I68" s="511">
        <f>701.45</f>
        <v>701.45</v>
      </c>
      <c r="J68" s="527">
        <f>I108/$I$12</f>
        <v>0</v>
      </c>
      <c r="O68"/>
      <c r="P68"/>
      <c r="Q68"/>
      <c r="R68"/>
      <c r="S68"/>
      <c r="T68"/>
      <c r="U68"/>
    </row>
    <row r="69" spans="1:21" ht="16.5" thickBot="1">
      <c r="A69" s="205" t="s">
        <v>28</v>
      </c>
      <c r="B69" s="390">
        <f>1-B68</f>
        <v>0.5</v>
      </c>
      <c r="C69" s="299">
        <f>B69*D11</f>
        <v>15079.5</v>
      </c>
      <c r="D69" s="58"/>
      <c r="E69" s="144"/>
      <c r="F69" s="18"/>
      <c r="G69" s="203" t="s">
        <v>71</v>
      </c>
      <c r="H69" s="198"/>
      <c r="I69" s="511">
        <f>J70*I45/1000</f>
        <v>0.63230253333333342</v>
      </c>
      <c r="J69" s="527">
        <f>J76/$I$12</f>
        <v>6.1135371179039304E-4</v>
      </c>
      <c r="K69"/>
      <c r="L69"/>
      <c r="M69"/>
      <c r="N69"/>
      <c r="O69"/>
      <c r="P69"/>
      <c r="Q69"/>
      <c r="R69"/>
      <c r="S69"/>
      <c r="T69"/>
      <c r="U69"/>
    </row>
    <row r="70" spans="1:21" ht="16.5" thickBot="1">
      <c r="F70" s="18"/>
      <c r="G70" s="302" t="s">
        <v>285</v>
      </c>
      <c r="H70" s="18"/>
      <c r="I70" s="517"/>
      <c r="J70" s="520">
        <v>1.4087481804949056</v>
      </c>
      <c r="K70"/>
      <c r="L70"/>
      <c r="M70"/>
      <c r="N70"/>
      <c r="O70"/>
      <c r="P70"/>
      <c r="Q70"/>
      <c r="R70"/>
      <c r="S70"/>
      <c r="T70"/>
      <c r="U70"/>
    </row>
    <row r="71" spans="1:21" ht="15.75">
      <c r="A71" s="192" t="s">
        <v>65</v>
      </c>
      <c r="B71" s="226"/>
      <c r="C71" s="226"/>
      <c r="D71" s="226"/>
      <c r="E71" s="227"/>
      <c r="G71" s="302" t="s">
        <v>286</v>
      </c>
      <c r="H71" s="18"/>
      <c r="I71" s="517"/>
      <c r="J71" s="520">
        <v>1.4087481804949056</v>
      </c>
      <c r="K71"/>
      <c r="L71"/>
      <c r="M71"/>
      <c r="N71"/>
      <c r="O71"/>
      <c r="P71"/>
      <c r="Q71"/>
      <c r="R71"/>
      <c r="S71"/>
      <c r="T71"/>
      <c r="U71"/>
    </row>
    <row r="72" spans="1:21" ht="15.75">
      <c r="A72" s="203"/>
      <c r="B72" s="198"/>
      <c r="C72" s="198"/>
      <c r="D72" s="198"/>
      <c r="E72" s="204"/>
      <c r="F72" s="198"/>
      <c r="G72" s="203" t="s">
        <v>72</v>
      </c>
      <c r="H72" s="198"/>
      <c r="I72" s="503">
        <v>1349.28</v>
      </c>
      <c r="J72" s="527">
        <f>I72/$I$12</f>
        <v>11.784104803493449</v>
      </c>
      <c r="K72"/>
      <c r="L72"/>
      <c r="M72"/>
      <c r="N72"/>
      <c r="O72"/>
      <c r="P72"/>
      <c r="Q72"/>
      <c r="R72"/>
      <c r="S72"/>
      <c r="T72"/>
      <c r="U72"/>
    </row>
    <row r="73" spans="1:21" ht="15.75">
      <c r="A73" s="207" t="s">
        <v>6</v>
      </c>
      <c r="B73" s="212"/>
      <c r="C73" s="197" t="s">
        <v>68</v>
      </c>
      <c r="D73" s="197" t="s">
        <v>67</v>
      </c>
      <c r="E73" s="55"/>
      <c r="F73" s="198"/>
      <c r="G73" s="203" t="s">
        <v>73</v>
      </c>
      <c r="H73" s="198"/>
      <c r="I73" s="511">
        <f>255.76</f>
        <v>255.76</v>
      </c>
      <c r="J73" s="527">
        <f>I65/$I$12</f>
        <v>0</v>
      </c>
      <c r="K73"/>
      <c r="L73"/>
      <c r="M73"/>
      <c r="N73"/>
      <c r="O73"/>
      <c r="P73"/>
      <c r="Q73"/>
      <c r="R73"/>
      <c r="S73"/>
      <c r="T73"/>
      <c r="U73"/>
    </row>
    <row r="74" spans="1:21" ht="15.75">
      <c r="A74" s="56"/>
      <c r="B74" s="198"/>
      <c r="C74" s="213">
        <f>Debt!B96</f>
        <v>3.9815869525225884</v>
      </c>
      <c r="D74" s="213">
        <f>Debt!B97</f>
        <v>1.1714210901399755</v>
      </c>
      <c r="E74" s="55"/>
      <c r="F74" s="18"/>
      <c r="G74" s="203" t="s">
        <v>74</v>
      </c>
      <c r="H74" s="198"/>
      <c r="I74" s="511">
        <f>443.2203</f>
        <v>443.22030000000001</v>
      </c>
      <c r="J74" s="527">
        <f>I66/$I$12</f>
        <v>0</v>
      </c>
      <c r="K74"/>
      <c r="L74"/>
      <c r="M74"/>
      <c r="N74"/>
      <c r="O74"/>
      <c r="P74"/>
      <c r="Q74"/>
      <c r="R74"/>
      <c r="S74"/>
      <c r="T74"/>
      <c r="U74"/>
    </row>
    <row r="75" spans="1:21" ht="15.75">
      <c r="A75" s="56"/>
      <c r="B75" s="18"/>
      <c r="C75" s="18"/>
      <c r="D75" s="18"/>
      <c r="E75" s="55"/>
      <c r="F75" s="18"/>
      <c r="G75" s="203" t="s">
        <v>75</v>
      </c>
      <c r="H75" s="198"/>
      <c r="I75" s="511">
        <f>44.11203</f>
        <v>44.112029999999997</v>
      </c>
      <c r="J75" s="527">
        <f>I68/$I$12</f>
        <v>6.1262008733624462</v>
      </c>
      <c r="K75"/>
      <c r="L75"/>
      <c r="M75"/>
      <c r="N75"/>
      <c r="O75"/>
      <c r="P75"/>
      <c r="Q75"/>
      <c r="R75"/>
      <c r="S75"/>
      <c r="T75"/>
      <c r="U75"/>
    </row>
    <row r="76" spans="1:21" ht="15.75">
      <c r="A76" s="207" t="s">
        <v>315</v>
      </c>
      <c r="B76" s="198"/>
      <c r="C76" s="526" t="s">
        <v>316</v>
      </c>
      <c r="D76" s="198"/>
      <c r="E76" s="55"/>
      <c r="F76" s="18"/>
      <c r="G76" s="203" t="s">
        <v>88</v>
      </c>
      <c r="H76" s="18"/>
      <c r="I76" s="517"/>
      <c r="J76" s="520">
        <v>7.0000000000000007E-2</v>
      </c>
      <c r="K76"/>
      <c r="L76"/>
      <c r="M76"/>
      <c r="N76"/>
      <c r="O76"/>
      <c r="P76"/>
      <c r="Q76"/>
      <c r="R76"/>
      <c r="S76"/>
      <c r="T76"/>
      <c r="U76"/>
    </row>
    <row r="77" spans="1:21" ht="15.75">
      <c r="A77" s="203" t="s">
        <v>313</v>
      </c>
      <c r="B77" s="198"/>
      <c r="C77" s="215">
        <f>E31</f>
        <v>1066.1726200873361</v>
      </c>
      <c r="D77" s="198"/>
      <c r="E77" s="55"/>
      <c r="F77" s="18"/>
      <c r="G77" s="203" t="s">
        <v>76</v>
      </c>
      <c r="H77" s="198"/>
      <c r="I77" s="511">
        <v>152.94117647058826</v>
      </c>
      <c r="J77" s="527">
        <f>I72/$I$12</f>
        <v>11.784104803493449</v>
      </c>
      <c r="K77"/>
      <c r="L77"/>
      <c r="M77"/>
      <c r="N77"/>
      <c r="O77"/>
      <c r="P77"/>
      <c r="Q77"/>
      <c r="R77"/>
      <c r="S77"/>
      <c r="T77"/>
      <c r="U77"/>
    </row>
    <row r="78" spans="1:21" ht="15.75">
      <c r="A78" s="203" t="s">
        <v>314</v>
      </c>
      <c r="B78" s="18"/>
      <c r="C78" s="215">
        <f>SUM(E34:E41)</f>
        <v>60.791266375545852</v>
      </c>
      <c r="D78" s="18"/>
      <c r="E78" s="55"/>
      <c r="F78" s="18"/>
      <c r="G78" s="203" t="s">
        <v>77</v>
      </c>
      <c r="H78" s="198"/>
      <c r="I78" s="511">
        <v>200</v>
      </c>
      <c r="J78" s="527">
        <f>I73/$I$12</f>
        <v>2.2337117903930128</v>
      </c>
      <c r="K78"/>
      <c r="L78"/>
      <c r="M78"/>
      <c r="N78"/>
      <c r="O78"/>
      <c r="P78"/>
      <c r="Q78"/>
      <c r="R78"/>
      <c r="S78"/>
      <c r="T78"/>
      <c r="U78"/>
    </row>
    <row r="79" spans="1:21" ht="16.5" thickBot="1">
      <c r="A79" s="207" t="s">
        <v>3</v>
      </c>
      <c r="B79" s="18"/>
      <c r="C79" s="215">
        <f>SUM(J64:J83)</f>
        <v>37.898685675143419</v>
      </c>
      <c r="D79" s="18"/>
      <c r="E79" s="55"/>
      <c r="F79" s="18"/>
      <c r="G79" s="203"/>
      <c r="H79" s="198"/>
      <c r="I79" s="198"/>
      <c r="J79" s="518"/>
      <c r="K79"/>
      <c r="L79"/>
      <c r="M79"/>
      <c r="N79"/>
      <c r="O79"/>
      <c r="P79"/>
      <c r="Q79"/>
      <c r="R79"/>
      <c r="S79"/>
      <c r="T79"/>
      <c r="U79"/>
    </row>
    <row r="80" spans="1:21" ht="16.5" thickBot="1">
      <c r="A80" s="203" t="s">
        <v>34</v>
      </c>
      <c r="B80" s="18"/>
      <c r="C80" s="521">
        <f>SUM(C77:C79)</f>
        <v>1164.8625721380254</v>
      </c>
      <c r="D80" s="18"/>
      <c r="E80" s="55"/>
      <c r="F80" s="18"/>
      <c r="G80" s="225" t="s">
        <v>199</v>
      </c>
      <c r="H80" s="198"/>
      <c r="I80" s="198"/>
      <c r="J80" s="518"/>
      <c r="K80"/>
      <c r="L80"/>
      <c r="M80"/>
      <c r="N80"/>
      <c r="O80"/>
      <c r="P80"/>
      <c r="Q80"/>
      <c r="R80"/>
      <c r="S80"/>
      <c r="T80"/>
      <c r="U80"/>
    </row>
    <row r="81" spans="1:21" ht="15.75">
      <c r="A81" s="56"/>
      <c r="B81" s="18"/>
      <c r="C81" s="18"/>
      <c r="D81" s="18"/>
      <c r="E81" s="55"/>
      <c r="F81" s="18"/>
      <c r="G81" s="203" t="s">
        <v>311</v>
      </c>
      <c r="H81" s="18"/>
      <c r="I81" s="517"/>
      <c r="J81" s="527">
        <f>I77/$I$12</f>
        <v>1.3357307988697664</v>
      </c>
      <c r="K81"/>
      <c r="L81"/>
      <c r="M81"/>
      <c r="N81"/>
      <c r="O81"/>
      <c r="P81"/>
      <c r="Q81"/>
      <c r="R81"/>
      <c r="S81"/>
      <c r="T81"/>
      <c r="U81"/>
    </row>
    <row r="82" spans="1:21" ht="15.75">
      <c r="A82" s="56"/>
      <c r="B82" s="18"/>
      <c r="C82" s="18"/>
      <c r="D82" s="18"/>
      <c r="E82" s="55"/>
      <c r="F82" s="63"/>
      <c r="G82" s="203" t="s">
        <v>200</v>
      </c>
      <c r="H82" s="198"/>
      <c r="I82" s="511">
        <v>844.78697579030927</v>
      </c>
      <c r="J82" s="527">
        <f>I78/$I$12</f>
        <v>1.7467248908296944</v>
      </c>
      <c r="K82"/>
      <c r="L82"/>
      <c r="M82"/>
      <c r="N82"/>
      <c r="O82"/>
      <c r="P82"/>
      <c r="Q82"/>
      <c r="R82"/>
      <c r="S82"/>
      <c r="T82"/>
      <c r="U82"/>
    </row>
    <row r="83" spans="1:21" ht="16.5" thickBot="1">
      <c r="A83" s="207" t="s">
        <v>194</v>
      </c>
      <c r="B83" s="18"/>
      <c r="C83" s="18"/>
      <c r="D83" s="18"/>
      <c r="E83" s="55"/>
      <c r="G83" s="205" t="s">
        <v>312</v>
      </c>
      <c r="H83" s="58"/>
      <c r="I83" s="519"/>
      <c r="J83" s="528">
        <f>I79/$I$12</f>
        <v>0</v>
      </c>
      <c r="K83"/>
      <c r="L83"/>
      <c r="M83"/>
      <c r="N83"/>
      <c r="O83"/>
      <c r="P83"/>
      <c r="Q83"/>
      <c r="R83"/>
      <c r="S83"/>
      <c r="T83"/>
      <c r="U83"/>
    </row>
    <row r="84" spans="1:21" ht="15.75">
      <c r="A84" s="203" t="s">
        <v>247</v>
      </c>
      <c r="B84" s="198"/>
      <c r="C84" s="301">
        <f>CF!D47</f>
        <v>0.26886137127876286</v>
      </c>
      <c r="D84" s="18"/>
      <c r="E84" s="55"/>
      <c r="F84" s="198"/>
      <c r="J84" s="497"/>
      <c r="K84"/>
      <c r="L84"/>
      <c r="M84"/>
      <c r="N84"/>
      <c r="O84"/>
      <c r="P84"/>
      <c r="Q84"/>
      <c r="R84"/>
      <c r="S84"/>
      <c r="T84"/>
      <c r="U84"/>
    </row>
    <row r="85" spans="1:21" ht="15.75">
      <c r="A85" s="203" t="s">
        <v>280</v>
      </c>
      <c r="B85" s="18"/>
      <c r="C85" s="301">
        <f>CF!D53</f>
        <v>0.26886137127876286</v>
      </c>
      <c r="D85" s="198"/>
      <c r="E85" s="55"/>
      <c r="F85" s="198"/>
      <c r="K85"/>
      <c r="L85"/>
      <c r="M85"/>
      <c r="N85"/>
      <c r="O85"/>
      <c r="P85"/>
      <c r="Q85"/>
      <c r="R85"/>
      <c r="S85"/>
      <c r="T85"/>
      <c r="U85"/>
    </row>
    <row r="86" spans="1:21" ht="15.75">
      <c r="A86" s="203"/>
      <c r="B86" s="198"/>
      <c r="C86" s="301"/>
      <c r="D86" s="198"/>
      <c r="E86" s="55"/>
      <c r="F86" s="198"/>
      <c r="K86"/>
      <c r="L86"/>
      <c r="M86"/>
      <c r="N86"/>
      <c r="O86"/>
      <c r="P86"/>
      <c r="Q86"/>
      <c r="R86"/>
      <c r="S86"/>
      <c r="T86"/>
      <c r="U86"/>
    </row>
    <row r="87" spans="1:21" ht="15.75">
      <c r="A87" s="203"/>
      <c r="B87" s="220"/>
      <c r="C87" s="214"/>
      <c r="D87" s="301"/>
      <c r="E87" s="204"/>
      <c r="F87" s="198"/>
      <c r="K87"/>
      <c r="L87"/>
      <c r="M87"/>
      <c r="N87"/>
      <c r="O87"/>
      <c r="P87"/>
      <c r="Q87"/>
      <c r="R87"/>
      <c r="S87"/>
      <c r="T87"/>
      <c r="U87"/>
    </row>
    <row r="88" spans="1:21" ht="15.75">
      <c r="A88" s="207" t="s">
        <v>195</v>
      </c>
      <c r="B88" s="197">
        <v>2000</v>
      </c>
      <c r="C88" s="197">
        <v>2001</v>
      </c>
      <c r="D88" s="197">
        <v>2002</v>
      </c>
      <c r="E88" s="360">
        <v>2003</v>
      </c>
      <c r="F88" s="18"/>
      <c r="K88"/>
      <c r="L88"/>
      <c r="M88"/>
      <c r="N88"/>
      <c r="O88"/>
      <c r="P88"/>
    </row>
    <row r="89" spans="1:21" ht="15.75">
      <c r="A89" s="203" t="s">
        <v>248</v>
      </c>
      <c r="B89" s="215">
        <f>IS!E42</f>
        <v>19038.481259796885</v>
      </c>
      <c r="C89" s="215">
        <f>IS!F42</f>
        <v>19018.841234105948</v>
      </c>
      <c r="D89" s="215">
        <f>IS!G42</f>
        <v>18998.213908741913</v>
      </c>
      <c r="E89" s="352">
        <f>IS!H42</f>
        <v>24917.145435037673</v>
      </c>
      <c r="F89" s="198"/>
      <c r="K89"/>
      <c r="L89"/>
      <c r="M89"/>
      <c r="N89"/>
      <c r="O89"/>
      <c r="P89"/>
    </row>
    <row r="90" spans="1:21" ht="15.75">
      <c r="A90" s="203" t="s">
        <v>249</v>
      </c>
      <c r="B90" s="215">
        <f>IS!E55</f>
        <v>8211.9430664108986</v>
      </c>
      <c r="C90" s="215">
        <f>IS!F55</f>
        <v>8199.9430107137341</v>
      </c>
      <c r="D90" s="215">
        <f>IS!G55</f>
        <v>8187.3397149163093</v>
      </c>
      <c r="E90" s="352">
        <f>IS!H55</f>
        <v>11803.806877483021</v>
      </c>
      <c r="F90" s="198"/>
      <c r="K90"/>
      <c r="L90"/>
      <c r="M90"/>
      <c r="N90"/>
      <c r="O90"/>
      <c r="P90"/>
    </row>
    <row r="91" spans="1:21" ht="15.75">
      <c r="A91" s="203" t="s">
        <v>250</v>
      </c>
      <c r="B91" s="215">
        <f>CF!E18</f>
        <v>7035.6758222968847</v>
      </c>
      <c r="C91" s="215">
        <f>CF!F18</f>
        <v>7395.4520866059484</v>
      </c>
      <c r="D91" s="215">
        <f>CF!G18</f>
        <v>7754.2410512419137</v>
      </c>
      <c r="E91" s="352">
        <f>CF!H18</f>
        <v>14052.588867537674</v>
      </c>
      <c r="F91" s="18"/>
      <c r="K91"/>
      <c r="L91"/>
      <c r="M91"/>
      <c r="N91"/>
      <c r="O91"/>
      <c r="P91"/>
    </row>
    <row r="92" spans="1:21" ht="16.5" thickBot="1">
      <c r="A92" s="205" t="s">
        <v>251</v>
      </c>
      <c r="B92" s="216">
        <f>CF!E23</f>
        <v>4203.3116096608965</v>
      </c>
      <c r="C92" s="216">
        <f>CF!F23</f>
        <v>4115.5141768712347</v>
      </c>
      <c r="D92" s="216">
        <f>CF!G23</f>
        <v>4075.0307320963093</v>
      </c>
      <c r="E92" s="449">
        <f>CF!H23</f>
        <v>7701.9515281775202</v>
      </c>
      <c r="F92" s="18"/>
      <c r="K92"/>
      <c r="L92"/>
      <c r="M92"/>
      <c r="N92"/>
      <c r="O92"/>
      <c r="P92"/>
    </row>
    <row r="93" spans="1:21" ht="15.75">
      <c r="F93" s="198"/>
      <c r="K93"/>
      <c r="L93"/>
      <c r="M93"/>
      <c r="N93"/>
      <c r="O93"/>
      <c r="P93"/>
    </row>
    <row r="94" spans="1:21" ht="15.75">
      <c r="F94" s="198"/>
      <c r="K94"/>
      <c r="L94"/>
      <c r="M94"/>
      <c r="N94"/>
      <c r="O94"/>
      <c r="P94"/>
    </row>
    <row r="95" spans="1:21" ht="15.75">
      <c r="D95"/>
      <c r="E95"/>
      <c r="F95" s="198"/>
      <c r="K95"/>
      <c r="L95"/>
      <c r="M95"/>
      <c r="N95"/>
      <c r="O95"/>
      <c r="P95"/>
    </row>
    <row r="96" spans="1:21" ht="15.75">
      <c r="D96"/>
      <c r="E96"/>
      <c r="F96" s="197"/>
      <c r="K96"/>
      <c r="L96"/>
      <c r="M96"/>
      <c r="N96"/>
      <c r="O96"/>
      <c r="P96"/>
    </row>
    <row r="97" spans="4:16" ht="15.75">
      <c r="D97"/>
      <c r="E97"/>
      <c r="F97" s="215"/>
      <c r="K97"/>
      <c r="L97"/>
      <c r="M97"/>
      <c r="N97"/>
      <c r="O97"/>
      <c r="P97"/>
    </row>
    <row r="98" spans="4:16" ht="15.75">
      <c r="D98"/>
      <c r="E98"/>
      <c r="F98" s="215"/>
      <c r="K98"/>
      <c r="L98"/>
      <c r="M98"/>
      <c r="N98"/>
      <c r="O98"/>
      <c r="P98"/>
    </row>
    <row r="99" spans="4:16" ht="15.75">
      <c r="D99"/>
      <c r="E99"/>
      <c r="F99" s="215"/>
      <c r="J99" s="497"/>
      <c r="K99"/>
      <c r="L99"/>
      <c r="M99"/>
      <c r="N99"/>
      <c r="O99"/>
      <c r="P99"/>
    </row>
    <row r="100" spans="4:16" ht="15.75">
      <c r="D100"/>
      <c r="E100"/>
      <c r="F100" s="215"/>
      <c r="J100" s="325"/>
      <c r="K100"/>
      <c r="L100"/>
      <c r="M100"/>
      <c r="N100"/>
      <c r="O100"/>
      <c r="P100"/>
    </row>
    <row r="101" spans="4:16" ht="15.75">
      <c r="D101"/>
      <c r="E101"/>
      <c r="J101" s="325"/>
      <c r="K101"/>
      <c r="L101"/>
      <c r="M101"/>
      <c r="N101"/>
      <c r="O101"/>
      <c r="P101"/>
    </row>
    <row r="102" spans="4:16">
      <c r="D102"/>
      <c r="E102"/>
      <c r="G102"/>
      <c r="H102"/>
      <c r="I102"/>
      <c r="J102"/>
      <c r="K102"/>
      <c r="L102"/>
      <c r="M102"/>
      <c r="N102"/>
      <c r="O102"/>
      <c r="P102"/>
    </row>
    <row r="103" spans="4:16">
      <c r="G103"/>
      <c r="H103"/>
      <c r="I103"/>
      <c r="J103"/>
      <c r="K103"/>
      <c r="L103"/>
      <c r="M103"/>
      <c r="N103"/>
      <c r="O103"/>
      <c r="P103"/>
    </row>
    <row r="104" spans="4:16">
      <c r="G104"/>
      <c r="H104"/>
      <c r="I104"/>
      <c r="J104"/>
      <c r="K104"/>
      <c r="L104"/>
      <c r="M104"/>
      <c r="N104"/>
      <c r="O104"/>
      <c r="P104"/>
    </row>
    <row r="105" spans="4:16">
      <c r="G105"/>
      <c r="H105"/>
      <c r="I105"/>
      <c r="J105"/>
      <c r="K105"/>
      <c r="L105"/>
      <c r="M105"/>
      <c r="N105"/>
      <c r="O105"/>
      <c r="P105"/>
    </row>
    <row r="106" spans="4:16">
      <c r="G106"/>
      <c r="H106"/>
      <c r="I106"/>
      <c r="J106"/>
      <c r="K106"/>
      <c r="L106"/>
      <c r="M106"/>
      <c r="N106"/>
      <c r="O106"/>
      <c r="P106"/>
    </row>
    <row r="107" spans="4:16">
      <c r="G107"/>
      <c r="H107"/>
      <c r="I107"/>
      <c r="J107"/>
      <c r="K107"/>
      <c r="L107"/>
      <c r="M107"/>
      <c r="N107"/>
      <c r="O107"/>
      <c r="P107"/>
    </row>
    <row r="108" spans="4:16">
      <c r="G108"/>
      <c r="H108"/>
      <c r="I108"/>
      <c r="J108"/>
      <c r="K108"/>
      <c r="L108"/>
      <c r="M108"/>
      <c r="N108"/>
      <c r="O108"/>
      <c r="P108"/>
    </row>
    <row r="109" spans="4:16">
      <c r="G109"/>
      <c r="H109"/>
      <c r="I109"/>
      <c r="J109"/>
      <c r="K109"/>
      <c r="L109"/>
      <c r="M109"/>
      <c r="N109"/>
      <c r="O109"/>
      <c r="P109"/>
    </row>
    <row r="110" spans="4:16">
      <c r="G110"/>
      <c r="H110"/>
      <c r="I110"/>
      <c r="J110"/>
      <c r="K110"/>
      <c r="L110"/>
      <c r="M110"/>
      <c r="N110"/>
      <c r="O110"/>
      <c r="P110"/>
    </row>
    <row r="111" spans="4:16">
      <c r="G111"/>
      <c r="H111"/>
      <c r="I111"/>
      <c r="J111"/>
      <c r="K111"/>
      <c r="L111"/>
      <c r="M111"/>
      <c r="N111"/>
      <c r="O111"/>
      <c r="P111"/>
    </row>
    <row r="112" spans="4:16">
      <c r="G112"/>
      <c r="H112"/>
      <c r="I112"/>
      <c r="J112"/>
      <c r="K112"/>
      <c r="L112"/>
      <c r="M112"/>
      <c r="N112"/>
      <c r="O112"/>
      <c r="P112"/>
    </row>
    <row r="113" spans="4:26">
      <c r="G113"/>
      <c r="H113"/>
      <c r="I113"/>
      <c r="J113"/>
      <c r="K113"/>
      <c r="L113"/>
      <c r="M113"/>
      <c r="N113"/>
      <c r="O113"/>
      <c r="P113"/>
    </row>
    <row r="114" spans="4:26">
      <c r="K114"/>
      <c r="L114"/>
      <c r="M114"/>
      <c r="N114"/>
      <c r="O114"/>
      <c r="P114"/>
    </row>
    <row r="115" spans="4:26">
      <c r="D115"/>
      <c r="E115"/>
      <c r="K115"/>
      <c r="L115"/>
      <c r="M115"/>
      <c r="N115"/>
      <c r="O115"/>
      <c r="P115"/>
    </row>
    <row r="116" spans="4:26" ht="15.75">
      <c r="J116" s="325"/>
      <c r="K116"/>
      <c r="L116"/>
      <c r="M116"/>
      <c r="N116"/>
      <c r="O116"/>
      <c r="P116"/>
    </row>
    <row r="117" spans="4:26" ht="15.75">
      <c r="J117" s="325"/>
      <c r="K117"/>
      <c r="L117"/>
      <c r="M117"/>
      <c r="N117"/>
      <c r="O117"/>
      <c r="P117"/>
    </row>
    <row r="118" spans="4:26" ht="15.75">
      <c r="J118" s="325"/>
      <c r="K118"/>
      <c r="L118"/>
      <c r="M118"/>
      <c r="N118"/>
      <c r="O118"/>
      <c r="P118"/>
    </row>
    <row r="119" spans="4:26" ht="15.75">
      <c r="J119" s="325"/>
      <c r="K119"/>
      <c r="L119"/>
      <c r="M119"/>
      <c r="N119"/>
      <c r="O119"/>
      <c r="P119"/>
    </row>
    <row r="120" spans="4:26" ht="15.75">
      <c r="J120" s="325"/>
      <c r="K120"/>
      <c r="L120"/>
      <c r="M120"/>
      <c r="N120"/>
      <c r="O120"/>
      <c r="P120"/>
    </row>
    <row r="121" spans="4:26" ht="15.75">
      <c r="J121" s="325"/>
      <c r="K121"/>
      <c r="L121"/>
      <c r="M121"/>
      <c r="N121"/>
      <c r="O121"/>
      <c r="P121"/>
    </row>
    <row r="122" spans="4:26" ht="15.75">
      <c r="J122" s="325"/>
      <c r="K122"/>
      <c r="L122"/>
      <c r="M122"/>
      <c r="N122"/>
      <c r="O122"/>
      <c r="P122"/>
    </row>
    <row r="123" spans="4:26" ht="15.75">
      <c r="J123" s="325"/>
      <c r="K123"/>
      <c r="L123"/>
      <c r="M123"/>
      <c r="N123"/>
      <c r="O123"/>
      <c r="P123"/>
    </row>
    <row r="124" spans="4:26">
      <c r="K124"/>
      <c r="L124"/>
      <c r="M124"/>
      <c r="N124"/>
      <c r="O124"/>
      <c r="P124"/>
    </row>
    <row r="128" spans="4:26"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0:26"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0:26" ht="15.75">
      <c r="J130"/>
      <c r="K130" s="32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0:26">
      <c r="J131"/>
      <c r="K131" s="18"/>
      <c r="L131" s="18"/>
      <c r="M131" s="153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0:26">
      <c r="J132"/>
      <c r="K132" s="18"/>
      <c r="L132" s="18"/>
      <c r="M132" s="153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0:26">
      <c r="J133"/>
      <c r="K133" s="18"/>
      <c r="L133" s="18"/>
      <c r="M133" s="153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0:26" ht="15.75">
      <c r="J134"/>
      <c r="K134" s="18"/>
      <c r="L134" s="18"/>
      <c r="M134" s="320"/>
      <c r="N134" s="319"/>
      <c r="O134" s="319"/>
      <c r="P134" s="319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0:26" ht="15.75">
      <c r="J135"/>
      <c r="K135" s="319"/>
      <c r="L135" s="319"/>
      <c r="M135" s="318"/>
      <c r="N135" s="321"/>
      <c r="O135" s="321"/>
      <c r="P135" s="3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0:26" ht="15.75">
      <c r="J136"/>
      <c r="K136" s="321"/>
      <c r="L136" s="321"/>
      <c r="M136" s="323"/>
      <c r="N136" s="322"/>
      <c r="O136" s="322"/>
      <c r="P136" s="322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0:26" ht="15.75">
      <c r="J137"/>
      <c r="K137" s="322"/>
      <c r="L137" s="322"/>
      <c r="M137" s="323"/>
      <c r="N137" s="322"/>
      <c r="O137" s="322"/>
      <c r="P137" s="322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0:26" ht="15.75">
      <c r="J138"/>
      <c r="K138" s="322"/>
      <c r="L138" s="322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0:26">
      <c r="J139"/>
      <c r="K139" s="18"/>
      <c r="L139" s="18"/>
    </row>
    <row r="140" spans="10:26">
      <c r="J140"/>
    </row>
    <row r="141" spans="10:26" ht="15.75">
      <c r="J141"/>
      <c r="K141" s="326"/>
    </row>
    <row r="142" spans="10:26">
      <c r="J142"/>
      <c r="K142" s="18"/>
    </row>
    <row r="143" spans="10:26">
      <c r="J143"/>
      <c r="K143" s="18"/>
    </row>
    <row r="144" spans="10:26">
      <c r="J144"/>
      <c r="K144" s="18"/>
    </row>
    <row r="145" spans="4:11">
      <c r="J145"/>
      <c r="K145" s="18"/>
    </row>
    <row r="146" spans="4:11">
      <c r="J146"/>
      <c r="K146" s="18"/>
    </row>
    <row r="147" spans="4:11">
      <c r="J147"/>
      <c r="K147" s="18"/>
    </row>
    <row r="148" spans="4:11" ht="15.75">
      <c r="J148"/>
      <c r="K148" s="319"/>
    </row>
    <row r="149" spans="4:11" ht="15.75">
      <c r="J149"/>
      <c r="K149" s="321"/>
    </row>
    <row r="150" spans="4:11" ht="15.75">
      <c r="J150"/>
      <c r="K150" s="322"/>
    </row>
    <row r="151" spans="4:11" ht="15.75">
      <c r="J151"/>
      <c r="K151" s="322"/>
    </row>
    <row r="152" spans="4:11">
      <c r="J152"/>
    </row>
    <row r="153" spans="4:11">
      <c r="J153"/>
    </row>
    <row r="154" spans="4:11">
      <c r="J154"/>
    </row>
    <row r="155" spans="4:11">
      <c r="J155"/>
    </row>
    <row r="156" spans="4:11">
      <c r="J156"/>
    </row>
    <row r="157" spans="4:11">
      <c r="G157"/>
      <c r="H157"/>
      <c r="I157"/>
      <c r="J157"/>
    </row>
    <row r="158" spans="4:11">
      <c r="G158"/>
      <c r="H158"/>
      <c r="I158"/>
    </row>
    <row r="159" spans="4:11">
      <c r="D159"/>
      <c r="E159"/>
      <c r="G159"/>
      <c r="H159"/>
      <c r="I159"/>
    </row>
    <row r="160" spans="4:11">
      <c r="D160"/>
      <c r="E160"/>
      <c r="G160"/>
      <c r="H160"/>
      <c r="I160"/>
    </row>
    <row r="161" spans="4:9">
      <c r="D161"/>
      <c r="E161"/>
      <c r="G161"/>
      <c r="H161"/>
      <c r="I161"/>
    </row>
    <row r="162" spans="4:9">
      <c r="D162"/>
      <c r="E162"/>
      <c r="G162"/>
      <c r="H162"/>
      <c r="I162"/>
    </row>
    <row r="165" spans="4:9">
      <c r="G165"/>
      <c r="H165"/>
      <c r="I165"/>
    </row>
    <row r="166" spans="4:9">
      <c r="G166"/>
      <c r="H166"/>
      <c r="I166"/>
    </row>
    <row r="167" spans="4:9">
      <c r="G167"/>
      <c r="H167"/>
      <c r="I167"/>
    </row>
    <row r="168" spans="4:9">
      <c r="G168"/>
      <c r="H168"/>
      <c r="I168"/>
    </row>
    <row r="169" spans="4:9">
      <c r="G169"/>
      <c r="H169"/>
      <c r="I169"/>
    </row>
    <row r="170" spans="4:9">
      <c r="G170"/>
      <c r="H170"/>
      <c r="I170"/>
    </row>
  </sheetData>
  <pageMargins left="0.75" right="0.75" top="1" bottom="1" header="0.5" footer="0.5"/>
  <pageSetup scale="33" firstPageNumber="2" orientation="landscape" copies="2" r:id="rId1"/>
  <headerFooter alignWithMargins="0">
    <oddFooter xml:space="preserve">&amp;L&amp;T, &amp;D&amp;C&amp;F&amp;R&amp;P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zoomScale="75" zoomScaleNormal="75" workbookViewId="0"/>
  </sheetViews>
  <sheetFormatPr defaultColWidth="9.28515625" defaultRowHeight="15.75"/>
  <cols>
    <col min="1" max="1" width="9.5703125" style="63" customWidth="1"/>
    <col min="2" max="2" width="37.28515625" style="63" bestFit="1" customWidth="1"/>
    <col min="3" max="3" width="11.140625" style="63" customWidth="1"/>
    <col min="4" max="4" width="3.7109375" style="63" customWidth="1"/>
    <col min="5" max="9" width="9.85546875" style="63" customWidth="1"/>
    <col min="10" max="11" width="11.5703125" style="63" customWidth="1"/>
    <col min="12" max="12" width="10.28515625" style="63" customWidth="1"/>
    <col min="13" max="26" width="9.85546875" style="63" customWidth="1"/>
    <col min="27" max="16384" width="9.28515625" style="63"/>
  </cols>
  <sheetData>
    <row r="2" spans="1:27" ht="18.75">
      <c r="A2" s="157" t="str">
        <f>Assumptions!A3</f>
        <v>PROJECT NAME:</v>
      </c>
    </row>
    <row r="3" spans="1:27" ht="12" customHeight="1">
      <c r="A3" s="38"/>
      <c r="E3" s="240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 spans="1:27" ht="18.75">
      <c r="A4" s="358" t="s">
        <v>233</v>
      </c>
      <c r="B4" s="242"/>
      <c r="C4" s="120"/>
      <c r="D4" s="120"/>
      <c r="E4" s="240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</row>
    <row r="5" spans="1:27"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7">
      <c r="A6" s="280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</row>
    <row r="7" spans="1:27">
      <c r="A7" s="280"/>
      <c r="B7" s="253" t="s">
        <v>202</v>
      </c>
      <c r="C7" s="451">
        <f>Assumptions!I64</f>
        <v>0.03</v>
      </c>
      <c r="D7" s="264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</row>
    <row r="8" spans="1:27">
      <c r="A8" s="198"/>
      <c r="B8" s="243"/>
      <c r="C8" s="244"/>
      <c r="D8" s="244"/>
      <c r="E8" s="198"/>
      <c r="F8" s="198"/>
      <c r="G8" s="198"/>
      <c r="H8" s="198"/>
      <c r="I8" s="245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</row>
    <row r="9" spans="1:27">
      <c r="A9" s="279"/>
      <c r="B9" s="198"/>
      <c r="C9" s="198"/>
      <c r="D9" s="198"/>
      <c r="E9" s="246"/>
      <c r="F9" s="455">
        <f>(Assumptions!I17/12)</f>
        <v>0.5</v>
      </c>
      <c r="G9" s="455">
        <f>F9+1</f>
        <v>1.5</v>
      </c>
      <c r="H9" s="455">
        <f t="shared" ref="H9:AA9" si="0">G9+1</f>
        <v>2.5</v>
      </c>
      <c r="I9" s="455">
        <f t="shared" si="0"/>
        <v>3.5</v>
      </c>
      <c r="J9" s="455">
        <f t="shared" si="0"/>
        <v>4.5</v>
      </c>
      <c r="K9" s="455">
        <f t="shared" si="0"/>
        <v>5.5</v>
      </c>
      <c r="L9" s="455">
        <f t="shared" si="0"/>
        <v>6.5</v>
      </c>
      <c r="M9" s="455">
        <f t="shared" si="0"/>
        <v>7.5</v>
      </c>
      <c r="N9" s="455">
        <f t="shared" si="0"/>
        <v>8.5</v>
      </c>
      <c r="O9" s="455">
        <f t="shared" si="0"/>
        <v>9.5</v>
      </c>
      <c r="P9" s="455">
        <f t="shared" si="0"/>
        <v>10.5</v>
      </c>
      <c r="Q9" s="455">
        <f t="shared" si="0"/>
        <v>11.5</v>
      </c>
      <c r="R9" s="455">
        <f t="shared" si="0"/>
        <v>12.5</v>
      </c>
      <c r="S9" s="455">
        <f t="shared" si="0"/>
        <v>13.5</v>
      </c>
      <c r="T9" s="455">
        <f t="shared" si="0"/>
        <v>14.5</v>
      </c>
      <c r="U9" s="455">
        <f t="shared" si="0"/>
        <v>15.5</v>
      </c>
      <c r="V9" s="455">
        <f t="shared" si="0"/>
        <v>16.5</v>
      </c>
      <c r="W9" s="455">
        <f t="shared" si="0"/>
        <v>17.5</v>
      </c>
      <c r="X9" s="455">
        <f t="shared" si="0"/>
        <v>18.5</v>
      </c>
      <c r="Y9" s="455">
        <f t="shared" si="0"/>
        <v>19.5</v>
      </c>
      <c r="Z9" s="455">
        <f t="shared" si="0"/>
        <v>20.5</v>
      </c>
      <c r="AA9" s="455">
        <f t="shared" si="0"/>
        <v>21.5</v>
      </c>
    </row>
    <row r="10" spans="1:27">
      <c r="A10" s="198"/>
      <c r="B10" s="198"/>
      <c r="C10" s="198"/>
      <c r="D10" s="198"/>
      <c r="E10" s="247"/>
      <c r="F10" s="247">
        <f>YEAR(Assumptions!I16)</f>
        <v>1999</v>
      </c>
      <c r="G10" s="247">
        <f t="shared" ref="G10:Z10" si="1">F10+1</f>
        <v>2000</v>
      </c>
      <c r="H10" s="247">
        <f t="shared" si="1"/>
        <v>2001</v>
      </c>
      <c r="I10" s="247">
        <f t="shared" si="1"/>
        <v>2002</v>
      </c>
      <c r="J10" s="247">
        <f t="shared" si="1"/>
        <v>2003</v>
      </c>
      <c r="K10" s="247">
        <f t="shared" si="1"/>
        <v>2004</v>
      </c>
      <c r="L10" s="247">
        <f t="shared" si="1"/>
        <v>2005</v>
      </c>
      <c r="M10" s="247">
        <f t="shared" si="1"/>
        <v>2006</v>
      </c>
      <c r="N10" s="247">
        <f t="shared" si="1"/>
        <v>2007</v>
      </c>
      <c r="O10" s="247">
        <f t="shared" si="1"/>
        <v>2008</v>
      </c>
      <c r="P10" s="247">
        <f t="shared" si="1"/>
        <v>2009</v>
      </c>
      <c r="Q10" s="247">
        <f t="shared" si="1"/>
        <v>2010</v>
      </c>
      <c r="R10" s="247">
        <f t="shared" si="1"/>
        <v>2011</v>
      </c>
      <c r="S10" s="247">
        <f t="shared" si="1"/>
        <v>2012</v>
      </c>
      <c r="T10" s="247">
        <f t="shared" si="1"/>
        <v>2013</v>
      </c>
      <c r="U10" s="247">
        <f t="shared" si="1"/>
        <v>2014</v>
      </c>
      <c r="V10" s="247">
        <f t="shared" si="1"/>
        <v>2015</v>
      </c>
      <c r="W10" s="247">
        <f t="shared" si="1"/>
        <v>2016</v>
      </c>
      <c r="X10" s="247">
        <f t="shared" si="1"/>
        <v>2017</v>
      </c>
      <c r="Y10" s="247">
        <f t="shared" si="1"/>
        <v>2018</v>
      </c>
      <c r="Z10" s="247">
        <f t="shared" si="1"/>
        <v>2019</v>
      </c>
      <c r="AA10" s="247">
        <f>Z10+1</f>
        <v>2020</v>
      </c>
    </row>
    <row r="11" spans="1:27">
      <c r="A11" s="198"/>
      <c r="B11" s="198"/>
      <c r="C11" s="198"/>
      <c r="D11" s="198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</row>
    <row r="12" spans="1:27">
      <c r="A12" s="281" t="s">
        <v>203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</row>
    <row r="13" spans="1:27">
      <c r="A13" s="198"/>
      <c r="B13" s="198" t="s">
        <v>207</v>
      </c>
      <c r="C13" s="248"/>
      <c r="D13" s="248"/>
      <c r="E13" s="249"/>
      <c r="F13" s="407">
        <v>62.135922330097088</v>
      </c>
      <c r="G13" s="407">
        <v>64</v>
      </c>
      <c r="H13" s="407">
        <v>62</v>
      </c>
      <c r="I13" s="407">
        <v>61</v>
      </c>
      <c r="J13" s="407">
        <v>59</v>
      </c>
      <c r="K13" s="407">
        <v>58</v>
      </c>
      <c r="L13" s="407">
        <v>57</v>
      </c>
      <c r="M13" s="407">
        <v>56</v>
      </c>
      <c r="N13" s="407">
        <v>56</v>
      </c>
      <c r="O13" s="407">
        <v>55</v>
      </c>
      <c r="P13" s="407">
        <v>55</v>
      </c>
      <c r="Q13" s="407">
        <v>54</v>
      </c>
      <c r="R13" s="407">
        <v>54</v>
      </c>
      <c r="S13" s="407">
        <v>53</v>
      </c>
      <c r="T13" s="407">
        <v>52</v>
      </c>
      <c r="U13" s="407">
        <v>51</v>
      </c>
      <c r="V13" s="407">
        <v>50</v>
      </c>
      <c r="W13" s="407">
        <v>49</v>
      </c>
      <c r="X13" s="407">
        <v>48</v>
      </c>
      <c r="Y13" s="407">
        <v>47</v>
      </c>
      <c r="Z13" s="407">
        <v>46</v>
      </c>
      <c r="AA13" s="407">
        <v>45</v>
      </c>
    </row>
    <row r="14" spans="1:27">
      <c r="A14" s="198"/>
      <c r="B14" s="198" t="s">
        <v>206</v>
      </c>
      <c r="C14" s="198"/>
      <c r="D14" s="198"/>
      <c r="E14" s="249"/>
      <c r="F14" s="407">
        <v>49.514563106796118</v>
      </c>
      <c r="G14" s="407">
        <v>51</v>
      </c>
      <c r="H14" s="407">
        <v>52</v>
      </c>
      <c r="I14" s="407">
        <v>52</v>
      </c>
      <c r="J14" s="407">
        <v>52</v>
      </c>
      <c r="K14" s="407">
        <v>52</v>
      </c>
      <c r="L14" s="407">
        <v>52</v>
      </c>
      <c r="M14" s="407">
        <v>50</v>
      </c>
      <c r="N14" s="407">
        <v>48</v>
      </c>
      <c r="O14" s="407">
        <v>45</v>
      </c>
      <c r="P14" s="407">
        <v>43</v>
      </c>
      <c r="Q14" s="407">
        <v>41</v>
      </c>
      <c r="R14" s="407">
        <v>40</v>
      </c>
      <c r="S14" s="407">
        <v>39</v>
      </c>
      <c r="T14" s="407">
        <v>37</v>
      </c>
      <c r="U14" s="407">
        <v>36</v>
      </c>
      <c r="V14" s="407">
        <v>35</v>
      </c>
      <c r="W14" s="407">
        <v>35</v>
      </c>
      <c r="X14" s="407">
        <v>35</v>
      </c>
      <c r="Y14" s="407">
        <v>34</v>
      </c>
      <c r="Z14" s="407">
        <v>34</v>
      </c>
      <c r="AA14" s="407">
        <v>34</v>
      </c>
    </row>
    <row r="15" spans="1:27">
      <c r="A15" s="198"/>
      <c r="B15" s="198"/>
      <c r="C15" s="198"/>
      <c r="D15" s="198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</row>
    <row r="16" spans="1:27">
      <c r="A16" s="281" t="s">
        <v>204</v>
      </c>
      <c r="B16" s="198"/>
      <c r="C16" s="198"/>
      <c r="D16" s="19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</row>
    <row r="17" spans="1:46">
      <c r="A17" s="198"/>
      <c r="B17" s="198" t="s">
        <v>205</v>
      </c>
      <c r="C17" s="251"/>
      <c r="D17" s="251"/>
      <c r="E17" s="249"/>
      <c r="F17" s="407">
        <v>65.92</v>
      </c>
      <c r="G17" s="407">
        <v>67.897599999999997</v>
      </c>
      <c r="H17" s="407">
        <v>67.749074000000007</v>
      </c>
      <c r="I17" s="407">
        <v>68.656037409999996</v>
      </c>
      <c r="J17" s="407">
        <v>68.397170383699986</v>
      </c>
      <c r="K17" s="407">
        <v>69.255033198682</v>
      </c>
      <c r="L17" s="407">
        <v>70.10281032921759</v>
      </c>
      <c r="M17" s="407">
        <v>70.939124557706492</v>
      </c>
      <c r="N17" s="407">
        <v>73.067298294437691</v>
      </c>
      <c r="O17" s="407">
        <v>73.915400863926692</v>
      </c>
      <c r="P17" s="407">
        <v>76.132862889844503</v>
      </c>
      <c r="Q17" s="407">
        <v>76.991087889693645</v>
      </c>
      <c r="R17" s="407">
        <v>79.300820526384456</v>
      </c>
      <c r="S17" s="407">
        <v>80.167255417320888</v>
      </c>
      <c r="T17" s="407">
        <v>81.014305663239753</v>
      </c>
      <c r="U17" s="407">
        <v>81.840028394038143</v>
      </c>
      <c r="V17" s="407">
        <v>82.642381613587531</v>
      </c>
      <c r="W17" s="407">
        <v>83.41922000075526</v>
      </c>
      <c r="X17" s="407">
        <v>84.168290547700821</v>
      </c>
      <c r="Y17" s="407">
        <v>84.88722802946242</v>
      </c>
      <c r="Z17" s="407">
        <v>85.573550298636789</v>
      </c>
      <c r="AA17" s="407">
        <v>86.224653398735114</v>
      </c>
    </row>
    <row r="18" spans="1:46">
      <c r="A18" s="198"/>
      <c r="B18" s="198" t="s">
        <v>206</v>
      </c>
      <c r="C18" s="198"/>
      <c r="D18" s="198"/>
      <c r="E18" s="249"/>
      <c r="F18" s="407">
        <v>52.53</v>
      </c>
      <c r="G18" s="407">
        <v>54.105899999999998</v>
      </c>
      <c r="H18" s="407">
        <v>56.821804</v>
      </c>
      <c r="I18" s="407">
        <v>58.526458119999994</v>
      </c>
      <c r="J18" s="407">
        <v>60.282251863599996</v>
      </c>
      <c r="K18" s="407">
        <v>62.090719419507991</v>
      </c>
      <c r="L18" s="407">
        <v>63.953441002093243</v>
      </c>
      <c r="M18" s="407">
        <v>63.338504069380789</v>
      </c>
      <c r="N18" s="407">
        <v>62.629112823803737</v>
      </c>
      <c r="O18" s="407">
        <v>60.476237070485482</v>
      </c>
      <c r="P18" s="407">
        <v>59.522056441151157</v>
      </c>
      <c r="Q18" s="407">
        <v>58.456196360693326</v>
      </c>
      <c r="R18" s="407">
        <v>58.741348538062553</v>
      </c>
      <c r="S18" s="407">
        <v>58.990999269349331</v>
      </c>
      <c r="T18" s="407">
        <v>57.644794414228286</v>
      </c>
      <c r="U18" s="407">
        <v>57.769431807556337</v>
      </c>
      <c r="V18" s="407">
        <v>57.849667129511275</v>
      </c>
      <c r="W18" s="407">
        <v>59.585157143396614</v>
      </c>
      <c r="X18" s="407">
        <v>61.372711857698505</v>
      </c>
      <c r="Y18" s="407">
        <v>61.407781978760056</v>
      </c>
      <c r="Z18" s="407">
        <v>63.250015438122844</v>
      </c>
      <c r="AA18" s="407">
        <v>65.14751590126653</v>
      </c>
    </row>
    <row r="19" spans="1:46">
      <c r="A19" s="198"/>
      <c r="B19" s="198"/>
      <c r="C19" s="198"/>
      <c r="D19" s="198"/>
      <c r="E19" s="198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</row>
    <row r="20" spans="1:46">
      <c r="A20" s="198">
        <v>1</v>
      </c>
      <c r="B20" s="198" t="s">
        <v>208</v>
      </c>
      <c r="C20" s="198"/>
      <c r="D20" s="198"/>
      <c r="E20" s="252"/>
      <c r="F20" s="252">
        <f>F17/12</f>
        <v>5.4933333333333332</v>
      </c>
      <c r="G20" s="252">
        <f t="shared" ref="G20:Z20" si="2">G17/12</f>
        <v>5.6581333333333328</v>
      </c>
      <c r="H20" s="252">
        <f t="shared" si="2"/>
        <v>5.6457561666666676</v>
      </c>
      <c r="I20" s="252">
        <f t="shared" si="2"/>
        <v>5.7213364508333333</v>
      </c>
      <c r="J20" s="252">
        <f t="shared" si="2"/>
        <v>5.6997641986416658</v>
      </c>
      <c r="K20" s="252">
        <f t="shared" si="2"/>
        <v>5.7712527665568336</v>
      </c>
      <c r="L20" s="252">
        <f t="shared" si="2"/>
        <v>5.8419008607681322</v>
      </c>
      <c r="M20" s="252">
        <f t="shared" si="2"/>
        <v>5.9115937131422074</v>
      </c>
      <c r="N20" s="252">
        <f t="shared" si="2"/>
        <v>6.088941524536474</v>
      </c>
      <c r="O20" s="252">
        <f t="shared" si="2"/>
        <v>6.1596167386605574</v>
      </c>
      <c r="P20" s="252">
        <f t="shared" si="2"/>
        <v>6.3444052408203753</v>
      </c>
      <c r="Q20" s="252">
        <f t="shared" si="2"/>
        <v>6.4159239908078041</v>
      </c>
      <c r="R20" s="252">
        <f t="shared" si="2"/>
        <v>6.6084017105320383</v>
      </c>
      <c r="S20" s="252">
        <f t="shared" si="2"/>
        <v>6.680604618110074</v>
      </c>
      <c r="T20" s="252">
        <f t="shared" si="2"/>
        <v>6.7511921386033125</v>
      </c>
      <c r="U20" s="252">
        <f t="shared" si="2"/>
        <v>6.8200023661698452</v>
      </c>
      <c r="V20" s="252">
        <f t="shared" si="2"/>
        <v>6.8868651344656273</v>
      </c>
      <c r="W20" s="252">
        <f t="shared" si="2"/>
        <v>6.951601666729605</v>
      </c>
      <c r="X20" s="252">
        <f t="shared" si="2"/>
        <v>7.014024212308402</v>
      </c>
      <c r="Y20" s="252">
        <f t="shared" si="2"/>
        <v>7.0739356691218687</v>
      </c>
      <c r="Z20" s="252">
        <f t="shared" si="2"/>
        <v>7.1311291915530655</v>
      </c>
      <c r="AA20" s="252">
        <f>AA17/12</f>
        <v>7.1853877832279265</v>
      </c>
    </row>
    <row r="21" spans="1:46">
      <c r="A21" s="198">
        <v>2</v>
      </c>
      <c r="B21" s="198" t="s">
        <v>209</v>
      </c>
      <c r="C21" s="198"/>
      <c r="D21" s="198"/>
      <c r="E21" s="252"/>
      <c r="F21" s="252">
        <f>F18/12</f>
        <v>4.3775000000000004</v>
      </c>
      <c r="G21" s="252">
        <f t="shared" ref="G21:Z21" si="3">G18/12</f>
        <v>4.5088249999999999</v>
      </c>
      <c r="H21" s="252">
        <f t="shared" si="3"/>
        <v>4.7351503333333334</v>
      </c>
      <c r="I21" s="252">
        <f t="shared" si="3"/>
        <v>4.8772048433333328</v>
      </c>
      <c r="J21" s="252">
        <f t="shared" si="3"/>
        <v>5.023520988633333</v>
      </c>
      <c r="K21" s="252">
        <f t="shared" si="3"/>
        <v>5.1742266182923329</v>
      </c>
      <c r="L21" s="252">
        <f t="shared" si="3"/>
        <v>5.3294534168411039</v>
      </c>
      <c r="M21" s="252">
        <f t="shared" si="3"/>
        <v>5.2782086724483994</v>
      </c>
      <c r="N21" s="252">
        <f t="shared" si="3"/>
        <v>5.2190927353169778</v>
      </c>
      <c r="O21" s="252">
        <f t="shared" si="3"/>
        <v>5.0396864225404565</v>
      </c>
      <c r="P21" s="252">
        <f t="shared" si="3"/>
        <v>4.9601713700959298</v>
      </c>
      <c r="Q21" s="252">
        <f t="shared" si="3"/>
        <v>4.8713496967244438</v>
      </c>
      <c r="R21" s="252">
        <f t="shared" si="3"/>
        <v>4.8951123781718797</v>
      </c>
      <c r="S21" s="252">
        <f t="shared" si="3"/>
        <v>4.9159166057791106</v>
      </c>
      <c r="T21" s="252">
        <f t="shared" si="3"/>
        <v>4.8037328678523572</v>
      </c>
      <c r="U21" s="252">
        <f t="shared" si="3"/>
        <v>4.8141193172963614</v>
      </c>
      <c r="V21" s="252">
        <f t="shared" si="3"/>
        <v>4.8208055941259396</v>
      </c>
      <c r="W21" s="252">
        <f t="shared" si="3"/>
        <v>4.9654297619497179</v>
      </c>
      <c r="X21" s="252">
        <f t="shared" si="3"/>
        <v>5.114392654808209</v>
      </c>
      <c r="Y21" s="252">
        <f t="shared" si="3"/>
        <v>5.117315164896671</v>
      </c>
      <c r="Z21" s="252">
        <f t="shared" si="3"/>
        <v>5.27083461984357</v>
      </c>
      <c r="AA21" s="252">
        <f>AA18/12</f>
        <v>5.4289596584388775</v>
      </c>
    </row>
    <row r="22" spans="1:46">
      <c r="A22" s="198">
        <v>3</v>
      </c>
      <c r="B22" s="198" t="s">
        <v>211</v>
      </c>
      <c r="C22" s="198"/>
      <c r="D22" s="198"/>
      <c r="E22" s="252"/>
      <c r="F22" s="407">
        <v>0</v>
      </c>
      <c r="G22" s="407">
        <v>0</v>
      </c>
      <c r="H22" s="407">
        <v>0</v>
      </c>
      <c r="I22" s="407">
        <v>0</v>
      </c>
      <c r="J22" s="407">
        <v>0</v>
      </c>
      <c r="K22" s="407">
        <v>0</v>
      </c>
      <c r="L22" s="407">
        <v>0</v>
      </c>
      <c r="M22" s="407">
        <v>0</v>
      </c>
      <c r="N22" s="407">
        <v>0</v>
      </c>
      <c r="O22" s="407">
        <v>0</v>
      </c>
      <c r="P22" s="407">
        <v>0</v>
      </c>
      <c r="Q22" s="407">
        <v>0</v>
      </c>
      <c r="R22" s="407">
        <v>0</v>
      </c>
      <c r="S22" s="407">
        <v>0</v>
      </c>
      <c r="T22" s="407">
        <v>0</v>
      </c>
      <c r="U22" s="407">
        <v>0</v>
      </c>
      <c r="V22" s="407">
        <v>0</v>
      </c>
      <c r="W22" s="407">
        <v>0</v>
      </c>
      <c r="X22" s="407">
        <v>0</v>
      </c>
      <c r="Y22" s="407">
        <v>0</v>
      </c>
      <c r="Z22" s="407">
        <v>0</v>
      </c>
      <c r="AA22" s="407">
        <v>0</v>
      </c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</row>
    <row r="23" spans="1:46">
      <c r="A23" s="198">
        <v>4</v>
      </c>
      <c r="B23" s="198" t="s">
        <v>78</v>
      </c>
      <c r="C23" s="198"/>
      <c r="D23" s="198"/>
      <c r="E23" s="252"/>
      <c r="F23" s="407">
        <v>4</v>
      </c>
      <c r="G23" s="407">
        <v>4</v>
      </c>
      <c r="H23" s="407">
        <v>4</v>
      </c>
      <c r="I23" s="407">
        <v>4</v>
      </c>
      <c r="J23" s="407">
        <v>4</v>
      </c>
      <c r="K23" s="407">
        <v>4</v>
      </c>
      <c r="L23" s="407">
        <v>4</v>
      </c>
      <c r="M23" s="407">
        <v>4</v>
      </c>
      <c r="N23" s="407">
        <v>4</v>
      </c>
      <c r="O23" s="407">
        <v>4</v>
      </c>
      <c r="P23" s="407">
        <v>4</v>
      </c>
      <c r="Q23" s="407">
        <v>4</v>
      </c>
      <c r="R23" s="407">
        <v>4</v>
      </c>
      <c r="S23" s="407">
        <v>4</v>
      </c>
      <c r="T23" s="407">
        <v>4</v>
      </c>
      <c r="U23" s="407">
        <v>4</v>
      </c>
      <c r="V23" s="407">
        <v>4</v>
      </c>
      <c r="W23" s="407">
        <v>4</v>
      </c>
      <c r="X23" s="407">
        <v>4</v>
      </c>
      <c r="Y23" s="407">
        <v>4</v>
      </c>
      <c r="Z23" s="407">
        <v>4</v>
      </c>
      <c r="AA23" s="407">
        <v>4</v>
      </c>
    </row>
    <row r="24" spans="1:46">
      <c r="A24" s="198"/>
      <c r="B24" s="198"/>
      <c r="C24" s="198"/>
      <c r="D24" s="198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46">
      <c r="A25" s="198"/>
      <c r="B25" s="253" t="s">
        <v>296</v>
      </c>
      <c r="C25" s="282">
        <v>1</v>
      </c>
      <c r="D25" s="254"/>
      <c r="F25" s="454">
        <f>CHOOSE($C$25,F20,F21,F22,F23)</f>
        <v>5.4933333333333332</v>
      </c>
      <c r="G25" s="454">
        <f t="shared" ref="G25:AA25" si="4">CHOOSE($C$25,G20,G21,G22,G23)</f>
        <v>5.6581333333333328</v>
      </c>
      <c r="H25" s="454">
        <f t="shared" si="4"/>
        <v>5.6457561666666676</v>
      </c>
      <c r="I25" s="454">
        <f t="shared" si="4"/>
        <v>5.7213364508333333</v>
      </c>
      <c r="J25" s="454">
        <f t="shared" si="4"/>
        <v>5.6997641986416658</v>
      </c>
      <c r="K25" s="454">
        <f t="shared" si="4"/>
        <v>5.7712527665568336</v>
      </c>
      <c r="L25" s="454">
        <f t="shared" si="4"/>
        <v>5.8419008607681322</v>
      </c>
      <c r="M25" s="454">
        <f t="shared" si="4"/>
        <v>5.9115937131422074</v>
      </c>
      <c r="N25" s="454">
        <f t="shared" si="4"/>
        <v>6.088941524536474</v>
      </c>
      <c r="O25" s="454">
        <f t="shared" si="4"/>
        <v>6.1596167386605574</v>
      </c>
      <c r="P25" s="454">
        <f t="shared" si="4"/>
        <v>6.3444052408203753</v>
      </c>
      <c r="Q25" s="454">
        <f t="shared" si="4"/>
        <v>6.4159239908078041</v>
      </c>
      <c r="R25" s="454">
        <f t="shared" si="4"/>
        <v>6.6084017105320383</v>
      </c>
      <c r="S25" s="454">
        <f t="shared" si="4"/>
        <v>6.680604618110074</v>
      </c>
      <c r="T25" s="454">
        <f t="shared" si="4"/>
        <v>6.7511921386033125</v>
      </c>
      <c r="U25" s="454">
        <f t="shared" si="4"/>
        <v>6.8200023661698452</v>
      </c>
      <c r="V25" s="454">
        <f t="shared" si="4"/>
        <v>6.8868651344656273</v>
      </c>
      <c r="W25" s="454">
        <f t="shared" si="4"/>
        <v>6.951601666729605</v>
      </c>
      <c r="X25" s="454">
        <f t="shared" si="4"/>
        <v>7.014024212308402</v>
      </c>
      <c r="Y25" s="454">
        <f t="shared" si="4"/>
        <v>7.0739356691218687</v>
      </c>
      <c r="Z25" s="454">
        <f t="shared" si="4"/>
        <v>7.1311291915530655</v>
      </c>
      <c r="AA25" s="454">
        <f t="shared" si="4"/>
        <v>7.1853877832279265</v>
      </c>
    </row>
    <row r="26" spans="1:46">
      <c r="A26" s="198"/>
      <c r="B26" s="253"/>
      <c r="C26" s="254"/>
      <c r="D26" s="254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0"/>
      <c r="AB26" s="256"/>
      <c r="AC26" s="256"/>
    </row>
    <row r="27" spans="1:46">
      <c r="A27" s="198"/>
      <c r="B27" s="198"/>
      <c r="C27" s="254"/>
      <c r="D27" s="254"/>
      <c r="E27" s="25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6">
      <c r="A28" s="198"/>
      <c r="B28" s="198"/>
      <c r="C28" s="254"/>
      <c r="D28" s="254"/>
      <c r="E28" s="257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</row>
    <row r="29" spans="1:46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</row>
    <row r="30" spans="1:46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</row>
    <row r="31" spans="1:46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</row>
    <row r="32" spans="1:46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</row>
    <row r="33" spans="1:26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</row>
    <row r="34" spans="1:26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</row>
    <row r="35" spans="1:26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</row>
    <row r="36" spans="1:26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</row>
    <row r="37" spans="1:26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</row>
    <row r="38" spans="1:26">
      <c r="A38" s="198"/>
      <c r="B38" s="198"/>
      <c r="C38" s="198"/>
      <c r="D38" s="198"/>
    </row>
    <row r="39" spans="1:26">
      <c r="A39" s="198"/>
      <c r="B39" s="198"/>
      <c r="C39" s="198"/>
      <c r="D39" s="198"/>
    </row>
  </sheetData>
  <pageMargins left="0.75" right="0.75" top="1" bottom="1" header="0.5" footer="0.5"/>
  <pageSetup scale="42" orientation="landscape" r:id="rId1"/>
  <headerFooter alignWithMargins="0">
    <oddFooter xml:space="preserve">&amp;L&amp;T, &amp;D&amp;C&amp;F&amp;R&amp;P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3"/>
  <sheetViews>
    <sheetView view="pageBreakPreview" topLeftCell="J1" zoomScale="60" zoomScaleNormal="75" workbookViewId="0"/>
  </sheetViews>
  <sheetFormatPr defaultRowHeight="12.75"/>
  <cols>
    <col min="1" max="1" width="34.42578125" customWidth="1"/>
    <col min="2" max="2" width="11.28515625" bestFit="1" customWidth="1"/>
    <col min="4" max="24" width="12.5703125" customWidth="1"/>
    <col min="25" max="25" width="13.28515625" bestFit="1" customWidth="1"/>
    <col min="26" max="27" width="12.5703125" style="159" customWidth="1"/>
  </cols>
  <sheetData>
    <row r="2" spans="1:27" ht="18.75">
      <c r="A2" s="157" t="str">
        <f>Assumptions!A3</f>
        <v>PROJECT NAME:</v>
      </c>
    </row>
    <row r="4" spans="1:27" ht="18.75">
      <c r="A4" s="104" t="s">
        <v>234</v>
      </c>
      <c r="B4" s="9"/>
    </row>
    <row r="6" spans="1:27">
      <c r="D6" s="455">
        <f>'Power Price Assumption'!F9</f>
        <v>0.5</v>
      </c>
      <c r="E6" s="455">
        <f>'Power Price Assumption'!G9</f>
        <v>1.5</v>
      </c>
      <c r="F6" s="455">
        <f>'Power Price Assumption'!H9</f>
        <v>2.5</v>
      </c>
      <c r="G6" s="455">
        <f>'Power Price Assumption'!I9</f>
        <v>3.5</v>
      </c>
      <c r="H6" s="455">
        <f>'Power Price Assumption'!J9</f>
        <v>4.5</v>
      </c>
      <c r="I6" s="455">
        <f>'Power Price Assumption'!K9</f>
        <v>5.5</v>
      </c>
      <c r="J6" s="455">
        <f>'Power Price Assumption'!L9</f>
        <v>6.5</v>
      </c>
      <c r="K6" s="455">
        <f>'Power Price Assumption'!M9</f>
        <v>7.5</v>
      </c>
      <c r="L6" s="455">
        <f>'Power Price Assumption'!N9</f>
        <v>8.5</v>
      </c>
      <c r="M6" s="455">
        <f>'Power Price Assumption'!O9</f>
        <v>9.5</v>
      </c>
      <c r="N6" s="455">
        <f>'Power Price Assumption'!P9</f>
        <v>10.5</v>
      </c>
      <c r="O6" s="455">
        <f>'Power Price Assumption'!Q9</f>
        <v>11.5</v>
      </c>
      <c r="P6" s="455">
        <f>'Power Price Assumption'!R9</f>
        <v>12.5</v>
      </c>
      <c r="Q6" s="455">
        <f>'Power Price Assumption'!S9</f>
        <v>13.5</v>
      </c>
      <c r="R6" s="455">
        <f>'Power Price Assumption'!T9</f>
        <v>14.5</v>
      </c>
      <c r="S6" s="455">
        <f>'Power Price Assumption'!U9</f>
        <v>15.5</v>
      </c>
      <c r="T6" s="455">
        <f>'Power Price Assumption'!V9</f>
        <v>16.5</v>
      </c>
      <c r="U6" s="455">
        <f>'Power Price Assumption'!W9</f>
        <v>17.5</v>
      </c>
      <c r="V6" s="455">
        <f>'Power Price Assumption'!X9</f>
        <v>18.5</v>
      </c>
      <c r="W6" s="455">
        <f>'Power Price Assumption'!Y9</f>
        <v>19.5</v>
      </c>
      <c r="X6" s="455">
        <f>'Power Price Assumption'!Z9</f>
        <v>20.5</v>
      </c>
      <c r="Y6" s="455">
        <f>'Power Price Assumption'!AA9</f>
        <v>21.5</v>
      </c>
    </row>
    <row r="7" spans="1:27" s="7" customFormat="1" ht="13.5" thickBot="1">
      <c r="A7" s="232" t="s">
        <v>79</v>
      </c>
      <c r="B7" s="8"/>
      <c r="C7" s="8"/>
      <c r="D7" s="8">
        <f>'Power Price Assumption'!F10</f>
        <v>1999</v>
      </c>
      <c r="E7" s="8">
        <f>'Power Price Assumption'!G10</f>
        <v>2000</v>
      </c>
      <c r="F7" s="8">
        <f>'Power Price Assumption'!H10</f>
        <v>2001</v>
      </c>
      <c r="G7" s="8">
        <f>'Power Price Assumption'!I10</f>
        <v>2002</v>
      </c>
      <c r="H7" s="8">
        <f>'Power Price Assumption'!J10</f>
        <v>2003</v>
      </c>
      <c r="I7" s="8">
        <f>'Power Price Assumption'!K10</f>
        <v>2004</v>
      </c>
      <c r="J7" s="8">
        <f>'Power Price Assumption'!L10</f>
        <v>2005</v>
      </c>
      <c r="K7" s="8">
        <f>'Power Price Assumption'!M10</f>
        <v>2006</v>
      </c>
      <c r="L7" s="8">
        <f>'Power Price Assumption'!N10</f>
        <v>2007</v>
      </c>
      <c r="M7" s="8">
        <f>'Power Price Assumption'!O10</f>
        <v>2008</v>
      </c>
      <c r="N7" s="8">
        <f>'Power Price Assumption'!P10</f>
        <v>2009</v>
      </c>
      <c r="O7" s="8">
        <f>'Power Price Assumption'!Q10</f>
        <v>2010</v>
      </c>
      <c r="P7" s="8">
        <f>'Power Price Assumption'!R10</f>
        <v>2011</v>
      </c>
      <c r="Q7" s="8">
        <f>'Power Price Assumption'!S10</f>
        <v>2012</v>
      </c>
      <c r="R7" s="8">
        <f>'Power Price Assumption'!T10</f>
        <v>2013</v>
      </c>
      <c r="S7" s="8">
        <f>'Power Price Assumption'!U10</f>
        <v>2014</v>
      </c>
      <c r="T7" s="8">
        <f>'Power Price Assumption'!V10</f>
        <v>2015</v>
      </c>
      <c r="U7" s="8">
        <f>'Power Price Assumption'!W10</f>
        <v>2016</v>
      </c>
      <c r="V7" s="8">
        <f>'Power Price Assumption'!X10</f>
        <v>2017</v>
      </c>
      <c r="W7" s="8">
        <f>'Power Price Assumption'!Y10</f>
        <v>2018</v>
      </c>
      <c r="X7" s="8">
        <f>'Power Price Assumption'!Z10</f>
        <v>2019</v>
      </c>
      <c r="Y7" s="8">
        <f>'Power Price Assumption'!AA10</f>
        <v>2020</v>
      </c>
      <c r="Z7" s="10"/>
      <c r="AA7" s="10"/>
    </row>
    <row r="8" spans="1:27">
      <c r="A8" s="3"/>
    </row>
    <row r="9" spans="1:27">
      <c r="A9" s="1" t="s">
        <v>80</v>
      </c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60"/>
      <c r="AA9" s="160"/>
    </row>
    <row r="10" spans="1:27">
      <c r="A10" s="450" t="s">
        <v>290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60"/>
      <c r="AA10" s="160"/>
    </row>
    <row r="11" spans="1:27">
      <c r="A11" s="4" t="s">
        <v>291</v>
      </c>
      <c r="D11" s="125">
        <f>IF(AND(C6&lt;Assumptions!$I$39,IS!D6&lt;Assumptions!$I$39),D6*12*Assumptions!$I$41*Assumptions!$I$45,IF(AND(IS!C6&lt;Assumptions!$I$39,IS!D6&gt;Assumptions!$I$39),(1-D6)*12*Assumptions!$I$41*Assumptions!$I$45,0))</f>
        <v>10772.16</v>
      </c>
      <c r="E11" s="125">
        <f>IF(AND(D6&lt;Assumptions!$I$39,IS!E6&lt;Assumptions!$I$39),12*Assumptions!$I$41*Assumptions!$I$45,IF(AND(IS!D6&lt;Assumptions!$I$39,IS!E6&gt;Assumptions!$I$39),(1-$D$6)*12*Assumptions!$I$41*Assumptions!$I$45,0))</f>
        <v>21544.32</v>
      </c>
      <c r="F11" s="125">
        <f>IF(AND(E6&lt;Assumptions!$I$39,IS!F6&lt;Assumptions!$I$39),12*Assumptions!$I$41*Assumptions!$I$45,IF(AND(IS!E6&lt;Assumptions!$I$39,IS!F6&gt;Assumptions!$I$39),(1-$D$6)*12*Assumptions!$I$41*Assumptions!$I$45,0))</f>
        <v>21544.32</v>
      </c>
      <c r="G11" s="125">
        <f>IF(AND(F6&lt;Assumptions!$I$39,IS!G6&lt;Assumptions!$I$39),12*Assumptions!$I$41*Assumptions!$I$45,IF(AND(IS!F6&lt;Assumptions!$I$39,IS!G6&gt;Assumptions!$I$39),(1-$D$6)*12*Assumptions!$I$41*Assumptions!$I$45,0))</f>
        <v>21544.32</v>
      </c>
      <c r="H11" s="125">
        <f>IF(AND(G6&lt;Assumptions!$I$39,IS!H6&lt;Assumptions!$I$39),12*Assumptions!$I$41*Assumptions!$I$45,IF(AND(IS!G6&lt;Assumptions!$I$39,IS!H6&gt;Assumptions!$I$39),(1-$D$6)*12*Assumptions!$I$41*Assumptions!$I$45,0))</f>
        <v>10772.16</v>
      </c>
      <c r="I11" s="125">
        <f>IF(AND(H6&lt;Assumptions!$I$39,IS!I6&lt;Assumptions!$I$39),12*Assumptions!$I$41*Assumptions!$I$45,IF(AND(IS!H6&lt;Assumptions!$I$39,IS!I6&gt;Assumptions!$I$39),(1-$D$6)*12*Assumptions!$I$41*Assumptions!$I$45,0))</f>
        <v>0</v>
      </c>
      <c r="J11" s="125">
        <f>IF(AND(I6&lt;Assumptions!$I$39,IS!J6&lt;Assumptions!$I$39),12*Assumptions!$I$41*Assumptions!$I$45,IF(AND(IS!I6&lt;Assumptions!$I$39,IS!J6&gt;Assumptions!$I$39),(1-$D$6)*12*Assumptions!$I$41*Assumptions!$I$45,0))</f>
        <v>0</v>
      </c>
      <c r="K11" s="125">
        <f>IF(AND(J6&lt;Assumptions!$I$39,IS!K6&lt;Assumptions!$I$39),12*Assumptions!$I$41*Assumptions!$I$45,IF(AND(IS!J6&lt;Assumptions!$I$39,IS!K6&gt;Assumptions!$I$39),(1-$D$6)*12*Assumptions!$I$41*Assumptions!$I$45,0))</f>
        <v>0</v>
      </c>
      <c r="L11" s="125">
        <f>IF(AND(K6&lt;Assumptions!$I$39,IS!L6&lt;Assumptions!$I$39),12*Assumptions!$I$41*Assumptions!$I$45,IF(AND(IS!K6&lt;Assumptions!$I$39,IS!L6&gt;Assumptions!$I$39),(1-$D$6)*12*Assumptions!$I$41*Assumptions!$I$45,0))</f>
        <v>0</v>
      </c>
      <c r="M11" s="125">
        <f>IF(AND(L6&lt;Assumptions!$I$39,IS!M6&lt;Assumptions!$I$39),12*Assumptions!$I$41*Assumptions!$I$45,IF(AND(IS!L6&lt;Assumptions!$I$39,IS!M6&gt;Assumptions!$I$39),(1-$D$6)*12*Assumptions!$I$41*Assumptions!$I$45,0))</f>
        <v>0</v>
      </c>
      <c r="N11" s="125">
        <f>IF(AND(M6&lt;Assumptions!$I$39,IS!N6&lt;Assumptions!$I$39),12*Assumptions!$I$41*Assumptions!$I$45,IF(AND(IS!M6&lt;Assumptions!$I$39,IS!N6&gt;Assumptions!$I$39),(1-$D$6)*12*Assumptions!$I$41*Assumptions!$I$45,0))</f>
        <v>0</v>
      </c>
      <c r="O11" s="125">
        <f>IF(AND(N6&lt;Assumptions!$I$39,IS!O6&lt;Assumptions!$I$39),12*Assumptions!$I$41*Assumptions!$I$45,IF(AND(IS!N6&lt;Assumptions!$I$39,IS!O6&gt;Assumptions!$I$39),(1-$D$6)*12*Assumptions!$I$41*Assumptions!$I$45,0))</f>
        <v>0</v>
      </c>
      <c r="P11" s="125">
        <f>IF(AND(O6&lt;Assumptions!$I$39,IS!P6&lt;Assumptions!$I$39),12*Assumptions!$I$41*Assumptions!$I$45,IF(AND(IS!O6&lt;Assumptions!$I$39,IS!P6&gt;Assumptions!$I$39),(1-$D$6)*12*Assumptions!$I$41*Assumptions!$I$45,0))</f>
        <v>0</v>
      </c>
      <c r="Q11" s="125">
        <f>IF(AND(P6&lt;Assumptions!$I$39,IS!Q6&lt;Assumptions!$I$39),12*Assumptions!$I$41*Assumptions!$I$45,IF(AND(IS!P6&lt;Assumptions!$I$39,IS!Q6&gt;Assumptions!$I$39),(1-$D$6)*12*Assumptions!$I$41*Assumptions!$I$45,0))</f>
        <v>0</v>
      </c>
      <c r="R11" s="125">
        <f>IF(AND(Q6&lt;Assumptions!$I$39,IS!R6&lt;Assumptions!$I$39),12*Assumptions!$I$41*Assumptions!$I$45,IF(AND(IS!Q6&lt;Assumptions!$I$39,IS!R6&gt;Assumptions!$I$39),(1-$D$6)*12*Assumptions!$I$41*Assumptions!$I$45,0))</f>
        <v>0</v>
      </c>
      <c r="S11" s="125">
        <f>IF(AND(R6&lt;Assumptions!$I$39,IS!S6&lt;Assumptions!$I$39),12*Assumptions!$I$41*Assumptions!$I$45,IF(AND(IS!R6&lt;Assumptions!$I$39,IS!S6&gt;Assumptions!$I$39),(1-$D$6)*12*Assumptions!$I$41*Assumptions!$I$45,0))</f>
        <v>0</v>
      </c>
      <c r="T11" s="125">
        <f>IF(AND(S6&lt;Assumptions!$I$39,IS!T6&lt;Assumptions!$I$39),12*Assumptions!$I$41*Assumptions!$I$45,IF(AND(IS!S6&lt;Assumptions!$I$39,IS!T6&gt;Assumptions!$I$39),(1-$D$6)*12*Assumptions!$I$41*Assumptions!$I$45,0))</f>
        <v>0</v>
      </c>
      <c r="U11" s="125">
        <f>IF(AND(T6&lt;Assumptions!$I$39,IS!U6&lt;Assumptions!$I$39),12*Assumptions!$I$41*Assumptions!$I$45,IF(AND(IS!T6&lt;Assumptions!$I$39,IS!U6&gt;Assumptions!$I$39),(1-$D$6)*12*Assumptions!$I$41*Assumptions!$I$45,0))</f>
        <v>0</v>
      </c>
      <c r="V11" s="125">
        <f>IF(AND(U6&lt;Assumptions!$I$39,IS!V6&lt;Assumptions!$I$39),12*Assumptions!$I$41*Assumptions!$I$45,IF(AND(IS!U6&lt;Assumptions!$I$39,IS!V6&gt;Assumptions!$I$39),(1-$D$6)*12*Assumptions!$I$41*Assumptions!$I$45,0))</f>
        <v>0</v>
      </c>
      <c r="W11" s="125">
        <f>IF(AND(V6&lt;Assumptions!$I$39,IS!W6&lt;Assumptions!$I$39),12*Assumptions!$I$41*Assumptions!$I$45,IF(AND(IS!V6&lt;Assumptions!$I$39,IS!W6&gt;Assumptions!$I$39),(1-$D$6)*12*Assumptions!$I$41*Assumptions!$I$45,0))</f>
        <v>0</v>
      </c>
      <c r="X11" s="125">
        <f>IF(AND(W6&lt;Assumptions!$I$39,IS!X6&lt;Assumptions!$I$39),12*Assumptions!$I$41*Assumptions!$I$45,IF(AND(IS!W6&lt;Assumptions!$I$39,IS!X6&gt;Assumptions!$I$39),(1-$D$6)*12*Assumptions!$I$41*Assumptions!$I$45,0))</f>
        <v>0</v>
      </c>
      <c r="Y11" s="125">
        <f>IF(AND(X6&lt;Assumptions!$I$39,IS!Y6&lt;Assumptions!$I$39),12*Assumptions!$I$41*Assumptions!$I$45,IF(AND(IS!X6&lt;Assumptions!$I$39,IS!Y6&gt;Assumptions!$I$39),(1-$D$6)*12*Assumptions!$I$41*Assumptions!$I$45,0))</f>
        <v>0</v>
      </c>
      <c r="Z11" s="160"/>
      <c r="AA11" s="160"/>
    </row>
    <row r="12" spans="1:27">
      <c r="A12" s="4" t="s">
        <v>292</v>
      </c>
      <c r="D12" s="125">
        <f>IF(AND(D6&lt;Assumptions!$I$39,IS!C6&lt;Assumptions!$I$39),Assumptions!$J$70*Assumptions!$I$46/1000,IF(AND(IS!C6&lt;Assumptions!$I$39,IS!D6&gt;Assumptions!$I$39),Assumptions!$J$70*Assumptions!$I$46/1000*IS!$D$6,0))</f>
        <v>758.76304000000016</v>
      </c>
      <c r="E12" s="125">
        <f>IF(AND(E6&lt;Assumptions!$I$39,IS!D6&lt;Assumptions!$I$39),D12*(1+Assumptions!$I$64),IF(AND(IS!D6&lt;Assumptions!$I$39,IS!E6&gt;Assumptions!$I$39),D12*IS!$D$6*(1+Assumptions!$I$64),0))</f>
        <v>781.52593120000017</v>
      </c>
      <c r="F12" s="125">
        <f>IF(AND(F6&lt;Assumptions!$I$39,IS!E6&lt;Assumptions!$I$39),E12*(1+Assumptions!$I$64),IF(AND(IS!E6&lt;Assumptions!$I$39,IS!F6&gt;Assumptions!$I$39),E12*IS!$D$6*(1+Assumptions!$I$64),0))</f>
        <v>804.97170913600019</v>
      </c>
      <c r="G12" s="125">
        <f>IF(AND(G6&lt;Assumptions!$I$39,IS!F6&lt;Assumptions!$I$39),F12*(1+Assumptions!$I$64),IF(AND(IS!F6&lt;Assumptions!$I$39,IS!G6&gt;Assumptions!$I$39),F12*IS!$D$6*(1+Assumptions!$I$64),0))</f>
        <v>829.12086041008024</v>
      </c>
      <c r="H12" s="125">
        <f>IF(AND(H6&lt;Assumptions!$I$39,IS!G6&lt;Assumptions!$I$39),G12*(1+Assumptions!$I$64),IF(AND(IS!G6&lt;Assumptions!$I$39,IS!H6&gt;Assumptions!$I$39),G12*IS!$D$6*(1+Assumptions!$I$64),0))</f>
        <v>426.99724311119132</v>
      </c>
      <c r="I12" s="125">
        <f>IF(AND(I6&lt;Assumptions!$I$39,IS!H6&lt;Assumptions!$I$39),H12*(1+Assumptions!$I$64),IF(AND(IS!H6&lt;Assumptions!$I$39,IS!I6&gt;Assumptions!$I$39),H12*IS!$D$6*(1+Assumptions!$I$64),0))</f>
        <v>0</v>
      </c>
      <c r="J12" s="125">
        <f>IF(AND(J6&lt;Assumptions!$I$39,IS!I6&lt;Assumptions!$I$39),I12*(1+Assumptions!$I$64),IF(AND(IS!I6&lt;Assumptions!$I$39,IS!J6&gt;Assumptions!$I$39),I12*IS!$D$6*(1+Assumptions!$I$64),0))</f>
        <v>0</v>
      </c>
      <c r="K12" s="125">
        <f>IF(AND(K6&lt;Assumptions!$I$39,IS!J6&lt;Assumptions!$I$39),J12*(1+Assumptions!$I$64),IF(AND(IS!J6&lt;Assumptions!$I$39,IS!K6&gt;Assumptions!$I$39),J12*IS!$D$6*(1+Assumptions!$I$64),0))</f>
        <v>0</v>
      </c>
      <c r="L12" s="125">
        <f>IF(AND(L6&lt;Assumptions!$I$39,IS!K6&lt;Assumptions!$I$39),K12*(1+Assumptions!$I$64),IF(AND(IS!K6&lt;Assumptions!$I$39,IS!L6&gt;Assumptions!$I$39),K12*IS!$D$6*(1+Assumptions!$I$64),0))</f>
        <v>0</v>
      </c>
      <c r="M12" s="125">
        <f>IF(AND(M6&lt;Assumptions!$I$39,IS!L6&lt;Assumptions!$I$39),L12*(1+Assumptions!$I$64),IF(AND(IS!L6&lt;Assumptions!$I$39,IS!M6&gt;Assumptions!$I$39),L12*IS!$D$6*(1+Assumptions!$I$64),0))</f>
        <v>0</v>
      </c>
      <c r="N12" s="125">
        <f>IF(AND(N6&lt;Assumptions!$I$39,IS!M6&lt;Assumptions!$I$39),M12*(1+Assumptions!$I$64),IF(AND(IS!M6&lt;Assumptions!$I$39,IS!N6&gt;Assumptions!$I$39),M12*IS!$D$6*(1+Assumptions!$I$64),0))</f>
        <v>0</v>
      </c>
      <c r="O12" s="125">
        <f>IF(AND(O6&lt;Assumptions!$I$39,IS!N6&lt;Assumptions!$I$39),N12*(1+Assumptions!$I$64),IF(AND(IS!N6&lt;Assumptions!$I$39,IS!O6&gt;Assumptions!$I$39),N12*IS!$D$6*(1+Assumptions!$I$64),0))</f>
        <v>0</v>
      </c>
      <c r="P12" s="125">
        <f>IF(AND(P6&lt;Assumptions!$I$39,IS!O6&lt;Assumptions!$I$39),O12*(1+Assumptions!$I$64),IF(AND(IS!O6&lt;Assumptions!$I$39,IS!P6&gt;Assumptions!$I$39),O12*IS!$D$6*(1+Assumptions!$I$64),0))</f>
        <v>0</v>
      </c>
      <c r="Q12" s="125">
        <f>IF(AND(Q6&lt;Assumptions!$I$39,IS!P6&lt;Assumptions!$I$39),P12*(1+Assumptions!$I$64),IF(AND(IS!P6&lt;Assumptions!$I$39,IS!Q6&gt;Assumptions!$I$39),P12*IS!$D$6*(1+Assumptions!$I$64),0))</f>
        <v>0</v>
      </c>
      <c r="R12" s="125">
        <f>IF(AND(R6&lt;Assumptions!$I$39,IS!Q6&lt;Assumptions!$I$39),Q12*(1+Assumptions!$I$64),IF(AND(IS!Q6&lt;Assumptions!$I$39,IS!R6&gt;Assumptions!$I$39),Q12*IS!$D$6*(1+Assumptions!$I$64),0))</f>
        <v>0</v>
      </c>
      <c r="S12" s="125">
        <f>IF(AND(S6&lt;Assumptions!$I$39,IS!R6&lt;Assumptions!$I$39),R12*(1+Assumptions!$I$64),IF(AND(IS!R6&lt;Assumptions!$I$39,IS!S6&gt;Assumptions!$I$39),R12*IS!$D$6*(1+Assumptions!$I$64),0))</f>
        <v>0</v>
      </c>
      <c r="T12" s="125">
        <f>IF(AND(T6&lt;Assumptions!$I$39,IS!S6&lt;Assumptions!$I$39),S12*(1+Assumptions!$I$64),IF(AND(IS!S6&lt;Assumptions!$I$39,IS!T6&gt;Assumptions!$I$39),S12*IS!$D$6*(1+Assumptions!$I$64),0))</f>
        <v>0</v>
      </c>
      <c r="U12" s="125">
        <f>IF(AND(U6&lt;Assumptions!$I$39,IS!T6&lt;Assumptions!$I$39),T12*(1+Assumptions!$I$64),IF(AND(IS!T6&lt;Assumptions!$I$39,IS!U6&gt;Assumptions!$I$39),T12*IS!$D$6*(1+Assumptions!$I$64),0))</f>
        <v>0</v>
      </c>
      <c r="V12" s="125">
        <f>IF(AND(V6&lt;Assumptions!$I$39,IS!U6&lt;Assumptions!$I$39),U12*(1+Assumptions!$I$64),IF(AND(IS!U6&lt;Assumptions!$I$39,IS!V6&gt;Assumptions!$I$39),U12*IS!$D$6*(1+Assumptions!$I$64),0))</f>
        <v>0</v>
      </c>
      <c r="W12" s="125">
        <f>IF(AND(W6&lt;Assumptions!$I$39,IS!V6&lt;Assumptions!$I$39),V12*(1+Assumptions!$I$64),IF(AND(IS!V6&lt;Assumptions!$I$39,IS!W6&gt;Assumptions!$I$39),V12*IS!$D$6*(1+Assumptions!$I$64),0))</f>
        <v>0</v>
      </c>
      <c r="X12" s="125">
        <f>IF(AND(X6&lt;Assumptions!$I$39,IS!W6&lt;Assumptions!$I$39),W12*(1+Assumptions!$I$64),IF(AND(IS!W6&lt;Assumptions!$I$39,IS!X6&gt;Assumptions!$I$39),W12*IS!$D$6*(1+Assumptions!$I$64),0))</f>
        <v>0</v>
      </c>
      <c r="Y12" s="125">
        <f>IF(AND(Y6&lt;Assumptions!$I$39,IS!X6&lt;Assumptions!$I$39),X12*(1+Assumptions!$I$64),IF(AND(IS!X6&lt;Assumptions!$I$39,IS!Y6&gt;Assumptions!$I$39),X12*IS!$D$6*(1+Assumptions!$I$64),0))</f>
        <v>0</v>
      </c>
      <c r="Z12" s="160"/>
      <c r="AA12" s="160"/>
    </row>
    <row r="13" spans="1:27">
      <c r="A13" s="4" t="s">
        <v>293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5">
        <v>0</v>
      </c>
      <c r="X13" s="125">
        <v>0</v>
      </c>
      <c r="Y13" s="125">
        <v>0</v>
      </c>
      <c r="Z13" s="160"/>
      <c r="AA13" s="160"/>
    </row>
    <row r="14" spans="1:27">
      <c r="A14" s="4" t="s">
        <v>288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>
        <v>0</v>
      </c>
      <c r="J14" s="480">
        <v>0</v>
      </c>
      <c r="K14" s="480">
        <v>0</v>
      </c>
      <c r="L14" s="480">
        <v>0</v>
      </c>
      <c r="M14" s="480">
        <v>0</v>
      </c>
      <c r="N14" s="480">
        <v>0</v>
      </c>
      <c r="O14" s="480">
        <v>0</v>
      </c>
      <c r="P14" s="480">
        <v>0</v>
      </c>
      <c r="Q14" s="480">
        <v>0</v>
      </c>
      <c r="R14" s="480">
        <v>0</v>
      </c>
      <c r="S14" s="480">
        <v>0</v>
      </c>
      <c r="T14" s="480">
        <v>0</v>
      </c>
      <c r="U14" s="480">
        <v>0</v>
      </c>
      <c r="V14" s="480">
        <v>0</v>
      </c>
      <c r="W14" s="480">
        <v>0</v>
      </c>
      <c r="X14" s="480">
        <v>0</v>
      </c>
      <c r="Y14" s="480">
        <v>0</v>
      </c>
      <c r="Z14" s="160"/>
      <c r="AA14" s="160"/>
    </row>
    <row r="15" spans="1:27">
      <c r="A15" s="7"/>
      <c r="Z15" s="160"/>
      <c r="AA15" s="160"/>
    </row>
    <row r="16" spans="1:27">
      <c r="A16" s="450" t="s">
        <v>289</v>
      </c>
      <c r="Z16" s="160"/>
      <c r="AA16" s="160"/>
    </row>
    <row r="17" spans="1:27">
      <c r="A17" s="4" t="s">
        <v>291</v>
      </c>
      <c r="D17" s="125">
        <f>IF(AND(D6&gt;Assumptions!$I$39,IS!C6&gt;Assumptions!$I$39),12*'Power Price Assumption'!F25*Assumptions!$I$45,IF(AND(IS!C6&lt;Assumptions!$I$39,IS!D6&gt;Assumptions!$I$39),IS!D6*'Power Price Assumption'!F25*12*Assumptions!$I$55,0))</f>
        <v>0</v>
      </c>
      <c r="E17" s="125">
        <f>IF(AND(E6&gt;Assumptions!$I$39,IS!D6&gt;Assumptions!$I$39),12*'Power Price Assumption'!G25*Assumptions!$I$45,IF(AND(IS!D6&lt;Assumptions!$I$39,IS!E6&gt;Assumptions!$I$39),IS!E6*'Power Price Assumption'!G25*12*Assumptions!$I$55,0))</f>
        <v>0</v>
      </c>
      <c r="F17" s="125">
        <f>IF(AND(F6&gt;Assumptions!$I$39,IS!E6&gt;Assumptions!$I$39),12*'Power Price Assumption'!H25*Assumptions!$I$45,IF(AND(IS!E6&lt;Assumptions!$I$39,IS!F6&gt;Assumptions!$I$39),IS!F6*'Power Price Assumption'!H25*12*Assumptions!$I$55,0))</f>
        <v>0</v>
      </c>
      <c r="G17" s="125">
        <f>IF(AND(G6&gt;Assumptions!$I$39,IS!F6&gt;Assumptions!$I$39),12*'Power Price Assumption'!I25*Assumptions!$I$45,IF(AND(IS!F6&lt;Assumptions!$I$39,IS!G6&gt;Assumptions!$I$39),IS!D6*'Power Price Assumption'!I25*12*Assumptions!$I$55,0))</f>
        <v>0</v>
      </c>
      <c r="H17" s="125">
        <f>IF(AND(H6&gt;Assumptions!$I$39,IS!G6&gt;Assumptions!$I$39),12*'Power Price Assumption'!J25*Assumptions!$I$55,IF(AND(IS!G6&lt;Assumptions!$I$39,IS!H6&gt;Assumptions!$I$39),IS!$D$6*'Power Price Assumption'!J25*12*Assumptions!$I$55,0))</f>
        <v>16670.16874893766</v>
      </c>
      <c r="I17" s="125">
        <f>IF(AND(I6&gt;Assumptions!$I$39,IS!H6&gt;Assumptions!$I$39),12*'Power Price Assumption'!K25*Assumptions!$I$55,IF(AND(IS!H6&lt;Assumptions!$I$39,IS!I6&gt;Assumptions!$I$39),IS!$D$6*'Power Price Assumption'!K25*12*Assumptions!$I$55,0))</f>
        <v>33758.504442763937</v>
      </c>
      <c r="J17" s="125">
        <f>IF(AND(J6&gt;Assumptions!$I$39,IS!I6&gt;Assumptions!$I$39),12*'Power Price Assumption'!L25*Assumptions!$I$55,IF(AND(IS!I6&lt;Assumptions!$I$39,IS!J6&gt;Assumptions!$I$39),IS!$D$6*'Power Price Assumption'!L25*12*Assumptions!$I$55,0))</f>
        <v>34171.755100597766</v>
      </c>
      <c r="K17" s="125">
        <f>IF(AND(K6&gt;Assumptions!$I$39,IS!J6&gt;Assumptions!$I$39),12*'Power Price Assumption'!M25*Assumptions!$I$55,IF(AND(IS!J6&lt;Assumptions!$I$39,IS!K6&gt;Assumptions!$I$39),IS!$D$6*'Power Price Assumption'!M25*12*Assumptions!$I$55,0))</f>
        <v>34579.418143903138</v>
      </c>
      <c r="L17" s="125">
        <f>IF(AND(L6&gt;Assumptions!$I$39,IS!K6&gt;Assumptions!$I$39),12*'Power Price Assumption'!N25*Assumptions!$I$55,IF(AND(IS!K6&lt;Assumptions!$I$39,IS!L6&gt;Assumptions!$I$39),IS!$D$6*'Power Price Assumption'!N25*12*Assumptions!$I$55,0))</f>
        <v>35616.800688220239</v>
      </c>
      <c r="M17" s="125">
        <f>IF(AND(M6&gt;Assumptions!$I$39,IS!L6&gt;Assumptions!$I$39),12*'Power Price Assumption'!O25*Assumptions!$I$55,IF(AND(IS!L6&lt;Assumptions!$I$39,IS!M6&gt;Assumptions!$I$39),IS!$D$6*'Power Price Assumption'!O25*12*Assumptions!$I$55,0))</f>
        <v>36030.209981922788</v>
      </c>
      <c r="N17" s="125">
        <f>IF(AND(N6&gt;Assumptions!$I$39,IS!M6&gt;Assumptions!$I$39),12*'Power Price Assumption'!P25*Assumptions!$I$55,IF(AND(IS!M6&lt;Assumptions!$I$39,IS!N6&gt;Assumptions!$I$39),IS!$D$6*'Power Price Assumption'!P25*12*Assumptions!$I$55,0))</f>
        <v>37111.116281380477</v>
      </c>
      <c r="O17" s="125">
        <f>IF(AND(O6&gt;Assumptions!$I$39,IS!N6&gt;Assumptions!$I$39),12*'Power Price Assumption'!Q25*Assumptions!$I$55,IF(AND(IS!N6&lt;Assumptions!$I$39,IS!O6&gt;Assumptions!$I$39),IS!$D$6*'Power Price Assumption'!Q25*12*Assumptions!$I$55,0))</f>
        <v>37529.459774006944</v>
      </c>
      <c r="P17" s="125">
        <f>IF(AND(P6&gt;Assumptions!$I$39,IS!O6&gt;Assumptions!$I$39),12*'Power Price Assumption'!R25*Assumptions!$I$55,IF(AND(IS!O6&lt;Assumptions!$I$39,IS!P6&gt;Assumptions!$I$39),IS!$D$6*'Power Price Assumption'!R25*12*Assumptions!$I$55,0))</f>
        <v>38655.343567227152</v>
      </c>
      <c r="Q17" s="125">
        <f>IF(AND(Q6&gt;Assumptions!$I$39,IS!P6&gt;Assumptions!$I$39),12*'Power Price Assumption'!S25*Assumptions!$I$55,IF(AND(IS!P6&lt;Assumptions!$I$39,IS!Q6&gt;Assumptions!$I$39),IS!$D$6*'Power Price Assumption'!S25*12*Assumptions!$I$55,0))</f>
        <v>39077.688987683898</v>
      </c>
      <c r="R17" s="125">
        <f>IF(AND(R6&gt;Assumptions!$I$39,IS!Q6&gt;Assumptions!$I$39),12*'Power Price Assumption'!T25*Assumptions!$I$55,IF(AND(IS!Q6&lt;Assumptions!$I$39,IS!R6&gt;Assumptions!$I$39),IS!$D$6*'Power Price Assumption'!T25*12*Assumptions!$I$55,0))</f>
        <v>39490.585324157539</v>
      </c>
      <c r="S17" s="125">
        <f>IF(AND(S6&gt;Assumptions!$I$39,IS!R6&gt;Assumptions!$I$39),12*'Power Price Assumption'!U25*Assumptions!$I$55,IF(AND(IS!R6&lt;Assumptions!$I$39,IS!S6&gt;Assumptions!$I$39),IS!$D$6*'Power Price Assumption'!U25*12*Assumptions!$I$55,0))</f>
        <v>39893.085520730674</v>
      </c>
      <c r="T17" s="125">
        <f>IF(AND(T6&gt;Assumptions!$I$39,IS!S6&gt;Assumptions!$I$39),12*'Power Price Assumption'!V25*Assumptions!$I$55,IF(AND(IS!S6&lt;Assumptions!$I$39,IS!T6&gt;Assumptions!$I$39),IS!$D$6*'Power Price Assumption'!V25*12*Assumptions!$I$55,0))</f>
        <v>40284.194202306462</v>
      </c>
      <c r="U17" s="125">
        <f>IF(AND(U6&gt;Assumptions!$I$39,IS!T6&gt;Assumptions!$I$39),12*'Power Price Assumption'!W25*Assumptions!$I$55,IF(AND(IS!T6&lt;Assumptions!$I$39,IS!U6&gt;Assumptions!$I$39),IS!$D$6*'Power Price Assumption'!W25*12*Assumptions!$I$55,0))</f>
        <v>40662.865627808147</v>
      </c>
      <c r="V17" s="125">
        <f>IF(AND(V6&gt;Assumptions!$I$39,IS!U6&gt;Assumptions!$I$39),12*'Power Price Assumption'!X25*Assumptions!$I$55,IF(AND(IS!U6&lt;Assumptions!$I$39,IS!V6&gt;Assumptions!$I$39),IS!$D$6*'Power Price Assumption'!X25*12*Assumptions!$I$55,0))</f>
        <v>41028.001564057857</v>
      </c>
      <c r="W17" s="125">
        <f>IF(AND(W6&gt;Assumptions!$I$39,IS!V6&gt;Assumptions!$I$39),12*'Power Price Assumption'!Y25*Assumptions!$I$55,IF(AND(IS!V6&lt;Assumptions!$I$39,IS!W6&gt;Assumptions!$I$39),IS!$D$6*'Power Price Assumption'!Y25*12*Assumptions!$I$55,0))</f>
        <v>41378.449077417514</v>
      </c>
      <c r="X17" s="125">
        <f>IF(AND(X6&gt;Assumptions!$I$39,IS!W6&gt;Assumptions!$I$39),12*'Power Price Assumption'!Z25*Assumptions!$I$55,IF(AND(IS!W6&lt;Assumptions!$I$39,IS!X6&gt;Assumptions!$I$39),IS!$D$6*'Power Price Assumption'!Z25*12*Assumptions!$I$55,0))</f>
        <v>41712.998240171095</v>
      </c>
      <c r="Y17" s="125">
        <f>IF(AND(Y6&gt;Assumptions!$I$39,IS!X6&gt;Assumptions!$I$39),12*'Power Price Assumption'!AA25*Assumptions!$I$55,IF(AND(IS!X6&lt;Assumptions!$I$39,IS!Y6&gt;Assumptions!$I$39),IS!$D$6*'Power Price Assumption'!AA25*12*Assumptions!$I$55,0))</f>
        <v>42030.379748520223</v>
      </c>
      <c r="Z17" s="160"/>
      <c r="AA17" s="160"/>
    </row>
    <row r="18" spans="1:27">
      <c r="A18" s="4" t="s">
        <v>292</v>
      </c>
      <c r="B18" s="479"/>
      <c r="D18" s="125">
        <f>IF(AND(D6&gt;Assumptions!$I$39,IS!C6&gt;Assumptions!$I$39),Assumptions!$J$71*Assumptions!$I$56/1000,IF(AND(IS!C6&lt;Assumptions!$I$39,IS!D6&gt;Assumptions!$I$39),Assumptions!$J$71*Assumptions!$I$56/1000*IS!$D$6,0))</f>
        <v>0</v>
      </c>
      <c r="E18" s="125">
        <f>IF(AND(E6&gt;Assumptions!$I$39,IS!D6&gt;Assumptions!$I$39),Assumptions!$J$71*Assumptions!$I$56/1000*(1+Assumptions!$I$64)^(IS!E6-IS!$D$6),IF(AND(IS!D6&lt;Assumptions!$I$39,IS!E6&gt;Assumptions!$I$39),D12*(1+Assumptions!$I$64)-E12,0))</f>
        <v>0</v>
      </c>
      <c r="F18" s="125">
        <f>IF(AND(F6&gt;Assumptions!$I$39,IS!E6&gt;Assumptions!$I$39),Assumptions!$J$71*Assumptions!$I$56/1000*(1+Assumptions!$I$64)^(IS!F6-IS!$D$6),IF(AND(IS!E6&lt;Assumptions!$I$39,IS!F6&gt;Assumptions!$I$39),E12*(1+Assumptions!$I$64)-F12,0))</f>
        <v>0</v>
      </c>
      <c r="G18" s="125">
        <f>IF(AND(G6&gt;Assumptions!$I$39,IS!F6&gt;Assumptions!$I$39),Assumptions!$J$71*Assumptions!$I$56/1000*(1+Assumptions!$I$64)^(IS!G6-IS!$D$6),IF(AND(IS!F6&lt;Assumptions!$I$39,IS!G6&gt;Assumptions!$I$39),F12*(1+Assumptions!$I$64)-G12,0))</f>
        <v>0</v>
      </c>
      <c r="H18" s="125">
        <f>IF(AND(H6&gt;Assumptions!$I$39,IS!G6&gt;Assumptions!$I$39),Assumptions!$J$71*Assumptions!$I$56/1000*(1+Assumptions!$I$64)^(IS!H6-IS!$D$6),IF(AND(IS!G6&lt;Assumptions!$I$39,IS!H6&gt;Assumptions!$I$39),Assumptions!$J$71*Assumptions!$I$56/1000*(1+Assumptions!$I$64)^(IS!H6-IS!$D$6)*(1-$D$6),0))</f>
        <v>463.7301937194465</v>
      </c>
      <c r="I18" s="125">
        <f>IF(AND(I6&gt;Assumptions!$I$39,IS!H6&gt;Assumptions!$I$39),Assumptions!$J$71*Assumptions!$I$56/1000*(1+Assumptions!$I$64)^(IS!I6-IS!$D$6),IF(AND(IS!H6&lt;Assumptions!$I$39,IS!I6&gt;Assumptions!$I$39),H12*(1+Assumptions!$I$64)-I12,0))</f>
        <v>955.28419906205977</v>
      </c>
      <c r="J18" s="125">
        <f>IF(AND(J6&gt;Assumptions!$I$39,IS!I6&gt;Assumptions!$I$39),Assumptions!$J$71*Assumptions!$I$56/1000*(1+Assumptions!$I$64)^(IS!J6-IS!$D$6),IF(AND(IS!I6&lt;Assumptions!$I$39,IS!J6&gt;Assumptions!$I$39),I12*(1+Assumptions!$I$64)-J12,0))</f>
        <v>983.94272503392165</v>
      </c>
      <c r="K18" s="125">
        <f>IF(AND(K6&gt;Assumptions!$I$39,IS!J6&gt;Assumptions!$I$39),Assumptions!$J$71*Assumptions!$I$56/1000*(1+Assumptions!$I$64)^(IS!K6-IS!$D$6),IF(AND(IS!J6&lt;Assumptions!$I$39,IS!K6&gt;Assumptions!$I$39),J12*(1+Assumptions!$I$64)-K12,0))</f>
        <v>1013.4610067849393</v>
      </c>
      <c r="L18" s="125">
        <f>IF(AND(L6&gt;Assumptions!$I$39,IS!K6&gt;Assumptions!$I$39),Assumptions!$J$71*Assumptions!$I$56/1000*(1+Assumptions!$I$64)^(IS!L6-IS!$D$6),IF(AND(IS!K6&lt;Assumptions!$I$39,IS!L6&gt;Assumptions!$I$39),K12*(1+Assumptions!$I$64)-L12,0))</f>
        <v>1043.8648369884875</v>
      </c>
      <c r="M18" s="125">
        <f>IF(AND(M6&gt;Assumptions!$I$39,IS!L6&gt;Assumptions!$I$39),Assumptions!$J$71*Assumptions!$I$56/1000*(1+Assumptions!$I$64)^(IS!M6-IS!$D$6),IF(AND(IS!L6&lt;Assumptions!$I$39,IS!M6&gt;Assumptions!$I$39),L12*(1+Assumptions!$I$64)-M12,0))</f>
        <v>1075.1807820981421</v>
      </c>
      <c r="N18" s="125">
        <f>IF(AND(N6&gt;Assumptions!$I$39,IS!M6&gt;Assumptions!$I$39),Assumptions!$J$71*Assumptions!$I$56/1000*(1+Assumptions!$I$64)^(IS!N6-IS!$D$6),IF(AND(IS!M6&lt;Assumptions!$I$39,IS!N6&gt;Assumptions!$I$39),M12*(1+Assumptions!$I$64)-N12,0))</f>
        <v>1107.4362055610864</v>
      </c>
      <c r="O18" s="125">
        <f>IF(AND(O6&gt;Assumptions!$I$39,IS!N6&gt;Assumptions!$I$39),Assumptions!$J$71*Assumptions!$I$56/1000*(1+Assumptions!$I$64)^(IS!O6-IS!$D$6),IF(AND(IS!N6&lt;Assumptions!$I$39,IS!O6&gt;Assumptions!$I$39),N12*(1+Assumptions!$I$64)-O12,0))</f>
        <v>1140.659291727919</v>
      </c>
      <c r="P18" s="125">
        <f>IF(AND(P6&gt;Assumptions!$I$39,IS!O6&gt;Assumptions!$I$39),Assumptions!$J$71*Assumptions!$I$56/1000*(1+Assumptions!$I$64)^(IS!P6-IS!$D$6),IF(AND(IS!O6&lt;Assumptions!$I$39,IS!P6&gt;Assumptions!$I$39),O12*(1+Assumptions!$I$64)-P12,0))</f>
        <v>1174.8790704797564</v>
      </c>
      <c r="Q18" s="125">
        <f>IF(AND(Q6&gt;Assumptions!$I$39,IS!P6&gt;Assumptions!$I$39),Assumptions!$J$71*Assumptions!$I$56/1000*(1+Assumptions!$I$64)^(IS!Q6-IS!$D$6),IF(AND(IS!P6&lt;Assumptions!$I$39,IS!Q6&gt;Assumptions!$I$39),P12*(1+Assumptions!$I$64)-Q12,0))</f>
        <v>1210.125442594149</v>
      </c>
      <c r="R18" s="125">
        <f>IF(AND(R6&gt;Assumptions!$I$39,IS!Q6&gt;Assumptions!$I$39),Assumptions!$J$71*Assumptions!$I$56/1000*(1+Assumptions!$I$64)^(IS!R6-IS!$D$6),IF(AND(IS!Q6&lt;Assumptions!$I$39,IS!R6&gt;Assumptions!$I$39),Q12*(1+Assumptions!$I$64)-R12,0))</f>
        <v>1246.4292058719736</v>
      </c>
      <c r="S18" s="125">
        <f>IF(AND(S6&gt;Assumptions!$I$39,IS!R6&gt;Assumptions!$I$39),Assumptions!$J$71*Assumptions!$I$56/1000*(1+Assumptions!$I$64)^(IS!S6-IS!$D$6),IF(AND(IS!R6&lt;Assumptions!$I$39,IS!S6&gt;Assumptions!$I$39),R12*(1+Assumptions!$I$64)-S12,0))</f>
        <v>1283.8220820481329</v>
      </c>
      <c r="T18" s="125">
        <f>IF(AND(T6&gt;Assumptions!$I$39,IS!S6&gt;Assumptions!$I$39),Assumptions!$J$71*Assumptions!$I$56/1000*(1+Assumptions!$I$64)^(IS!T6-IS!$D$6),IF(AND(IS!S6&lt;Assumptions!$I$39,IS!T6&gt;Assumptions!$I$39),S12*(1+Assumptions!$I$64)-T12,0))</f>
        <v>1322.3367445095766</v>
      </c>
      <c r="U18" s="125">
        <f>IF(AND(U6&gt;Assumptions!$I$39,IS!T6&gt;Assumptions!$I$39),Assumptions!$J$71*Assumptions!$I$56/1000*(1+Assumptions!$I$64)^(IS!U6-IS!$D$6),IF(AND(IS!T6&lt;Assumptions!$I$39,IS!U6&gt;Assumptions!$I$39),T12*(1+Assumptions!$I$64)-U12,0))</f>
        <v>1362.006846844864</v>
      </c>
      <c r="V18" s="125">
        <f>IF(AND(V6&gt;Assumptions!$I$39,IS!U6&gt;Assumptions!$I$39),Assumptions!$J$71*Assumptions!$I$56/1000*(1+Assumptions!$I$64)^(IS!V6-IS!$D$6),IF(AND(IS!U6&lt;Assumptions!$I$39,IS!V6&gt;Assumptions!$I$39),U12*(1+Assumptions!$I$64)-V12,0))</f>
        <v>1402.8670522502098</v>
      </c>
      <c r="W18" s="125">
        <f>IF(AND(W6&gt;Assumptions!$I$39,IS!V6&gt;Assumptions!$I$39),Assumptions!$J$71*Assumptions!$I$56/1000*(1+Assumptions!$I$64)^(IS!W6-IS!$D$6),IF(AND(IS!V6&lt;Assumptions!$I$39,IS!W6&gt;Assumptions!$I$39),V12*(1+Assumptions!$I$64)-W12,0))</f>
        <v>1444.9530638177162</v>
      </c>
      <c r="X18" s="125">
        <f>IF(AND(X6&gt;Assumptions!$I$39,IS!W6&gt;Assumptions!$I$39),Assumptions!$J$71*Assumptions!$I$56/1000*(1+Assumptions!$I$64)^(IS!X6-IS!$D$6),IF(AND(IS!W6&lt;Assumptions!$I$39,IS!X6&gt;Assumptions!$I$39),W12*(1+Assumptions!$I$64)-X12,0))</f>
        <v>1488.3016557322476</v>
      </c>
      <c r="Y18" s="125">
        <f>IF(AND(Y6&gt;Assumptions!$I$39,IS!X6&gt;Assumptions!$I$39),Assumptions!$J$71*Assumptions!$I$56/1000*(1+Assumptions!$I$64)^(IS!Y6-IS!$D$6),IF(AND(IS!X6&lt;Assumptions!$I$39,IS!Y6&gt;Assumptions!$I$39),X12*(1+Assumptions!$I$64)-Y12,0))</f>
        <v>1532.9507054042147</v>
      </c>
      <c r="Z18" s="160"/>
      <c r="AA18" s="160"/>
    </row>
    <row r="19" spans="1:27">
      <c r="A19" s="4" t="s">
        <v>293</v>
      </c>
      <c r="D19" s="125">
        <v>0</v>
      </c>
      <c r="E19" s="125">
        <v>0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>
        <v>0</v>
      </c>
      <c r="Z19" s="160"/>
      <c r="AA19" s="160"/>
    </row>
    <row r="20" spans="1:27">
      <c r="A20" s="4" t="s">
        <v>288</v>
      </c>
      <c r="D20" s="480">
        <v>0</v>
      </c>
      <c r="E20" s="480">
        <v>0</v>
      </c>
      <c r="F20" s="480">
        <v>0</v>
      </c>
      <c r="G20" s="480">
        <v>0</v>
      </c>
      <c r="H20" s="480">
        <v>0</v>
      </c>
      <c r="I20" s="480">
        <v>0</v>
      </c>
      <c r="J20" s="480">
        <v>0</v>
      </c>
      <c r="K20" s="480">
        <v>0</v>
      </c>
      <c r="L20" s="480">
        <v>0</v>
      </c>
      <c r="M20" s="480">
        <v>0</v>
      </c>
      <c r="N20" s="480">
        <v>0</v>
      </c>
      <c r="O20" s="480">
        <v>0</v>
      </c>
      <c r="P20" s="480">
        <v>0</v>
      </c>
      <c r="Q20" s="480">
        <v>0</v>
      </c>
      <c r="R20" s="480">
        <v>0</v>
      </c>
      <c r="S20" s="480">
        <v>0</v>
      </c>
      <c r="T20" s="480">
        <v>0</v>
      </c>
      <c r="U20" s="480">
        <v>0</v>
      </c>
      <c r="V20" s="480">
        <v>0</v>
      </c>
      <c r="W20" s="480">
        <v>0</v>
      </c>
      <c r="X20" s="480">
        <v>0</v>
      </c>
      <c r="Y20" s="480">
        <v>0</v>
      </c>
      <c r="Z20" s="160"/>
      <c r="AA20" s="160"/>
    </row>
    <row r="21" spans="1:27">
      <c r="Z21" s="160"/>
      <c r="AA21" s="160"/>
    </row>
    <row r="22" spans="1:27">
      <c r="A22" s="4" t="s">
        <v>81</v>
      </c>
      <c r="D22" s="125">
        <f>IF(AND(D6&gt;Assumptions!$I$39,IS!C6&gt;Assumptions!$I$39),Assumptions!$I$57*Assumptions!$I$14*Assumptions!$I$53*Assumptions!$I$55/1000,IF(AND(D6&gt;Assumptions!$I$39,IS!C6&lt;Assumptions!$I$39),Assumptions!$I$57*Assumptions!$I$14*Assumptions!$I$53*Assumptions!$I$55/1000*$D$6,0))</f>
        <v>0</v>
      </c>
      <c r="E22" s="125">
        <f>IF(AND(E6&gt;Assumptions!$I$39,IS!D6&gt;Assumptions!$I$39),Assumptions!$I$57*Assumptions!$I$14*Assumptions!$I$53*Assumptions!$I$55/1000,IF(AND(E6&gt;Assumptions!$I$39,IS!D6&lt;Assumptions!$I$39),Assumptions!$I$57*Assumptions!$I$14*Assumptions!$I$53*Assumptions!$I$55/1000*$D$6,0))</f>
        <v>0</v>
      </c>
      <c r="F22" s="125">
        <f>IF(AND(F6&gt;Assumptions!$I$39,IS!E6&gt;Assumptions!$I$39),Assumptions!$I$57*Assumptions!$I$14*Assumptions!$I$53*Assumptions!$I$55/1000,IF(AND(F6&gt;Assumptions!$I$39,IS!E6&lt;Assumptions!$I$39),Assumptions!$I$57*Assumptions!$I$14*Assumptions!$I$53*Assumptions!$I$55/1000*$D$6,0))</f>
        <v>0</v>
      </c>
      <c r="G22" s="125">
        <f>IF(AND(G6&gt;Assumptions!$I$39,IS!F6&gt;Assumptions!$I$39),Assumptions!$I$57*Assumptions!$I$14*Assumptions!$I$53*Assumptions!$I$55/1000,IF(AND(G6&gt;Assumptions!$I$39,IS!F6&lt;Assumptions!$I$39),Assumptions!$I$57*Assumptions!$I$14*Assumptions!$I$53*Assumptions!$I$55/1000*$D$6,0))</f>
        <v>0</v>
      </c>
      <c r="H22" s="125">
        <f>IF(AND(H6&gt;Assumptions!$I$39,IS!G6&gt;Assumptions!$I$39),Assumptions!$I$57*Assumptions!$I$14*Assumptions!$I$53*Assumptions!$I$55/1000,IF(AND(H6&gt;Assumptions!$I$39,IS!G6&lt;Assumptions!$I$39),Assumptions!$I$57*Assumptions!$I$14*Assumptions!$I$53*Assumptions!$I$55/1000*$D$6,0))</f>
        <v>5.8494239999999991</v>
      </c>
      <c r="I22" s="125">
        <f>IF(AND(I6&gt;Assumptions!$I$39,IS!H6&gt;Assumptions!$I$39),Assumptions!$I$57*Assumptions!$I$14*Assumptions!$I$53*Assumptions!$I$55/1000,IF(AND(I6&gt;Assumptions!$I$39,IS!H6&lt;Assumptions!$I$39),Assumptions!$I$57*Assumptions!$I$14*Assumptions!$I$53*Assumptions!$I$55/1000*$D$6,0))</f>
        <v>11.698847999999998</v>
      </c>
      <c r="J22" s="125">
        <f>IF(AND(J6&gt;Assumptions!$I$39,IS!I6&gt;Assumptions!$I$39),Assumptions!$I$57*Assumptions!$I$14*Assumptions!$I$53*Assumptions!$I$55/1000,IF(AND(J6&gt;Assumptions!$I$39,IS!I6&lt;Assumptions!$I$39),Assumptions!$I$57*Assumptions!$I$14*Assumptions!$I$53*Assumptions!$I$55/1000*$D$6,0))</f>
        <v>11.698847999999998</v>
      </c>
      <c r="K22" s="125">
        <f>IF(AND(K6&gt;Assumptions!$I$39,IS!J6&gt;Assumptions!$I$39),Assumptions!$I$57*Assumptions!$I$14*Assumptions!$I$53*Assumptions!$I$55/1000,IF(AND(K6&gt;Assumptions!$I$39,IS!J6&lt;Assumptions!$I$39),Assumptions!$I$57*Assumptions!$I$14*Assumptions!$I$53*Assumptions!$I$55/1000*$D$6,0))</f>
        <v>11.698847999999998</v>
      </c>
      <c r="L22" s="125">
        <f>IF(AND(L6&gt;Assumptions!$I$39,IS!K6&gt;Assumptions!$I$39),Assumptions!$I$57*Assumptions!$I$14*Assumptions!$I$53*Assumptions!$I$55/1000,IF(AND(L6&gt;Assumptions!$I$39,IS!K6&lt;Assumptions!$I$39),Assumptions!$I$57*Assumptions!$I$14*Assumptions!$I$53*Assumptions!$I$55/1000*$D$6,0))</f>
        <v>11.698847999999998</v>
      </c>
      <c r="M22" s="125">
        <f>IF(AND(M6&gt;Assumptions!$I$39,IS!L6&gt;Assumptions!$I$39),Assumptions!$I$57*Assumptions!$I$14*Assumptions!$I$53*Assumptions!$I$55/1000,IF(AND(M6&gt;Assumptions!$I$39,IS!L6&lt;Assumptions!$I$39),Assumptions!$I$57*Assumptions!$I$14*Assumptions!$I$53*Assumptions!$I$55/1000*$D$6,0))</f>
        <v>11.698847999999998</v>
      </c>
      <c r="N22" s="125">
        <f>IF(AND(N6&gt;Assumptions!$I$39,IS!M6&gt;Assumptions!$I$39),Assumptions!$I$57*Assumptions!$I$14*Assumptions!$I$53*Assumptions!$I$55/1000,IF(AND(N6&gt;Assumptions!$I$39,IS!M6&lt;Assumptions!$I$39),Assumptions!$I$57*Assumptions!$I$14*Assumptions!$I$53*Assumptions!$I$55/1000*$D$6,0))</f>
        <v>11.698847999999998</v>
      </c>
      <c r="O22" s="125">
        <f>IF(AND(O6&gt;Assumptions!$I$39,IS!N6&gt;Assumptions!$I$39),Assumptions!$I$57*Assumptions!$I$14*Assumptions!$I$53*Assumptions!$I$55/1000,IF(AND(O6&gt;Assumptions!$I$39,IS!N6&lt;Assumptions!$I$39),Assumptions!$I$57*Assumptions!$I$14*Assumptions!$I$53*Assumptions!$I$55/1000*$D$6,0))</f>
        <v>11.698847999999998</v>
      </c>
      <c r="P22" s="125">
        <f>IF(AND(P6&gt;Assumptions!$I$39,IS!O6&gt;Assumptions!$I$39),Assumptions!$I$57*Assumptions!$I$14*Assumptions!$I$53*Assumptions!$I$55/1000,IF(AND(P6&gt;Assumptions!$I$39,IS!O6&lt;Assumptions!$I$39),Assumptions!$I$57*Assumptions!$I$14*Assumptions!$I$53*Assumptions!$I$55/1000*$D$6,0))</f>
        <v>11.698847999999998</v>
      </c>
      <c r="Q22" s="125">
        <f>IF(AND(Q6&gt;Assumptions!$I$39,IS!P6&gt;Assumptions!$I$39),Assumptions!$I$57*Assumptions!$I$14*Assumptions!$I$53*Assumptions!$I$55/1000,IF(AND(Q6&gt;Assumptions!$I$39,IS!P6&lt;Assumptions!$I$39),Assumptions!$I$57*Assumptions!$I$14*Assumptions!$I$53*Assumptions!$I$55/1000*$D$6,0))</f>
        <v>11.698847999999998</v>
      </c>
      <c r="R22" s="125">
        <f>IF(AND(R6&gt;Assumptions!$I$39,IS!Q6&gt;Assumptions!$I$39),Assumptions!$I$57*Assumptions!$I$14*Assumptions!$I$53*Assumptions!$I$55/1000,IF(AND(R6&gt;Assumptions!$I$39,IS!Q6&lt;Assumptions!$I$39),Assumptions!$I$57*Assumptions!$I$14*Assumptions!$I$53*Assumptions!$I$55/1000*$D$6,0))</f>
        <v>11.698847999999998</v>
      </c>
      <c r="S22" s="125">
        <f>IF(AND(S6&gt;Assumptions!$I$39,IS!R6&gt;Assumptions!$I$39),Assumptions!$I$57*Assumptions!$I$14*Assumptions!$I$53*Assumptions!$I$55/1000,IF(AND(S6&gt;Assumptions!$I$39,IS!R6&lt;Assumptions!$I$39),Assumptions!$I$57*Assumptions!$I$14*Assumptions!$I$53*Assumptions!$I$55/1000*$D$6,0))</f>
        <v>11.698847999999998</v>
      </c>
      <c r="T22" s="125">
        <f>IF(AND(T6&gt;Assumptions!$I$39,IS!S6&gt;Assumptions!$I$39),Assumptions!$I$57*Assumptions!$I$14*Assumptions!$I$53*Assumptions!$I$55/1000,IF(AND(T6&gt;Assumptions!$I$39,IS!S6&lt;Assumptions!$I$39),Assumptions!$I$57*Assumptions!$I$14*Assumptions!$I$53*Assumptions!$I$55/1000*$D$6,0))</f>
        <v>11.698847999999998</v>
      </c>
      <c r="U22" s="125">
        <f>IF(AND(U6&gt;Assumptions!$I$39,IS!T6&gt;Assumptions!$I$39),Assumptions!$I$57*Assumptions!$I$14*Assumptions!$I$53*Assumptions!$I$55/1000,IF(AND(U6&gt;Assumptions!$I$39,IS!T6&lt;Assumptions!$I$39),Assumptions!$I$57*Assumptions!$I$14*Assumptions!$I$53*Assumptions!$I$55/1000*$D$6,0))</f>
        <v>11.698847999999998</v>
      </c>
      <c r="V22" s="125">
        <f>IF(AND(V6&gt;Assumptions!$I$39,IS!U6&gt;Assumptions!$I$39),Assumptions!$I$57*Assumptions!$I$14*Assumptions!$I$53*Assumptions!$I$55/1000,IF(AND(V6&gt;Assumptions!$I$39,IS!U6&lt;Assumptions!$I$39),Assumptions!$I$57*Assumptions!$I$14*Assumptions!$I$53*Assumptions!$I$55/1000*$D$6,0))</f>
        <v>11.698847999999998</v>
      </c>
      <c r="W22" s="125">
        <f>IF(AND(W6&gt;Assumptions!$I$39,IS!V6&gt;Assumptions!$I$39),Assumptions!$I$57*Assumptions!$I$14*Assumptions!$I$53*Assumptions!$I$55/1000,IF(AND(W6&gt;Assumptions!$I$39,IS!V6&lt;Assumptions!$I$39),Assumptions!$I$57*Assumptions!$I$14*Assumptions!$I$53*Assumptions!$I$55/1000*$D$6,0))</f>
        <v>11.698847999999998</v>
      </c>
      <c r="X22" s="125">
        <f>IF(AND(X6&gt;Assumptions!$I$39,IS!W6&gt;Assumptions!$I$39),Assumptions!$I$57*Assumptions!$I$14*Assumptions!$I$53*Assumptions!$I$55/1000,IF(AND(X6&gt;Assumptions!$I$39,IS!W6&lt;Assumptions!$I$39),Assumptions!$I$57*Assumptions!$I$14*Assumptions!$I$53*Assumptions!$I$55/1000*$D$6,0))</f>
        <v>11.698847999999998</v>
      </c>
      <c r="Y22" s="125">
        <f>IF(AND(Y6&gt;Assumptions!$I$39,IS!X6&gt;Assumptions!$I$39),Assumptions!$I$57*Assumptions!$I$14*Assumptions!$I$53*Assumptions!$I$55/1000,IF(AND(Y6&gt;Assumptions!$I$39,IS!X6&lt;Assumptions!$I$39),Assumptions!$I$57*Assumptions!$I$14*Assumptions!$I$53*Assumptions!$I$55/1000*$D$6,0))</f>
        <v>11.698847999999998</v>
      </c>
      <c r="Z22" s="160"/>
      <c r="AA22" s="160"/>
    </row>
    <row r="23" spans="1:27">
      <c r="A23" s="452" t="s">
        <v>294</v>
      </c>
      <c r="D23" s="480">
        <v>0</v>
      </c>
      <c r="E23" s="480">
        <v>0</v>
      </c>
      <c r="F23" s="480">
        <v>0</v>
      </c>
      <c r="G23" s="480">
        <v>0</v>
      </c>
      <c r="H23" s="480">
        <v>0</v>
      </c>
      <c r="I23" s="480">
        <v>0</v>
      </c>
      <c r="J23" s="480">
        <v>0</v>
      </c>
      <c r="K23" s="480">
        <v>0</v>
      </c>
      <c r="L23" s="480">
        <v>0</v>
      </c>
      <c r="M23" s="480">
        <v>0</v>
      </c>
      <c r="N23" s="480">
        <v>0</v>
      </c>
      <c r="O23" s="480">
        <v>0</v>
      </c>
      <c r="P23" s="480">
        <v>0</v>
      </c>
      <c r="Q23" s="480">
        <v>0</v>
      </c>
      <c r="R23" s="480">
        <v>0</v>
      </c>
      <c r="S23" s="480">
        <v>0</v>
      </c>
      <c r="T23" s="480">
        <v>0</v>
      </c>
      <c r="U23" s="480">
        <v>0</v>
      </c>
      <c r="V23" s="480">
        <v>0</v>
      </c>
      <c r="W23" s="480">
        <v>0</v>
      </c>
      <c r="X23" s="480">
        <v>0</v>
      </c>
      <c r="Y23" s="480">
        <v>0</v>
      </c>
      <c r="Z23" s="160"/>
      <c r="AA23" s="160"/>
    </row>
    <row r="24" spans="1:27">
      <c r="A24" s="452" t="s">
        <v>295</v>
      </c>
      <c r="D24" s="481">
        <v>0</v>
      </c>
      <c r="E24" s="481">
        <v>0</v>
      </c>
      <c r="F24" s="481">
        <v>0</v>
      </c>
      <c r="G24" s="481">
        <v>0</v>
      </c>
      <c r="H24" s="481">
        <v>0</v>
      </c>
      <c r="I24" s="481">
        <v>0</v>
      </c>
      <c r="J24" s="481">
        <v>0</v>
      </c>
      <c r="K24" s="481">
        <v>0</v>
      </c>
      <c r="L24" s="481">
        <v>0</v>
      </c>
      <c r="M24" s="481">
        <v>0</v>
      </c>
      <c r="N24" s="481">
        <v>0</v>
      </c>
      <c r="O24" s="481">
        <v>0</v>
      </c>
      <c r="P24" s="481">
        <v>0</v>
      </c>
      <c r="Q24" s="481">
        <v>0</v>
      </c>
      <c r="R24" s="481">
        <v>0</v>
      </c>
      <c r="S24" s="481">
        <v>0</v>
      </c>
      <c r="T24" s="481">
        <v>0</v>
      </c>
      <c r="U24" s="481">
        <v>0</v>
      </c>
      <c r="V24" s="481">
        <v>0</v>
      </c>
      <c r="W24" s="481">
        <v>0</v>
      </c>
      <c r="X24" s="481">
        <v>0</v>
      </c>
      <c r="Y24" s="481">
        <v>0</v>
      </c>
      <c r="Z24" s="160"/>
      <c r="AA24" s="160"/>
    </row>
    <row r="25" spans="1:27">
      <c r="A25" s="4" t="s">
        <v>82</v>
      </c>
      <c r="D25" s="125">
        <f>SUM(D11:D24)</f>
        <v>11530.92304</v>
      </c>
      <c r="E25" s="125">
        <f t="shared" ref="E25:Y25" si="0">SUM(E11:E24)</f>
        <v>22325.845931200001</v>
      </c>
      <c r="F25" s="125">
        <f t="shared" si="0"/>
        <v>22349.291709136</v>
      </c>
      <c r="G25" s="125">
        <f t="shared" si="0"/>
        <v>22373.440860410079</v>
      </c>
      <c r="H25" s="125">
        <f t="shared" si="0"/>
        <v>28338.905609768295</v>
      </c>
      <c r="I25" s="125">
        <f t="shared" si="0"/>
        <v>34725.487489825995</v>
      </c>
      <c r="J25" s="125">
        <f t="shared" si="0"/>
        <v>35167.396673631687</v>
      </c>
      <c r="K25" s="125">
        <f t="shared" si="0"/>
        <v>35604.577998688081</v>
      </c>
      <c r="L25" s="125">
        <f t="shared" si="0"/>
        <v>36672.364373208729</v>
      </c>
      <c r="M25" s="125">
        <f t="shared" si="0"/>
        <v>37117.089612020929</v>
      </c>
      <c r="N25" s="125">
        <f t="shared" si="0"/>
        <v>38230.25133494156</v>
      </c>
      <c r="O25" s="125">
        <f t="shared" si="0"/>
        <v>38681.817913734863</v>
      </c>
      <c r="P25" s="125">
        <f t="shared" si="0"/>
        <v>39841.921485706909</v>
      </c>
      <c r="Q25" s="125">
        <f t="shared" si="0"/>
        <v>40299.513278278049</v>
      </c>
      <c r="R25" s="125">
        <f t="shared" si="0"/>
        <v>40748.713378029512</v>
      </c>
      <c r="S25" s="125">
        <f t="shared" si="0"/>
        <v>41188.606450778811</v>
      </c>
      <c r="T25" s="125">
        <f t="shared" si="0"/>
        <v>41618.229794816041</v>
      </c>
      <c r="U25" s="125">
        <f t="shared" si="0"/>
        <v>42036.571322653013</v>
      </c>
      <c r="V25" s="125">
        <f t="shared" si="0"/>
        <v>42442.567464308064</v>
      </c>
      <c r="W25" s="125">
        <f t="shared" si="0"/>
        <v>42835.10098923523</v>
      </c>
      <c r="X25" s="125">
        <f t="shared" si="0"/>
        <v>43212.998743903343</v>
      </c>
      <c r="Y25" s="125">
        <f t="shared" si="0"/>
        <v>43575.029301924435</v>
      </c>
      <c r="Z25" s="160"/>
      <c r="AA25" s="160"/>
    </row>
    <row r="26" spans="1:27">
      <c r="A26" s="7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60"/>
      <c r="AA26" s="160"/>
    </row>
    <row r="27" spans="1:27">
      <c r="A27" s="1" t="s">
        <v>83</v>
      </c>
      <c r="Z27" s="160"/>
      <c r="AA27" s="160"/>
    </row>
    <row r="28" spans="1:27">
      <c r="A28" s="4" t="s">
        <v>84</v>
      </c>
      <c r="D28" s="482">
        <f>Assumptions!$I$110</f>
        <v>0</v>
      </c>
      <c r="E28" s="482">
        <f>Assumptions!$I$110</f>
        <v>0</v>
      </c>
      <c r="F28" s="482">
        <f>Assumptions!$I$110</f>
        <v>0</v>
      </c>
      <c r="G28" s="482">
        <f>Assumptions!$I$110</f>
        <v>0</v>
      </c>
      <c r="H28" s="482">
        <f>Assumptions!$I$110</f>
        <v>0</v>
      </c>
      <c r="I28" s="482">
        <f>Assumptions!$I$110</f>
        <v>0</v>
      </c>
      <c r="J28" s="482">
        <f>Assumptions!$I$110</f>
        <v>0</v>
      </c>
      <c r="K28" s="482">
        <f>Assumptions!$I$110</f>
        <v>0</v>
      </c>
      <c r="L28" s="482">
        <f>Assumptions!$I$110</f>
        <v>0</v>
      </c>
      <c r="M28" s="482">
        <f>Assumptions!$I$110</f>
        <v>0</v>
      </c>
      <c r="N28" s="482">
        <f>Assumptions!$I$110</f>
        <v>0</v>
      </c>
      <c r="O28" s="482">
        <f>Assumptions!$I$110</f>
        <v>0</v>
      </c>
      <c r="P28" s="482">
        <f>Assumptions!$I$110</f>
        <v>0</v>
      </c>
      <c r="Q28" s="482">
        <f>Assumptions!$I$110</f>
        <v>0</v>
      </c>
      <c r="R28" s="482">
        <f>Assumptions!$I$110</f>
        <v>0</v>
      </c>
      <c r="S28" s="482">
        <f>Assumptions!$I$110</f>
        <v>0</v>
      </c>
      <c r="T28" s="482">
        <f>Assumptions!$I$110</f>
        <v>0</v>
      </c>
      <c r="U28" s="482">
        <f>Assumptions!$I$110</f>
        <v>0</v>
      </c>
      <c r="V28" s="482">
        <f>Assumptions!$I$110</f>
        <v>0</v>
      </c>
      <c r="W28" s="482">
        <f>Assumptions!$I$110</f>
        <v>0</v>
      </c>
      <c r="X28" s="482">
        <f>Assumptions!$I$110</f>
        <v>0</v>
      </c>
      <c r="Y28" s="482">
        <f>Assumptions!$I$110</f>
        <v>0</v>
      </c>
      <c r="Z28" s="160"/>
      <c r="AA28" s="160"/>
    </row>
    <row r="29" spans="1:27">
      <c r="A29" s="4" t="s">
        <v>70</v>
      </c>
      <c r="C29" s="125"/>
      <c r="D29" s="135">
        <f>Assumptions!$I68*Assumptions!I17/12</f>
        <v>350.72500000000008</v>
      </c>
      <c r="E29" s="135">
        <f>Assumptions!$I68*(1+Assumptions!$I$64)</f>
        <v>722.49350000000004</v>
      </c>
      <c r="F29" s="135">
        <f>E29*(1+Assumptions!$I$64)</f>
        <v>744.16830500000003</v>
      </c>
      <c r="G29" s="135">
        <f>F29*(1+Assumptions!$I$64)</f>
        <v>766.49335415000007</v>
      </c>
      <c r="H29" s="135">
        <f>G29*(1+Assumptions!$I$64)</f>
        <v>789.48815477450012</v>
      </c>
      <c r="I29" s="135">
        <f>H29*(1+Assumptions!$I$64)</f>
        <v>813.17279941773518</v>
      </c>
      <c r="J29" s="135">
        <f>I29*(1+Assumptions!$I$64)</f>
        <v>837.56798340026728</v>
      </c>
      <c r="K29" s="135">
        <f>J29*(1+Assumptions!$I$64)</f>
        <v>862.69502290227535</v>
      </c>
      <c r="L29" s="135">
        <f>K29*(1+Assumptions!$I$64)</f>
        <v>888.57587358934359</v>
      </c>
      <c r="M29" s="135">
        <f>L29*(1+Assumptions!$I$64)</f>
        <v>915.23314979702388</v>
      </c>
      <c r="N29" s="135">
        <f>M29*(1+Assumptions!$I$64)</f>
        <v>942.69014429093465</v>
      </c>
      <c r="O29" s="135">
        <f>N29*(1+Assumptions!$I$64)</f>
        <v>970.97084861966277</v>
      </c>
      <c r="P29" s="135">
        <f>O29*(1+Assumptions!$I$64)</f>
        <v>1000.0999740782527</v>
      </c>
      <c r="Q29" s="135">
        <f>P29*(1+Assumptions!$I$64)</f>
        <v>1030.1029733006003</v>
      </c>
      <c r="R29" s="135">
        <f>Q29*(1+Assumptions!$I$64)</f>
        <v>1061.0060624996183</v>
      </c>
      <c r="S29" s="135">
        <f>R29*(1+Assumptions!$I$64)</f>
        <v>1092.8362443746068</v>
      </c>
      <c r="T29" s="135">
        <f>S29*(1+Assumptions!$I$64)</f>
        <v>1125.621331705845</v>
      </c>
      <c r="U29" s="135">
        <f>T29*(1+Assumptions!$I$64)</f>
        <v>1159.3899716570204</v>
      </c>
      <c r="V29" s="135">
        <f>U29*(1+Assumptions!$I$64)</f>
        <v>1194.1716708067311</v>
      </c>
      <c r="W29" s="135">
        <f>V29*(1+Assumptions!$I$64)</f>
        <v>1229.9968209309329</v>
      </c>
      <c r="X29" s="135">
        <f>W29*(1+Assumptions!$I$64)</f>
        <v>1266.8967255588609</v>
      </c>
      <c r="Y29" s="135">
        <f>X29*(1+Assumptions!$I$64)</f>
        <v>1304.9036273256268</v>
      </c>
      <c r="Z29" s="160"/>
      <c r="AA29" s="160"/>
    </row>
    <row r="30" spans="1:27">
      <c r="A30" s="4" t="s">
        <v>85</v>
      </c>
      <c r="C30" s="125"/>
      <c r="D30" s="482">
        <f>Assumptions!I69</f>
        <v>0.63230253333333342</v>
      </c>
      <c r="E30" s="482">
        <f>D30*(1+Assumptions!$I$64)^(IS!E7-IS!$D$7)</f>
        <v>0.65127160933333339</v>
      </c>
      <c r="F30" s="482">
        <f>E30*(1+Assumptions!$I$64)^(IS!F7-IS!$D$7)</f>
        <v>0.69093405034173339</v>
      </c>
      <c r="G30" s="482">
        <f>F30*(1+Assumptions!$I$64)^(IS!G7-IS!$D$7)</f>
        <v>0.75500229202777125</v>
      </c>
      <c r="H30" s="482">
        <f>G30*(1+Assumptions!$I$64)^(IS!H7-IS!$D$7)</f>
        <v>0.84976173124744925</v>
      </c>
      <c r="I30" s="482">
        <f>H30*(1+Assumptions!$I$64)^(IS!I7-IS!$D$7)</f>
        <v>0.98510674436745194</v>
      </c>
      <c r="J30" s="482">
        <f>I30*(1+Assumptions!$I$64)^(IS!J7-IS!$D$7)</f>
        <v>1.1762689704381624</v>
      </c>
      <c r="K30" s="482">
        <f>J30*(1+Assumptions!$I$64)^(IS!K7-IS!$D$7)</f>
        <v>1.446662465452115</v>
      </c>
      <c r="L30" s="482">
        <f>K30*(1+Assumptions!$I$64)^(IS!L7-IS!$D$7)</f>
        <v>1.8325887291011849</v>
      </c>
      <c r="M30" s="482">
        <f>L30*(1+Assumptions!$I$64)^(IS!M7-IS!$D$7)</f>
        <v>2.3911126307189416</v>
      </c>
      <c r="N30" s="482">
        <f>M30*(1+Assumptions!$I$64)^(IS!N7-IS!$D$7)</f>
        <v>3.2134554292797981</v>
      </c>
      <c r="O30" s="482">
        <f>N30*(1+Assumptions!$I$64)^(IS!O7-IS!$D$7)</f>
        <v>4.4481738472724599</v>
      </c>
      <c r="P30" s="482">
        <f>O30*(1+Assumptions!$I$64)^(IS!P7-IS!$D$7)</f>
        <v>6.3420322893331607</v>
      </c>
      <c r="Q30" s="482">
        <f>P30*(1+Assumptions!$I$64)^(IS!Q7-IS!$D$7)</f>
        <v>9.3134882286841503</v>
      </c>
      <c r="R30" s="482">
        <f>Q30*(1+Assumptions!$I$64)^(IS!R7-IS!$D$7)</f>
        <v>14.087486597266674</v>
      </c>
      <c r="S30" s="482">
        <f>R30*(1+Assumptions!$I$64)^(IS!S7-IS!$D$7)</f>
        <v>21.947845100341453</v>
      </c>
      <c r="T30" s="482">
        <f>S30*(1+Assumptions!$I$64)^(IS!T7-IS!$D$7)</f>
        <v>35.219848356860695</v>
      </c>
      <c r="U30" s="482">
        <f>T30*(1+Assumptions!$I$64)^(IS!U7-IS!$D$7)</f>
        <v>58.213042965607308</v>
      </c>
      <c r="V30" s="482">
        <f>U30*(1+Assumptions!$I$64)^(IS!V7-IS!$D$7)</f>
        <v>99.10380894002887</v>
      </c>
      <c r="W30" s="482">
        <f>V30*(1+Assumptions!$I$64)^(IS!W7-IS!$D$7)</f>
        <v>173.77912885933708</v>
      </c>
      <c r="X30" s="482">
        <f>W30*(1+Assumptions!$I$64)^(IS!X7-IS!$D$7)</f>
        <v>313.86443698391236</v>
      </c>
      <c r="Y30" s="482">
        <f>X30*(1+Assumptions!$I$64)^(IS!Y7-IS!$D$7)</f>
        <v>583.88030837382917</v>
      </c>
      <c r="Z30" s="160"/>
      <c r="AA30" s="160"/>
    </row>
    <row r="31" spans="1:27">
      <c r="A31" s="4" t="s">
        <v>72</v>
      </c>
      <c r="C31" s="125"/>
      <c r="D31" s="482">
        <v>410.19</v>
      </c>
      <c r="E31" s="482">
        <v>844.9914</v>
      </c>
      <c r="F31" s="482">
        <v>844.9914</v>
      </c>
      <c r="G31" s="482">
        <v>844.9914</v>
      </c>
      <c r="H31" s="482">
        <v>844.9914</v>
      </c>
      <c r="I31" s="482">
        <v>844.9914</v>
      </c>
      <c r="J31" s="482">
        <v>844.9914</v>
      </c>
      <c r="K31" s="482">
        <v>844.9914</v>
      </c>
      <c r="L31" s="482">
        <v>844.9914</v>
      </c>
      <c r="M31" s="482">
        <v>844.9914</v>
      </c>
      <c r="N31" s="482">
        <v>844.9914</v>
      </c>
      <c r="O31" s="482">
        <v>844.9914</v>
      </c>
      <c r="P31" s="482">
        <v>844.9914</v>
      </c>
      <c r="Q31" s="482">
        <v>844.9914</v>
      </c>
      <c r="R31" s="482">
        <v>844.9914</v>
      </c>
      <c r="S31" s="482">
        <v>844.9914</v>
      </c>
      <c r="T31" s="482">
        <v>844.9914</v>
      </c>
      <c r="U31" s="482">
        <v>844.9914</v>
      </c>
      <c r="V31" s="482">
        <v>844.9914</v>
      </c>
      <c r="W31" s="482">
        <v>844.9914</v>
      </c>
      <c r="X31" s="482">
        <v>844.9914</v>
      </c>
      <c r="Y31" s="482">
        <v>844.9914</v>
      </c>
      <c r="Z31" s="160"/>
      <c r="AA31" s="160"/>
    </row>
    <row r="32" spans="1:27">
      <c r="A32" s="4" t="s">
        <v>73</v>
      </c>
      <c r="C32" s="125"/>
      <c r="D32" s="135">
        <f>Assumptions!$I73*Assumptions!I17/12</f>
        <v>127.88</v>
      </c>
      <c r="E32" s="135">
        <f>Assumptions!$I73*(1+Assumptions!$I$64)</f>
        <v>263.43279999999999</v>
      </c>
      <c r="F32" s="135">
        <f>E32*(1+Assumptions!$I$64)</f>
        <v>271.33578399999999</v>
      </c>
      <c r="G32" s="135">
        <f>F32*(1+Assumptions!$I$64)</f>
        <v>279.47585751999998</v>
      </c>
      <c r="H32" s="135">
        <f>G32*(1+Assumptions!$I$64)</f>
        <v>287.86013324559997</v>
      </c>
      <c r="I32" s="135">
        <f>H32*(1+Assumptions!$I$64)</f>
        <v>296.49593724296795</v>
      </c>
      <c r="J32" s="135">
        <f>I32*(1+Assumptions!$I$64)</f>
        <v>305.39081536025702</v>
      </c>
      <c r="K32" s="135">
        <f>J32*(1+Assumptions!$I$64)</f>
        <v>314.55253982106473</v>
      </c>
      <c r="L32" s="135">
        <f>K32*(1+Assumptions!$I$64)</f>
        <v>323.98911601569665</v>
      </c>
      <c r="M32" s="135">
        <f>L32*(1+Assumptions!$I$64)</f>
        <v>333.70878949616758</v>
      </c>
      <c r="N32" s="135">
        <f>M32*(1+Assumptions!$I$64)</f>
        <v>343.72005318105261</v>
      </c>
      <c r="O32" s="135">
        <f>N32*(1+Assumptions!$I$64)</f>
        <v>354.03165477648417</v>
      </c>
      <c r="P32" s="135">
        <f>O32*(1+Assumptions!$I$64)</f>
        <v>364.6526044197787</v>
      </c>
      <c r="Q32" s="135">
        <f>P32*(1+Assumptions!$I$64)</f>
        <v>375.59218255237209</v>
      </c>
      <c r="R32" s="135">
        <f>Q32*(1+Assumptions!$I$64)</f>
        <v>386.85994802894328</v>
      </c>
      <c r="S32" s="135">
        <f>R32*(1+Assumptions!$I$64)</f>
        <v>398.46574646981156</v>
      </c>
      <c r="T32" s="135">
        <f>S32*(1+Assumptions!$I$64)</f>
        <v>410.41971886390593</v>
      </c>
      <c r="U32" s="135">
        <f>T32*(1+Assumptions!$I$64)</f>
        <v>422.73231042982314</v>
      </c>
      <c r="V32" s="135">
        <f>U32*(1+Assumptions!$I$64)</f>
        <v>435.41427974271784</v>
      </c>
      <c r="W32" s="135">
        <f>V32*(1+Assumptions!$I$64)</f>
        <v>448.4767081349994</v>
      </c>
      <c r="X32" s="135">
        <f>W32*(1+Assumptions!$I$64)</f>
        <v>461.93100937904939</v>
      </c>
      <c r="Y32" s="135">
        <f>X32*(1+Assumptions!$I$64)</f>
        <v>475.78893966042085</v>
      </c>
      <c r="Z32" s="160"/>
      <c r="AA32" s="160"/>
    </row>
    <row r="33" spans="1:48">
      <c r="A33" s="4" t="s">
        <v>74</v>
      </c>
      <c r="C33" s="125"/>
      <c r="D33" s="135">
        <f>Assumptions!$I74*Assumptions!I17/12</f>
        <v>221.61015</v>
      </c>
      <c r="E33" s="135">
        <f>(Assumptions!$I74)*(1+Assumptions!$I$64)</f>
        <v>456.516909</v>
      </c>
      <c r="F33" s="135">
        <f>E33*(1+Assumptions!$I$64)</f>
        <v>470.21241627000001</v>
      </c>
      <c r="G33" s="135">
        <f>F33*(1+Assumptions!$I$64)</f>
        <v>484.31878875810003</v>
      </c>
      <c r="H33" s="135">
        <f>G33*(1+Assumptions!$I$64)</f>
        <v>498.84835242084301</v>
      </c>
      <c r="I33" s="135">
        <f>H33*(1+Assumptions!$I$64)</f>
        <v>513.81380299346836</v>
      </c>
      <c r="J33" s="135">
        <f>I33*(1+Assumptions!$I$64)</f>
        <v>529.2282170832724</v>
      </c>
      <c r="K33" s="135">
        <f>J33*(1+Assumptions!$I$64)</f>
        <v>545.10506359577062</v>
      </c>
      <c r="L33" s="135">
        <f>K33*(1+Assumptions!$I$64)</f>
        <v>561.45821550364371</v>
      </c>
      <c r="M33" s="135">
        <f>L33*(1+Assumptions!$I$64)</f>
        <v>578.30196196875306</v>
      </c>
      <c r="N33" s="135">
        <f>M33*(1+Assumptions!$I$64)</f>
        <v>595.65102082781561</v>
      </c>
      <c r="O33" s="135">
        <f>N33*(1+Assumptions!$I$64)</f>
        <v>613.52055145265012</v>
      </c>
      <c r="P33" s="135">
        <f>O33*(1+Assumptions!$I$64)</f>
        <v>631.92616799622965</v>
      </c>
      <c r="Q33" s="135">
        <f>P33*(1+Assumptions!$I$64)</f>
        <v>650.88395303611651</v>
      </c>
      <c r="R33" s="135">
        <f>Q33*(1+Assumptions!$I$64)</f>
        <v>670.41047162719997</v>
      </c>
      <c r="S33" s="135">
        <f>R33*(1+Assumptions!$I$64)</f>
        <v>690.52278577601601</v>
      </c>
      <c r="T33" s="135">
        <f>S33*(1+Assumptions!$I$64)</f>
        <v>711.23846934929645</v>
      </c>
      <c r="U33" s="135">
        <f>T33*(1+Assumptions!$I$64)</f>
        <v>732.57562342977542</v>
      </c>
      <c r="V33" s="135">
        <f>U33*(1+Assumptions!$I$64)</f>
        <v>754.55289213266872</v>
      </c>
      <c r="W33" s="135">
        <f>V33*(1+Assumptions!$I$64)</f>
        <v>777.18947889664878</v>
      </c>
      <c r="X33" s="135">
        <f>W33*(1+Assumptions!$I$64)</f>
        <v>800.5051632635483</v>
      </c>
      <c r="Y33" s="135">
        <f>X33*(1+Assumptions!$I$64)</f>
        <v>824.52031816145472</v>
      </c>
      <c r="Z33" s="161"/>
      <c r="AA33" s="161"/>
    </row>
    <row r="34" spans="1:48">
      <c r="A34" s="4" t="s">
        <v>86</v>
      </c>
      <c r="C34" s="125"/>
      <c r="D34" s="135">
        <f>+Assumptions!I75*Assumptions!I17/12</f>
        <v>22.056014999999999</v>
      </c>
      <c r="E34" s="135">
        <f>+Assumptions!I75*(1+Assumptions!$I$64)</f>
        <v>45.435390900000002</v>
      </c>
      <c r="F34" s="135">
        <f>E34*(1+Assumptions!$I$64)</f>
        <v>46.798452627000003</v>
      </c>
      <c r="G34" s="135">
        <f>F34*(1+Assumptions!$I$64)</f>
        <v>48.202406205810007</v>
      </c>
      <c r="H34" s="135">
        <f>G34*(1+Assumptions!$I$64)</f>
        <v>49.648478391984305</v>
      </c>
      <c r="I34" s="135">
        <f>H34*(1+Assumptions!$I$64)</f>
        <v>51.137932743743839</v>
      </c>
      <c r="J34" s="135">
        <f>I34*(1+Assumptions!$I$64)</f>
        <v>52.672070726056155</v>
      </c>
      <c r="K34" s="135">
        <f>J34*(1+Assumptions!$I$64)</f>
        <v>54.252232847837838</v>
      </c>
      <c r="L34" s="135">
        <f>K34*(1+Assumptions!$I$64)</f>
        <v>55.879799833272976</v>
      </c>
      <c r="M34" s="135">
        <f>L34*(1+Assumptions!$I$64)</f>
        <v>57.556193828271169</v>
      </c>
      <c r="N34" s="135">
        <f>M34*(1+Assumptions!$I$64)</f>
        <v>59.282879643119308</v>
      </c>
      <c r="O34" s="135">
        <f>N34*(1+Assumptions!$I$64)</f>
        <v>61.061366032412892</v>
      </c>
      <c r="P34" s="135">
        <f>O34*(1+Assumptions!$I$64)</f>
        <v>62.893207013385279</v>
      </c>
      <c r="Q34" s="135">
        <f>P34*(1+Assumptions!$I$64)</f>
        <v>64.780003223786835</v>
      </c>
      <c r="R34" s="135">
        <f>Q34*(1+Assumptions!$I$64)</f>
        <v>66.723403320500438</v>
      </c>
      <c r="S34" s="135">
        <f>R34*(1+Assumptions!$I$64)</f>
        <v>68.725105420115455</v>
      </c>
      <c r="T34" s="135">
        <f>S34*(1+Assumptions!$I$64)</f>
        <v>70.786858582718921</v>
      </c>
      <c r="U34" s="135">
        <f>T34*(1+Assumptions!$I$64)</f>
        <v>72.910464340200491</v>
      </c>
      <c r="V34" s="135">
        <f>U34*(1+Assumptions!$I$64)</f>
        <v>75.097778270406508</v>
      </c>
      <c r="W34" s="135">
        <f>V34*(1+Assumptions!$I$64)</f>
        <v>77.350711618518702</v>
      </c>
      <c r="X34" s="135">
        <f>W34*(1+Assumptions!$I$64)</f>
        <v>79.671232967074261</v>
      </c>
      <c r="Y34" s="135">
        <f>X34*(1+Assumptions!$I$64)</f>
        <v>82.061369956086494</v>
      </c>
      <c r="Z34" s="161"/>
      <c r="AA34" s="161"/>
    </row>
    <row r="35" spans="1:48" ht="14.25" customHeight="1">
      <c r="A35" s="4" t="s">
        <v>87</v>
      </c>
      <c r="C35" s="125"/>
      <c r="D35" s="482">
        <v>0</v>
      </c>
      <c r="E35" s="482">
        <v>540.30229880615991</v>
      </c>
      <c r="F35" s="482">
        <v>529.38710085048001</v>
      </c>
      <c r="G35" s="524">
        <v>518.4719028948</v>
      </c>
      <c r="H35" s="482">
        <v>507.55670493911998</v>
      </c>
      <c r="I35" s="482">
        <v>496.64150698343997</v>
      </c>
      <c r="J35" s="482">
        <v>485.72630902775995</v>
      </c>
      <c r="K35" s="482">
        <v>469.35351209423999</v>
      </c>
      <c r="L35" s="482">
        <v>452.98071516071991</v>
      </c>
      <c r="M35" s="482">
        <v>436.6079182272</v>
      </c>
      <c r="N35" s="482">
        <v>414.77752231583997</v>
      </c>
      <c r="O35" s="482">
        <v>1178.8413792134397</v>
      </c>
      <c r="P35" s="482">
        <v>1096.9773945458401</v>
      </c>
      <c r="Q35" s="482">
        <v>998.74061294471994</v>
      </c>
      <c r="R35" s="482">
        <v>900.50383134360004</v>
      </c>
      <c r="S35" s="482">
        <v>802.26704974247991</v>
      </c>
      <c r="T35" s="482">
        <v>671.28467427431997</v>
      </c>
      <c r="U35" s="482">
        <v>523.92950187264</v>
      </c>
      <c r="V35" s="482">
        <v>376.57432947095998</v>
      </c>
      <c r="W35" s="482">
        <v>327.45593867039997</v>
      </c>
      <c r="X35" s="482">
        <v>327.45593867039997</v>
      </c>
      <c r="Y35" s="482">
        <v>0</v>
      </c>
      <c r="Z35" s="160"/>
      <c r="AA35" s="160"/>
    </row>
    <row r="36" spans="1:48">
      <c r="A36" s="18" t="s">
        <v>46</v>
      </c>
      <c r="C36" s="125"/>
      <c r="D36" s="480">
        <f>Assumptions!$B$63*MAX(Debt!B87:$V$87)/2*(13-MONTH(Assumptions!$B$47))/12</f>
        <v>50.011689322916673</v>
      </c>
      <c r="E36" s="480">
        <f>Assumptions!$B$63*MAX(Debt!C87:$V$87)/2*(13-MONTH(Assumptions!$B$47))/12</f>
        <v>50.011689322916673</v>
      </c>
      <c r="F36" s="480">
        <f>Assumptions!$B$63*MAX(Debt!D87:$V$87)/2*(13-MONTH(Assumptions!$B$47))/12</f>
        <v>48.430788114583343</v>
      </c>
      <c r="G36" s="480">
        <f>Assumptions!$B$63*MAX(Debt!E87:$V$87)/2*(13-MONTH(Assumptions!$B$47))/12</f>
        <v>46.849886906249999</v>
      </c>
      <c r="H36" s="480">
        <f>Assumptions!$B$63*MAX(Debt!F87:$V$87)/2*(13-MONTH(Assumptions!$B$47))/12</f>
        <v>45.268985697916662</v>
      </c>
      <c r="I36" s="480">
        <f>Assumptions!$B$63*MAX(Debt!G87:$V$87)/2*(13-MONTH(Assumptions!$B$47))/12</f>
        <v>43.688084489583332</v>
      </c>
      <c r="J36" s="480">
        <f>Assumptions!$B$63*MAX(Debt!H87:$V$87)/2*(13-MONTH(Assumptions!$B$47))/12</f>
        <v>42.107183281249995</v>
      </c>
      <c r="K36" s="480">
        <f>Assumptions!$B$63*MAX(Debt!I87:$V$87)/2*(13-MONTH(Assumptions!$B$47))/12</f>
        <v>40.526282072916665</v>
      </c>
      <c r="L36" s="480">
        <f>Assumptions!$B$63*MAX(Debt!J87:$V$87)/2*(13-MONTH(Assumptions!$B$47))/12</f>
        <v>38.945380864583335</v>
      </c>
      <c r="M36" s="480">
        <f>Assumptions!$B$63*MAX(Debt!K87:$V$87)/2*(13-MONTH(Assumptions!$B$47))/12</f>
        <v>37.364479656249998</v>
      </c>
      <c r="N36" s="480">
        <f>Assumptions!$B$63*MAX(Debt!L87:$V$87)/2*(13-MONTH(Assumptions!$B$47))/12</f>
        <v>35.783578447916675</v>
      </c>
      <c r="O36" s="480">
        <f>Assumptions!$B$63*MAX(Debt!M87:$V$87)/2*(13-MONTH(Assumptions!$B$47))/12</f>
        <v>34.202677239583331</v>
      </c>
      <c r="P36" s="480">
        <f>Assumptions!$B$63*MAX(Debt!N87:$V$87)/2*(13-MONTH(Assumptions!$B$47))/12</f>
        <v>32.62177603125</v>
      </c>
      <c r="Q36" s="480">
        <f>Assumptions!$B$63*MAX(Debt!O87:$V$87)/2*(13-MONTH(Assumptions!$B$47))/12</f>
        <v>31.040874822916674</v>
      </c>
      <c r="R36" s="480">
        <f>Assumptions!$B$63*MAX(Debt!P87:$V$87)/2*(13-MONTH(Assumptions!$B$47))/12</f>
        <v>29.459973614583337</v>
      </c>
      <c r="S36" s="480">
        <f>Assumptions!$B$63*MAX(Debt!Q87:$V$87)/2*(13-MONTH(Assumptions!$B$47))/12</f>
        <v>27.879072406250003</v>
      </c>
      <c r="T36" s="480">
        <f>Assumptions!$B$63*MAX(Debt!R87:$V$87)/2*(13-MONTH(Assumptions!$B$47))/12</f>
        <v>26.29817119791667</v>
      </c>
      <c r="U36" s="480">
        <f>Assumptions!$B$63*MAX(Debt!S87:$V$87)/2*(13-MONTH(Assumptions!$B$47))/12</f>
        <v>24.71726998958334</v>
      </c>
      <c r="V36" s="480">
        <f>Assumptions!$B$63*MAX(Debt!T87:$V$87)/2*(13-MONTH(Assumptions!$B$47))/12</f>
        <v>23.136368781249999</v>
      </c>
      <c r="W36" s="480">
        <f>Assumptions!$B$63*MAX(Debt!U87:$V$87)/2*(13-MONTH(Assumptions!$B$47))/12</f>
        <v>21.555467572916669</v>
      </c>
      <c r="X36" s="480">
        <f>Assumptions!$B$63*MAX(Debt!V87:$V$87)/2*(13-MONTH(Assumptions!$B$47))/12</f>
        <v>1.4926134402533717E-16</v>
      </c>
      <c r="Y36" s="480">
        <f>Assumptions!$B$63*MAX(Debt!$V87:W$87)/2*(13-MONTH(Assumptions!$B$47))/12</f>
        <v>1.4926134402533717E-16</v>
      </c>
      <c r="Z36" s="160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</row>
    <row r="37" spans="1:48">
      <c r="A37" s="18" t="s">
        <v>88</v>
      </c>
      <c r="C37" s="125"/>
      <c r="D37" s="482">
        <v>0</v>
      </c>
      <c r="E37" s="482">
        <v>0</v>
      </c>
      <c r="F37" s="482">
        <v>0</v>
      </c>
      <c r="G37" s="482">
        <v>0</v>
      </c>
      <c r="H37" s="525">
        <f>Assumptions!$J$76*Assumptions!$I$44*7</f>
        <v>9.8000000000000014E-3</v>
      </c>
      <c r="I37" s="525">
        <f>Assumptions!$J$76*Assumptions!$I$44*12*(1+Assumptions!I64)</f>
        <v>1.7304000000000003E-2</v>
      </c>
      <c r="J37" s="525">
        <f>I37*(1+Assumptions!$I$64)</f>
        <v>1.7823120000000005E-2</v>
      </c>
      <c r="K37" s="525">
        <f>J37*(1+Assumptions!$I$64)</f>
        <v>1.8357813600000005E-2</v>
      </c>
      <c r="L37" s="525">
        <f>K37*(1+Assumptions!$I$64)</f>
        <v>1.8908548008000004E-2</v>
      </c>
      <c r="M37" s="525">
        <f>L37*(1+Assumptions!$I$64)</f>
        <v>1.9475804448240003E-2</v>
      </c>
      <c r="N37" s="525">
        <f>M37*(1+Assumptions!$I$64)</f>
        <v>2.0060078581687204E-2</v>
      </c>
      <c r="O37" s="525">
        <f>N37*(1+Assumptions!$I$64)</f>
        <v>2.066188093913782E-2</v>
      </c>
      <c r="P37" s="525">
        <f>O37*(1+Assumptions!$I$64)</f>
        <v>2.1281737367311954E-2</v>
      </c>
      <c r="Q37" s="525">
        <f>P37*(1+Assumptions!$I$64)</f>
        <v>2.1920189488331313E-2</v>
      </c>
      <c r="R37" s="525">
        <f>Q37*(1+Assumptions!$I$64)</f>
        <v>2.2577795172981252E-2</v>
      </c>
      <c r="S37" s="525">
        <f>R37*(1+Assumptions!$I$64)</f>
        <v>2.3255129028170691E-2</v>
      </c>
      <c r="T37" s="525">
        <f>S37*(1+Assumptions!$I$64)</f>
        <v>2.3952782899015812E-2</v>
      </c>
      <c r="U37" s="525">
        <f>T37*(1+Assumptions!$I$64)</f>
        <v>2.4671366385986288E-2</v>
      </c>
      <c r="V37" s="525">
        <f>U37*(1+Assumptions!$I$64)</f>
        <v>2.5411507377565878E-2</v>
      </c>
      <c r="W37" s="525">
        <f>V37*(1+Assumptions!$I$64)</f>
        <v>2.6173852598892856E-2</v>
      </c>
      <c r="X37" s="525">
        <f>W37*(1+Assumptions!$I$64)</f>
        <v>2.6959068176859644E-2</v>
      </c>
      <c r="Y37" s="525">
        <f>X37*(1+Assumptions!$I$64)</f>
        <v>2.7767840222165434E-2</v>
      </c>
      <c r="Z37" s="160"/>
      <c r="AA37" s="160"/>
    </row>
    <row r="38" spans="1:48">
      <c r="A38" s="4" t="s">
        <v>89</v>
      </c>
      <c r="C38" s="125"/>
      <c r="D38" s="135">
        <f>Assumptions!$I77*Assumptions!I17/12</f>
        <v>76.47058823529413</v>
      </c>
      <c r="E38" s="135">
        <f>Assumptions!$I77*(1+Assumptions!$I$64)</f>
        <v>157.52941176470591</v>
      </c>
      <c r="F38" s="135">
        <f>E38*(1+Assumptions!$I$64)</f>
        <v>162.25529411764708</v>
      </c>
      <c r="G38" s="135">
        <f>F38*(1+Assumptions!$I$64)</f>
        <v>167.12295294117649</v>
      </c>
      <c r="H38" s="135">
        <f>G38*(1+Assumptions!$I$64)</f>
        <v>172.1366415294118</v>
      </c>
      <c r="I38" s="135">
        <f>H38*(1+Assumptions!$I$64)</f>
        <v>177.30074077529417</v>
      </c>
      <c r="J38" s="135">
        <f>I38*(1+Assumptions!$I$64)</f>
        <v>182.619762998553</v>
      </c>
      <c r="K38" s="135">
        <f>J38*(1+Assumptions!$I$64)</f>
        <v>188.09835588850959</v>
      </c>
      <c r="L38" s="135">
        <f>K38*(1+Assumptions!$I$64)</f>
        <v>193.74130656516488</v>
      </c>
      <c r="M38" s="135">
        <f>L38*(1+Assumptions!$I$64)</f>
        <v>199.55354576211982</v>
      </c>
      <c r="N38" s="135">
        <f>M38*(1+Assumptions!$I$64)</f>
        <v>205.54015213498343</v>
      </c>
      <c r="O38" s="135">
        <f>N38*(1+Assumptions!$I$64)</f>
        <v>211.70635669903294</v>
      </c>
      <c r="P38" s="135">
        <f>O38*(1+Assumptions!$I$64)</f>
        <v>218.05754740000393</v>
      </c>
      <c r="Q38" s="135">
        <f>P38*(1+Assumptions!$I$64)</f>
        <v>224.59927382200405</v>
      </c>
      <c r="R38" s="135">
        <f>Q38*(1+Assumptions!$I$64)</f>
        <v>231.33725203666418</v>
      </c>
      <c r="S38" s="135">
        <f>R38*(1+Assumptions!$I$64)</f>
        <v>238.27736959776411</v>
      </c>
      <c r="T38" s="135">
        <f>S38*(1+Assumptions!$I$64)</f>
        <v>245.42569068569705</v>
      </c>
      <c r="U38" s="135">
        <f>T38*(1+Assumptions!$I$64)</f>
        <v>252.78846140626797</v>
      </c>
      <c r="V38" s="135">
        <f>U38*(1+Assumptions!$I$64)</f>
        <v>260.372115248456</v>
      </c>
      <c r="W38" s="135">
        <f>V38*(1+Assumptions!$I$64)</f>
        <v>268.18327870590969</v>
      </c>
      <c r="X38" s="135">
        <f>W38*(1+Assumptions!$I$64)</f>
        <v>276.22877706708698</v>
      </c>
      <c r="Y38" s="135">
        <f>X38*(1+Assumptions!$I$64)</f>
        <v>284.51564037909958</v>
      </c>
      <c r="Z38" s="160"/>
      <c r="AA38" s="160"/>
    </row>
    <row r="39" spans="1:48">
      <c r="A39" s="4" t="s">
        <v>90</v>
      </c>
      <c r="C39" s="127"/>
      <c r="D39" s="136">
        <f>Assumptions!$I78*Assumptions!I17/12</f>
        <v>100</v>
      </c>
      <c r="E39" s="136">
        <f>Assumptions!$I78*(1+Assumptions!$I$64)</f>
        <v>206</v>
      </c>
      <c r="F39" s="136">
        <f>E39*(1+Assumptions!$I$64)</f>
        <v>212.18</v>
      </c>
      <c r="G39" s="136">
        <f>F39*(1+Assumptions!$I$64)</f>
        <v>218.5454</v>
      </c>
      <c r="H39" s="136">
        <f>G39*(1+Assumptions!$I$64)</f>
        <v>225.10176200000001</v>
      </c>
      <c r="I39" s="136">
        <f>H39*(1+Assumptions!$I$64)</f>
        <v>231.85481486</v>
      </c>
      <c r="J39" s="136">
        <f>I39*(1+Assumptions!$I$64)</f>
        <v>238.81045930580001</v>
      </c>
      <c r="K39" s="136">
        <f>J39*(1+Assumptions!$I$64)</f>
        <v>245.974773084974</v>
      </c>
      <c r="L39" s="136">
        <f>K39*(1+Assumptions!$I$64)</f>
        <v>253.35401627752324</v>
      </c>
      <c r="M39" s="136">
        <f>L39*(1+Assumptions!$I$64)</f>
        <v>260.95463676584893</v>
      </c>
      <c r="N39" s="136">
        <f>M39*(1+Assumptions!$I$64)</f>
        <v>268.78327586882443</v>
      </c>
      <c r="O39" s="136">
        <f>N39*(1+Assumptions!$I$64)</f>
        <v>276.8467741448892</v>
      </c>
      <c r="P39" s="136">
        <f>O39*(1+Assumptions!$I$64)</f>
        <v>285.15217736923586</v>
      </c>
      <c r="Q39" s="136">
        <f>P39*(1+Assumptions!$I$64)</f>
        <v>293.70674269031292</v>
      </c>
      <c r="R39" s="136">
        <f>Q39*(1+Assumptions!$I$64)</f>
        <v>302.5179449710223</v>
      </c>
      <c r="S39" s="136">
        <f>R39*(1+Assumptions!$I$64)</f>
        <v>311.59348332015298</v>
      </c>
      <c r="T39" s="136">
        <f>S39*(1+Assumptions!$I$64)</f>
        <v>320.94128781975758</v>
      </c>
      <c r="U39" s="136">
        <f>T39*(1+Assumptions!$I$64)</f>
        <v>330.5695264543503</v>
      </c>
      <c r="V39" s="136">
        <f>U39*(1+Assumptions!$I$64)</f>
        <v>340.48661224798082</v>
      </c>
      <c r="W39" s="136">
        <f>V39*(1+Assumptions!$I$64)</f>
        <v>350.70121061542022</v>
      </c>
      <c r="X39" s="136">
        <f>W39*(1+Assumptions!$I$64)</f>
        <v>361.22224693388284</v>
      </c>
      <c r="Y39" s="136">
        <f>X39*(1+Assumptions!$I$64)</f>
        <v>372.05891434189931</v>
      </c>
      <c r="Z39" s="162"/>
      <c r="AA39" s="162"/>
    </row>
    <row r="40" spans="1:48">
      <c r="A40" s="4" t="s">
        <v>91</v>
      </c>
      <c r="C40" s="126"/>
      <c r="D40" s="126">
        <f t="shared" ref="D40:Y40" si="1">SUM(D28:D39)</f>
        <v>1359.5757450915441</v>
      </c>
      <c r="E40" s="126">
        <f t="shared" si="1"/>
        <v>3287.3646714031156</v>
      </c>
      <c r="F40" s="126">
        <f t="shared" si="1"/>
        <v>3330.4504750300525</v>
      </c>
      <c r="G40" s="126">
        <f t="shared" si="1"/>
        <v>3375.2269516681649</v>
      </c>
      <c r="H40" s="126">
        <f t="shared" si="1"/>
        <v>3421.7601747306235</v>
      </c>
      <c r="I40" s="126">
        <f t="shared" si="1"/>
        <v>3470.0994302506006</v>
      </c>
      <c r="J40" s="126">
        <f t="shared" si="1"/>
        <v>3520.3082932736538</v>
      </c>
      <c r="K40" s="126">
        <f t="shared" si="1"/>
        <v>3567.0142025866412</v>
      </c>
      <c r="L40" s="126">
        <f t="shared" si="1"/>
        <v>3615.767321087058</v>
      </c>
      <c r="M40" s="126">
        <f t="shared" si="1"/>
        <v>3666.6826639368019</v>
      </c>
      <c r="N40" s="126">
        <f t="shared" si="1"/>
        <v>3714.4535422183485</v>
      </c>
      <c r="O40" s="126">
        <f t="shared" si="1"/>
        <v>4550.6418439063673</v>
      </c>
      <c r="P40" s="126">
        <f t="shared" si="1"/>
        <v>4543.7355628806763</v>
      </c>
      <c r="Q40" s="126">
        <f t="shared" si="1"/>
        <v>4523.7734248110019</v>
      </c>
      <c r="R40" s="126">
        <f t="shared" si="1"/>
        <v>4507.9203518345712</v>
      </c>
      <c r="S40" s="126">
        <f t="shared" si="1"/>
        <v>4497.5293573365661</v>
      </c>
      <c r="T40" s="126">
        <f t="shared" si="1"/>
        <v>4462.2514036192169</v>
      </c>
      <c r="U40" s="126">
        <f t="shared" si="1"/>
        <v>4422.8422439116539</v>
      </c>
      <c r="V40" s="126">
        <f t="shared" si="1"/>
        <v>4403.9266671485775</v>
      </c>
      <c r="W40" s="126">
        <f t="shared" si="1"/>
        <v>4519.7063178576827</v>
      </c>
      <c r="X40" s="126">
        <f t="shared" si="1"/>
        <v>4732.793889891992</v>
      </c>
      <c r="Y40" s="126">
        <f t="shared" si="1"/>
        <v>4772.748286038639</v>
      </c>
      <c r="Z40" s="161"/>
      <c r="AA40" s="161"/>
    </row>
    <row r="41" spans="1:48">
      <c r="A41" s="5"/>
      <c r="C41" s="150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163"/>
      <c r="AA41" s="163"/>
    </row>
    <row r="42" spans="1:48">
      <c r="A42" s="1" t="s">
        <v>92</v>
      </c>
      <c r="D42" s="128">
        <f t="shared" ref="D42:Y42" si="2">D25-D40</f>
        <v>10171.347294908455</v>
      </c>
      <c r="E42" s="128">
        <f t="shared" si="2"/>
        <v>19038.481259796885</v>
      </c>
      <c r="F42" s="128">
        <f t="shared" si="2"/>
        <v>19018.841234105948</v>
      </c>
      <c r="G42" s="128">
        <f t="shared" si="2"/>
        <v>18998.213908741913</v>
      </c>
      <c r="H42" s="128">
        <f t="shared" si="2"/>
        <v>24917.145435037673</v>
      </c>
      <c r="I42" s="128">
        <f t="shared" si="2"/>
        <v>31255.388059575394</v>
      </c>
      <c r="J42" s="128">
        <f t="shared" si="2"/>
        <v>31647.088380358033</v>
      </c>
      <c r="K42" s="128">
        <f t="shared" si="2"/>
        <v>32037.56379610144</v>
      </c>
      <c r="L42" s="128">
        <f t="shared" si="2"/>
        <v>33056.597052121673</v>
      </c>
      <c r="M42" s="128">
        <f t="shared" si="2"/>
        <v>33450.406948084128</v>
      </c>
      <c r="N42" s="128">
        <f t="shared" si="2"/>
        <v>34515.797792723213</v>
      </c>
      <c r="O42" s="128">
        <f t="shared" si="2"/>
        <v>34131.176069828492</v>
      </c>
      <c r="P42" s="128">
        <f t="shared" si="2"/>
        <v>35298.185922826233</v>
      </c>
      <c r="Q42" s="128">
        <f t="shared" si="2"/>
        <v>35775.73985346705</v>
      </c>
      <c r="R42" s="128">
        <f t="shared" si="2"/>
        <v>36240.793026194937</v>
      </c>
      <c r="S42" s="128">
        <f t="shared" si="2"/>
        <v>36691.077093442247</v>
      </c>
      <c r="T42" s="128">
        <f t="shared" si="2"/>
        <v>37155.978391196826</v>
      </c>
      <c r="U42" s="128">
        <f t="shared" si="2"/>
        <v>37613.729078741359</v>
      </c>
      <c r="V42" s="128">
        <f t="shared" si="2"/>
        <v>38038.640797159489</v>
      </c>
      <c r="W42" s="128">
        <f t="shared" si="2"/>
        <v>38315.394671377551</v>
      </c>
      <c r="X42" s="128">
        <f t="shared" si="2"/>
        <v>38480.204854011354</v>
      </c>
      <c r="Y42" s="128">
        <f t="shared" si="2"/>
        <v>38802.281015885797</v>
      </c>
      <c r="Z42" s="164"/>
      <c r="AA42" s="164"/>
    </row>
    <row r="43" spans="1:48">
      <c r="A43" s="1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164"/>
      <c r="AA43" s="164"/>
    </row>
    <row r="44" spans="1:48">
      <c r="A44" s="4" t="s">
        <v>93</v>
      </c>
      <c r="D44" s="125">
        <f>Depreciation!E42</f>
        <v>1875.3022749999998</v>
      </c>
      <c r="E44" s="125">
        <f>Depreciation!F42</f>
        <v>5598.3125749999999</v>
      </c>
      <c r="F44" s="125">
        <f>Depreciation!G42</f>
        <v>5598.3125749999999</v>
      </c>
      <c r="G44" s="125">
        <f>Depreciation!H42</f>
        <v>5598.3125749999999</v>
      </c>
      <c r="H44" s="125">
        <f>Depreciation!I42</f>
        <v>5598.3125749999999</v>
      </c>
      <c r="I44" s="125">
        <f>Depreciation!J42</f>
        <v>5598.3125749999999</v>
      </c>
      <c r="J44" s="125">
        <f>Depreciation!K42</f>
        <v>5598.3125749999999</v>
      </c>
      <c r="K44" s="125">
        <f>Depreciation!L42</f>
        <v>5598.3125749999999</v>
      </c>
      <c r="L44" s="125">
        <f>Depreciation!M42</f>
        <v>5598.3125749999999</v>
      </c>
      <c r="M44" s="125">
        <f>Depreciation!N42</f>
        <v>5598.3125749999999</v>
      </c>
      <c r="N44" s="125">
        <f>Depreciation!O42</f>
        <v>5598.3125749999999</v>
      </c>
      <c r="O44" s="125">
        <f>Depreciation!P42</f>
        <v>5598.3125749999999</v>
      </c>
      <c r="P44" s="125">
        <f>Depreciation!Q42</f>
        <v>5598.3125749999999</v>
      </c>
      <c r="Q44" s="125">
        <f>Depreciation!R42</f>
        <v>5598.3125749999999</v>
      </c>
      <c r="R44" s="125">
        <f>Depreciation!S42</f>
        <v>5598.3125749999999</v>
      </c>
      <c r="S44" s="125">
        <f>Depreciation!T42</f>
        <v>5598.3125749999999</v>
      </c>
      <c r="T44" s="125">
        <f>Depreciation!U42</f>
        <v>5598.3125749999999</v>
      </c>
      <c r="U44" s="125">
        <f>Depreciation!V42</f>
        <v>5598.3125749999999</v>
      </c>
      <c r="V44" s="125">
        <f>Depreciation!W42</f>
        <v>5598.3125749999999</v>
      </c>
      <c r="W44" s="125">
        <f>Depreciation!X42</f>
        <v>5598.3125749999999</v>
      </c>
      <c r="X44" s="125">
        <f>Depreciation!Y42</f>
        <v>5543.1240749999997</v>
      </c>
      <c r="Y44" s="125">
        <f>Depreciation!Z42</f>
        <v>5543.1240749999997</v>
      </c>
      <c r="Z44" s="160"/>
      <c r="AA44" s="160"/>
    </row>
    <row r="45" spans="1:48">
      <c r="A45" s="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60"/>
      <c r="AA45" s="160"/>
    </row>
    <row r="46" spans="1:48">
      <c r="A46" s="1" t="s">
        <v>94</v>
      </c>
      <c r="D46" s="128">
        <f>D42-D44</f>
        <v>8296.0450199084553</v>
      </c>
      <c r="E46" s="128">
        <f t="shared" ref="E46:Y46" si="3">E42-E44</f>
        <v>13440.168684796885</v>
      </c>
      <c r="F46" s="128">
        <f t="shared" si="3"/>
        <v>13420.528659105948</v>
      </c>
      <c r="G46" s="128">
        <f t="shared" si="3"/>
        <v>13399.901333741913</v>
      </c>
      <c r="H46" s="128">
        <f t="shared" si="3"/>
        <v>19318.832860037674</v>
      </c>
      <c r="I46" s="128">
        <f t="shared" si="3"/>
        <v>25657.075484575395</v>
      </c>
      <c r="J46" s="128">
        <f t="shared" si="3"/>
        <v>26048.775805358033</v>
      </c>
      <c r="K46" s="128">
        <f t="shared" si="3"/>
        <v>26439.25122110144</v>
      </c>
      <c r="L46" s="128">
        <f t="shared" si="3"/>
        <v>27458.284477121673</v>
      </c>
      <c r="M46" s="128">
        <f t="shared" si="3"/>
        <v>27852.094373084128</v>
      </c>
      <c r="N46" s="128">
        <f t="shared" si="3"/>
        <v>28917.485217723213</v>
      </c>
      <c r="O46" s="128">
        <f t="shared" si="3"/>
        <v>28532.863494828493</v>
      </c>
      <c r="P46" s="128">
        <f t="shared" si="3"/>
        <v>29699.873347826233</v>
      </c>
      <c r="Q46" s="128">
        <f t="shared" si="3"/>
        <v>30177.42727846705</v>
      </c>
      <c r="R46" s="128">
        <f t="shared" si="3"/>
        <v>30642.480451194937</v>
      </c>
      <c r="S46" s="128">
        <f t="shared" si="3"/>
        <v>31092.764518442247</v>
      </c>
      <c r="T46" s="128">
        <f t="shared" si="3"/>
        <v>31557.665816196826</v>
      </c>
      <c r="U46" s="128">
        <f t="shared" si="3"/>
        <v>32015.416503741359</v>
      </c>
      <c r="V46" s="128">
        <f t="shared" si="3"/>
        <v>32440.328222159489</v>
      </c>
      <c r="W46" s="128">
        <f t="shared" si="3"/>
        <v>32717.082096377551</v>
      </c>
      <c r="X46" s="128">
        <f t="shared" si="3"/>
        <v>32937.080779011354</v>
      </c>
      <c r="Y46" s="128">
        <f t="shared" si="3"/>
        <v>33259.156940885798</v>
      </c>
      <c r="Z46" s="164"/>
      <c r="AA46" s="164"/>
    </row>
    <row r="47" spans="1:48">
      <c r="A47" s="1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64"/>
      <c r="AA47" s="164"/>
    </row>
    <row r="48" spans="1:48" ht="15.75">
      <c r="A48" s="4" t="s">
        <v>178</v>
      </c>
      <c r="C48" s="125"/>
      <c r="D48" s="125">
        <f>Debt!B42+Debt!B59+Debt!B76+Debt!B131</f>
        <v>0</v>
      </c>
      <c r="E48" s="125">
        <f>Debt!C42+Debt!C59+Debt!C76+Debt!C131</f>
        <v>0</v>
      </c>
      <c r="F48" s="125">
        <f>Debt!D42+Debt!D59+Debt!D76</f>
        <v>0</v>
      </c>
      <c r="G48" s="125">
        <f>Debt!E42+Debt!E59+Debt!E76</f>
        <v>0</v>
      </c>
      <c r="H48" s="125">
        <f>Debt!F42+Debt!F59+Debt!F76</f>
        <v>0</v>
      </c>
      <c r="I48" s="125">
        <f>Debt!G42+Debt!G59+Debt!G76</f>
        <v>0</v>
      </c>
      <c r="J48" s="125">
        <f>Debt!H42+Debt!H59+Debt!H76</f>
        <v>0</v>
      </c>
      <c r="K48" s="125">
        <f>Debt!I42+Debt!I59+Debt!I76</f>
        <v>0</v>
      </c>
      <c r="L48" s="125">
        <f>Debt!J42+Debt!J59+Debt!J76</f>
        <v>0</v>
      </c>
      <c r="M48" s="125">
        <f>Debt!K42+Debt!K59+Debt!K76</f>
        <v>0</v>
      </c>
      <c r="N48" s="125">
        <f>Debt!L42+Debt!L59+Debt!L76</f>
        <v>0</v>
      </c>
      <c r="O48" s="125">
        <f>Debt!M42+Debt!M59+Debt!M76</f>
        <v>0</v>
      </c>
      <c r="P48" s="125">
        <f>Debt!N42+Debt!N59+Debt!N76</f>
        <v>0</v>
      </c>
      <c r="Q48" s="125">
        <f>Debt!O42+Debt!O59+Debt!O76</f>
        <v>0</v>
      </c>
      <c r="R48" s="125">
        <f>Debt!P42+Debt!P59+Debt!P76</f>
        <v>0</v>
      </c>
      <c r="S48" s="125">
        <f>Debt!Q42+Debt!Q59+Debt!Q76</f>
        <v>0</v>
      </c>
      <c r="T48" s="125">
        <f>Debt!R42+Debt!R59+Debt!R76</f>
        <v>0</v>
      </c>
      <c r="U48" s="125">
        <f>Debt!S42+Debt!S59+Debt!S76</f>
        <v>0</v>
      </c>
      <c r="V48" s="125">
        <f>Debt!T42+Debt!T59+Debt!T76</f>
        <v>0</v>
      </c>
      <c r="W48" s="125">
        <f>Debt!U42+Debt!U59+Debt!U76</f>
        <v>0</v>
      </c>
      <c r="X48" s="125">
        <f>Debt!V42+Debt!V59+Debt!V76</f>
        <v>0</v>
      </c>
      <c r="Y48" s="125">
        <v>0</v>
      </c>
      <c r="Z48" s="160"/>
      <c r="AA48" s="160"/>
    </row>
    <row r="49" spans="1:27">
      <c r="A49" s="6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62"/>
      <c r="AA49" s="162"/>
    </row>
    <row r="50" spans="1:27">
      <c r="A50" s="1" t="s">
        <v>95</v>
      </c>
      <c r="D50" s="128">
        <f>D46-D48</f>
        <v>8296.0450199084553</v>
      </c>
      <c r="E50" s="128">
        <f t="shared" ref="E50:Y50" si="4">E46-E48</f>
        <v>13440.168684796885</v>
      </c>
      <c r="F50" s="128">
        <f t="shared" si="4"/>
        <v>13420.528659105948</v>
      </c>
      <c r="G50" s="128">
        <f t="shared" si="4"/>
        <v>13399.901333741913</v>
      </c>
      <c r="H50" s="128">
        <f t="shared" si="4"/>
        <v>19318.832860037674</v>
      </c>
      <c r="I50" s="128">
        <f t="shared" si="4"/>
        <v>25657.075484575395</v>
      </c>
      <c r="J50" s="128">
        <f t="shared" si="4"/>
        <v>26048.775805358033</v>
      </c>
      <c r="K50" s="128">
        <f t="shared" si="4"/>
        <v>26439.25122110144</v>
      </c>
      <c r="L50" s="128">
        <f t="shared" si="4"/>
        <v>27458.284477121673</v>
      </c>
      <c r="M50" s="128">
        <f t="shared" si="4"/>
        <v>27852.094373084128</v>
      </c>
      <c r="N50" s="128">
        <f t="shared" si="4"/>
        <v>28917.485217723213</v>
      </c>
      <c r="O50" s="128">
        <f t="shared" si="4"/>
        <v>28532.863494828493</v>
      </c>
      <c r="P50" s="128">
        <f t="shared" si="4"/>
        <v>29699.873347826233</v>
      </c>
      <c r="Q50" s="128">
        <f t="shared" si="4"/>
        <v>30177.42727846705</v>
      </c>
      <c r="R50" s="128">
        <f t="shared" si="4"/>
        <v>30642.480451194937</v>
      </c>
      <c r="S50" s="128">
        <f t="shared" si="4"/>
        <v>31092.764518442247</v>
      </c>
      <c r="T50" s="128">
        <f t="shared" si="4"/>
        <v>31557.665816196826</v>
      </c>
      <c r="U50" s="128">
        <f t="shared" si="4"/>
        <v>32015.416503741359</v>
      </c>
      <c r="V50" s="128">
        <f t="shared" si="4"/>
        <v>32440.328222159489</v>
      </c>
      <c r="W50" s="128">
        <f t="shared" si="4"/>
        <v>32717.082096377551</v>
      </c>
      <c r="X50" s="128">
        <f t="shared" si="4"/>
        <v>32937.080779011354</v>
      </c>
      <c r="Y50" s="128">
        <f t="shared" si="4"/>
        <v>33259.156940885798</v>
      </c>
      <c r="Z50" s="164"/>
      <c r="AA50" s="164"/>
    </row>
    <row r="51" spans="1:27">
      <c r="A51" s="1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64"/>
      <c r="AA51" s="164"/>
    </row>
    <row r="52" spans="1:27">
      <c r="A52" s="4" t="s">
        <v>96</v>
      </c>
      <c r="B52" s="114">
        <f>Assumptions!N23</f>
        <v>0.06</v>
      </c>
      <c r="C52" s="135"/>
      <c r="D52" s="135">
        <f>-D50*$B$52</f>
        <v>-497.76270119450731</v>
      </c>
      <c r="E52" s="135">
        <f t="shared" ref="E52:Y52" si="5">-E50*$B$52</f>
        <v>-806.41012108781308</v>
      </c>
      <c r="F52" s="135">
        <f t="shared" si="5"/>
        <v>-805.23171954635689</v>
      </c>
      <c r="G52" s="135">
        <f t="shared" si="5"/>
        <v>-803.99408002451469</v>
      </c>
      <c r="H52" s="135">
        <f t="shared" si="5"/>
        <v>-1159.1299716022604</v>
      </c>
      <c r="I52" s="135">
        <f t="shared" si="5"/>
        <v>-1539.4245290745237</v>
      </c>
      <c r="J52" s="135">
        <f t="shared" si="5"/>
        <v>-1562.926548321482</v>
      </c>
      <c r="K52" s="135">
        <f t="shared" si="5"/>
        <v>-1586.3550732660863</v>
      </c>
      <c r="L52" s="135">
        <f t="shared" si="5"/>
        <v>-1647.4970686273002</v>
      </c>
      <c r="M52" s="135">
        <f t="shared" si="5"/>
        <v>-1671.1256623850477</v>
      </c>
      <c r="N52" s="135">
        <f t="shared" si="5"/>
        <v>-1735.0491130633927</v>
      </c>
      <c r="O52" s="135">
        <f t="shared" si="5"/>
        <v>-1711.9718096897095</v>
      </c>
      <c r="P52" s="135">
        <f t="shared" si="5"/>
        <v>-1781.9924008695739</v>
      </c>
      <c r="Q52" s="135">
        <f t="shared" si="5"/>
        <v>-1810.6456367080229</v>
      </c>
      <c r="R52" s="135">
        <f t="shared" si="5"/>
        <v>-1838.5488270716962</v>
      </c>
      <c r="S52" s="135">
        <f t="shared" si="5"/>
        <v>-1865.5658711065348</v>
      </c>
      <c r="T52" s="135">
        <f t="shared" si="5"/>
        <v>-1893.4599489718096</v>
      </c>
      <c r="U52" s="135">
        <f t="shared" si="5"/>
        <v>-1920.9249902244815</v>
      </c>
      <c r="V52" s="135">
        <f t="shared" si="5"/>
        <v>-1946.4196933295693</v>
      </c>
      <c r="W52" s="135">
        <f t="shared" si="5"/>
        <v>-1963.0249257826531</v>
      </c>
      <c r="X52" s="135">
        <f t="shared" si="5"/>
        <v>-1976.2248467406812</v>
      </c>
      <c r="Y52" s="135">
        <f t="shared" si="5"/>
        <v>-1995.5494164531478</v>
      </c>
      <c r="Z52" s="161"/>
      <c r="AA52" s="161"/>
    </row>
    <row r="53" spans="1:27">
      <c r="A53" s="4" t="s">
        <v>97</v>
      </c>
      <c r="B53" s="114">
        <f>Assumptions!N22</f>
        <v>0.35</v>
      </c>
      <c r="C53" s="135"/>
      <c r="D53" s="135">
        <f>(D50+D52)*-$B$53</f>
        <v>-2729.3988115498819</v>
      </c>
      <c r="E53" s="135">
        <f t="shared" ref="E53:Y53" si="6">(E50+E52)*-$B$53</f>
        <v>-4421.8154972981747</v>
      </c>
      <c r="F53" s="135">
        <f t="shared" si="6"/>
        <v>-4415.3539288458569</v>
      </c>
      <c r="G53" s="135">
        <f t="shared" si="6"/>
        <v>-4408.5675388010886</v>
      </c>
      <c r="H53" s="135">
        <f t="shared" si="6"/>
        <v>-6355.896010952395</v>
      </c>
      <c r="I53" s="135">
        <f t="shared" si="6"/>
        <v>-8441.1778344253034</v>
      </c>
      <c r="J53" s="135">
        <f t="shared" si="6"/>
        <v>-8570.0472399627924</v>
      </c>
      <c r="K53" s="135">
        <f t="shared" si="6"/>
        <v>-8698.5136517423725</v>
      </c>
      <c r="L53" s="135">
        <f t="shared" si="6"/>
        <v>-9033.7755929730301</v>
      </c>
      <c r="M53" s="135">
        <f t="shared" si="6"/>
        <v>-9163.3390487446777</v>
      </c>
      <c r="N53" s="135">
        <f t="shared" si="6"/>
        <v>-9513.8526366309361</v>
      </c>
      <c r="O53" s="135">
        <f t="shared" si="6"/>
        <v>-9387.3120897985737</v>
      </c>
      <c r="P53" s="135">
        <f t="shared" si="6"/>
        <v>-9771.2583314348303</v>
      </c>
      <c r="Q53" s="135">
        <f t="shared" si="6"/>
        <v>-9928.3735746156581</v>
      </c>
      <c r="R53" s="135">
        <f t="shared" si="6"/>
        <v>-10081.376068443134</v>
      </c>
      <c r="S53" s="135">
        <f t="shared" si="6"/>
        <v>-10229.519526567499</v>
      </c>
      <c r="T53" s="135">
        <f t="shared" si="6"/>
        <v>-10382.472053528756</v>
      </c>
      <c r="U53" s="135">
        <f t="shared" si="6"/>
        <v>-10533.072029730907</v>
      </c>
      <c r="V53" s="135">
        <f t="shared" si="6"/>
        <v>-10672.867985090472</v>
      </c>
      <c r="W53" s="135">
        <f t="shared" si="6"/>
        <v>-10763.920009708214</v>
      </c>
      <c r="X53" s="135">
        <f t="shared" si="6"/>
        <v>-10836.299576294734</v>
      </c>
      <c r="Y53" s="135">
        <f t="shared" si="6"/>
        <v>-10942.262633551427</v>
      </c>
      <c r="Z53" s="161"/>
      <c r="AA53" s="161"/>
    </row>
    <row r="54" spans="1:27">
      <c r="A54" s="6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60"/>
      <c r="AA54" s="160"/>
    </row>
    <row r="55" spans="1:27" ht="15.75">
      <c r="A55" s="88" t="s">
        <v>98</v>
      </c>
      <c r="B55" s="89"/>
      <c r="C55" s="89"/>
      <c r="D55" s="129">
        <f>D50+D52+D53</f>
        <v>5068.883507164066</v>
      </c>
      <c r="E55" s="129">
        <f t="shared" ref="E55:Y55" si="7">E50+E52+E53</f>
        <v>8211.9430664108986</v>
      </c>
      <c r="F55" s="129">
        <f t="shared" si="7"/>
        <v>8199.9430107137341</v>
      </c>
      <c r="G55" s="129">
        <f t="shared" si="7"/>
        <v>8187.3397149163093</v>
      </c>
      <c r="H55" s="129">
        <f t="shared" si="7"/>
        <v>11803.806877483021</v>
      </c>
      <c r="I55" s="129">
        <f t="shared" si="7"/>
        <v>15676.473121075567</v>
      </c>
      <c r="J55" s="129">
        <f t="shared" si="7"/>
        <v>15915.80201707376</v>
      </c>
      <c r="K55" s="129">
        <f t="shared" si="7"/>
        <v>16154.38249609298</v>
      </c>
      <c r="L55" s="129">
        <f t="shared" si="7"/>
        <v>16777.011815521342</v>
      </c>
      <c r="M55" s="129">
        <f t="shared" si="7"/>
        <v>17017.629661954405</v>
      </c>
      <c r="N55" s="129">
        <f t="shared" si="7"/>
        <v>17668.583468028883</v>
      </c>
      <c r="O55" s="129">
        <f t="shared" si="7"/>
        <v>17433.579595340212</v>
      </c>
      <c r="P55" s="129">
        <f t="shared" si="7"/>
        <v>18146.622615521828</v>
      </c>
      <c r="Q55" s="129">
        <f t="shared" si="7"/>
        <v>18438.408067143369</v>
      </c>
      <c r="R55" s="129">
        <f t="shared" si="7"/>
        <v>18722.555555680105</v>
      </c>
      <c r="S55" s="129">
        <f t="shared" si="7"/>
        <v>18997.679120768214</v>
      </c>
      <c r="T55" s="129">
        <f t="shared" si="7"/>
        <v>19281.733813696261</v>
      </c>
      <c r="U55" s="129">
        <f t="shared" si="7"/>
        <v>19561.419483785969</v>
      </c>
      <c r="V55" s="129">
        <f t="shared" si="7"/>
        <v>19821.040543739451</v>
      </c>
      <c r="W55" s="129">
        <f t="shared" si="7"/>
        <v>19990.137160886683</v>
      </c>
      <c r="X55" s="129">
        <f t="shared" si="7"/>
        <v>20124.556355975939</v>
      </c>
      <c r="Y55" s="129">
        <f t="shared" si="7"/>
        <v>20321.344890881221</v>
      </c>
      <c r="Z55" s="165"/>
      <c r="AA55" s="165"/>
    </row>
    <row r="57" spans="1:27">
      <c r="C57" s="159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</row>
    <row r="58" spans="1:27">
      <c r="C58" s="159"/>
      <c r="D58" s="194"/>
      <c r="E58" s="194"/>
      <c r="F58" s="194"/>
      <c r="G58" s="194"/>
      <c r="H58" s="194"/>
    </row>
    <row r="59" spans="1:27">
      <c r="C59" s="159"/>
      <c r="D59" s="194"/>
      <c r="E59" s="194"/>
      <c r="F59" s="194"/>
      <c r="G59" s="194"/>
      <c r="H59" s="194"/>
    </row>
    <row r="60" spans="1:27">
      <c r="C60" s="159"/>
      <c r="D60" s="194"/>
      <c r="E60" s="194"/>
      <c r="F60" s="194"/>
      <c r="G60" s="194"/>
      <c r="H60" s="194"/>
    </row>
    <row r="61" spans="1:27">
      <c r="C61" s="159"/>
      <c r="D61" s="159"/>
      <c r="E61" s="159"/>
      <c r="F61" s="159"/>
      <c r="G61" s="159"/>
      <c r="H61" s="159"/>
    </row>
    <row r="62" spans="1:27">
      <c r="C62" s="195"/>
      <c r="D62" s="194"/>
      <c r="E62" s="194"/>
      <c r="F62" s="194"/>
      <c r="G62" s="194"/>
      <c r="H62" s="194"/>
    </row>
    <row r="63" spans="1:27">
      <c r="C63" s="195"/>
      <c r="D63" s="194"/>
      <c r="E63" s="194"/>
      <c r="F63" s="194"/>
      <c r="G63" s="194"/>
      <c r="H63" s="194"/>
    </row>
    <row r="64" spans="1:27">
      <c r="C64" s="195"/>
      <c r="D64" s="194"/>
      <c r="E64" s="194"/>
      <c r="F64" s="194"/>
      <c r="G64" s="194"/>
      <c r="H64" s="194"/>
    </row>
    <row r="65" spans="3:8">
      <c r="C65" s="195"/>
      <c r="D65" s="194"/>
      <c r="E65" s="194"/>
      <c r="F65" s="194"/>
      <c r="G65" s="194"/>
      <c r="H65" s="194"/>
    </row>
    <row r="66" spans="3:8">
      <c r="C66" s="195"/>
      <c r="D66" s="194"/>
      <c r="E66" s="194"/>
      <c r="F66" s="194"/>
      <c r="G66" s="194"/>
      <c r="H66" s="194"/>
    </row>
    <row r="67" spans="3:8">
      <c r="C67" s="159"/>
      <c r="D67" s="159"/>
      <c r="E67" s="159"/>
      <c r="F67" s="159"/>
      <c r="G67" s="159"/>
      <c r="H67" s="159"/>
    </row>
    <row r="68" spans="3:8">
      <c r="C68" s="159"/>
      <c r="D68" s="159"/>
      <c r="E68" s="159"/>
      <c r="F68" s="159"/>
      <c r="G68" s="159"/>
      <c r="H68" s="159"/>
    </row>
    <row r="69" spans="3:8">
      <c r="C69" s="159"/>
      <c r="D69" s="160"/>
      <c r="E69" s="160"/>
      <c r="F69" s="160"/>
      <c r="G69" s="160"/>
      <c r="H69" s="159"/>
    </row>
    <row r="70" spans="3:8">
      <c r="C70" s="159"/>
      <c r="D70" s="159"/>
      <c r="E70" s="159"/>
      <c r="F70" s="159"/>
      <c r="G70" s="159"/>
      <c r="H70" s="159"/>
    </row>
    <row r="71" spans="3:8">
      <c r="C71" s="159"/>
      <c r="D71" s="160"/>
      <c r="E71" s="159"/>
      <c r="F71" s="159"/>
      <c r="G71" s="159"/>
      <c r="H71" s="159"/>
    </row>
    <row r="72" spans="3:8">
      <c r="C72" s="159"/>
      <c r="D72" s="159"/>
      <c r="E72" s="159"/>
      <c r="F72" s="159"/>
      <c r="G72" s="159"/>
      <c r="H72" s="159"/>
    </row>
    <row r="73" spans="3:8">
      <c r="C73" s="159"/>
      <c r="D73" s="159"/>
      <c r="E73" s="159"/>
      <c r="F73" s="159"/>
      <c r="G73" s="159"/>
      <c r="H73" s="159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I81"/>
  <sheetViews>
    <sheetView zoomScale="75" zoomScaleNormal="75" workbookViewId="0"/>
  </sheetViews>
  <sheetFormatPr defaultRowHeight="12.75" outlineLevelRow="1"/>
  <cols>
    <col min="1" max="1" width="63.5703125" style="17" customWidth="1"/>
    <col min="2" max="2" width="13" style="17" bestFit="1" customWidth="1"/>
    <col min="3" max="3" width="6.5703125" style="17" customWidth="1"/>
    <col min="4" max="4" width="14.140625" style="17" customWidth="1"/>
    <col min="5" max="5" width="11.5703125" style="17" customWidth="1"/>
    <col min="6" max="8" width="11.140625" style="17" customWidth="1"/>
    <col min="9" max="10" width="12" style="17" customWidth="1"/>
    <col min="11" max="11" width="12.7109375" style="17" customWidth="1"/>
    <col min="12" max="12" width="12.5703125" style="17" customWidth="1"/>
    <col min="13" max="13" width="12.7109375" style="17" customWidth="1"/>
    <col min="14" max="16" width="11.28515625" style="17" customWidth="1"/>
    <col min="17" max="17" width="11.85546875" style="17" customWidth="1"/>
    <col min="18" max="18" width="11.140625" style="17" customWidth="1"/>
    <col min="19" max="19" width="11.85546875" style="17" customWidth="1"/>
    <col min="20" max="20" width="11.140625" style="17" customWidth="1"/>
    <col min="21" max="21" width="11.5703125" style="17" customWidth="1"/>
    <col min="22" max="22" width="11.28515625" style="17" customWidth="1"/>
    <col min="23" max="23" width="11.5703125" style="17" customWidth="1"/>
    <col min="24" max="24" width="12.7109375" style="17" bestFit="1" customWidth="1"/>
    <col min="25" max="25" width="12.5703125" style="17" customWidth="1"/>
    <col min="26" max="26" width="12.28515625" style="7" customWidth="1"/>
    <col min="27" max="27" width="13.85546875" style="7" bestFit="1" customWidth="1"/>
    <col min="28" max="29" width="9.85546875" style="17" customWidth="1"/>
    <col min="30" max="30" width="9.140625" style="17"/>
    <col min="31" max="31" width="9.42578125" style="17" customWidth="1"/>
    <col min="32" max="32" width="9.85546875" style="17" customWidth="1"/>
    <col min="33" max="33" width="9.140625" style="17"/>
    <col min="34" max="34" width="9.42578125" style="17" customWidth="1"/>
    <col min="35" max="36" width="9.85546875" style="17" customWidth="1"/>
    <col min="37" max="38" width="9.140625" style="17"/>
    <col min="39" max="40" width="9.85546875" style="17" customWidth="1"/>
    <col min="41" max="82" width="9.140625" style="17"/>
    <col min="83" max="84" width="9.85546875" style="17" customWidth="1"/>
    <col min="85" max="16384" width="9.140625" style="17"/>
  </cols>
  <sheetData>
    <row r="2" spans="1:29" ht="18.75">
      <c r="A2" s="157" t="str">
        <f>Assumptions!A3</f>
        <v>PROJECT NAME:</v>
      </c>
    </row>
    <row r="4" spans="1:29" ht="18.75">
      <c r="A4" s="104" t="s">
        <v>180</v>
      </c>
      <c r="B4" s="109"/>
    </row>
    <row r="7" spans="1:29" ht="18.75">
      <c r="A7" s="157" t="s">
        <v>245</v>
      </c>
      <c r="B7" s="237"/>
    </row>
    <row r="8" spans="1:29">
      <c r="D8" s="456">
        <f>'Power Price Assumption'!F9</f>
        <v>0.5</v>
      </c>
      <c r="E8" s="456">
        <f>'Power Price Assumption'!G9</f>
        <v>1.5</v>
      </c>
      <c r="F8" s="456">
        <f>'Power Price Assumption'!H9</f>
        <v>2.5</v>
      </c>
      <c r="G8" s="456">
        <f>'Power Price Assumption'!I9</f>
        <v>3.5</v>
      </c>
      <c r="H8" s="456">
        <f>'Power Price Assumption'!J9</f>
        <v>4.5</v>
      </c>
      <c r="I8" s="456">
        <f>'Power Price Assumption'!K9</f>
        <v>5.5</v>
      </c>
      <c r="J8" s="456">
        <f>'Power Price Assumption'!L9</f>
        <v>6.5</v>
      </c>
      <c r="K8" s="456">
        <f>'Power Price Assumption'!M9</f>
        <v>7.5</v>
      </c>
      <c r="L8" s="456">
        <f>'Power Price Assumption'!N9</f>
        <v>8.5</v>
      </c>
      <c r="M8" s="456">
        <f>'Power Price Assumption'!O9</f>
        <v>9.5</v>
      </c>
      <c r="N8" s="456">
        <f>'Power Price Assumption'!P9</f>
        <v>10.5</v>
      </c>
      <c r="O8" s="456">
        <f>'Power Price Assumption'!Q9</f>
        <v>11.5</v>
      </c>
      <c r="P8" s="456">
        <f>'Power Price Assumption'!R9</f>
        <v>12.5</v>
      </c>
      <c r="Q8" s="456">
        <f>'Power Price Assumption'!S9</f>
        <v>13.5</v>
      </c>
      <c r="R8" s="456">
        <f>'Power Price Assumption'!T9</f>
        <v>14.5</v>
      </c>
      <c r="S8" s="456">
        <f>'Power Price Assumption'!U9</f>
        <v>15.5</v>
      </c>
      <c r="T8" s="456">
        <f>'Power Price Assumption'!V9</f>
        <v>16.5</v>
      </c>
      <c r="U8" s="456">
        <f>'Power Price Assumption'!W9</f>
        <v>17.5</v>
      </c>
      <c r="V8" s="456">
        <f>'Power Price Assumption'!X9</f>
        <v>18.5</v>
      </c>
      <c r="W8" s="456">
        <f>'Power Price Assumption'!Y9</f>
        <v>19.5</v>
      </c>
      <c r="X8" s="456">
        <f>'Power Price Assumption'!Z9</f>
        <v>20.5</v>
      </c>
      <c r="Y8" s="456">
        <f>'Power Price Assumption'!AA9</f>
        <v>21.5</v>
      </c>
      <c r="Z8" s="166"/>
    </row>
    <row r="9" spans="1:29" ht="13.5" outlineLevel="1" thickBot="1">
      <c r="A9" s="232" t="s">
        <v>79</v>
      </c>
      <c r="B9" s="232"/>
      <c r="C9" s="2"/>
      <c r="D9" s="8">
        <f>'Power Price Assumption'!F10</f>
        <v>1999</v>
      </c>
      <c r="E9" s="8">
        <f>'Power Price Assumption'!G10</f>
        <v>2000</v>
      </c>
      <c r="F9" s="8">
        <f>'Power Price Assumption'!H10</f>
        <v>2001</v>
      </c>
      <c r="G9" s="8">
        <f>'Power Price Assumption'!I10</f>
        <v>2002</v>
      </c>
      <c r="H9" s="8">
        <f>'Power Price Assumption'!J10</f>
        <v>2003</v>
      </c>
      <c r="I9" s="8">
        <f>'Power Price Assumption'!K10</f>
        <v>2004</v>
      </c>
      <c r="J9" s="8">
        <f>'Power Price Assumption'!L10</f>
        <v>2005</v>
      </c>
      <c r="K9" s="8">
        <f>'Power Price Assumption'!M10</f>
        <v>2006</v>
      </c>
      <c r="L9" s="8">
        <f>'Power Price Assumption'!N10</f>
        <v>2007</v>
      </c>
      <c r="M9" s="8">
        <f>'Power Price Assumption'!O10</f>
        <v>2008</v>
      </c>
      <c r="N9" s="8">
        <f>'Power Price Assumption'!P10</f>
        <v>2009</v>
      </c>
      <c r="O9" s="8">
        <f>'Power Price Assumption'!Q10</f>
        <v>2010</v>
      </c>
      <c r="P9" s="8">
        <f>'Power Price Assumption'!R10</f>
        <v>2011</v>
      </c>
      <c r="Q9" s="8">
        <f>'Power Price Assumption'!S10</f>
        <v>2012</v>
      </c>
      <c r="R9" s="8">
        <f>'Power Price Assumption'!T10</f>
        <v>2013</v>
      </c>
      <c r="S9" s="8">
        <f>'Power Price Assumption'!U10</f>
        <v>2014</v>
      </c>
      <c r="T9" s="8">
        <f>'Power Price Assumption'!V10</f>
        <v>2015</v>
      </c>
      <c r="U9" s="8">
        <f>'Power Price Assumption'!W10</f>
        <v>2016</v>
      </c>
      <c r="V9" s="8">
        <f>'Power Price Assumption'!X10</f>
        <v>2017</v>
      </c>
      <c r="W9" s="8">
        <f>'Power Price Assumption'!Y10</f>
        <v>2018</v>
      </c>
      <c r="X9" s="8">
        <f>'Power Price Assumption'!Z10</f>
        <v>2019</v>
      </c>
      <c r="Y9" s="8">
        <f>'Power Price Assumption'!AA10</f>
        <v>2020</v>
      </c>
      <c r="Z9" s="10"/>
    </row>
    <row r="10" spans="1:29" outlineLevel="1">
      <c r="A10" s="263"/>
      <c r="B10" s="263"/>
      <c r="C10" s="3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10"/>
    </row>
    <row r="11" spans="1:29" outlineLevel="1">
      <c r="A11" s="3"/>
      <c r="B11" s="3"/>
      <c r="C11" s="3"/>
      <c r="D11" s="10"/>
      <c r="E11" s="10"/>
      <c r="F11" s="10"/>
      <c r="G11" s="10"/>
      <c r="H11" s="10"/>
      <c r="I11" s="10"/>
      <c r="J11" s="348"/>
      <c r="K11" s="348"/>
      <c r="L11" s="349"/>
      <c r="M11" s="349"/>
      <c r="N11" s="348"/>
      <c r="O11" s="34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>
      <c r="A12" s="11" t="s">
        <v>92</v>
      </c>
      <c r="B12" s="12"/>
      <c r="D12" s="25">
        <f>IS!D42</f>
        <v>10171.347294908455</v>
      </c>
      <c r="E12" s="103">
        <f>IS!E42</f>
        <v>19038.481259796885</v>
      </c>
      <c r="F12" s="103">
        <f>IS!F42</f>
        <v>19018.841234105948</v>
      </c>
      <c r="G12" s="103">
        <f>IS!G42</f>
        <v>18998.213908741913</v>
      </c>
      <c r="H12" s="103">
        <f>IS!H42</f>
        <v>24917.145435037673</v>
      </c>
      <c r="I12" s="103">
        <f>IS!I42</f>
        <v>31255.388059575394</v>
      </c>
      <c r="J12" s="103">
        <f>IS!J42</f>
        <v>31647.088380358033</v>
      </c>
      <c r="K12" s="103">
        <f>IS!K42</f>
        <v>32037.56379610144</v>
      </c>
      <c r="L12" s="103">
        <f>IS!L42</f>
        <v>33056.597052121673</v>
      </c>
      <c r="M12" s="103">
        <f>IS!M42</f>
        <v>33450.406948084128</v>
      </c>
      <c r="N12" s="103">
        <f>IS!N42</f>
        <v>34515.797792723213</v>
      </c>
      <c r="O12" s="103">
        <f>IS!O42</f>
        <v>34131.176069828492</v>
      </c>
      <c r="P12" s="103">
        <f>IS!P42</f>
        <v>35298.185922826233</v>
      </c>
      <c r="Q12" s="103">
        <f>IS!Q42</f>
        <v>35775.73985346705</v>
      </c>
      <c r="R12" s="103">
        <f>IS!R42</f>
        <v>36240.793026194937</v>
      </c>
      <c r="S12" s="103">
        <f>IS!S42</f>
        <v>36691.077093442247</v>
      </c>
      <c r="T12" s="103">
        <f>IS!T42</f>
        <v>37155.978391196826</v>
      </c>
      <c r="U12" s="103">
        <f>IS!U42</f>
        <v>37613.729078741359</v>
      </c>
      <c r="V12" s="103">
        <f>IS!V42</f>
        <v>38038.640797159489</v>
      </c>
      <c r="W12" s="103">
        <f>IS!W42</f>
        <v>38315.394671377551</v>
      </c>
      <c r="X12" s="103">
        <f>IS!X42</f>
        <v>38480.204854011354</v>
      </c>
      <c r="Y12" s="103">
        <f>IS!Y42</f>
        <v>38802.281015885797</v>
      </c>
      <c r="Z12" s="112"/>
      <c r="AA12"/>
      <c r="AB12"/>
      <c r="AC12"/>
    </row>
    <row r="14" spans="1:29">
      <c r="A14" s="12" t="s">
        <v>174</v>
      </c>
      <c r="B14" s="12"/>
      <c r="D14" s="110">
        <f>Debt!B85</f>
        <v>0</v>
      </c>
      <c r="E14" s="110">
        <f>Debt!C85</f>
        <v>0</v>
      </c>
      <c r="F14" s="110">
        <f>Debt!D85</f>
        <v>0</v>
      </c>
      <c r="G14" s="110">
        <f>Debt!E85</f>
        <v>0</v>
      </c>
      <c r="H14" s="110">
        <f>Debt!F85</f>
        <v>0</v>
      </c>
      <c r="I14" s="110">
        <f>Debt!G85</f>
        <v>0</v>
      </c>
      <c r="J14" s="110">
        <f>Debt!H85</f>
        <v>0</v>
      </c>
      <c r="K14" s="110">
        <f>Debt!I85</f>
        <v>0</v>
      </c>
      <c r="L14" s="110">
        <f>Debt!J85</f>
        <v>0</v>
      </c>
      <c r="M14" s="110">
        <f>Debt!K85</f>
        <v>0</v>
      </c>
      <c r="N14" s="110">
        <f>Debt!L85</f>
        <v>0</v>
      </c>
      <c r="O14" s="110">
        <f>Debt!M85</f>
        <v>0</v>
      </c>
      <c r="P14" s="110">
        <f>Debt!N85</f>
        <v>0</v>
      </c>
      <c r="Q14" s="110">
        <f>Debt!O85</f>
        <v>0</v>
      </c>
      <c r="R14" s="110">
        <f>Debt!P85</f>
        <v>0</v>
      </c>
      <c r="S14" s="110">
        <f>Debt!Q85</f>
        <v>0</v>
      </c>
      <c r="T14" s="110">
        <f>Debt!R85</f>
        <v>0</v>
      </c>
      <c r="U14" s="110">
        <f>Debt!S85</f>
        <v>0</v>
      </c>
      <c r="V14" s="110">
        <f>Debt!T85</f>
        <v>0</v>
      </c>
      <c r="W14" s="110">
        <f>Debt!U85</f>
        <v>0</v>
      </c>
      <c r="X14" s="110">
        <f>Debt!V85</f>
        <v>0</v>
      </c>
      <c r="Y14" s="110">
        <f>Debt!W85</f>
        <v>0</v>
      </c>
      <c r="Z14" s="112"/>
      <c r="AA14"/>
      <c r="AB14"/>
      <c r="AC14"/>
    </row>
    <row r="15" spans="1:29">
      <c r="A15" s="12" t="s">
        <v>164</v>
      </c>
      <c r="B15" s="12"/>
      <c r="D15" s="355">
        <f>-Debt!B91</f>
        <v>-4888.7500000000009</v>
      </c>
      <c r="E15" s="355">
        <f>-Debt!C91</f>
        <v>-4888.7500000000009</v>
      </c>
      <c r="F15" s="355">
        <f>-Debt!D91</f>
        <v>-4888.7500000000009</v>
      </c>
      <c r="G15" s="355">
        <f>-Debt!E91</f>
        <v>-4888.7500000000009</v>
      </c>
      <c r="H15" s="355">
        <f>-Debt!F91</f>
        <v>-4888.7500000000009</v>
      </c>
      <c r="I15" s="355">
        <f>-Debt!G91</f>
        <v>-4888.7500000000009</v>
      </c>
      <c r="J15" s="355">
        <f>-Debt!H91</f>
        <v>-4888.7500000000009</v>
      </c>
      <c r="K15" s="355">
        <f>-Debt!I91</f>
        <v>-4888.7500000000009</v>
      </c>
      <c r="L15" s="355">
        <f>-Debt!J91</f>
        <v>-4888.7500000000009</v>
      </c>
      <c r="M15" s="355">
        <f>-Debt!K91</f>
        <v>-4888.7500000000009</v>
      </c>
      <c r="N15" s="355">
        <f>-Debt!L91</f>
        <v>-4888.7500000000009</v>
      </c>
      <c r="O15" s="355">
        <f>-Debt!M91</f>
        <v>-4888.7500000000009</v>
      </c>
      <c r="P15" s="355">
        <f>-Debt!N91</f>
        <v>-4888.7500000000009</v>
      </c>
      <c r="Q15" s="355">
        <f>-Debt!O91</f>
        <v>-4888.7500000000009</v>
      </c>
      <c r="R15" s="355">
        <f>-Debt!P91</f>
        <v>-4888.7500000000009</v>
      </c>
      <c r="S15" s="355">
        <f>-Debt!Q91</f>
        <v>-4888.7500000000009</v>
      </c>
      <c r="T15" s="355">
        <f>-Debt!R91</f>
        <v>-4888.7500000000009</v>
      </c>
      <c r="U15" s="355">
        <f>-Debt!S91</f>
        <v>-4888.7500000000009</v>
      </c>
      <c r="V15" s="355">
        <f>-Debt!T91</f>
        <v>-4888.7500000000009</v>
      </c>
      <c r="W15" s="355">
        <f>-Debt!U91</f>
        <v>-4888.7500000000009</v>
      </c>
      <c r="X15" s="355">
        <f>-Debt!V91</f>
        <v>0</v>
      </c>
      <c r="Y15" s="355">
        <f>-Debt!W91</f>
        <v>0</v>
      </c>
      <c r="Z15" s="167"/>
      <c r="AA15"/>
      <c r="AB15"/>
      <c r="AC15"/>
    </row>
    <row r="16" spans="1:29">
      <c r="A16" s="12" t="s">
        <v>163</v>
      </c>
      <c r="B16" s="12"/>
      <c r="D16" s="136">
        <f>-Debt!B89</f>
        <v>-3794.1628999999998</v>
      </c>
      <c r="E16" s="136">
        <f>-Debt!C89</f>
        <v>-7114.0554375000002</v>
      </c>
      <c r="F16" s="136">
        <f>-Debt!D89</f>
        <v>-6734.6391475</v>
      </c>
      <c r="G16" s="136">
        <f>-Debt!E89</f>
        <v>-6355.222857499999</v>
      </c>
      <c r="H16" s="136">
        <f>-Debt!F89</f>
        <v>-5975.8065674999998</v>
      </c>
      <c r="I16" s="136">
        <f>-Debt!G89</f>
        <v>-5596.3902774999988</v>
      </c>
      <c r="J16" s="136">
        <f>-Debt!H89</f>
        <v>-5216.9739874999987</v>
      </c>
      <c r="K16" s="136">
        <f>-Debt!I89</f>
        <v>-4837.5576974999985</v>
      </c>
      <c r="L16" s="136">
        <f>-Debt!J89</f>
        <v>-4458.1414074999984</v>
      </c>
      <c r="M16" s="136">
        <f>-Debt!K89</f>
        <v>-4078.7251174999983</v>
      </c>
      <c r="N16" s="136">
        <f>-Debt!L89</f>
        <v>-3699.3088274999986</v>
      </c>
      <c r="O16" s="136">
        <f>-Debt!M89</f>
        <v>-3319.892537499999</v>
      </c>
      <c r="P16" s="136">
        <f>-Debt!N89</f>
        <v>-2940.4762474999998</v>
      </c>
      <c r="Q16" s="136">
        <f>-Debt!O89</f>
        <v>-2561.0599574999997</v>
      </c>
      <c r="R16" s="136">
        <f>-Debt!P89</f>
        <v>-2181.6436675</v>
      </c>
      <c r="S16" s="136">
        <f>-Debt!Q89</f>
        <v>-1802.2273775000001</v>
      </c>
      <c r="T16" s="136">
        <f>-Debt!R89</f>
        <v>-1422.8110875000002</v>
      </c>
      <c r="U16" s="136">
        <f>-Debt!S89</f>
        <v>-1043.3947975000001</v>
      </c>
      <c r="V16" s="136">
        <f>-Debt!T89</f>
        <v>-663.97850750000021</v>
      </c>
      <c r="W16" s="136">
        <f>-Debt!U89</f>
        <v>-284.56221750000009</v>
      </c>
      <c r="X16" s="136">
        <f>-Debt!V89</f>
        <v>-3.5822722566080926E-14</v>
      </c>
      <c r="Y16" s="136">
        <f>-Debt!W89</f>
        <v>-3.5822722566080926E-14</v>
      </c>
      <c r="Z16" s="112"/>
      <c r="AA16"/>
      <c r="AB16"/>
      <c r="AC16"/>
    </row>
    <row r="17" spans="1:29">
      <c r="A17" s="12"/>
      <c r="B17" s="1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12"/>
      <c r="AA17"/>
      <c r="AB17"/>
      <c r="AC17"/>
    </row>
    <row r="18" spans="1:29">
      <c r="A18" s="11" t="s">
        <v>99</v>
      </c>
      <c r="B18" s="11"/>
      <c r="D18" s="60">
        <f t="shared" ref="D18:Y18" si="0">SUM(D12:D16)</f>
        <v>1488.4343949084546</v>
      </c>
      <c r="E18" s="235">
        <f>SUM(E12:E16)</f>
        <v>7035.6758222968847</v>
      </c>
      <c r="F18" s="235">
        <f t="shared" si="0"/>
        <v>7395.4520866059484</v>
      </c>
      <c r="G18" s="235">
        <f t="shared" si="0"/>
        <v>7754.2410512419137</v>
      </c>
      <c r="H18" s="235">
        <f t="shared" si="0"/>
        <v>14052.588867537674</v>
      </c>
      <c r="I18" s="235">
        <f t="shared" si="0"/>
        <v>20770.247782075396</v>
      </c>
      <c r="J18" s="235">
        <f t="shared" si="0"/>
        <v>21541.364392858035</v>
      </c>
      <c r="K18" s="235">
        <f t="shared" si="0"/>
        <v>22311.256098601443</v>
      </c>
      <c r="L18" s="235">
        <f t="shared" si="0"/>
        <v>23709.705644621674</v>
      </c>
      <c r="M18" s="235">
        <f t="shared" si="0"/>
        <v>24482.93183058413</v>
      </c>
      <c r="N18" s="235">
        <f t="shared" si="0"/>
        <v>25927.738965223216</v>
      </c>
      <c r="O18" s="235">
        <f t="shared" si="0"/>
        <v>25922.533532328493</v>
      </c>
      <c r="P18" s="235">
        <f t="shared" si="0"/>
        <v>27468.959675326234</v>
      </c>
      <c r="Q18" s="235">
        <f t="shared" si="0"/>
        <v>28325.929895967049</v>
      </c>
      <c r="R18" s="235">
        <f t="shared" si="0"/>
        <v>29170.399358694936</v>
      </c>
      <c r="S18" s="235">
        <f t="shared" si="0"/>
        <v>30000.099715942248</v>
      </c>
      <c r="T18" s="235">
        <f t="shared" si="0"/>
        <v>30844.417303696828</v>
      </c>
      <c r="U18" s="235">
        <f t="shared" si="0"/>
        <v>31681.584281241358</v>
      </c>
      <c r="V18" s="235">
        <f t="shared" si="0"/>
        <v>32485.912289659489</v>
      </c>
      <c r="W18" s="235">
        <f t="shared" si="0"/>
        <v>33142.082453877549</v>
      </c>
      <c r="X18" s="235">
        <f t="shared" si="0"/>
        <v>38480.204854011354</v>
      </c>
      <c r="Y18" s="235">
        <f t="shared" si="0"/>
        <v>38802.281015885797</v>
      </c>
      <c r="Z18" s="168"/>
      <c r="AA18"/>
      <c r="AB18"/>
      <c r="AC18"/>
    </row>
    <row r="19" spans="1:29">
      <c r="A19" s="11"/>
      <c r="B19" s="11"/>
      <c r="D19" s="25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AA19"/>
      <c r="AB19"/>
      <c r="AC19"/>
    </row>
    <row r="20" spans="1:29">
      <c r="A20" s="4" t="s">
        <v>100</v>
      </c>
      <c r="B20" s="11"/>
      <c r="D20" s="118">
        <f>-Tax!D30</f>
        <v>-239.08357769450731</v>
      </c>
      <c r="E20" s="118">
        <f>-Tax!E30</f>
        <v>-436.86851608781313</v>
      </c>
      <c r="F20" s="118">
        <f>-Tax!F30</f>
        <v>-505.90301949635688</v>
      </c>
      <c r="G20" s="118">
        <f>-Tax!G30</f>
        <v>-567.48745282451478</v>
      </c>
      <c r="H20" s="118">
        <f>-Tax!H30</f>
        <v>-979.53275157226039</v>
      </c>
      <c r="I20" s="118">
        <f>-Tax!I30</f>
        <v>-1411.5631337445236</v>
      </c>
      <c r="J20" s="118">
        <f>-Tax!J30</f>
        <v>-1459.4548989214818</v>
      </c>
      <c r="K20" s="118">
        <f>-Tax!K30</f>
        <v>-1482.1443406560863</v>
      </c>
      <c r="L20" s="118">
        <f>-Tax!L30</f>
        <v>-1544.0254192273003</v>
      </c>
      <c r="M20" s="118">
        <f>-Tax!M30</f>
        <v>-1566.9149297750478</v>
      </c>
      <c r="N20" s="118">
        <f>-Tax!N30</f>
        <v>-1631.5774636633928</v>
      </c>
      <c r="O20" s="118">
        <f>-Tax!O30</f>
        <v>-1607.7610770797096</v>
      </c>
      <c r="P20" s="118">
        <f>-Tax!P30</f>
        <v>-1678.520751469574</v>
      </c>
      <c r="Q20" s="118">
        <f>-Tax!Q30</f>
        <v>-1706.434904098023</v>
      </c>
      <c r="R20" s="118">
        <f>-Tax!R30</f>
        <v>-1735.0771776716961</v>
      </c>
      <c r="S20" s="118">
        <f>-Tax!S30</f>
        <v>-1980.1237686565348</v>
      </c>
      <c r="T20" s="118">
        <f>-Tax!T30</f>
        <v>-2226.0473934718098</v>
      </c>
      <c r="U20" s="118">
        <f>-Tax!U30</f>
        <v>-2253.5124347244814</v>
      </c>
      <c r="V20" s="118">
        <f>-Tax!V30</f>
        <v>-2279.0071378295693</v>
      </c>
      <c r="W20" s="118">
        <f>-Tax!W30</f>
        <v>-2295.612370282653</v>
      </c>
      <c r="X20" s="118">
        <f>-Tax!X30</f>
        <v>-2308.8122912406811</v>
      </c>
      <c r="Y20" s="118">
        <f>-Tax!Y30</f>
        <v>-2328.1368609531478</v>
      </c>
      <c r="AA20"/>
      <c r="AB20"/>
      <c r="AC20"/>
    </row>
    <row r="21" spans="1:29">
      <c r="A21" s="4" t="s">
        <v>101</v>
      </c>
      <c r="B21" s="12"/>
      <c r="D21" s="236">
        <f>-Tax!D41</f>
        <v>-1310.9749510248816</v>
      </c>
      <c r="E21" s="236">
        <f>-Tax!E41</f>
        <v>-2395.4956965481751</v>
      </c>
      <c r="F21" s="236">
        <f>-Tax!F41</f>
        <v>-2774.0348902383566</v>
      </c>
      <c r="G21" s="236">
        <f>-Tax!G41</f>
        <v>-3111.7228663210894</v>
      </c>
      <c r="H21" s="236">
        <f>-Tax!H41</f>
        <v>-5371.1045877878942</v>
      </c>
      <c r="I21" s="236">
        <f>-Tax!I41</f>
        <v>-7740.0711833658042</v>
      </c>
      <c r="J21" s="236">
        <f>-Tax!J41</f>
        <v>-8002.6776957527918</v>
      </c>
      <c r="K21" s="236">
        <f>-Tax!K41</f>
        <v>-8127.0914679308735</v>
      </c>
      <c r="L21" s="236">
        <f>-Tax!L41</f>
        <v>-8466.4060487630304</v>
      </c>
      <c r="M21" s="236">
        <f>-Tax!M41</f>
        <v>-8591.9168649331768</v>
      </c>
      <c r="N21" s="236">
        <f>-Tax!N41</f>
        <v>-8946.4830924209364</v>
      </c>
      <c r="O21" s="236">
        <f>-Tax!O41</f>
        <v>-8815.8899059870728</v>
      </c>
      <c r="P21" s="236">
        <f>-Tax!P41</f>
        <v>-9203.8887872248288</v>
      </c>
      <c r="Q21" s="236">
        <f>-Tax!Q41</f>
        <v>-9356.951390804159</v>
      </c>
      <c r="R21" s="236">
        <f>-Tax!R41</f>
        <v>-9514.006524233133</v>
      </c>
      <c r="S21" s="236">
        <f>-Tax!S41</f>
        <v>-10857.678664799998</v>
      </c>
      <c r="T21" s="236">
        <f>-Tax!T41</f>
        <v>-12206.159874203757</v>
      </c>
      <c r="U21" s="236">
        <f>-Tax!U41</f>
        <v>-12356.759850405908</v>
      </c>
      <c r="V21" s="236">
        <f>-Tax!V41</f>
        <v>-12496.555805765473</v>
      </c>
      <c r="W21" s="236">
        <f>-Tax!W41</f>
        <v>-12587.607830383215</v>
      </c>
      <c r="X21" s="236">
        <f>-Tax!X41</f>
        <v>-12659.987396969735</v>
      </c>
      <c r="Y21" s="236">
        <f>-Tax!Y41</f>
        <v>-12765.950454226426</v>
      </c>
      <c r="Z21" s="167"/>
      <c r="AA21"/>
      <c r="AB21"/>
      <c r="AC21"/>
    </row>
    <row r="22" spans="1:29">
      <c r="A22" s="12"/>
      <c r="B22" s="1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67"/>
      <c r="AA22"/>
      <c r="AB22"/>
      <c r="AC22"/>
    </row>
    <row r="23" spans="1:29" s="16" customFormat="1">
      <c r="A23" s="11" t="s">
        <v>102</v>
      </c>
      <c r="B23" s="11"/>
      <c r="D23" s="60">
        <f t="shared" ref="D23:Y23" si="1">D18+D21+D20</f>
        <v>-61.624133810934381</v>
      </c>
      <c r="E23" s="60">
        <f t="shared" si="1"/>
        <v>4203.3116096608965</v>
      </c>
      <c r="F23" s="60">
        <f t="shared" si="1"/>
        <v>4115.5141768712347</v>
      </c>
      <c r="G23" s="60">
        <f t="shared" si="1"/>
        <v>4075.0307320963093</v>
      </c>
      <c r="H23" s="60">
        <f t="shared" si="1"/>
        <v>7701.9515281775202</v>
      </c>
      <c r="I23" s="60">
        <f t="shared" si="1"/>
        <v>11618.613464965068</v>
      </c>
      <c r="J23" s="60">
        <f t="shared" si="1"/>
        <v>12079.231798183762</v>
      </c>
      <c r="K23" s="60">
        <f t="shared" si="1"/>
        <v>12702.020290014483</v>
      </c>
      <c r="L23" s="60">
        <f t="shared" si="1"/>
        <v>13699.274176631343</v>
      </c>
      <c r="M23" s="60">
        <f t="shared" si="1"/>
        <v>14324.100035875905</v>
      </c>
      <c r="N23" s="60">
        <f t="shared" si="1"/>
        <v>15349.678409138885</v>
      </c>
      <c r="O23" s="60">
        <f t="shared" si="1"/>
        <v>15498.882549261712</v>
      </c>
      <c r="P23" s="60">
        <f t="shared" si="1"/>
        <v>16586.550136631835</v>
      </c>
      <c r="Q23" s="60">
        <f t="shared" si="1"/>
        <v>17262.543601064866</v>
      </c>
      <c r="R23" s="60">
        <f t="shared" si="1"/>
        <v>17921.315656790106</v>
      </c>
      <c r="S23" s="60">
        <f t="shared" si="1"/>
        <v>17162.297282485713</v>
      </c>
      <c r="T23" s="60">
        <f t="shared" si="1"/>
        <v>16412.210036021261</v>
      </c>
      <c r="U23" s="60">
        <f t="shared" si="1"/>
        <v>17071.311996110966</v>
      </c>
      <c r="V23" s="60">
        <f t="shared" si="1"/>
        <v>17710.349346064446</v>
      </c>
      <c r="W23" s="60">
        <f t="shared" si="1"/>
        <v>18258.862253211682</v>
      </c>
      <c r="X23" s="60">
        <f t="shared" si="1"/>
        <v>23511.405165800938</v>
      </c>
      <c r="Y23" s="60">
        <f t="shared" si="1"/>
        <v>23708.193700706222</v>
      </c>
      <c r="Z23" s="234"/>
      <c r="AA23"/>
      <c r="AB23"/>
      <c r="AC23"/>
    </row>
    <row r="24" spans="1:29">
      <c r="A24" s="12"/>
      <c r="B24" s="12"/>
      <c r="D24" s="25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67"/>
      <c r="AA24"/>
      <c r="AB24"/>
      <c r="AC24"/>
    </row>
    <row r="25" spans="1:29">
      <c r="A25" s="13" t="s">
        <v>103</v>
      </c>
      <c r="B25" s="13"/>
      <c r="C25" s="316">
        <f>Assumptions!B68</f>
        <v>0.5</v>
      </c>
      <c r="D25" s="25">
        <v>0</v>
      </c>
      <c r="E25" s="25">
        <f>$C$25*IS!E55</f>
        <v>4105.9715332054493</v>
      </c>
      <c r="F25" s="25">
        <f>$C$25*IS!F55</f>
        <v>4099.9715053568671</v>
      </c>
      <c r="G25" s="25">
        <f>$C$25*IS!G55</f>
        <v>4093.6698574581546</v>
      </c>
      <c r="H25" s="25">
        <f>$C$25*IS!H55</f>
        <v>5901.9034387415104</v>
      </c>
      <c r="I25" s="25">
        <f>$C$25*IS!I55</f>
        <v>7838.2365605377836</v>
      </c>
      <c r="J25" s="25">
        <f>$C$25*IS!J55</f>
        <v>7957.90100853688</v>
      </c>
      <c r="K25" s="25">
        <f>$C$25*IS!K55</f>
        <v>8077.1912480464898</v>
      </c>
      <c r="L25" s="25">
        <f>$C$25*IS!L55</f>
        <v>8388.5059077606711</v>
      </c>
      <c r="M25" s="25">
        <f>$C$25*IS!M55</f>
        <v>8508.8148309772023</v>
      </c>
      <c r="N25" s="25">
        <f>$C$25*IS!N55</f>
        <v>8834.2917340144413</v>
      </c>
      <c r="O25" s="25">
        <f>$C$25*IS!O55</f>
        <v>8716.7897976701061</v>
      </c>
      <c r="P25" s="25">
        <f>$C$25*IS!P55</f>
        <v>9073.3113077609141</v>
      </c>
      <c r="Q25" s="25">
        <f>$C$25*IS!Q55</f>
        <v>9219.2040335716847</v>
      </c>
      <c r="R25" s="25">
        <f>$C$25*IS!R55</f>
        <v>9361.2777778400523</v>
      </c>
      <c r="S25" s="25">
        <f>$C$25*IS!S55</f>
        <v>9498.8395603841072</v>
      </c>
      <c r="T25" s="25">
        <f>$C$25*IS!T55</f>
        <v>9640.8669068481304</v>
      </c>
      <c r="U25" s="25">
        <f>$C$25*IS!U55</f>
        <v>9780.7097418929843</v>
      </c>
      <c r="V25" s="25">
        <f>$C$25*IS!V55</f>
        <v>9910.5202718697255</v>
      </c>
      <c r="W25" s="25">
        <f>$C$25*IS!W55</f>
        <v>9995.0685804433415</v>
      </c>
      <c r="X25" s="25">
        <f>$C$25*IS!X55</f>
        <v>10062.27817798797</v>
      </c>
      <c r="Y25" s="25">
        <f>$C$25*IS!Y55</f>
        <v>10160.67244544061</v>
      </c>
      <c r="Z25" s="112"/>
      <c r="AA25"/>
      <c r="AB25"/>
      <c r="AC25"/>
    </row>
    <row r="26" spans="1:29">
      <c r="A26" s="13" t="s">
        <v>104</v>
      </c>
      <c r="B26" s="13"/>
      <c r="C26" s="316">
        <v>0.5</v>
      </c>
      <c r="D26" s="25">
        <f>(D23)*$C$26</f>
        <v>-30.812066905467191</v>
      </c>
      <c r="E26" s="103">
        <f>(E23)*$C$26</f>
        <v>2101.6558048304482</v>
      </c>
      <c r="F26" s="103">
        <f t="shared" ref="F26:X26" si="2">(F23)*$C$26</f>
        <v>2057.7570884356173</v>
      </c>
      <c r="G26" s="103">
        <f t="shared" si="2"/>
        <v>2037.5153660481546</v>
      </c>
      <c r="H26" s="103">
        <f t="shared" si="2"/>
        <v>3850.9757640887601</v>
      </c>
      <c r="I26" s="103">
        <f t="shared" si="2"/>
        <v>5809.3067324825342</v>
      </c>
      <c r="J26" s="103">
        <f t="shared" si="2"/>
        <v>6039.6158990918811</v>
      </c>
      <c r="K26" s="103">
        <f t="shared" si="2"/>
        <v>6351.0101450072416</v>
      </c>
      <c r="L26" s="103">
        <f t="shared" si="2"/>
        <v>6849.6370883156715</v>
      </c>
      <c r="M26" s="103">
        <f t="shared" si="2"/>
        <v>7162.0500179379524</v>
      </c>
      <c r="N26" s="103">
        <f t="shared" si="2"/>
        <v>7674.8392045694427</v>
      </c>
      <c r="O26" s="103">
        <f t="shared" si="2"/>
        <v>7749.4412746308562</v>
      </c>
      <c r="P26" s="103">
        <f t="shared" si="2"/>
        <v>8293.2750683159175</v>
      </c>
      <c r="Q26" s="103">
        <f t="shared" si="2"/>
        <v>8631.2718005324332</v>
      </c>
      <c r="R26" s="103">
        <f t="shared" si="2"/>
        <v>8960.657828395053</v>
      </c>
      <c r="S26" s="103">
        <f t="shared" si="2"/>
        <v>8581.1486412428567</v>
      </c>
      <c r="T26" s="103">
        <f t="shared" si="2"/>
        <v>8206.1050180106304</v>
      </c>
      <c r="U26" s="103">
        <f t="shared" si="2"/>
        <v>8535.655998055483</v>
      </c>
      <c r="V26" s="103">
        <f t="shared" si="2"/>
        <v>8855.1746730322229</v>
      </c>
      <c r="W26" s="103">
        <f t="shared" si="2"/>
        <v>9129.4311266058412</v>
      </c>
      <c r="X26" s="103">
        <f t="shared" si="2"/>
        <v>11755.702582900469</v>
      </c>
      <c r="Y26" s="103">
        <f>(Y23)*$C$26</f>
        <v>11854.096850353111</v>
      </c>
      <c r="Z26" s="137"/>
      <c r="AA26"/>
      <c r="AB26"/>
      <c r="AC26"/>
    </row>
    <row r="27" spans="1:29">
      <c r="A27" s="12"/>
      <c r="B27" s="12"/>
      <c r="D27" s="147"/>
      <c r="E27" s="147"/>
      <c r="F27" s="147"/>
      <c r="G27" s="147"/>
      <c r="H27" s="147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67"/>
    </row>
    <row r="28" spans="1:29">
      <c r="A28" s="70"/>
      <c r="B28" s="70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</row>
    <row r="29" spans="1:29">
      <c r="A29" s="70"/>
      <c r="B29" s="70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</row>
    <row r="30" spans="1:29" ht="18.75">
      <c r="A30" s="157" t="s">
        <v>105</v>
      </c>
      <c r="B30" s="237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</row>
    <row r="31" spans="1:29"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</row>
    <row r="32" spans="1:29" ht="13.5" thickBot="1">
      <c r="A32" s="232" t="s">
        <v>79</v>
      </c>
      <c r="B32" s="232"/>
      <c r="C32" s="2"/>
      <c r="D32" s="8">
        <f>D9</f>
        <v>1999</v>
      </c>
      <c r="E32" s="8">
        <f t="shared" ref="E32:Y32" si="3">E9</f>
        <v>2000</v>
      </c>
      <c r="F32" s="8">
        <f t="shared" si="3"/>
        <v>2001</v>
      </c>
      <c r="G32" s="8">
        <f t="shared" si="3"/>
        <v>2002</v>
      </c>
      <c r="H32" s="8">
        <f t="shared" si="3"/>
        <v>2003</v>
      </c>
      <c r="I32" s="8">
        <f t="shared" si="3"/>
        <v>2004</v>
      </c>
      <c r="J32" s="8">
        <f t="shared" si="3"/>
        <v>2005</v>
      </c>
      <c r="K32" s="8">
        <f t="shared" si="3"/>
        <v>2006</v>
      </c>
      <c r="L32" s="8">
        <f t="shared" si="3"/>
        <v>2007</v>
      </c>
      <c r="M32" s="8">
        <f t="shared" si="3"/>
        <v>2008</v>
      </c>
      <c r="N32" s="8">
        <f t="shared" si="3"/>
        <v>2009</v>
      </c>
      <c r="O32" s="8">
        <f t="shared" si="3"/>
        <v>2010</v>
      </c>
      <c r="P32" s="8">
        <f t="shared" si="3"/>
        <v>2011</v>
      </c>
      <c r="Q32" s="8">
        <f t="shared" si="3"/>
        <v>2012</v>
      </c>
      <c r="R32" s="8">
        <f t="shared" si="3"/>
        <v>2013</v>
      </c>
      <c r="S32" s="8">
        <f t="shared" si="3"/>
        <v>2014</v>
      </c>
      <c r="T32" s="8">
        <f t="shared" si="3"/>
        <v>2015</v>
      </c>
      <c r="U32" s="8">
        <f t="shared" si="3"/>
        <v>2016</v>
      </c>
      <c r="V32" s="8">
        <f t="shared" si="3"/>
        <v>2017</v>
      </c>
      <c r="W32" s="8">
        <f t="shared" si="3"/>
        <v>2018</v>
      </c>
      <c r="X32" s="8">
        <f t="shared" si="3"/>
        <v>2019</v>
      </c>
      <c r="Y32" s="8">
        <f t="shared" si="3"/>
        <v>2020</v>
      </c>
    </row>
    <row r="33" spans="1:27" ht="14.25" customHeight="1">
      <c r="A33" s="238"/>
      <c r="B33" s="238"/>
      <c r="D33" s="426">
        <v>36891</v>
      </c>
      <c r="E33" s="426">
        <v>37256</v>
      </c>
      <c r="F33" s="426">
        <v>37621</v>
      </c>
      <c r="G33" s="426">
        <v>37986</v>
      </c>
      <c r="H33" s="426">
        <v>38352</v>
      </c>
      <c r="I33" s="426">
        <v>38717</v>
      </c>
      <c r="J33" s="426">
        <v>39082</v>
      </c>
      <c r="K33" s="426">
        <v>39447</v>
      </c>
      <c r="L33" s="426">
        <v>39813</v>
      </c>
      <c r="M33" s="426">
        <v>40178</v>
      </c>
      <c r="N33" s="426">
        <v>40543</v>
      </c>
      <c r="O33" s="426">
        <v>40908</v>
      </c>
      <c r="P33" s="426">
        <v>41274</v>
      </c>
      <c r="Q33" s="426">
        <v>41639</v>
      </c>
      <c r="R33" s="426">
        <v>42004</v>
      </c>
      <c r="S33" s="426">
        <v>42369</v>
      </c>
      <c r="T33" s="426">
        <v>42735</v>
      </c>
      <c r="U33" s="426">
        <v>43100</v>
      </c>
      <c r="V33" s="426">
        <v>43465</v>
      </c>
      <c r="W33" s="426">
        <v>43830</v>
      </c>
      <c r="X33" s="426">
        <v>44196</v>
      </c>
      <c r="Y33" s="426">
        <v>44561</v>
      </c>
    </row>
    <row r="34" spans="1:27">
      <c r="A34" s="70"/>
      <c r="B34" s="70"/>
      <c r="K34" s="57"/>
    </row>
    <row r="35" spans="1:27" s="16" customFormat="1">
      <c r="A35" s="11" t="s">
        <v>99</v>
      </c>
      <c r="B35" s="70"/>
      <c r="D35" s="60">
        <f>$C$26*D18</f>
        <v>744.21719745422729</v>
      </c>
      <c r="E35" s="235">
        <f t="shared" ref="E35:Y35" si="4">$C$26*E18</f>
        <v>3517.8379111484423</v>
      </c>
      <c r="F35" s="235">
        <f t="shared" si="4"/>
        <v>3697.7260433029742</v>
      </c>
      <c r="G35" s="235">
        <f t="shared" si="4"/>
        <v>3877.1205256209569</v>
      </c>
      <c r="H35" s="235">
        <f t="shared" si="4"/>
        <v>7026.2944337688368</v>
      </c>
      <c r="I35" s="235">
        <f t="shared" si="4"/>
        <v>10385.123891037698</v>
      </c>
      <c r="J35" s="235">
        <f t="shared" si="4"/>
        <v>10770.682196429017</v>
      </c>
      <c r="K35" s="235">
        <f t="shared" si="4"/>
        <v>11155.628049300722</v>
      </c>
      <c r="L35" s="235">
        <f t="shared" si="4"/>
        <v>11854.852822310837</v>
      </c>
      <c r="M35" s="235">
        <f t="shared" si="4"/>
        <v>12241.465915292065</v>
      </c>
      <c r="N35" s="235">
        <f t="shared" si="4"/>
        <v>12963.869482611608</v>
      </c>
      <c r="O35" s="235">
        <f t="shared" si="4"/>
        <v>12961.266766164246</v>
      </c>
      <c r="P35" s="235">
        <f t="shared" si="4"/>
        <v>13734.479837663117</v>
      </c>
      <c r="Q35" s="235">
        <f t="shared" si="4"/>
        <v>14162.964947983524</v>
      </c>
      <c r="R35" s="235">
        <f t="shared" si="4"/>
        <v>14585.199679347468</v>
      </c>
      <c r="S35" s="235">
        <f t="shared" si="4"/>
        <v>15000.049857971124</v>
      </c>
      <c r="T35" s="235">
        <f t="shared" si="4"/>
        <v>15422.208651848414</v>
      </c>
      <c r="U35" s="235">
        <f t="shared" si="4"/>
        <v>15840.792140620679</v>
      </c>
      <c r="V35" s="235">
        <f t="shared" si="4"/>
        <v>16242.956144829745</v>
      </c>
      <c r="W35" s="235">
        <f t="shared" si="4"/>
        <v>16571.041226938774</v>
      </c>
      <c r="X35" s="235">
        <f t="shared" si="4"/>
        <v>19240.102427005677</v>
      </c>
      <c r="Y35" s="235">
        <f t="shared" si="4"/>
        <v>19401.140507942899</v>
      </c>
      <c r="Z35" s="111"/>
      <c r="AA35" s="111"/>
    </row>
    <row r="36" spans="1:27">
      <c r="A36" s="11"/>
      <c r="B36" s="70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</row>
    <row r="37" spans="1:27">
      <c r="A37" s="12" t="s">
        <v>106</v>
      </c>
      <c r="B37" s="70"/>
      <c r="D37" s="149">
        <f>$C$26*D20</f>
        <v>-119.54178884725366</v>
      </c>
      <c r="E37" s="149">
        <f t="shared" ref="E37:Y37" si="5">$C$26*E20</f>
        <v>-218.43425804390657</v>
      </c>
      <c r="F37" s="149">
        <f t="shared" si="5"/>
        <v>-252.95150974817844</v>
      </c>
      <c r="G37" s="149">
        <f t="shared" si="5"/>
        <v>-283.74372641225739</v>
      </c>
      <c r="H37" s="149">
        <f t="shared" si="5"/>
        <v>-489.7663757861302</v>
      </c>
      <c r="I37" s="149">
        <f t="shared" si="5"/>
        <v>-705.78156687226181</v>
      </c>
      <c r="J37" s="149">
        <f t="shared" si="5"/>
        <v>-729.7274494607409</v>
      </c>
      <c r="K37" s="149">
        <f t="shared" si="5"/>
        <v>-741.07217032804317</v>
      </c>
      <c r="L37" s="149">
        <f t="shared" si="5"/>
        <v>-772.01270961365015</v>
      </c>
      <c r="M37" s="149">
        <f t="shared" si="5"/>
        <v>-783.45746488752388</v>
      </c>
      <c r="N37" s="149">
        <f t="shared" si="5"/>
        <v>-815.7887318316964</v>
      </c>
      <c r="O37" s="149">
        <f t="shared" si="5"/>
        <v>-803.8805385398548</v>
      </c>
      <c r="P37" s="149">
        <f t="shared" si="5"/>
        <v>-839.26037573478698</v>
      </c>
      <c r="Q37" s="149">
        <f t="shared" si="5"/>
        <v>-853.21745204901151</v>
      </c>
      <c r="R37" s="149">
        <f t="shared" si="5"/>
        <v>-867.53858883584803</v>
      </c>
      <c r="S37" s="149">
        <f t="shared" si="5"/>
        <v>-990.06188432826741</v>
      </c>
      <c r="T37" s="149">
        <f t="shared" si="5"/>
        <v>-1113.0236967359049</v>
      </c>
      <c r="U37" s="149">
        <f t="shared" si="5"/>
        <v>-1126.7562173622407</v>
      </c>
      <c r="V37" s="149">
        <f t="shared" si="5"/>
        <v>-1139.5035689147846</v>
      </c>
      <c r="W37" s="149">
        <f t="shared" si="5"/>
        <v>-1147.8061851413265</v>
      </c>
      <c r="X37" s="149">
        <f t="shared" si="5"/>
        <v>-1154.4061456203406</v>
      </c>
      <c r="Y37" s="149">
        <f t="shared" si="5"/>
        <v>-1164.0684304765739</v>
      </c>
    </row>
    <row r="38" spans="1:27">
      <c r="A38" s="12" t="s">
        <v>107</v>
      </c>
      <c r="B38" s="70"/>
      <c r="D38" s="152">
        <f>$C$26*D21</f>
        <v>-655.48747551244082</v>
      </c>
      <c r="E38" s="152">
        <f t="shared" ref="E38:Y38" si="6">$C$26*E21</f>
        <v>-1197.7478482740876</v>
      </c>
      <c r="F38" s="152">
        <f t="shared" si="6"/>
        <v>-1387.0174451191783</v>
      </c>
      <c r="G38" s="152">
        <f t="shared" si="6"/>
        <v>-1555.8614331605447</v>
      </c>
      <c r="H38" s="152">
        <f t="shared" si="6"/>
        <v>-2685.5522938939471</v>
      </c>
      <c r="I38" s="152">
        <f t="shared" si="6"/>
        <v>-3870.0355916829021</v>
      </c>
      <c r="J38" s="152">
        <f t="shared" si="6"/>
        <v>-4001.3388478763959</v>
      </c>
      <c r="K38" s="152">
        <f t="shared" si="6"/>
        <v>-4063.5457339654367</v>
      </c>
      <c r="L38" s="152">
        <f t="shared" si="6"/>
        <v>-4233.2030243815152</v>
      </c>
      <c r="M38" s="152">
        <f t="shared" si="6"/>
        <v>-4295.9584324665884</v>
      </c>
      <c r="N38" s="152">
        <f t="shared" si="6"/>
        <v>-4473.2415462104682</v>
      </c>
      <c r="O38" s="152">
        <f t="shared" si="6"/>
        <v>-4407.9449529935364</v>
      </c>
      <c r="P38" s="152">
        <f t="shared" si="6"/>
        <v>-4601.9443936124144</v>
      </c>
      <c r="Q38" s="152">
        <f t="shared" si="6"/>
        <v>-4678.4756954020795</v>
      </c>
      <c r="R38" s="152">
        <f t="shared" si="6"/>
        <v>-4757.0032621165665</v>
      </c>
      <c r="S38" s="152">
        <f t="shared" si="6"/>
        <v>-5428.839332399999</v>
      </c>
      <c r="T38" s="152">
        <f t="shared" si="6"/>
        <v>-6103.0799371018784</v>
      </c>
      <c r="U38" s="152">
        <f t="shared" si="6"/>
        <v>-6178.3799252029539</v>
      </c>
      <c r="V38" s="152">
        <f t="shared" si="6"/>
        <v>-6248.2779028827363</v>
      </c>
      <c r="W38" s="152">
        <f t="shared" si="6"/>
        <v>-6293.8039151916073</v>
      </c>
      <c r="X38" s="152">
        <f t="shared" si="6"/>
        <v>-6329.9936984848673</v>
      </c>
      <c r="Y38" s="152">
        <f t="shared" si="6"/>
        <v>-6382.9752271132129</v>
      </c>
    </row>
    <row r="39" spans="1:27">
      <c r="A39" s="12"/>
      <c r="B39" s="70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</row>
    <row r="40" spans="1:27" s="16" customFormat="1">
      <c r="A40" s="11" t="s">
        <v>102</v>
      </c>
      <c r="B40" s="70"/>
      <c r="D40" s="60">
        <f>$C$26*D23</f>
        <v>-30.812066905467191</v>
      </c>
      <c r="E40" s="235">
        <f t="shared" ref="E40:Y40" si="7">$C$26*E23</f>
        <v>2101.6558048304482</v>
      </c>
      <c r="F40" s="235">
        <f t="shared" si="7"/>
        <v>2057.7570884356173</v>
      </c>
      <c r="G40" s="235">
        <f t="shared" si="7"/>
        <v>2037.5153660481546</v>
      </c>
      <c r="H40" s="235">
        <f t="shared" si="7"/>
        <v>3850.9757640887601</v>
      </c>
      <c r="I40" s="235">
        <f t="shared" si="7"/>
        <v>5809.3067324825342</v>
      </c>
      <c r="J40" s="235">
        <f t="shared" si="7"/>
        <v>6039.6158990918811</v>
      </c>
      <c r="K40" s="235">
        <f t="shared" si="7"/>
        <v>6351.0101450072416</v>
      </c>
      <c r="L40" s="235">
        <f t="shared" si="7"/>
        <v>6849.6370883156715</v>
      </c>
      <c r="M40" s="235">
        <f t="shared" si="7"/>
        <v>7162.0500179379524</v>
      </c>
      <c r="N40" s="235">
        <f t="shared" si="7"/>
        <v>7674.8392045694427</v>
      </c>
      <c r="O40" s="235">
        <f t="shared" si="7"/>
        <v>7749.4412746308562</v>
      </c>
      <c r="P40" s="235">
        <f t="shared" si="7"/>
        <v>8293.2750683159175</v>
      </c>
      <c r="Q40" s="235">
        <f t="shared" si="7"/>
        <v>8631.2718005324332</v>
      </c>
      <c r="R40" s="235">
        <f t="shared" si="7"/>
        <v>8960.657828395053</v>
      </c>
      <c r="S40" s="235">
        <f t="shared" si="7"/>
        <v>8581.1486412428567</v>
      </c>
      <c r="T40" s="235">
        <f t="shared" si="7"/>
        <v>8206.1050180106304</v>
      </c>
      <c r="U40" s="235">
        <f t="shared" si="7"/>
        <v>8535.655998055483</v>
      </c>
      <c r="V40" s="235">
        <f t="shared" si="7"/>
        <v>8855.1746730322229</v>
      </c>
      <c r="W40" s="235">
        <f t="shared" si="7"/>
        <v>9129.4311266058412</v>
      </c>
      <c r="X40" s="235">
        <f t="shared" si="7"/>
        <v>11755.702582900469</v>
      </c>
      <c r="Y40" s="235">
        <f t="shared" si="7"/>
        <v>11854.096850353111</v>
      </c>
      <c r="Z40" s="111"/>
      <c r="AA40" s="111"/>
    </row>
    <row r="41" spans="1:27">
      <c r="A41" s="11"/>
      <c r="B41" s="70"/>
      <c r="K41" s="57"/>
    </row>
    <row r="42" spans="1:27">
      <c r="A42" s="115" t="s">
        <v>108</v>
      </c>
      <c r="B42" s="115"/>
      <c r="D42" s="32">
        <f>-Assumptions!$B$68*Assumptions!D11</f>
        <v>-15079.5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17"/>
    </row>
    <row r="43" spans="1:27">
      <c r="A43" s="115"/>
      <c r="B43" s="115"/>
      <c r="D43" s="32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>
      <c r="A44" s="65"/>
      <c r="B44" s="65"/>
      <c r="C44" s="65"/>
      <c r="D44" s="283"/>
    </row>
    <row r="45" spans="1:27">
      <c r="A45" s="70" t="s">
        <v>246</v>
      </c>
      <c r="B45" s="14"/>
      <c r="D45" s="118"/>
      <c r="E45" s="118"/>
      <c r="F45" s="118"/>
      <c r="G45" s="118"/>
      <c r="H45" s="118"/>
      <c r="I45" s="118"/>
      <c r="J45" s="57"/>
    </row>
    <row r="46" spans="1:27">
      <c r="A46" s="17" t="s">
        <v>109</v>
      </c>
      <c r="D46" s="119">
        <f>D42+D40</f>
        <v>-15110.312066905468</v>
      </c>
      <c r="E46" s="119">
        <f t="shared" ref="E46:Y46" si="8">E42+E40</f>
        <v>2101.6558048304482</v>
      </c>
      <c r="F46" s="119">
        <f t="shared" si="8"/>
        <v>2057.7570884356173</v>
      </c>
      <c r="G46" s="119">
        <f t="shared" si="8"/>
        <v>2037.5153660481546</v>
      </c>
      <c r="H46" s="119">
        <f t="shared" si="8"/>
        <v>3850.9757640887601</v>
      </c>
      <c r="I46" s="119">
        <f t="shared" si="8"/>
        <v>5809.3067324825342</v>
      </c>
      <c r="J46" s="119">
        <f t="shared" si="8"/>
        <v>6039.6158990918811</v>
      </c>
      <c r="K46" s="119">
        <f t="shared" si="8"/>
        <v>6351.0101450072416</v>
      </c>
      <c r="L46" s="119">
        <f t="shared" si="8"/>
        <v>6849.6370883156715</v>
      </c>
      <c r="M46" s="119">
        <f t="shared" si="8"/>
        <v>7162.0500179379524</v>
      </c>
      <c r="N46" s="119">
        <f t="shared" si="8"/>
        <v>7674.8392045694427</v>
      </c>
      <c r="O46" s="119">
        <f t="shared" si="8"/>
        <v>7749.4412746308562</v>
      </c>
      <c r="P46" s="119">
        <f t="shared" si="8"/>
        <v>8293.2750683159175</v>
      </c>
      <c r="Q46" s="119">
        <f t="shared" si="8"/>
        <v>8631.2718005324332</v>
      </c>
      <c r="R46" s="119">
        <f t="shared" si="8"/>
        <v>8960.657828395053</v>
      </c>
      <c r="S46" s="119">
        <f t="shared" si="8"/>
        <v>8581.1486412428567</v>
      </c>
      <c r="T46" s="119">
        <f t="shared" si="8"/>
        <v>8206.1050180106304</v>
      </c>
      <c r="U46" s="119">
        <f t="shared" si="8"/>
        <v>8535.655998055483</v>
      </c>
      <c r="V46" s="119">
        <f t="shared" si="8"/>
        <v>8855.1746730322229</v>
      </c>
      <c r="W46" s="119">
        <f t="shared" si="8"/>
        <v>9129.4311266058412</v>
      </c>
      <c r="X46" s="119">
        <f t="shared" si="8"/>
        <v>11755.702582900469</v>
      </c>
      <c r="Y46" s="119">
        <f t="shared" si="8"/>
        <v>11854.096850353111</v>
      </c>
    </row>
    <row r="47" spans="1:27">
      <c r="A47" s="17" t="s">
        <v>7</v>
      </c>
      <c r="D47" s="427">
        <f>[1]!_xludf.xirr(D46:Y46,D33:Y33)</f>
        <v>0.26886137127876286</v>
      </c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</row>
    <row r="49" spans="1:25">
      <c r="A49" s="70" t="s">
        <v>318</v>
      </c>
    </row>
    <row r="50" spans="1:25">
      <c r="A50" s="17" t="s">
        <v>109</v>
      </c>
      <c r="D50" s="119">
        <f>D46</f>
        <v>-15110.312066905468</v>
      </c>
      <c r="E50" s="119">
        <f t="shared" ref="E50:Y50" si="9">E46</f>
        <v>2101.6558048304482</v>
      </c>
      <c r="F50" s="119">
        <f t="shared" si="9"/>
        <v>2057.7570884356173</v>
      </c>
      <c r="G50" s="119">
        <f t="shared" si="9"/>
        <v>2037.5153660481546</v>
      </c>
      <c r="H50" s="119">
        <f t="shared" si="9"/>
        <v>3850.9757640887601</v>
      </c>
      <c r="I50" s="119">
        <f t="shared" si="9"/>
        <v>5809.3067324825342</v>
      </c>
      <c r="J50" s="119">
        <f t="shared" si="9"/>
        <v>6039.6158990918811</v>
      </c>
      <c r="K50" s="119">
        <f t="shared" si="9"/>
        <v>6351.0101450072416</v>
      </c>
      <c r="L50" s="119">
        <f t="shared" si="9"/>
        <v>6849.6370883156715</v>
      </c>
      <c r="M50" s="119">
        <f t="shared" si="9"/>
        <v>7162.0500179379524</v>
      </c>
      <c r="N50" s="119">
        <f t="shared" si="9"/>
        <v>7674.8392045694427</v>
      </c>
      <c r="O50" s="119">
        <f t="shared" si="9"/>
        <v>7749.4412746308562</v>
      </c>
      <c r="P50" s="119">
        <f t="shared" si="9"/>
        <v>8293.2750683159175</v>
      </c>
      <c r="Q50" s="119">
        <f t="shared" si="9"/>
        <v>8631.2718005324332</v>
      </c>
      <c r="R50" s="119">
        <f t="shared" si="9"/>
        <v>8960.657828395053</v>
      </c>
      <c r="S50" s="119">
        <f t="shared" si="9"/>
        <v>8581.1486412428567</v>
      </c>
      <c r="T50" s="119">
        <f t="shared" si="9"/>
        <v>8206.1050180106304</v>
      </c>
      <c r="U50" s="119">
        <f t="shared" si="9"/>
        <v>8535.655998055483</v>
      </c>
      <c r="V50" s="119">
        <f t="shared" si="9"/>
        <v>8855.1746730322229</v>
      </c>
      <c r="W50" s="119">
        <f t="shared" si="9"/>
        <v>9129.4311266058412</v>
      </c>
      <c r="X50" s="119">
        <f t="shared" si="9"/>
        <v>11755.702582900469</v>
      </c>
      <c r="Y50" s="119">
        <f t="shared" si="9"/>
        <v>11854.096850353111</v>
      </c>
    </row>
    <row r="51" spans="1:25">
      <c r="A51" s="17" t="s">
        <v>317</v>
      </c>
      <c r="D51" s="529">
        <v>0</v>
      </c>
      <c r="E51" s="529">
        <v>0</v>
      </c>
      <c r="F51" s="529">
        <v>0</v>
      </c>
      <c r="G51" s="529">
        <v>0</v>
      </c>
      <c r="H51" s="529">
        <v>0</v>
      </c>
      <c r="I51" s="529">
        <v>0</v>
      </c>
      <c r="J51" s="529">
        <v>0</v>
      </c>
      <c r="K51" s="529">
        <v>0</v>
      </c>
      <c r="L51" s="529">
        <v>0</v>
      </c>
      <c r="M51" s="529">
        <v>0</v>
      </c>
      <c r="N51" s="529">
        <v>0</v>
      </c>
      <c r="O51" s="529">
        <v>0</v>
      </c>
      <c r="P51" s="529">
        <v>0</v>
      </c>
      <c r="Q51" s="529">
        <v>0</v>
      </c>
      <c r="R51" s="529">
        <v>0</v>
      </c>
      <c r="S51" s="529">
        <v>0</v>
      </c>
      <c r="T51" s="529">
        <v>0</v>
      </c>
      <c r="U51" s="529">
        <v>0</v>
      </c>
      <c r="V51" s="529">
        <v>0</v>
      </c>
      <c r="W51" s="529">
        <v>0</v>
      </c>
      <c r="X51" s="529">
        <v>0</v>
      </c>
      <c r="Y51" s="530">
        <v>0</v>
      </c>
    </row>
    <row r="52" spans="1:25">
      <c r="A52" s="17" t="s">
        <v>110</v>
      </c>
      <c r="D52" s="119">
        <f t="shared" ref="D52:Y52" si="10">D50+D51</f>
        <v>-15110.312066905468</v>
      </c>
      <c r="E52" s="119">
        <f t="shared" si="10"/>
        <v>2101.6558048304482</v>
      </c>
      <c r="F52" s="119">
        <f t="shared" si="10"/>
        <v>2057.7570884356173</v>
      </c>
      <c r="G52" s="119">
        <f t="shared" si="10"/>
        <v>2037.5153660481546</v>
      </c>
      <c r="H52" s="119">
        <f t="shared" si="10"/>
        <v>3850.9757640887601</v>
      </c>
      <c r="I52" s="119">
        <f t="shared" si="10"/>
        <v>5809.3067324825342</v>
      </c>
      <c r="J52" s="119">
        <f t="shared" si="10"/>
        <v>6039.6158990918811</v>
      </c>
      <c r="K52" s="119">
        <f t="shared" si="10"/>
        <v>6351.0101450072416</v>
      </c>
      <c r="L52" s="119">
        <f t="shared" si="10"/>
        <v>6849.6370883156715</v>
      </c>
      <c r="M52" s="119">
        <f t="shared" si="10"/>
        <v>7162.0500179379524</v>
      </c>
      <c r="N52" s="119">
        <f t="shared" si="10"/>
        <v>7674.8392045694427</v>
      </c>
      <c r="O52" s="119">
        <f t="shared" si="10"/>
        <v>7749.4412746308562</v>
      </c>
      <c r="P52" s="119">
        <f t="shared" si="10"/>
        <v>8293.2750683159175</v>
      </c>
      <c r="Q52" s="119">
        <f t="shared" si="10"/>
        <v>8631.2718005324332</v>
      </c>
      <c r="R52" s="119">
        <f t="shared" si="10"/>
        <v>8960.657828395053</v>
      </c>
      <c r="S52" s="119">
        <f t="shared" si="10"/>
        <v>8581.1486412428567</v>
      </c>
      <c r="T52" s="119">
        <f t="shared" si="10"/>
        <v>8206.1050180106304</v>
      </c>
      <c r="U52" s="119">
        <f t="shared" si="10"/>
        <v>8535.655998055483</v>
      </c>
      <c r="V52" s="119">
        <f t="shared" si="10"/>
        <v>8855.1746730322229</v>
      </c>
      <c r="W52" s="119">
        <f t="shared" si="10"/>
        <v>9129.4311266058412</v>
      </c>
      <c r="X52" s="119">
        <f t="shared" si="10"/>
        <v>11755.702582900469</v>
      </c>
      <c r="Y52" s="119">
        <f t="shared" si="10"/>
        <v>11854.096850353111</v>
      </c>
    </row>
    <row r="53" spans="1:25">
      <c r="A53" s="56" t="s">
        <v>111</v>
      </c>
      <c r="D53" s="427">
        <f>[1]!_xludf.xirr(D52:Y52,D33:Y33)</f>
        <v>0.26886137127876286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</row>
    <row r="54" spans="1:25">
      <c r="A54" s="56"/>
      <c r="C54" s="146"/>
    </row>
    <row r="67" spans="1:8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1:8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1:8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1:8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</sheetData>
  <pageMargins left="0.75" right="0.75" top="1" bottom="1" header="0.5" footer="0.5"/>
  <pageSetup scale="29" orientation="landscape" r:id="rId1"/>
  <headerFooter alignWithMargins="0">
    <oddFooter xml:space="preserve">&amp;L&amp;T, &amp;D&amp;C&amp;F&amp;R&amp;P </oddFooter>
  </headerFooter>
  <colBreaks count="1" manualBreakCount="1">
    <brk id="14" min="1" max="5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9"/>
  <sheetViews>
    <sheetView topLeftCell="A78" zoomScale="75" zoomScaleNormal="75" workbookViewId="0"/>
  </sheetViews>
  <sheetFormatPr defaultRowHeight="12.75"/>
  <cols>
    <col min="1" max="1" width="36" style="17" customWidth="1"/>
    <col min="2" max="2" width="18.42578125" style="17" customWidth="1"/>
    <col min="3" max="6" width="14.5703125" style="17" customWidth="1"/>
    <col min="7" max="7" width="17.5703125" style="17" customWidth="1"/>
    <col min="8" max="8" width="16.140625" style="17" customWidth="1"/>
    <col min="9" max="9" width="16.28515625" style="17" customWidth="1"/>
    <col min="10" max="22" width="14.5703125" style="17" customWidth="1"/>
    <col min="23" max="26" width="14.42578125" style="17" customWidth="1"/>
    <col min="27" max="28" width="14.42578125" style="7" customWidth="1"/>
    <col min="29" max="42" width="14.42578125" style="17" customWidth="1"/>
    <col min="43" max="16384" width="9.140625" style="17"/>
  </cols>
  <sheetData>
    <row r="1" spans="1:24" ht="18.75">
      <c r="A1" s="109"/>
    </row>
    <row r="2" spans="1:24" ht="18.75">
      <c r="A2" s="109"/>
    </row>
    <row r="4" spans="1:24" ht="15.75">
      <c r="A4" s="62"/>
      <c r="C4" s="90" t="s">
        <v>31</v>
      </c>
      <c r="D4" s="91"/>
      <c r="E4" s="91"/>
      <c r="F4" s="92"/>
      <c r="I4" s="90" t="s">
        <v>32</v>
      </c>
      <c r="J4" s="91"/>
      <c r="K4" s="91"/>
      <c r="L4" s="92"/>
      <c r="O4" s="90" t="s">
        <v>33</v>
      </c>
      <c r="P4" s="91"/>
      <c r="Q4" s="91"/>
      <c r="R4" s="92"/>
    </row>
    <row r="5" spans="1:24">
      <c r="A5" s="62"/>
      <c r="C5" s="93" t="s">
        <v>181</v>
      </c>
      <c r="D5" s="94"/>
      <c r="E5" s="94"/>
      <c r="F5" s="386">
        <f>Assumptions!B57</f>
        <v>4.48E-2</v>
      </c>
      <c r="G5" s="387"/>
      <c r="H5" s="6"/>
      <c r="I5" s="388" t="s">
        <v>182</v>
      </c>
      <c r="J5" s="389"/>
      <c r="K5" s="389"/>
      <c r="L5" s="386">
        <f>Assumptions!C57</f>
        <v>4.07E-2</v>
      </c>
      <c r="M5" s="6"/>
      <c r="N5" s="6"/>
      <c r="O5" s="388" t="s">
        <v>183</v>
      </c>
      <c r="P5" s="389"/>
      <c r="Q5" s="389"/>
      <c r="R5" s="386">
        <f>Assumptions!D57</f>
        <v>4.0549999999999996E-2</v>
      </c>
      <c r="S5" s="6"/>
      <c r="T5" s="6"/>
      <c r="U5" s="6"/>
      <c r="V5" s="6"/>
      <c r="W5" s="6"/>
    </row>
    <row r="6" spans="1:24">
      <c r="A6" s="62"/>
      <c r="C6" s="93" t="s">
        <v>112</v>
      </c>
      <c r="D6" s="94"/>
      <c r="E6" s="94"/>
      <c r="F6" s="386">
        <f>Assumptions!B58</f>
        <v>2.2499999999999999E-2</v>
      </c>
      <c r="G6" s="6"/>
      <c r="H6" s="6"/>
      <c r="I6" s="388" t="s">
        <v>113</v>
      </c>
      <c r="J6" s="389"/>
      <c r="K6" s="389"/>
      <c r="L6" s="386">
        <f>Assumptions!C58</f>
        <v>3.5000000000000003E-2</v>
      </c>
      <c r="M6" s="6"/>
      <c r="N6" s="6"/>
      <c r="O6" s="388" t="s">
        <v>113</v>
      </c>
      <c r="P6" s="389"/>
      <c r="Q6" s="389"/>
      <c r="R6" s="386">
        <f>Assumptions!D58</f>
        <v>4.1250000000000002E-2</v>
      </c>
      <c r="S6" s="6"/>
      <c r="T6" s="6"/>
      <c r="U6" s="6"/>
      <c r="V6" s="6"/>
      <c r="W6" s="6"/>
    </row>
    <row r="7" spans="1:24">
      <c r="A7" s="62"/>
      <c r="C7" s="95" t="s">
        <v>114</v>
      </c>
      <c r="D7" s="96"/>
      <c r="E7" s="96"/>
      <c r="F7" s="97">
        <f>F6+F5</f>
        <v>6.7299999999999999E-2</v>
      </c>
      <c r="I7" s="95" t="s">
        <v>114</v>
      </c>
      <c r="J7" s="96"/>
      <c r="K7" s="96"/>
      <c r="L7" s="97">
        <f>L5+L6</f>
        <v>7.5700000000000003E-2</v>
      </c>
      <c r="O7" s="95" t="s">
        <v>114</v>
      </c>
      <c r="P7" s="96"/>
      <c r="Q7" s="96"/>
      <c r="R7" s="97">
        <f>R5+R6</f>
        <v>8.1799999999999998E-2</v>
      </c>
    </row>
    <row r="8" spans="1:24" ht="15.75">
      <c r="A8" s="62"/>
      <c r="C8" s="77" t="s">
        <v>115</v>
      </c>
      <c r="D8" s="98"/>
      <c r="E8" s="99"/>
      <c r="F8" s="81">
        <f>(Assumptions!B53-Assumptions!B47)/365.25</f>
        <v>2.9952087611225187</v>
      </c>
      <c r="I8" s="77" t="s">
        <v>116</v>
      </c>
      <c r="J8" s="82"/>
      <c r="K8" s="82"/>
      <c r="L8" s="81">
        <f>(Assumptions!C53-Assumptions!B47)/365.25</f>
        <v>9.9958932238193015</v>
      </c>
      <c r="O8" s="77" t="s">
        <v>116</v>
      </c>
      <c r="P8" s="82"/>
      <c r="Q8" s="82"/>
      <c r="R8" s="81">
        <f>(Assumptions!D53-Assumptions!B47)/365.25</f>
        <v>19.997262149212869</v>
      </c>
    </row>
    <row r="9" spans="1:24" ht="15.75">
      <c r="A9" s="62"/>
      <c r="C9" s="83" t="s">
        <v>117</v>
      </c>
      <c r="D9" s="100"/>
      <c r="E9" s="100"/>
      <c r="F9" s="84">
        <f>B123</f>
        <v>9.7625000000000011</v>
      </c>
      <c r="I9" s="83" t="s">
        <v>118</v>
      </c>
      <c r="J9" s="85"/>
      <c r="K9" s="85"/>
      <c r="L9" s="84">
        <f>B124</f>
        <v>9.7625000000000011</v>
      </c>
      <c r="O9" s="83" t="s">
        <v>186</v>
      </c>
      <c r="P9" s="85"/>
      <c r="Q9" s="85"/>
      <c r="R9" s="84">
        <f>B125</f>
        <v>9.7625000000000011</v>
      </c>
    </row>
    <row r="10" spans="1:24">
      <c r="A10" s="62"/>
      <c r="C10" s="106" t="s">
        <v>119</v>
      </c>
      <c r="D10" s="107"/>
      <c r="E10" s="107"/>
      <c r="F10" s="381">
        <f>Assumptions!B51</f>
        <v>15926</v>
      </c>
      <c r="G10" s="6"/>
      <c r="H10" s="6"/>
      <c r="I10" s="382" t="s">
        <v>119</v>
      </c>
      <c r="J10" s="383"/>
      <c r="K10" s="383"/>
      <c r="L10" s="381">
        <f>Assumptions!C51</f>
        <v>29302</v>
      </c>
      <c r="M10" s="6"/>
      <c r="N10" s="6"/>
      <c r="O10" s="382" t="s">
        <v>119</v>
      </c>
      <c r="P10" s="383"/>
      <c r="Q10" s="383"/>
      <c r="R10" s="381">
        <f>Assumptions!D51</f>
        <v>52547</v>
      </c>
      <c r="S10" s="6"/>
      <c r="T10" s="6"/>
    </row>
    <row r="11" spans="1:24">
      <c r="A11" s="62"/>
      <c r="C11" s="108"/>
      <c r="D11" s="94"/>
      <c r="E11" s="94"/>
      <c r="F11" s="188"/>
      <c r="I11" s="108"/>
      <c r="J11" s="108"/>
      <c r="K11" s="108"/>
      <c r="L11" s="188"/>
      <c r="O11" s="108"/>
      <c r="P11" s="108"/>
      <c r="Q11" s="108"/>
      <c r="R11"/>
    </row>
    <row r="12" spans="1:24">
      <c r="A12" s="62"/>
      <c r="C12" s="108"/>
      <c r="D12" s="94"/>
      <c r="E12" s="94"/>
      <c r="F12" s="188"/>
      <c r="I12" s="108"/>
      <c r="J12" s="108"/>
      <c r="K12" s="108"/>
      <c r="L12" s="188"/>
      <c r="O12" s="108"/>
      <c r="P12" s="108"/>
      <c r="Q12" s="108"/>
      <c r="R12" s="188"/>
    </row>
    <row r="13" spans="1:24">
      <c r="A13" s="62"/>
      <c r="C13" s="108"/>
      <c r="D13" s="94"/>
      <c r="E13" s="94"/>
      <c r="F13"/>
      <c r="I13" s="108"/>
      <c r="J13" s="108"/>
      <c r="K13" s="108"/>
      <c r="L13" s="188"/>
      <c r="O13" s="108"/>
      <c r="P13" s="108"/>
      <c r="Q13" s="108"/>
      <c r="R13"/>
    </row>
    <row r="14" spans="1:24" ht="18.75">
      <c r="A14" s="405" t="str">
        <f>Assumptions!A3</f>
        <v>PROJECT NAME:</v>
      </c>
      <c r="C14" s="108"/>
      <c r="D14" s="94"/>
      <c r="E14" s="94"/>
      <c r="F14" s="188"/>
      <c r="G14" s="6"/>
      <c r="H14" s="6"/>
      <c r="I14" s="3"/>
      <c r="J14" s="3"/>
      <c r="K14" s="3"/>
      <c r="L14" s="188"/>
      <c r="M14" s="6"/>
      <c r="N14" s="6"/>
      <c r="O14" s="3"/>
      <c r="P14" s="3"/>
      <c r="Q14" s="3"/>
      <c r="R14" s="188"/>
      <c r="S14" s="6"/>
      <c r="T14" s="6"/>
      <c r="U14" s="6"/>
      <c r="V14" s="6"/>
      <c r="W14" s="6"/>
      <c r="X14" s="6"/>
    </row>
    <row r="15" spans="1:24">
      <c r="A15" s="62"/>
      <c r="C15" s="108"/>
      <c r="D15" s="94"/>
      <c r="E15" s="94"/>
      <c r="F15" s="188"/>
      <c r="G15" s="6"/>
      <c r="H15" s="6"/>
      <c r="I15" s="3"/>
      <c r="J15" s="3"/>
      <c r="K15" s="3"/>
      <c r="L15" s="188"/>
      <c r="M15" s="6"/>
      <c r="N15" s="6"/>
      <c r="O15" s="3"/>
      <c r="P15" s="3"/>
      <c r="Q15" s="3"/>
      <c r="R15" s="188"/>
      <c r="S15" s="6"/>
      <c r="T15" s="6"/>
      <c r="U15" s="6"/>
      <c r="V15" s="6"/>
      <c r="W15" s="6"/>
      <c r="X15" s="6"/>
    </row>
    <row r="16" spans="1:24" ht="18.75">
      <c r="A16" s="104" t="s">
        <v>235</v>
      </c>
      <c r="C16" s="108"/>
      <c r="D16" s="94"/>
      <c r="E16" s="94"/>
      <c r="F16" s="188"/>
      <c r="I16" s="108"/>
      <c r="J16" s="108"/>
      <c r="K16" s="108"/>
      <c r="L16" s="188"/>
      <c r="O16" s="108"/>
      <c r="P16" s="108"/>
      <c r="Q16" s="108"/>
      <c r="R16" s="188"/>
    </row>
    <row r="17" spans="1:34" s="18" customFormat="1">
      <c r="A17" s="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7"/>
      <c r="AB17" s="7"/>
    </row>
    <row r="18" spans="1:34" s="294" customFormat="1" ht="13.5">
      <c r="A18" s="64"/>
      <c r="B18" s="457">
        <f>'Power Price Assumption'!F9</f>
        <v>0.5</v>
      </c>
      <c r="C18" s="457">
        <f>'Power Price Assumption'!G9</f>
        <v>1.5</v>
      </c>
      <c r="D18" s="457">
        <f>'Power Price Assumption'!H9</f>
        <v>2.5</v>
      </c>
      <c r="E18" s="457">
        <f>'Power Price Assumption'!I9</f>
        <v>3.5</v>
      </c>
      <c r="F18" s="457">
        <f>'Power Price Assumption'!J9</f>
        <v>4.5</v>
      </c>
      <c r="G18" s="457">
        <f>'Power Price Assumption'!K9</f>
        <v>5.5</v>
      </c>
      <c r="H18" s="457">
        <f>'Power Price Assumption'!L9</f>
        <v>6.5</v>
      </c>
      <c r="I18" s="457">
        <f>'Power Price Assumption'!M9</f>
        <v>7.5</v>
      </c>
      <c r="J18" s="457">
        <f>'Power Price Assumption'!N9</f>
        <v>8.5</v>
      </c>
      <c r="K18" s="457">
        <f>'Power Price Assumption'!O9</f>
        <v>9.5</v>
      </c>
      <c r="L18" s="457">
        <f>'Power Price Assumption'!P9</f>
        <v>10.5</v>
      </c>
      <c r="M18" s="457">
        <f>'Power Price Assumption'!Q9</f>
        <v>11.5</v>
      </c>
      <c r="N18" s="457">
        <f>'Power Price Assumption'!R9</f>
        <v>12.5</v>
      </c>
      <c r="O18" s="457">
        <f>'Power Price Assumption'!S9</f>
        <v>13.5</v>
      </c>
      <c r="P18" s="457">
        <f>'Power Price Assumption'!T9</f>
        <v>14.5</v>
      </c>
      <c r="Q18" s="457">
        <f>'Power Price Assumption'!U9</f>
        <v>15.5</v>
      </c>
      <c r="R18" s="457">
        <f>'Power Price Assumption'!V9</f>
        <v>16.5</v>
      </c>
      <c r="S18" s="457">
        <f>'Power Price Assumption'!W9</f>
        <v>17.5</v>
      </c>
      <c r="T18" s="457">
        <f>'Power Price Assumption'!X9</f>
        <v>18.5</v>
      </c>
      <c r="U18" s="457">
        <f>'Power Price Assumption'!Y9</f>
        <v>19.5</v>
      </c>
      <c r="V18" s="457">
        <f>'Power Price Assumption'!Z9</f>
        <v>20.5</v>
      </c>
      <c r="W18" s="457">
        <f>'Power Price Assumption'!AA9</f>
        <v>21.5</v>
      </c>
      <c r="X18" s="453"/>
      <c r="Y18" s="453"/>
      <c r="Z18" s="453"/>
      <c r="AA18" s="116"/>
      <c r="AB18" s="148"/>
    </row>
    <row r="19" spans="1:34" ht="13.5" thickBot="1">
      <c r="A19" s="232" t="s">
        <v>79</v>
      </c>
      <c r="B19" s="396">
        <f>'Power Price Assumption'!F10</f>
        <v>1999</v>
      </c>
      <c r="C19" s="396">
        <f>'Power Price Assumption'!G10</f>
        <v>2000</v>
      </c>
      <c r="D19" s="396">
        <f>'Power Price Assumption'!H10</f>
        <v>2001</v>
      </c>
      <c r="E19" s="396">
        <f>'Power Price Assumption'!I10</f>
        <v>2002</v>
      </c>
      <c r="F19" s="396">
        <f>'Power Price Assumption'!J10</f>
        <v>2003</v>
      </c>
      <c r="G19" s="396">
        <f>'Power Price Assumption'!K10</f>
        <v>2004</v>
      </c>
      <c r="H19" s="396">
        <f>'Power Price Assumption'!L10</f>
        <v>2005</v>
      </c>
      <c r="I19" s="396">
        <f>'Power Price Assumption'!M10</f>
        <v>2006</v>
      </c>
      <c r="J19" s="396">
        <f>'Power Price Assumption'!N10</f>
        <v>2007</v>
      </c>
      <c r="K19" s="396">
        <f>'Power Price Assumption'!O10</f>
        <v>2008</v>
      </c>
      <c r="L19" s="396">
        <f>'Power Price Assumption'!P10</f>
        <v>2009</v>
      </c>
      <c r="M19" s="396">
        <f>'Power Price Assumption'!Q10</f>
        <v>2010</v>
      </c>
      <c r="N19" s="396">
        <f>'Power Price Assumption'!R10</f>
        <v>2011</v>
      </c>
      <c r="O19" s="396">
        <f>'Power Price Assumption'!S10</f>
        <v>2012</v>
      </c>
      <c r="P19" s="396">
        <f>'Power Price Assumption'!T10</f>
        <v>2013</v>
      </c>
      <c r="Q19" s="396">
        <f>'Power Price Assumption'!U10</f>
        <v>2014</v>
      </c>
      <c r="R19" s="396">
        <f>'Power Price Assumption'!V10</f>
        <v>2015</v>
      </c>
      <c r="S19" s="396">
        <f>'Power Price Assumption'!W10</f>
        <v>2016</v>
      </c>
      <c r="T19" s="396">
        <f>'Power Price Assumption'!X10</f>
        <v>2017</v>
      </c>
      <c r="U19" s="396">
        <f>'Power Price Assumption'!Y10</f>
        <v>2018</v>
      </c>
      <c r="V19" s="396">
        <f>'Power Price Assumption'!Z10</f>
        <v>2019</v>
      </c>
      <c r="W19" s="396">
        <v>2021</v>
      </c>
      <c r="X19"/>
      <c r="Y19"/>
      <c r="Z19"/>
      <c r="AA19" s="16"/>
      <c r="AB19" s="111"/>
      <c r="AC19" s="16"/>
      <c r="AD19" s="16"/>
      <c r="AE19" s="16"/>
      <c r="AF19" s="16"/>
      <c r="AG19" s="16"/>
      <c r="AH19" s="16"/>
    </row>
    <row r="20" spans="1:34" s="74" customFormat="1">
      <c r="A20" s="295"/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/>
      <c r="Y20"/>
      <c r="Z20"/>
      <c r="AA20" s="10"/>
      <c r="AB20" s="111"/>
      <c r="AC20" s="16"/>
      <c r="AD20" s="16"/>
      <c r="AE20" s="16"/>
      <c r="AF20" s="16"/>
      <c r="AG20" s="16"/>
      <c r="AH20" s="16"/>
    </row>
    <row r="21" spans="1:34">
      <c r="R21" s="18"/>
      <c r="S21" s="18"/>
      <c r="T21" s="18"/>
      <c r="U21" s="18"/>
      <c r="V21" s="18"/>
      <c r="W21" s="18"/>
      <c r="X21"/>
      <c r="Y21"/>
      <c r="Z21"/>
    </row>
    <row r="22" spans="1:34">
      <c r="A22" s="62" t="s">
        <v>120</v>
      </c>
      <c r="B22" s="410">
        <f>B106</f>
        <v>0.05</v>
      </c>
      <c r="C22" s="410">
        <f t="shared" ref="C22:W22" si="0">C106</f>
        <v>0.05</v>
      </c>
      <c r="D22" s="410">
        <f t="shared" si="0"/>
        <v>0.05</v>
      </c>
      <c r="E22" s="410">
        <f t="shared" si="0"/>
        <v>0.05</v>
      </c>
      <c r="F22" s="410">
        <f t="shared" si="0"/>
        <v>0.05</v>
      </c>
      <c r="G22" s="410">
        <f t="shared" si="0"/>
        <v>0.05</v>
      </c>
      <c r="H22" s="410">
        <f t="shared" si="0"/>
        <v>0.05</v>
      </c>
      <c r="I22" s="410">
        <f t="shared" si="0"/>
        <v>0.05</v>
      </c>
      <c r="J22" s="410">
        <f t="shared" si="0"/>
        <v>0.05</v>
      </c>
      <c r="K22" s="410">
        <f t="shared" si="0"/>
        <v>0.05</v>
      </c>
      <c r="L22" s="410">
        <f t="shared" si="0"/>
        <v>0.05</v>
      </c>
      <c r="M22" s="410">
        <f t="shared" si="0"/>
        <v>0.05</v>
      </c>
      <c r="N22" s="410">
        <f t="shared" si="0"/>
        <v>0.05</v>
      </c>
      <c r="O22" s="410">
        <f t="shared" si="0"/>
        <v>0.05</v>
      </c>
      <c r="P22" s="410">
        <f t="shared" si="0"/>
        <v>0.05</v>
      </c>
      <c r="Q22" s="410">
        <f t="shared" si="0"/>
        <v>0.05</v>
      </c>
      <c r="R22" s="410">
        <f t="shared" si="0"/>
        <v>0.05</v>
      </c>
      <c r="S22" s="410">
        <f t="shared" si="0"/>
        <v>0.05</v>
      </c>
      <c r="T22" s="410">
        <f t="shared" si="0"/>
        <v>0.05</v>
      </c>
      <c r="U22" s="410">
        <f t="shared" si="0"/>
        <v>0.05</v>
      </c>
      <c r="V22" s="410">
        <f t="shared" si="0"/>
        <v>0</v>
      </c>
      <c r="W22" s="410">
        <f t="shared" si="0"/>
        <v>0</v>
      </c>
      <c r="X22"/>
      <c r="Y22"/>
      <c r="Z22"/>
      <c r="AA22" s="169"/>
      <c r="AB22" s="113"/>
      <c r="AC22" s="66"/>
      <c r="AD22" s="66"/>
      <c r="AE22" s="66"/>
      <c r="AF22" s="66"/>
      <c r="AG22" s="66"/>
      <c r="AH22" s="66"/>
    </row>
    <row r="23" spans="1:34">
      <c r="A23" s="67" t="str">
        <f>IF(SUM(B22:W22)&lt;&gt;1,"CHECK!","")</f>
        <v/>
      </c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/>
      <c r="Y23"/>
      <c r="Z23"/>
    </row>
    <row r="24" spans="1:34">
      <c r="A24" s="62" t="s">
        <v>121</v>
      </c>
      <c r="B24" s="411">
        <f>B111</f>
        <v>0.05</v>
      </c>
      <c r="C24" s="411">
        <f t="shared" ref="C24:W24" si="1">C111</f>
        <v>0.05</v>
      </c>
      <c r="D24" s="411">
        <f t="shared" si="1"/>
        <v>0.05</v>
      </c>
      <c r="E24" s="411">
        <f t="shared" si="1"/>
        <v>0.05</v>
      </c>
      <c r="F24" s="411">
        <f t="shared" si="1"/>
        <v>0.05</v>
      </c>
      <c r="G24" s="411">
        <f t="shared" si="1"/>
        <v>0.05</v>
      </c>
      <c r="H24" s="411">
        <f t="shared" si="1"/>
        <v>0.05</v>
      </c>
      <c r="I24" s="411">
        <f t="shared" si="1"/>
        <v>0.05</v>
      </c>
      <c r="J24" s="411">
        <f t="shared" si="1"/>
        <v>0.05</v>
      </c>
      <c r="K24" s="411">
        <f t="shared" si="1"/>
        <v>0.05</v>
      </c>
      <c r="L24" s="411">
        <f t="shared" si="1"/>
        <v>0.05</v>
      </c>
      <c r="M24" s="411">
        <f t="shared" si="1"/>
        <v>0.05</v>
      </c>
      <c r="N24" s="411">
        <f t="shared" si="1"/>
        <v>0.05</v>
      </c>
      <c r="O24" s="411">
        <f t="shared" si="1"/>
        <v>0.05</v>
      </c>
      <c r="P24" s="411">
        <f t="shared" si="1"/>
        <v>0.05</v>
      </c>
      <c r="Q24" s="411">
        <f t="shared" si="1"/>
        <v>0.05</v>
      </c>
      <c r="R24" s="411">
        <f t="shared" si="1"/>
        <v>0.05</v>
      </c>
      <c r="S24" s="411">
        <f t="shared" si="1"/>
        <v>0.05</v>
      </c>
      <c r="T24" s="411">
        <f t="shared" si="1"/>
        <v>0.05</v>
      </c>
      <c r="U24" s="411">
        <f t="shared" si="1"/>
        <v>0.05</v>
      </c>
      <c r="V24" s="411">
        <f t="shared" si="1"/>
        <v>0</v>
      </c>
      <c r="W24" s="411">
        <f t="shared" si="1"/>
        <v>0</v>
      </c>
      <c r="X24"/>
      <c r="Y24"/>
      <c r="Z24"/>
      <c r="AA24" s="170"/>
    </row>
    <row r="25" spans="1:34">
      <c r="A25" s="67" t="str">
        <f>IF(SUM(B24:W24)&lt;&gt;1,"CHECK!","")</f>
        <v/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/>
      <c r="Y25"/>
      <c r="Z25"/>
    </row>
    <row r="26" spans="1:34">
      <c r="A26" s="62" t="s">
        <v>122</v>
      </c>
      <c r="B26" s="411">
        <f>B116</f>
        <v>0.05</v>
      </c>
      <c r="C26" s="411">
        <f t="shared" ref="C26:W26" si="2">C116</f>
        <v>0.05</v>
      </c>
      <c r="D26" s="411">
        <f t="shared" si="2"/>
        <v>0.05</v>
      </c>
      <c r="E26" s="411">
        <f t="shared" si="2"/>
        <v>0.05</v>
      </c>
      <c r="F26" s="411">
        <f t="shared" si="2"/>
        <v>0.05</v>
      </c>
      <c r="G26" s="411">
        <f t="shared" si="2"/>
        <v>0.05</v>
      </c>
      <c r="H26" s="411">
        <f t="shared" si="2"/>
        <v>0.05</v>
      </c>
      <c r="I26" s="411">
        <f t="shared" si="2"/>
        <v>0.05</v>
      </c>
      <c r="J26" s="411">
        <f t="shared" si="2"/>
        <v>0.05</v>
      </c>
      <c r="K26" s="411">
        <f t="shared" si="2"/>
        <v>0.05</v>
      </c>
      <c r="L26" s="411">
        <f t="shared" si="2"/>
        <v>0.05</v>
      </c>
      <c r="M26" s="411">
        <f t="shared" si="2"/>
        <v>0.05</v>
      </c>
      <c r="N26" s="411">
        <f t="shared" si="2"/>
        <v>0.05</v>
      </c>
      <c r="O26" s="411">
        <f t="shared" si="2"/>
        <v>0.05</v>
      </c>
      <c r="P26" s="411">
        <f t="shared" si="2"/>
        <v>0.05</v>
      </c>
      <c r="Q26" s="411">
        <f t="shared" si="2"/>
        <v>0.05</v>
      </c>
      <c r="R26" s="411">
        <f t="shared" si="2"/>
        <v>0.05</v>
      </c>
      <c r="S26" s="411">
        <f t="shared" si="2"/>
        <v>0.05</v>
      </c>
      <c r="T26" s="411">
        <f t="shared" si="2"/>
        <v>0.05</v>
      </c>
      <c r="U26" s="411">
        <f t="shared" si="2"/>
        <v>0.05</v>
      </c>
      <c r="V26" s="411">
        <f t="shared" si="2"/>
        <v>0</v>
      </c>
      <c r="W26" s="411">
        <f t="shared" si="2"/>
        <v>0</v>
      </c>
      <c r="X26"/>
      <c r="Y26"/>
      <c r="Z26"/>
      <c r="AA26" s="170"/>
      <c r="AC26" s="6"/>
      <c r="AD26" s="6"/>
      <c r="AE26" s="6"/>
      <c r="AF26" s="6"/>
      <c r="AG26" s="6"/>
      <c r="AH26" s="6"/>
    </row>
    <row r="27" spans="1:34">
      <c r="A27" s="67" t="str">
        <f>IF(SUM(B26:W26)&lt;&gt;1,"CHECK!","")</f>
        <v/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/>
      <c r="Y27"/>
      <c r="Z27"/>
    </row>
    <row r="28" spans="1:34">
      <c r="A28" s="6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/>
      <c r="Y28"/>
      <c r="Z28"/>
    </row>
    <row r="29" spans="1:34">
      <c r="A29" s="68" t="str">
        <f>CONCATENATE("Tranche 1 @ ",F7*100,"%")</f>
        <v>Tranche 1 @ 6.73%</v>
      </c>
      <c r="C29" s="69"/>
      <c r="X29"/>
      <c r="Y29"/>
      <c r="Z29"/>
    </row>
    <row r="30" spans="1:34">
      <c r="A30" s="409">
        <f>Assumptions!B47</f>
        <v>36739</v>
      </c>
      <c r="B30" s="71"/>
      <c r="X30"/>
      <c r="Y30"/>
      <c r="Z30"/>
    </row>
    <row r="31" spans="1:34">
      <c r="A31" s="71" t="s">
        <v>123</v>
      </c>
      <c r="B31" s="344">
        <f>F10</f>
        <v>15926</v>
      </c>
      <c r="C31" s="71">
        <f>B39</f>
        <v>15129.7</v>
      </c>
      <c r="D31" s="71">
        <f t="shared" ref="D31:W31" si="3">C39</f>
        <v>14333.400000000001</v>
      </c>
      <c r="E31" s="71">
        <f t="shared" si="3"/>
        <v>13537.100000000002</v>
      </c>
      <c r="F31" s="71">
        <f t="shared" si="3"/>
        <v>12740.800000000003</v>
      </c>
      <c r="G31" s="71">
        <f t="shared" si="3"/>
        <v>11944.500000000004</v>
      </c>
      <c r="H31" s="71">
        <f t="shared" si="3"/>
        <v>11148.200000000004</v>
      </c>
      <c r="I31" s="71">
        <f t="shared" si="3"/>
        <v>10351.900000000005</v>
      </c>
      <c r="J31" s="71">
        <f t="shared" si="3"/>
        <v>9555.6000000000058</v>
      </c>
      <c r="K31" s="71">
        <f t="shared" si="3"/>
        <v>8759.3000000000065</v>
      </c>
      <c r="L31" s="71">
        <f t="shared" si="3"/>
        <v>7963.0000000000073</v>
      </c>
      <c r="M31" s="71">
        <f t="shared" si="3"/>
        <v>7166.700000000008</v>
      </c>
      <c r="N31" s="71">
        <f t="shared" si="3"/>
        <v>6370.4000000000087</v>
      </c>
      <c r="O31" s="71">
        <f t="shared" si="3"/>
        <v>5574.1000000000095</v>
      </c>
      <c r="P31" s="71">
        <f t="shared" si="3"/>
        <v>4777.8000000000102</v>
      </c>
      <c r="Q31" s="71">
        <f t="shared" si="3"/>
        <v>3981.5000000000105</v>
      </c>
      <c r="R31" s="71">
        <f t="shared" si="3"/>
        <v>3185.2000000000103</v>
      </c>
      <c r="S31" s="71">
        <f t="shared" si="3"/>
        <v>2388.9000000000101</v>
      </c>
      <c r="T31" s="71">
        <f t="shared" si="3"/>
        <v>1592.6000000000099</v>
      </c>
      <c r="U31" s="71">
        <f t="shared" si="3"/>
        <v>796.30000000000973</v>
      </c>
      <c r="V31" s="71">
        <f t="shared" si="3"/>
        <v>9.6633812063373625E-12</v>
      </c>
      <c r="W31" s="71">
        <f t="shared" si="3"/>
        <v>9.6633812063373625E-12</v>
      </c>
      <c r="X31"/>
      <c r="Y31"/>
      <c r="Z31"/>
      <c r="AA31" s="171"/>
      <c r="AB31" s="171"/>
      <c r="AC31" s="71"/>
      <c r="AD31" s="71"/>
      <c r="AE31" s="71"/>
      <c r="AF31" s="71"/>
      <c r="AG31" s="71"/>
      <c r="AH31" s="71"/>
    </row>
    <row r="32" spans="1:34">
      <c r="A32" s="71" t="s">
        <v>124</v>
      </c>
      <c r="B32" s="71">
        <v>0</v>
      </c>
      <c r="C32" s="71">
        <f>$B$31*C22/2</f>
        <v>398.15000000000003</v>
      </c>
      <c r="D32" s="71">
        <f t="shared" ref="D32:W32" si="4">$B$31*D22/2</f>
        <v>398.15000000000003</v>
      </c>
      <c r="E32" s="71">
        <f t="shared" si="4"/>
        <v>398.15000000000003</v>
      </c>
      <c r="F32" s="71">
        <f t="shared" si="4"/>
        <v>398.15000000000003</v>
      </c>
      <c r="G32" s="71">
        <f t="shared" si="4"/>
        <v>398.15000000000003</v>
      </c>
      <c r="H32" s="71">
        <f t="shared" si="4"/>
        <v>398.15000000000003</v>
      </c>
      <c r="I32" s="71">
        <f t="shared" si="4"/>
        <v>398.15000000000003</v>
      </c>
      <c r="J32" s="71">
        <f t="shared" si="4"/>
        <v>398.15000000000003</v>
      </c>
      <c r="K32" s="71">
        <f t="shared" si="4"/>
        <v>398.15000000000003</v>
      </c>
      <c r="L32" s="71">
        <f t="shared" si="4"/>
        <v>398.15000000000003</v>
      </c>
      <c r="M32" s="71">
        <f t="shared" si="4"/>
        <v>398.15000000000003</v>
      </c>
      <c r="N32" s="71">
        <f t="shared" si="4"/>
        <v>398.15000000000003</v>
      </c>
      <c r="O32" s="71">
        <f t="shared" si="4"/>
        <v>398.15000000000003</v>
      </c>
      <c r="P32" s="71">
        <f t="shared" si="4"/>
        <v>398.15000000000003</v>
      </c>
      <c r="Q32" s="71">
        <f t="shared" si="4"/>
        <v>398.15000000000003</v>
      </c>
      <c r="R32" s="71">
        <f t="shared" si="4"/>
        <v>398.15000000000003</v>
      </c>
      <c r="S32" s="71">
        <f t="shared" si="4"/>
        <v>398.15000000000003</v>
      </c>
      <c r="T32" s="71">
        <f t="shared" si="4"/>
        <v>398.15000000000003</v>
      </c>
      <c r="U32" s="71">
        <f t="shared" si="4"/>
        <v>398.15000000000003</v>
      </c>
      <c r="V32" s="71">
        <f t="shared" si="4"/>
        <v>0</v>
      </c>
      <c r="W32" s="71">
        <f t="shared" si="4"/>
        <v>0</v>
      </c>
      <c r="X32"/>
      <c r="Y32"/>
      <c r="Z32"/>
      <c r="AA32" s="171"/>
      <c r="AB32" s="171"/>
      <c r="AC32" s="71"/>
      <c r="AD32" s="71"/>
      <c r="AE32" s="71"/>
      <c r="AF32" s="71"/>
      <c r="AG32" s="71"/>
      <c r="AH32" s="71"/>
    </row>
    <row r="33" spans="1:34">
      <c r="A33" s="71" t="s">
        <v>125</v>
      </c>
      <c r="B33" s="347">
        <v>0</v>
      </c>
      <c r="C33" s="71">
        <f>C31*$F$7/2</f>
        <v>509.11440500000003</v>
      </c>
      <c r="D33" s="71">
        <f t="shared" ref="D33:W33" si="5">D31*$F$7/2</f>
        <v>482.31891000000002</v>
      </c>
      <c r="E33" s="71">
        <f t="shared" si="5"/>
        <v>455.52341500000006</v>
      </c>
      <c r="F33" s="71">
        <f t="shared" si="5"/>
        <v>428.7279200000001</v>
      </c>
      <c r="G33" s="71">
        <f t="shared" si="5"/>
        <v>401.93242500000014</v>
      </c>
      <c r="H33" s="71">
        <f t="shared" si="5"/>
        <v>375.13693000000012</v>
      </c>
      <c r="I33" s="71">
        <f t="shared" si="5"/>
        <v>348.34143500000016</v>
      </c>
      <c r="J33" s="71">
        <f t="shared" si="5"/>
        <v>321.5459400000002</v>
      </c>
      <c r="K33" s="71">
        <f t="shared" si="5"/>
        <v>294.75044500000024</v>
      </c>
      <c r="L33" s="71">
        <f t="shared" si="5"/>
        <v>267.95495000000022</v>
      </c>
      <c r="M33" s="71">
        <f t="shared" si="5"/>
        <v>241.15945500000026</v>
      </c>
      <c r="N33" s="71">
        <f t="shared" si="5"/>
        <v>214.36396000000028</v>
      </c>
      <c r="O33" s="71">
        <f t="shared" si="5"/>
        <v>187.56846500000032</v>
      </c>
      <c r="P33" s="71">
        <f t="shared" si="5"/>
        <v>160.77297000000033</v>
      </c>
      <c r="Q33" s="71">
        <f t="shared" si="5"/>
        <v>133.97747500000034</v>
      </c>
      <c r="R33" s="71">
        <f t="shared" si="5"/>
        <v>107.18198000000034</v>
      </c>
      <c r="S33" s="71">
        <f t="shared" si="5"/>
        <v>80.386485000000334</v>
      </c>
      <c r="T33" s="71">
        <f t="shared" si="5"/>
        <v>53.590990000000332</v>
      </c>
      <c r="U33" s="71">
        <f t="shared" si="5"/>
        <v>26.795495000000326</v>
      </c>
      <c r="V33" s="71">
        <f t="shared" si="5"/>
        <v>3.2517277759325222E-13</v>
      </c>
      <c r="W33" s="71">
        <f t="shared" si="5"/>
        <v>3.2517277759325222E-13</v>
      </c>
      <c r="X33"/>
      <c r="Y33"/>
      <c r="Z33"/>
      <c r="AA33" s="171"/>
      <c r="AB33" s="171"/>
      <c r="AC33" s="71"/>
      <c r="AD33" s="71"/>
      <c r="AE33" s="71"/>
      <c r="AF33" s="71"/>
      <c r="AG33" s="71"/>
      <c r="AH33" s="71"/>
    </row>
    <row r="34" spans="1:34">
      <c r="A34" s="71" t="s">
        <v>126</v>
      </c>
      <c r="B34" s="347">
        <f>B31-B32</f>
        <v>15926</v>
      </c>
      <c r="C34" s="71">
        <f>C31-C32</f>
        <v>14731.550000000001</v>
      </c>
      <c r="D34" s="71">
        <f t="shared" ref="D34:W34" si="6">D31-D32</f>
        <v>13935.250000000002</v>
      </c>
      <c r="E34" s="71">
        <f t="shared" si="6"/>
        <v>13138.950000000003</v>
      </c>
      <c r="F34" s="71">
        <f t="shared" si="6"/>
        <v>12342.650000000003</v>
      </c>
      <c r="G34" s="71">
        <f t="shared" si="6"/>
        <v>11546.350000000004</v>
      </c>
      <c r="H34" s="71">
        <f t="shared" si="6"/>
        <v>10750.050000000005</v>
      </c>
      <c r="I34" s="71">
        <f t="shared" si="6"/>
        <v>9953.7500000000055</v>
      </c>
      <c r="J34" s="71">
        <f t="shared" si="6"/>
        <v>9157.4500000000062</v>
      </c>
      <c r="K34" s="71">
        <f t="shared" si="6"/>
        <v>8361.1500000000069</v>
      </c>
      <c r="L34" s="71">
        <f t="shared" si="6"/>
        <v>7564.8500000000076</v>
      </c>
      <c r="M34" s="71">
        <f t="shared" si="6"/>
        <v>6768.5500000000084</v>
      </c>
      <c r="N34" s="71">
        <f t="shared" si="6"/>
        <v>5972.2500000000091</v>
      </c>
      <c r="O34" s="71">
        <f t="shared" si="6"/>
        <v>5175.9500000000098</v>
      </c>
      <c r="P34" s="71">
        <f t="shared" si="6"/>
        <v>4379.6500000000106</v>
      </c>
      <c r="Q34" s="71">
        <f t="shared" si="6"/>
        <v>3583.3500000000104</v>
      </c>
      <c r="R34" s="71">
        <f t="shared" si="6"/>
        <v>2787.0500000000102</v>
      </c>
      <c r="S34" s="71">
        <f t="shared" si="6"/>
        <v>1990.75000000001</v>
      </c>
      <c r="T34" s="71">
        <f t="shared" si="6"/>
        <v>1194.4500000000098</v>
      </c>
      <c r="U34" s="71">
        <f t="shared" si="6"/>
        <v>398.1500000000097</v>
      </c>
      <c r="V34" s="71">
        <f t="shared" si="6"/>
        <v>9.6633812063373625E-12</v>
      </c>
      <c r="W34" s="71">
        <f t="shared" si="6"/>
        <v>9.6633812063373625E-12</v>
      </c>
      <c r="X34"/>
      <c r="Y34"/>
      <c r="Z34"/>
      <c r="AA34" s="171"/>
      <c r="AB34" s="171"/>
      <c r="AC34" s="71"/>
      <c r="AD34" s="71"/>
      <c r="AE34" s="71"/>
      <c r="AF34" s="71"/>
      <c r="AG34" s="71"/>
      <c r="AH34" s="71"/>
    </row>
    <row r="35" spans="1:34">
      <c r="A35" s="409">
        <v>36557</v>
      </c>
      <c r="B35" s="347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/>
      <c r="Y35"/>
      <c r="Z35"/>
      <c r="AA35" s="171"/>
      <c r="AB35" s="171"/>
      <c r="AC35" s="71"/>
      <c r="AD35" s="71"/>
      <c r="AE35" s="71"/>
      <c r="AF35" s="71"/>
      <c r="AG35" s="71"/>
      <c r="AH35" s="71"/>
    </row>
    <row r="36" spans="1:34">
      <c r="A36" s="71" t="s">
        <v>123</v>
      </c>
      <c r="B36" s="347">
        <f>B34</f>
        <v>15926</v>
      </c>
      <c r="C36" s="71">
        <f t="shared" ref="C36:V36" si="7">C34</f>
        <v>14731.550000000001</v>
      </c>
      <c r="D36" s="71">
        <f t="shared" si="7"/>
        <v>13935.250000000002</v>
      </c>
      <c r="E36" s="71">
        <f t="shared" si="7"/>
        <v>13138.950000000003</v>
      </c>
      <c r="F36" s="71">
        <f t="shared" si="7"/>
        <v>12342.650000000003</v>
      </c>
      <c r="G36" s="71">
        <f t="shared" si="7"/>
        <v>11546.350000000004</v>
      </c>
      <c r="H36" s="71">
        <f t="shared" si="7"/>
        <v>10750.050000000005</v>
      </c>
      <c r="I36" s="71">
        <f t="shared" si="7"/>
        <v>9953.7500000000055</v>
      </c>
      <c r="J36" s="71">
        <f t="shared" si="7"/>
        <v>9157.4500000000062</v>
      </c>
      <c r="K36" s="71">
        <f t="shared" si="7"/>
        <v>8361.1500000000069</v>
      </c>
      <c r="L36" s="71">
        <f t="shared" si="7"/>
        <v>7564.8500000000076</v>
      </c>
      <c r="M36" s="71">
        <f t="shared" si="7"/>
        <v>6768.5500000000084</v>
      </c>
      <c r="N36" s="71">
        <f t="shared" si="7"/>
        <v>5972.2500000000091</v>
      </c>
      <c r="O36" s="71">
        <f t="shared" si="7"/>
        <v>5175.9500000000098</v>
      </c>
      <c r="P36" s="71">
        <f t="shared" si="7"/>
        <v>4379.6500000000106</v>
      </c>
      <c r="Q36" s="71">
        <f t="shared" si="7"/>
        <v>3583.3500000000104</v>
      </c>
      <c r="R36" s="71">
        <f t="shared" si="7"/>
        <v>2787.0500000000102</v>
      </c>
      <c r="S36" s="71">
        <f t="shared" si="7"/>
        <v>1990.75000000001</v>
      </c>
      <c r="T36" s="71">
        <f t="shared" si="7"/>
        <v>1194.4500000000098</v>
      </c>
      <c r="U36" s="71">
        <f t="shared" si="7"/>
        <v>398.1500000000097</v>
      </c>
      <c r="V36" s="71">
        <f t="shared" si="7"/>
        <v>9.6633812063373625E-12</v>
      </c>
      <c r="W36" s="71">
        <f>W34</f>
        <v>9.6633812063373625E-12</v>
      </c>
      <c r="X36"/>
      <c r="Y36"/>
      <c r="Z36"/>
      <c r="AA36" s="171"/>
      <c r="AB36" s="171"/>
      <c r="AC36" s="71"/>
      <c r="AD36" s="71"/>
      <c r="AE36" s="71"/>
      <c r="AF36" s="71"/>
      <c r="AG36" s="71"/>
      <c r="AH36" s="71"/>
    </row>
    <row r="37" spans="1:34">
      <c r="A37" s="71" t="s">
        <v>124</v>
      </c>
      <c r="B37" s="347">
        <f>$B$31*B22</f>
        <v>796.30000000000007</v>
      </c>
      <c r="C37" s="71">
        <f>$B$31*C22/2</f>
        <v>398.15000000000003</v>
      </c>
      <c r="D37" s="71">
        <f t="shared" ref="D37:W37" si="8">$B$31*D22/2</f>
        <v>398.15000000000003</v>
      </c>
      <c r="E37" s="71">
        <f t="shared" si="8"/>
        <v>398.15000000000003</v>
      </c>
      <c r="F37" s="71">
        <f t="shared" si="8"/>
        <v>398.15000000000003</v>
      </c>
      <c r="G37" s="71">
        <f t="shared" si="8"/>
        <v>398.15000000000003</v>
      </c>
      <c r="H37" s="71">
        <f t="shared" si="8"/>
        <v>398.15000000000003</v>
      </c>
      <c r="I37" s="71">
        <f t="shared" si="8"/>
        <v>398.15000000000003</v>
      </c>
      <c r="J37" s="71">
        <f t="shared" si="8"/>
        <v>398.15000000000003</v>
      </c>
      <c r="K37" s="71">
        <f t="shared" si="8"/>
        <v>398.15000000000003</v>
      </c>
      <c r="L37" s="71">
        <f t="shared" si="8"/>
        <v>398.15000000000003</v>
      </c>
      <c r="M37" s="71">
        <f t="shared" si="8"/>
        <v>398.15000000000003</v>
      </c>
      <c r="N37" s="71">
        <f t="shared" si="8"/>
        <v>398.15000000000003</v>
      </c>
      <c r="O37" s="71">
        <f t="shared" si="8"/>
        <v>398.15000000000003</v>
      </c>
      <c r="P37" s="71">
        <f t="shared" si="8"/>
        <v>398.15000000000003</v>
      </c>
      <c r="Q37" s="71">
        <f t="shared" si="8"/>
        <v>398.15000000000003</v>
      </c>
      <c r="R37" s="71">
        <f t="shared" si="8"/>
        <v>398.15000000000003</v>
      </c>
      <c r="S37" s="71">
        <f t="shared" si="8"/>
        <v>398.15000000000003</v>
      </c>
      <c r="T37" s="71">
        <f t="shared" si="8"/>
        <v>398.15000000000003</v>
      </c>
      <c r="U37" s="71">
        <f t="shared" si="8"/>
        <v>398.15000000000003</v>
      </c>
      <c r="V37" s="71">
        <f t="shared" si="8"/>
        <v>0</v>
      </c>
      <c r="W37" s="71">
        <f t="shared" si="8"/>
        <v>0</v>
      </c>
      <c r="X37"/>
      <c r="Y37"/>
      <c r="Z37"/>
      <c r="AA37" s="171"/>
      <c r="AB37" s="171"/>
      <c r="AC37" s="71"/>
      <c r="AD37" s="71"/>
      <c r="AE37" s="71"/>
      <c r="AF37" s="71"/>
      <c r="AG37" s="71"/>
      <c r="AH37" s="71"/>
    </row>
    <row r="38" spans="1:34">
      <c r="A38" s="71" t="s">
        <v>125</v>
      </c>
      <c r="B38" s="347">
        <f>B36*$F$7/2</f>
        <v>535.90989999999999</v>
      </c>
      <c r="C38" s="347">
        <f t="shared" ref="C38:W38" si="9">C36*$F$7/2</f>
        <v>495.71665750000005</v>
      </c>
      <c r="D38" s="347">
        <f t="shared" si="9"/>
        <v>468.92116250000004</v>
      </c>
      <c r="E38" s="347">
        <f t="shared" si="9"/>
        <v>442.12566750000008</v>
      </c>
      <c r="F38" s="347">
        <f t="shared" si="9"/>
        <v>415.33017250000012</v>
      </c>
      <c r="G38" s="347">
        <f t="shared" si="9"/>
        <v>388.5346775000001</v>
      </c>
      <c r="H38" s="347">
        <f t="shared" si="9"/>
        <v>361.73918250000014</v>
      </c>
      <c r="I38" s="347">
        <f t="shared" si="9"/>
        <v>334.94368750000018</v>
      </c>
      <c r="J38" s="347">
        <f t="shared" si="9"/>
        <v>308.14819250000022</v>
      </c>
      <c r="K38" s="347">
        <f t="shared" si="9"/>
        <v>281.3526975000002</v>
      </c>
      <c r="L38" s="347">
        <f t="shared" si="9"/>
        <v>254.55720250000024</v>
      </c>
      <c r="M38" s="347">
        <f t="shared" si="9"/>
        <v>227.76170750000028</v>
      </c>
      <c r="N38" s="347">
        <f t="shared" si="9"/>
        <v>200.9662125000003</v>
      </c>
      <c r="O38" s="347">
        <f t="shared" si="9"/>
        <v>174.17071750000034</v>
      </c>
      <c r="P38" s="347">
        <f t="shared" si="9"/>
        <v>147.37522250000035</v>
      </c>
      <c r="Q38" s="347">
        <f t="shared" si="9"/>
        <v>120.57972750000035</v>
      </c>
      <c r="R38" s="347">
        <f t="shared" si="9"/>
        <v>93.784232500000343</v>
      </c>
      <c r="S38" s="347">
        <f t="shared" si="9"/>
        <v>66.98873750000034</v>
      </c>
      <c r="T38" s="347">
        <f t="shared" si="9"/>
        <v>40.193242500000331</v>
      </c>
      <c r="U38" s="347">
        <f t="shared" si="9"/>
        <v>13.397747500000326</v>
      </c>
      <c r="V38" s="347">
        <f t="shared" si="9"/>
        <v>3.2517277759325222E-13</v>
      </c>
      <c r="W38" s="347">
        <f t="shared" si="9"/>
        <v>3.2517277759325222E-13</v>
      </c>
      <c r="X38"/>
      <c r="Y38"/>
      <c r="Z38"/>
      <c r="AA38" s="171"/>
      <c r="AB38" s="171"/>
      <c r="AC38" s="71"/>
      <c r="AD38" s="71"/>
      <c r="AE38" s="71"/>
      <c r="AF38" s="71"/>
      <c r="AG38" s="71"/>
      <c r="AH38" s="71"/>
    </row>
    <row r="39" spans="1:34">
      <c r="A39" s="71" t="s">
        <v>126</v>
      </c>
      <c r="B39" s="347">
        <f>B36-B37</f>
        <v>15129.7</v>
      </c>
      <c r="C39" s="71">
        <f t="shared" ref="C39:R39" si="10">C36-C37</f>
        <v>14333.400000000001</v>
      </c>
      <c r="D39" s="71">
        <f t="shared" si="10"/>
        <v>13537.100000000002</v>
      </c>
      <c r="E39" s="71">
        <f t="shared" si="10"/>
        <v>12740.800000000003</v>
      </c>
      <c r="F39" s="71">
        <f t="shared" si="10"/>
        <v>11944.500000000004</v>
      </c>
      <c r="G39" s="71">
        <f t="shared" si="10"/>
        <v>11148.200000000004</v>
      </c>
      <c r="H39" s="71">
        <f t="shared" si="10"/>
        <v>10351.900000000005</v>
      </c>
      <c r="I39" s="71">
        <f t="shared" si="10"/>
        <v>9555.6000000000058</v>
      </c>
      <c r="J39" s="71">
        <f t="shared" si="10"/>
        <v>8759.3000000000065</v>
      </c>
      <c r="K39" s="71">
        <f t="shared" si="10"/>
        <v>7963.0000000000073</v>
      </c>
      <c r="L39" s="71">
        <f t="shared" si="10"/>
        <v>7166.700000000008</v>
      </c>
      <c r="M39" s="71">
        <f t="shared" si="10"/>
        <v>6370.4000000000087</v>
      </c>
      <c r="N39" s="71">
        <f t="shared" si="10"/>
        <v>5574.1000000000095</v>
      </c>
      <c r="O39" s="71">
        <f t="shared" si="10"/>
        <v>4777.8000000000102</v>
      </c>
      <c r="P39" s="71">
        <f t="shared" si="10"/>
        <v>3981.5000000000105</v>
      </c>
      <c r="Q39" s="71">
        <f t="shared" si="10"/>
        <v>3185.2000000000103</v>
      </c>
      <c r="R39" s="71">
        <f t="shared" si="10"/>
        <v>2388.9000000000101</v>
      </c>
      <c r="S39" s="71">
        <f>S36-S37</f>
        <v>1592.6000000000099</v>
      </c>
      <c r="T39" s="71">
        <f>T36-T37</f>
        <v>796.30000000000973</v>
      </c>
      <c r="U39" s="71">
        <f>U36-U37</f>
        <v>9.6633812063373625E-12</v>
      </c>
      <c r="V39" s="71">
        <f>V36-V37</f>
        <v>9.6633812063373625E-12</v>
      </c>
      <c r="W39" s="71">
        <f>W36-W37</f>
        <v>9.6633812063373625E-12</v>
      </c>
      <c r="X39"/>
      <c r="Y39"/>
      <c r="Z39"/>
      <c r="AA39" s="171"/>
      <c r="AB39" s="171"/>
      <c r="AC39" s="71"/>
      <c r="AD39" s="71"/>
      <c r="AE39" s="71"/>
      <c r="AF39" s="71"/>
      <c r="AG39" s="71"/>
      <c r="AH39" s="71"/>
    </row>
    <row r="40" spans="1:34">
      <c r="A40" s="71"/>
      <c r="B40" s="347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/>
      <c r="Y40"/>
      <c r="Z40"/>
      <c r="AA40" s="171"/>
      <c r="AB40" s="171"/>
      <c r="AC40" s="71"/>
      <c r="AD40" s="71"/>
      <c r="AE40" s="71"/>
      <c r="AF40" s="71"/>
      <c r="AG40" s="71"/>
      <c r="AH40" s="71"/>
    </row>
    <row r="41" spans="1:34">
      <c r="A41" s="73" t="s">
        <v>165</v>
      </c>
      <c r="B41" s="347">
        <f>B33+B38</f>
        <v>535.90989999999999</v>
      </c>
      <c r="C41" s="347">
        <f t="shared" ref="C41:W41" si="11">C33+C38</f>
        <v>1004.8310625000001</v>
      </c>
      <c r="D41" s="347">
        <f t="shared" si="11"/>
        <v>951.2400725</v>
      </c>
      <c r="E41" s="347">
        <f t="shared" si="11"/>
        <v>897.64908250000008</v>
      </c>
      <c r="F41" s="347">
        <f t="shared" si="11"/>
        <v>844.05809250000016</v>
      </c>
      <c r="G41" s="347">
        <f t="shared" si="11"/>
        <v>790.46710250000024</v>
      </c>
      <c r="H41" s="347">
        <f t="shared" si="11"/>
        <v>736.87611250000032</v>
      </c>
      <c r="I41" s="347">
        <f t="shared" si="11"/>
        <v>683.2851225000004</v>
      </c>
      <c r="J41" s="347">
        <f t="shared" si="11"/>
        <v>629.69413250000048</v>
      </c>
      <c r="K41" s="347">
        <f t="shared" si="11"/>
        <v>576.10314250000044</v>
      </c>
      <c r="L41" s="347">
        <f t="shared" si="11"/>
        <v>522.51215250000041</v>
      </c>
      <c r="M41" s="347">
        <f t="shared" si="11"/>
        <v>468.92116250000055</v>
      </c>
      <c r="N41" s="347">
        <f t="shared" si="11"/>
        <v>415.33017250000057</v>
      </c>
      <c r="O41" s="347">
        <f t="shared" si="11"/>
        <v>361.73918250000065</v>
      </c>
      <c r="P41" s="347">
        <f t="shared" si="11"/>
        <v>308.14819250000068</v>
      </c>
      <c r="Q41" s="347">
        <f t="shared" si="11"/>
        <v>254.5572025000007</v>
      </c>
      <c r="R41" s="347">
        <f t="shared" si="11"/>
        <v>200.96621250000067</v>
      </c>
      <c r="S41" s="347">
        <f t="shared" si="11"/>
        <v>147.37522250000069</v>
      </c>
      <c r="T41" s="347">
        <f t="shared" si="11"/>
        <v>93.784232500000655</v>
      </c>
      <c r="U41" s="347">
        <f t="shared" si="11"/>
        <v>40.19324250000065</v>
      </c>
      <c r="V41" s="347">
        <f t="shared" si="11"/>
        <v>6.5034555518650444E-13</v>
      </c>
      <c r="W41" s="347">
        <f t="shared" si="11"/>
        <v>6.5034555518650444E-13</v>
      </c>
      <c r="X41"/>
      <c r="Y41"/>
      <c r="Z41"/>
      <c r="AA41" s="171"/>
      <c r="AB41" s="171"/>
      <c r="AC41" s="71"/>
      <c r="AD41" s="71"/>
      <c r="AE41" s="71"/>
      <c r="AF41" s="71"/>
      <c r="AG41" s="71"/>
      <c r="AH41" s="71"/>
    </row>
    <row r="42" spans="1:34">
      <c r="A42" s="16" t="s">
        <v>166</v>
      </c>
      <c r="B42" s="347">
        <v>0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1">
        <v>0</v>
      </c>
      <c r="X42"/>
      <c r="Y42"/>
      <c r="Z42"/>
      <c r="AA42" s="17"/>
      <c r="AB42" s="17"/>
    </row>
    <row r="43" spans="1:34">
      <c r="A43" s="73" t="s">
        <v>173</v>
      </c>
      <c r="B43" s="347">
        <f>B32+B37</f>
        <v>796.30000000000007</v>
      </c>
      <c r="C43" s="347">
        <f t="shared" ref="C43:W43" si="12">C32+C37</f>
        <v>796.30000000000007</v>
      </c>
      <c r="D43" s="347">
        <f t="shared" si="12"/>
        <v>796.30000000000007</v>
      </c>
      <c r="E43" s="347">
        <f t="shared" si="12"/>
        <v>796.30000000000007</v>
      </c>
      <c r="F43" s="347">
        <f t="shared" si="12"/>
        <v>796.30000000000007</v>
      </c>
      <c r="G43" s="347">
        <f t="shared" si="12"/>
        <v>796.30000000000007</v>
      </c>
      <c r="H43" s="347">
        <f t="shared" si="12"/>
        <v>796.30000000000007</v>
      </c>
      <c r="I43" s="347">
        <f t="shared" si="12"/>
        <v>796.30000000000007</v>
      </c>
      <c r="J43" s="347">
        <f t="shared" si="12"/>
        <v>796.30000000000007</v>
      </c>
      <c r="K43" s="347">
        <f t="shared" si="12"/>
        <v>796.30000000000007</v>
      </c>
      <c r="L43" s="347">
        <f t="shared" si="12"/>
        <v>796.30000000000007</v>
      </c>
      <c r="M43" s="347">
        <f t="shared" si="12"/>
        <v>796.30000000000007</v>
      </c>
      <c r="N43" s="347">
        <f t="shared" si="12"/>
        <v>796.30000000000007</v>
      </c>
      <c r="O43" s="347">
        <f t="shared" si="12"/>
        <v>796.30000000000007</v>
      </c>
      <c r="P43" s="347">
        <f t="shared" si="12"/>
        <v>796.30000000000007</v>
      </c>
      <c r="Q43" s="347">
        <f t="shared" si="12"/>
        <v>796.30000000000007</v>
      </c>
      <c r="R43" s="347">
        <f t="shared" si="12"/>
        <v>796.30000000000007</v>
      </c>
      <c r="S43" s="347">
        <f t="shared" si="12"/>
        <v>796.30000000000007</v>
      </c>
      <c r="T43" s="347">
        <f t="shared" si="12"/>
        <v>796.30000000000007</v>
      </c>
      <c r="U43" s="347">
        <f t="shared" si="12"/>
        <v>796.30000000000007</v>
      </c>
      <c r="V43" s="347">
        <f t="shared" si="12"/>
        <v>0</v>
      </c>
      <c r="W43" s="347">
        <f t="shared" si="12"/>
        <v>0</v>
      </c>
      <c r="X43"/>
      <c r="Y43"/>
      <c r="Z43"/>
      <c r="AA43" s="17"/>
      <c r="AB43" s="17"/>
    </row>
    <row r="44" spans="1:34">
      <c r="B44" s="18"/>
      <c r="X44"/>
      <c r="Y44"/>
      <c r="Z44"/>
      <c r="AA44" s="17"/>
      <c r="AB44" s="17"/>
    </row>
    <row r="45" spans="1:34">
      <c r="B45" s="18"/>
      <c r="X45"/>
      <c r="Y45"/>
      <c r="Z45"/>
      <c r="AA45" s="17"/>
      <c r="AB45" s="17"/>
    </row>
    <row r="46" spans="1:34">
      <c r="A46" s="68" t="str">
        <f>CONCATENATE("Tranche 2 @ ",L7*100,"%")</f>
        <v>Tranche 2 @ 7.57%</v>
      </c>
      <c r="B46" s="18"/>
      <c r="C46" s="69"/>
      <c r="AA46" s="17"/>
      <c r="AB46" s="17"/>
      <c r="AF46" s="6"/>
    </row>
    <row r="47" spans="1:34">
      <c r="A47" s="408">
        <f>A30</f>
        <v>36739</v>
      </c>
      <c r="B47" s="347"/>
      <c r="AA47" s="17"/>
      <c r="AB47" s="17"/>
      <c r="AF47" s="6"/>
    </row>
    <row r="48" spans="1:34">
      <c r="A48" s="71" t="s">
        <v>123</v>
      </c>
      <c r="B48" s="174">
        <f>L10</f>
        <v>29302</v>
      </c>
      <c r="C48" s="71">
        <f>B56</f>
        <v>27836.9</v>
      </c>
      <c r="D48" s="71">
        <f t="shared" ref="D48:W48" si="13">C56</f>
        <v>26371.800000000003</v>
      </c>
      <c r="E48" s="71">
        <f t="shared" si="13"/>
        <v>24906.700000000004</v>
      </c>
      <c r="F48" s="71">
        <f t="shared" si="13"/>
        <v>23441.600000000006</v>
      </c>
      <c r="G48" s="71">
        <f t="shared" si="13"/>
        <v>21976.500000000007</v>
      </c>
      <c r="H48" s="71">
        <f t="shared" si="13"/>
        <v>20511.400000000009</v>
      </c>
      <c r="I48" s="71">
        <f t="shared" si="13"/>
        <v>19046.30000000001</v>
      </c>
      <c r="J48" s="71">
        <f t="shared" si="13"/>
        <v>17581.200000000012</v>
      </c>
      <c r="K48" s="71">
        <f t="shared" si="13"/>
        <v>16116.100000000013</v>
      </c>
      <c r="L48" s="71">
        <f t="shared" si="13"/>
        <v>14651.000000000015</v>
      </c>
      <c r="M48" s="71">
        <f t="shared" si="13"/>
        <v>13185.900000000016</v>
      </c>
      <c r="N48" s="71">
        <f t="shared" si="13"/>
        <v>11720.800000000017</v>
      </c>
      <c r="O48" s="71">
        <f t="shared" si="13"/>
        <v>10255.700000000019</v>
      </c>
      <c r="P48" s="71">
        <f t="shared" si="13"/>
        <v>8790.6000000000204</v>
      </c>
      <c r="Q48" s="71">
        <f t="shared" si="13"/>
        <v>7325.50000000002</v>
      </c>
      <c r="R48" s="71">
        <f t="shared" si="13"/>
        <v>5860.4000000000196</v>
      </c>
      <c r="S48" s="71">
        <f t="shared" si="13"/>
        <v>4395.3000000000193</v>
      </c>
      <c r="T48" s="71">
        <f t="shared" si="13"/>
        <v>2930.2000000000189</v>
      </c>
      <c r="U48" s="71">
        <f t="shared" si="13"/>
        <v>1465.1000000000186</v>
      </c>
      <c r="V48" s="71">
        <f t="shared" si="13"/>
        <v>1.8417267710901797E-11</v>
      </c>
      <c r="W48" s="71">
        <f t="shared" si="13"/>
        <v>1.8417267710901797E-11</v>
      </c>
      <c r="X48" s="71"/>
      <c r="Y48" s="71"/>
      <c r="Z48" s="71"/>
      <c r="AA48" s="171"/>
      <c r="AB48" s="171"/>
      <c r="AC48" s="71"/>
      <c r="AD48" s="71"/>
      <c r="AE48" s="71"/>
      <c r="AF48" s="344"/>
      <c r="AG48" s="71"/>
      <c r="AH48" s="25"/>
    </row>
    <row r="49" spans="1:34">
      <c r="A49" s="71" t="s">
        <v>124</v>
      </c>
      <c r="B49" s="347">
        <v>0</v>
      </c>
      <c r="C49" s="71">
        <f>$B$48*C24/2</f>
        <v>732.55000000000007</v>
      </c>
      <c r="D49" s="71">
        <f t="shared" ref="D49:W49" si="14">$B$48*D24/2</f>
        <v>732.55000000000007</v>
      </c>
      <c r="E49" s="71">
        <f t="shared" si="14"/>
        <v>732.55000000000007</v>
      </c>
      <c r="F49" s="71">
        <f t="shared" si="14"/>
        <v>732.55000000000007</v>
      </c>
      <c r="G49" s="71">
        <f t="shared" si="14"/>
        <v>732.55000000000007</v>
      </c>
      <c r="H49" s="71">
        <f t="shared" si="14"/>
        <v>732.55000000000007</v>
      </c>
      <c r="I49" s="71">
        <f t="shared" si="14"/>
        <v>732.55000000000007</v>
      </c>
      <c r="J49" s="71">
        <f t="shared" si="14"/>
        <v>732.55000000000007</v>
      </c>
      <c r="K49" s="71">
        <f t="shared" si="14"/>
        <v>732.55000000000007</v>
      </c>
      <c r="L49" s="71">
        <f t="shared" si="14"/>
        <v>732.55000000000007</v>
      </c>
      <c r="M49" s="71">
        <f t="shared" si="14"/>
        <v>732.55000000000007</v>
      </c>
      <c r="N49" s="71">
        <f t="shared" si="14"/>
        <v>732.55000000000007</v>
      </c>
      <c r="O49" s="71">
        <f t="shared" si="14"/>
        <v>732.55000000000007</v>
      </c>
      <c r="P49" s="71">
        <f t="shared" si="14"/>
        <v>732.55000000000007</v>
      </c>
      <c r="Q49" s="71">
        <f t="shared" si="14"/>
        <v>732.55000000000007</v>
      </c>
      <c r="R49" s="71">
        <f t="shared" si="14"/>
        <v>732.55000000000007</v>
      </c>
      <c r="S49" s="71">
        <f t="shared" si="14"/>
        <v>732.55000000000007</v>
      </c>
      <c r="T49" s="71">
        <f t="shared" si="14"/>
        <v>732.55000000000007</v>
      </c>
      <c r="U49" s="71">
        <f t="shared" si="14"/>
        <v>732.55000000000007</v>
      </c>
      <c r="V49" s="71">
        <f t="shared" si="14"/>
        <v>0</v>
      </c>
      <c r="W49" s="71">
        <f t="shared" si="14"/>
        <v>0</v>
      </c>
      <c r="X49" s="71"/>
      <c r="Y49" s="71"/>
      <c r="Z49" s="71"/>
      <c r="AA49" s="171"/>
      <c r="AB49" s="171"/>
      <c r="AC49" s="71"/>
      <c r="AD49" s="71"/>
      <c r="AE49" s="71"/>
      <c r="AF49" s="345"/>
      <c r="AG49" s="71"/>
      <c r="AH49" s="25"/>
    </row>
    <row r="50" spans="1:34">
      <c r="A50" s="71" t="s">
        <v>125</v>
      </c>
      <c r="B50" s="347">
        <v>0</v>
      </c>
      <c r="C50" s="71">
        <f>C48*$L$7/2</f>
        <v>1053.626665</v>
      </c>
      <c r="D50" s="71">
        <f t="shared" ref="D50:W50" si="15">D48*$L$7/2</f>
        <v>998.17263000000014</v>
      </c>
      <c r="E50" s="71">
        <f t="shared" si="15"/>
        <v>942.71859500000016</v>
      </c>
      <c r="F50" s="71">
        <f t="shared" si="15"/>
        <v>887.2645600000003</v>
      </c>
      <c r="G50" s="71">
        <f t="shared" si="15"/>
        <v>831.81052500000033</v>
      </c>
      <c r="H50" s="71">
        <f t="shared" si="15"/>
        <v>776.35649000000035</v>
      </c>
      <c r="I50" s="71">
        <f t="shared" si="15"/>
        <v>720.90245500000037</v>
      </c>
      <c r="J50" s="71">
        <f t="shared" si="15"/>
        <v>665.44842000000051</v>
      </c>
      <c r="K50" s="71">
        <f t="shared" si="15"/>
        <v>609.99438500000053</v>
      </c>
      <c r="L50" s="71">
        <f t="shared" si="15"/>
        <v>554.54035000000056</v>
      </c>
      <c r="M50" s="71">
        <f t="shared" si="15"/>
        <v>499.08631500000064</v>
      </c>
      <c r="N50" s="71">
        <f t="shared" si="15"/>
        <v>443.63228000000066</v>
      </c>
      <c r="O50" s="71">
        <f t="shared" si="15"/>
        <v>388.17824500000074</v>
      </c>
      <c r="P50" s="71">
        <f t="shared" si="15"/>
        <v>332.72421000000077</v>
      </c>
      <c r="Q50" s="71">
        <f t="shared" si="15"/>
        <v>277.27017500000079</v>
      </c>
      <c r="R50" s="71">
        <f t="shared" si="15"/>
        <v>221.81614000000076</v>
      </c>
      <c r="S50" s="71">
        <f t="shared" si="15"/>
        <v>166.36210500000072</v>
      </c>
      <c r="T50" s="71">
        <f t="shared" si="15"/>
        <v>110.90807000000072</v>
      </c>
      <c r="U50" s="71">
        <f t="shared" si="15"/>
        <v>55.454035000000708</v>
      </c>
      <c r="V50" s="71">
        <f t="shared" si="15"/>
        <v>6.9709358285763305E-13</v>
      </c>
      <c r="W50" s="71">
        <f t="shared" si="15"/>
        <v>6.9709358285763305E-13</v>
      </c>
      <c r="X50" s="71"/>
      <c r="Y50" s="71"/>
      <c r="Z50" s="71"/>
      <c r="AA50" s="171"/>
      <c r="AB50" s="171"/>
      <c r="AC50" s="71"/>
      <c r="AD50" s="71"/>
      <c r="AE50" s="71"/>
      <c r="AF50" s="345"/>
      <c r="AG50" s="71"/>
      <c r="AH50" s="25"/>
    </row>
    <row r="51" spans="1:34">
      <c r="A51" s="71" t="s">
        <v>126</v>
      </c>
      <c r="B51" s="347">
        <f>B48-B49</f>
        <v>29302</v>
      </c>
      <c r="C51" s="71">
        <f t="shared" ref="C51:R51" si="16">C48-C49</f>
        <v>27104.350000000002</v>
      </c>
      <c r="D51" s="71">
        <f t="shared" si="16"/>
        <v>25639.250000000004</v>
      </c>
      <c r="E51" s="71">
        <f t="shared" si="16"/>
        <v>24174.150000000005</v>
      </c>
      <c r="F51" s="71">
        <f t="shared" si="16"/>
        <v>22709.050000000007</v>
      </c>
      <c r="G51" s="71">
        <f t="shared" si="16"/>
        <v>21243.950000000008</v>
      </c>
      <c r="H51" s="71">
        <f t="shared" si="16"/>
        <v>19778.850000000009</v>
      </c>
      <c r="I51" s="71">
        <f t="shared" si="16"/>
        <v>18313.750000000011</v>
      </c>
      <c r="J51" s="71">
        <f t="shared" si="16"/>
        <v>16848.650000000012</v>
      </c>
      <c r="K51" s="71">
        <f t="shared" si="16"/>
        <v>15383.550000000014</v>
      </c>
      <c r="L51" s="71">
        <f t="shared" si="16"/>
        <v>13918.450000000015</v>
      </c>
      <c r="M51" s="71">
        <f t="shared" si="16"/>
        <v>12453.350000000017</v>
      </c>
      <c r="N51" s="71">
        <f t="shared" si="16"/>
        <v>10988.250000000018</v>
      </c>
      <c r="O51" s="71">
        <f t="shared" si="16"/>
        <v>9523.1500000000196</v>
      </c>
      <c r="P51" s="71">
        <f t="shared" si="16"/>
        <v>8058.0500000000202</v>
      </c>
      <c r="Q51" s="71">
        <f t="shared" si="16"/>
        <v>6592.9500000000198</v>
      </c>
      <c r="R51" s="71">
        <f t="shared" si="16"/>
        <v>5127.8500000000195</v>
      </c>
      <c r="S51" s="71">
        <f>S48-S49</f>
        <v>3662.7500000000191</v>
      </c>
      <c r="T51" s="71">
        <f>T48-T49</f>
        <v>2197.6500000000187</v>
      </c>
      <c r="U51" s="71">
        <f>U48-U49</f>
        <v>732.55000000001849</v>
      </c>
      <c r="V51" s="71">
        <f>V48-V49</f>
        <v>1.8417267710901797E-11</v>
      </c>
      <c r="W51" s="71">
        <f>W48-W49</f>
        <v>1.8417267710901797E-11</v>
      </c>
      <c r="X51" s="71"/>
      <c r="Y51" s="71"/>
      <c r="Z51" s="71"/>
      <c r="AA51" s="171"/>
      <c r="AB51" s="171"/>
      <c r="AC51" s="71"/>
      <c r="AD51" s="71"/>
      <c r="AE51" s="71"/>
      <c r="AF51" s="345"/>
      <c r="AG51" s="71"/>
      <c r="AH51" s="25"/>
    </row>
    <row r="52" spans="1:34">
      <c r="A52" s="408">
        <f>A35</f>
        <v>36557</v>
      </c>
      <c r="B52" s="347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171"/>
      <c r="AB52" s="171"/>
      <c r="AC52" s="71"/>
      <c r="AD52" s="71"/>
      <c r="AE52" s="71"/>
      <c r="AF52" s="345"/>
      <c r="AG52" s="71"/>
      <c r="AH52" s="25"/>
    </row>
    <row r="53" spans="1:34">
      <c r="A53" s="71" t="s">
        <v>123</v>
      </c>
      <c r="B53" s="347">
        <f>B51</f>
        <v>29302</v>
      </c>
      <c r="C53" s="347">
        <f t="shared" ref="C53:W53" si="17">C51</f>
        <v>27104.350000000002</v>
      </c>
      <c r="D53" s="347">
        <f t="shared" si="17"/>
        <v>25639.250000000004</v>
      </c>
      <c r="E53" s="347">
        <f t="shared" si="17"/>
        <v>24174.150000000005</v>
      </c>
      <c r="F53" s="347">
        <f t="shared" si="17"/>
        <v>22709.050000000007</v>
      </c>
      <c r="G53" s="347">
        <f t="shared" si="17"/>
        <v>21243.950000000008</v>
      </c>
      <c r="H53" s="347">
        <f t="shared" si="17"/>
        <v>19778.850000000009</v>
      </c>
      <c r="I53" s="347">
        <f t="shared" si="17"/>
        <v>18313.750000000011</v>
      </c>
      <c r="J53" s="347">
        <f t="shared" si="17"/>
        <v>16848.650000000012</v>
      </c>
      <c r="K53" s="347">
        <f t="shared" si="17"/>
        <v>15383.550000000014</v>
      </c>
      <c r="L53" s="347">
        <f t="shared" si="17"/>
        <v>13918.450000000015</v>
      </c>
      <c r="M53" s="347">
        <f t="shared" si="17"/>
        <v>12453.350000000017</v>
      </c>
      <c r="N53" s="347">
        <f t="shared" si="17"/>
        <v>10988.250000000018</v>
      </c>
      <c r="O53" s="347">
        <f t="shared" si="17"/>
        <v>9523.1500000000196</v>
      </c>
      <c r="P53" s="347">
        <f t="shared" si="17"/>
        <v>8058.0500000000202</v>
      </c>
      <c r="Q53" s="347">
        <f t="shared" si="17"/>
        <v>6592.9500000000198</v>
      </c>
      <c r="R53" s="347">
        <f t="shared" si="17"/>
        <v>5127.8500000000195</v>
      </c>
      <c r="S53" s="347">
        <f t="shared" si="17"/>
        <v>3662.7500000000191</v>
      </c>
      <c r="T53" s="347">
        <f t="shared" si="17"/>
        <v>2197.6500000000187</v>
      </c>
      <c r="U53" s="347">
        <f t="shared" si="17"/>
        <v>732.55000000001849</v>
      </c>
      <c r="V53" s="347">
        <f t="shared" si="17"/>
        <v>1.8417267710901797E-11</v>
      </c>
      <c r="W53" s="347">
        <f t="shared" si="17"/>
        <v>1.8417267710901797E-11</v>
      </c>
      <c r="X53" s="71"/>
      <c r="Y53" s="71"/>
      <c r="Z53" s="71"/>
      <c r="AA53" s="171"/>
      <c r="AB53" s="171"/>
      <c r="AC53" s="71"/>
      <c r="AD53" s="71"/>
      <c r="AE53" s="71"/>
      <c r="AF53" s="345"/>
      <c r="AG53" s="71"/>
      <c r="AH53" s="25"/>
    </row>
    <row r="54" spans="1:34">
      <c r="A54" s="71" t="s">
        <v>124</v>
      </c>
      <c r="B54" s="347">
        <f>B24*$B$48</f>
        <v>1465.1000000000001</v>
      </c>
      <c r="C54" s="347">
        <f>C24*$B$48/2</f>
        <v>732.55000000000007</v>
      </c>
      <c r="D54" s="347">
        <f t="shared" ref="D54:W54" si="18">D24*$B$48/2</f>
        <v>732.55000000000007</v>
      </c>
      <c r="E54" s="347">
        <f t="shared" si="18"/>
        <v>732.55000000000007</v>
      </c>
      <c r="F54" s="347">
        <f t="shared" si="18"/>
        <v>732.55000000000007</v>
      </c>
      <c r="G54" s="347">
        <f t="shared" si="18"/>
        <v>732.55000000000007</v>
      </c>
      <c r="H54" s="347">
        <f t="shared" si="18"/>
        <v>732.55000000000007</v>
      </c>
      <c r="I54" s="347">
        <f t="shared" si="18"/>
        <v>732.55000000000007</v>
      </c>
      <c r="J54" s="347">
        <f t="shared" si="18"/>
        <v>732.55000000000007</v>
      </c>
      <c r="K54" s="347">
        <f t="shared" si="18"/>
        <v>732.55000000000007</v>
      </c>
      <c r="L54" s="347">
        <f t="shared" si="18"/>
        <v>732.55000000000007</v>
      </c>
      <c r="M54" s="347">
        <f t="shared" si="18"/>
        <v>732.55000000000007</v>
      </c>
      <c r="N54" s="347">
        <f t="shared" si="18"/>
        <v>732.55000000000007</v>
      </c>
      <c r="O54" s="347">
        <f t="shared" si="18"/>
        <v>732.55000000000007</v>
      </c>
      <c r="P54" s="347">
        <f t="shared" si="18"/>
        <v>732.55000000000007</v>
      </c>
      <c r="Q54" s="347">
        <f t="shared" si="18"/>
        <v>732.55000000000007</v>
      </c>
      <c r="R54" s="347">
        <f t="shared" si="18"/>
        <v>732.55000000000007</v>
      </c>
      <c r="S54" s="347">
        <f t="shared" si="18"/>
        <v>732.55000000000007</v>
      </c>
      <c r="T54" s="347">
        <f t="shared" si="18"/>
        <v>732.55000000000007</v>
      </c>
      <c r="U54" s="347">
        <f t="shared" si="18"/>
        <v>732.55000000000007</v>
      </c>
      <c r="V54" s="347">
        <f t="shared" si="18"/>
        <v>0</v>
      </c>
      <c r="W54" s="347">
        <f t="shared" si="18"/>
        <v>0</v>
      </c>
      <c r="X54" s="71"/>
      <c r="Y54" s="71"/>
      <c r="Z54" s="71"/>
      <c r="AA54" s="171"/>
      <c r="AB54" s="171"/>
      <c r="AC54" s="71"/>
      <c r="AD54" s="71"/>
      <c r="AE54" s="71"/>
      <c r="AF54" s="345"/>
      <c r="AG54" s="71"/>
      <c r="AH54" s="25"/>
    </row>
    <row r="55" spans="1:34">
      <c r="A55" s="71" t="s">
        <v>125</v>
      </c>
      <c r="B55" s="347">
        <f>B53*$L$7/2</f>
        <v>1109.0807</v>
      </c>
      <c r="C55" s="347">
        <f t="shared" ref="C55:W55" si="19">C53*$L$7/2</f>
        <v>1025.8996475000001</v>
      </c>
      <c r="D55" s="347">
        <f t="shared" si="19"/>
        <v>970.44561250000015</v>
      </c>
      <c r="E55" s="347">
        <f t="shared" si="19"/>
        <v>914.99157750000029</v>
      </c>
      <c r="F55" s="347">
        <f t="shared" si="19"/>
        <v>859.53754250000031</v>
      </c>
      <c r="G55" s="347">
        <f t="shared" si="19"/>
        <v>804.08350750000034</v>
      </c>
      <c r="H55" s="347">
        <f t="shared" si="19"/>
        <v>748.62947250000036</v>
      </c>
      <c r="I55" s="347">
        <f t="shared" si="19"/>
        <v>693.1754375000005</v>
      </c>
      <c r="J55" s="347">
        <f t="shared" si="19"/>
        <v>637.72140250000052</v>
      </c>
      <c r="K55" s="347">
        <f t="shared" si="19"/>
        <v>582.26736750000055</v>
      </c>
      <c r="L55" s="347">
        <f t="shared" si="19"/>
        <v>526.81333250000057</v>
      </c>
      <c r="M55" s="347">
        <f t="shared" si="19"/>
        <v>471.35929750000065</v>
      </c>
      <c r="N55" s="347">
        <f t="shared" si="19"/>
        <v>415.90526250000073</v>
      </c>
      <c r="O55" s="347">
        <f t="shared" si="19"/>
        <v>360.45122750000075</v>
      </c>
      <c r="P55" s="347">
        <f t="shared" si="19"/>
        <v>304.99719250000078</v>
      </c>
      <c r="Q55" s="347">
        <f t="shared" si="19"/>
        <v>249.54315750000077</v>
      </c>
      <c r="R55" s="347">
        <f t="shared" si="19"/>
        <v>194.08912250000074</v>
      </c>
      <c r="S55" s="347">
        <f t="shared" si="19"/>
        <v>138.63508750000074</v>
      </c>
      <c r="T55" s="347">
        <f t="shared" si="19"/>
        <v>83.181052500000717</v>
      </c>
      <c r="U55" s="347">
        <f t="shared" si="19"/>
        <v>27.727017500000702</v>
      </c>
      <c r="V55" s="347">
        <f t="shared" si="19"/>
        <v>6.9709358285763305E-13</v>
      </c>
      <c r="W55" s="347">
        <f t="shared" si="19"/>
        <v>6.9709358285763305E-13</v>
      </c>
      <c r="X55" s="71"/>
      <c r="Y55" s="71"/>
      <c r="Z55" s="71"/>
      <c r="AA55" s="171"/>
      <c r="AB55" s="171"/>
      <c r="AC55" s="71"/>
      <c r="AD55" s="71"/>
      <c r="AE55" s="71"/>
      <c r="AF55" s="345"/>
      <c r="AG55" s="71"/>
      <c r="AH55" s="25"/>
    </row>
    <row r="56" spans="1:34">
      <c r="A56" s="71" t="s">
        <v>126</v>
      </c>
      <c r="B56" s="347">
        <f>B53-B54</f>
        <v>27836.9</v>
      </c>
      <c r="C56" s="71">
        <f t="shared" ref="C56:R56" si="20">C53-C54</f>
        <v>26371.800000000003</v>
      </c>
      <c r="D56" s="71">
        <f t="shared" si="20"/>
        <v>24906.700000000004</v>
      </c>
      <c r="E56" s="71">
        <f t="shared" si="20"/>
        <v>23441.600000000006</v>
      </c>
      <c r="F56" s="71">
        <f t="shared" si="20"/>
        <v>21976.500000000007</v>
      </c>
      <c r="G56" s="71">
        <f t="shared" si="20"/>
        <v>20511.400000000009</v>
      </c>
      <c r="H56" s="71">
        <f t="shared" si="20"/>
        <v>19046.30000000001</v>
      </c>
      <c r="I56" s="71">
        <f t="shared" si="20"/>
        <v>17581.200000000012</v>
      </c>
      <c r="J56" s="71">
        <f t="shared" si="20"/>
        <v>16116.100000000013</v>
      </c>
      <c r="K56" s="71">
        <f t="shared" si="20"/>
        <v>14651.000000000015</v>
      </c>
      <c r="L56" s="71">
        <f t="shared" si="20"/>
        <v>13185.900000000016</v>
      </c>
      <c r="M56" s="71">
        <f t="shared" si="20"/>
        <v>11720.800000000017</v>
      </c>
      <c r="N56" s="71">
        <f t="shared" si="20"/>
        <v>10255.700000000019</v>
      </c>
      <c r="O56" s="71">
        <f t="shared" si="20"/>
        <v>8790.6000000000204</v>
      </c>
      <c r="P56" s="71">
        <f t="shared" si="20"/>
        <v>7325.50000000002</v>
      </c>
      <c r="Q56" s="71">
        <f t="shared" si="20"/>
        <v>5860.4000000000196</v>
      </c>
      <c r="R56" s="71">
        <f t="shared" si="20"/>
        <v>4395.3000000000193</v>
      </c>
      <c r="S56" s="71">
        <f>S53-S54</f>
        <v>2930.2000000000189</v>
      </c>
      <c r="T56" s="71">
        <f>T53-T54</f>
        <v>1465.1000000000186</v>
      </c>
      <c r="U56" s="71">
        <f>U53-U54</f>
        <v>1.8417267710901797E-11</v>
      </c>
      <c r="V56" s="71">
        <f>V53-V54</f>
        <v>1.8417267710901797E-11</v>
      </c>
      <c r="W56" s="71">
        <f>W53-W54</f>
        <v>1.8417267710901797E-11</v>
      </c>
      <c r="X56" s="71"/>
      <c r="Y56" s="71"/>
      <c r="Z56" s="71"/>
      <c r="AA56" s="171"/>
      <c r="AB56" s="171"/>
      <c r="AC56" s="71"/>
      <c r="AD56" s="71"/>
      <c r="AE56" s="71"/>
      <c r="AF56" s="345"/>
      <c r="AG56" s="71"/>
      <c r="AH56" s="25"/>
    </row>
    <row r="57" spans="1:34">
      <c r="A57" s="71"/>
      <c r="B57" s="347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171"/>
      <c r="AB57" s="171"/>
      <c r="AC57" s="71"/>
      <c r="AD57" s="71"/>
      <c r="AE57" s="71"/>
      <c r="AF57" s="345"/>
      <c r="AG57" s="71"/>
      <c r="AH57" s="25"/>
    </row>
    <row r="58" spans="1:34">
      <c r="A58" s="73" t="s">
        <v>165</v>
      </c>
      <c r="B58" s="347">
        <f>B55+B50</f>
        <v>1109.0807</v>
      </c>
      <c r="C58" s="347">
        <f t="shared" ref="C58:W58" si="21">C55+C50</f>
        <v>2079.5263125000001</v>
      </c>
      <c r="D58" s="347">
        <f t="shared" si="21"/>
        <v>1968.6182425000002</v>
      </c>
      <c r="E58" s="347">
        <f t="shared" si="21"/>
        <v>1857.7101725000005</v>
      </c>
      <c r="F58" s="347">
        <f t="shared" si="21"/>
        <v>1746.8021025000007</v>
      </c>
      <c r="G58" s="347">
        <f t="shared" si="21"/>
        <v>1635.8940325000008</v>
      </c>
      <c r="H58" s="347">
        <f t="shared" si="21"/>
        <v>1524.9859625000008</v>
      </c>
      <c r="I58" s="347">
        <f t="shared" si="21"/>
        <v>1414.0778925000009</v>
      </c>
      <c r="J58" s="347">
        <f t="shared" si="21"/>
        <v>1303.1698225000009</v>
      </c>
      <c r="K58" s="347">
        <f t="shared" si="21"/>
        <v>1192.261752500001</v>
      </c>
      <c r="L58" s="347">
        <f t="shared" si="21"/>
        <v>1081.353682500001</v>
      </c>
      <c r="M58" s="347">
        <f t="shared" si="21"/>
        <v>970.44561250000129</v>
      </c>
      <c r="N58" s="347">
        <f t="shared" si="21"/>
        <v>859.53754250000134</v>
      </c>
      <c r="O58" s="347">
        <f t="shared" si="21"/>
        <v>748.6294725000015</v>
      </c>
      <c r="P58" s="347">
        <f t="shared" si="21"/>
        <v>637.72140250000155</v>
      </c>
      <c r="Q58" s="347">
        <f t="shared" si="21"/>
        <v>526.81333250000159</v>
      </c>
      <c r="R58" s="347">
        <f t="shared" si="21"/>
        <v>415.90526250000153</v>
      </c>
      <c r="S58" s="347">
        <f t="shared" si="21"/>
        <v>304.99719250000146</v>
      </c>
      <c r="T58" s="347">
        <f t="shared" si="21"/>
        <v>194.08912250000145</v>
      </c>
      <c r="U58" s="347">
        <f t="shared" si="21"/>
        <v>83.181052500001414</v>
      </c>
      <c r="V58" s="347">
        <f t="shared" si="21"/>
        <v>1.3941871657152661E-12</v>
      </c>
      <c r="W58" s="347">
        <f t="shared" si="21"/>
        <v>1.3941871657152661E-12</v>
      </c>
      <c r="X58" s="71"/>
      <c r="Y58" s="71"/>
      <c r="Z58" s="71"/>
      <c r="AA58" s="171"/>
      <c r="AB58" s="171"/>
      <c r="AC58" s="71"/>
      <c r="AD58" s="71"/>
      <c r="AE58" s="71"/>
      <c r="AF58" s="345"/>
      <c r="AG58" s="71"/>
      <c r="AH58" s="25"/>
    </row>
    <row r="59" spans="1:34">
      <c r="A59" s="16" t="s">
        <v>166</v>
      </c>
      <c r="B59" s="347">
        <v>0</v>
      </c>
      <c r="C59" s="71">
        <v>0</v>
      </c>
      <c r="D59" s="71">
        <v>0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1">
        <v>0</v>
      </c>
      <c r="AA59" s="17"/>
      <c r="AB59" s="17"/>
      <c r="AF59" s="6"/>
      <c r="AG59" s="71"/>
      <c r="AH59" s="25"/>
    </row>
    <row r="60" spans="1:34">
      <c r="A60" s="73" t="s">
        <v>173</v>
      </c>
      <c r="B60" s="347">
        <f>B54+B49</f>
        <v>1465.1000000000001</v>
      </c>
      <c r="C60" s="347">
        <f t="shared" ref="C60:W60" si="22">C54+C49</f>
        <v>1465.1000000000001</v>
      </c>
      <c r="D60" s="347">
        <f t="shared" si="22"/>
        <v>1465.1000000000001</v>
      </c>
      <c r="E60" s="347">
        <f t="shared" si="22"/>
        <v>1465.1000000000001</v>
      </c>
      <c r="F60" s="347">
        <f t="shared" si="22"/>
        <v>1465.1000000000001</v>
      </c>
      <c r="G60" s="347">
        <f t="shared" si="22"/>
        <v>1465.1000000000001</v>
      </c>
      <c r="H60" s="347">
        <f t="shared" si="22"/>
        <v>1465.1000000000001</v>
      </c>
      <c r="I60" s="347">
        <f t="shared" si="22"/>
        <v>1465.1000000000001</v>
      </c>
      <c r="J60" s="347">
        <f t="shared" si="22"/>
        <v>1465.1000000000001</v>
      </c>
      <c r="K60" s="347">
        <f t="shared" si="22"/>
        <v>1465.1000000000001</v>
      </c>
      <c r="L60" s="347">
        <f t="shared" si="22"/>
        <v>1465.1000000000001</v>
      </c>
      <c r="M60" s="347">
        <f t="shared" si="22"/>
        <v>1465.1000000000001</v>
      </c>
      <c r="N60" s="347">
        <f t="shared" si="22"/>
        <v>1465.1000000000001</v>
      </c>
      <c r="O60" s="347">
        <f t="shared" si="22"/>
        <v>1465.1000000000001</v>
      </c>
      <c r="P60" s="347">
        <f t="shared" si="22"/>
        <v>1465.1000000000001</v>
      </c>
      <c r="Q60" s="347">
        <f t="shared" si="22"/>
        <v>1465.1000000000001</v>
      </c>
      <c r="R60" s="347">
        <f t="shared" si="22"/>
        <v>1465.1000000000001</v>
      </c>
      <c r="S60" s="347">
        <f t="shared" si="22"/>
        <v>1465.1000000000001</v>
      </c>
      <c r="T60" s="347">
        <f t="shared" si="22"/>
        <v>1465.1000000000001</v>
      </c>
      <c r="U60" s="347">
        <f t="shared" si="22"/>
        <v>1465.1000000000001</v>
      </c>
      <c r="V60" s="347">
        <f t="shared" si="22"/>
        <v>0</v>
      </c>
      <c r="W60" s="347">
        <f t="shared" si="22"/>
        <v>0</v>
      </c>
      <c r="AA60" s="17"/>
      <c r="AB60" s="17"/>
      <c r="AF60" s="6"/>
      <c r="AG60" s="71"/>
      <c r="AH60" s="25"/>
    </row>
    <row r="61" spans="1:34">
      <c r="B61" s="174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171"/>
      <c r="AB61" s="171"/>
      <c r="AC61" s="71"/>
      <c r="AD61" s="71"/>
      <c r="AE61" s="71"/>
      <c r="AF61" s="344"/>
      <c r="AG61" s="71"/>
      <c r="AH61" s="25"/>
    </row>
    <row r="62" spans="1:34">
      <c r="B62" s="347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171"/>
      <c r="AB62" s="171"/>
      <c r="AC62" s="71"/>
      <c r="AD62" s="71"/>
      <c r="AE62" s="71"/>
      <c r="AF62" s="345"/>
      <c r="AG62" s="71"/>
      <c r="AH62" s="25"/>
    </row>
    <row r="63" spans="1:34">
      <c r="A63" s="68" t="str">
        <f>CONCATENATE("Tranche 3 @ ",R7*100,"%")</f>
        <v>Tranche 3 @ 8.18%</v>
      </c>
      <c r="B63" s="18"/>
      <c r="C63" s="69"/>
      <c r="AA63" s="17"/>
      <c r="AB63" s="17"/>
      <c r="AF63" s="6"/>
    </row>
    <row r="64" spans="1:34">
      <c r="A64" s="408">
        <f>A30</f>
        <v>36739</v>
      </c>
      <c r="B64" s="347"/>
      <c r="AA64" s="17"/>
      <c r="AB64" s="17"/>
      <c r="AF64" s="6"/>
    </row>
    <row r="65" spans="1:39">
      <c r="A65" s="71" t="s">
        <v>123</v>
      </c>
      <c r="B65" s="174">
        <f>R10</f>
        <v>52547</v>
      </c>
      <c r="C65" s="71">
        <f>B73</f>
        <v>49919.65</v>
      </c>
      <c r="D65" s="71">
        <f t="shared" ref="D65:W65" si="23">C73</f>
        <v>47292.299999999996</v>
      </c>
      <c r="E65" s="71">
        <f t="shared" si="23"/>
        <v>44664.94999999999</v>
      </c>
      <c r="F65" s="71">
        <f t="shared" si="23"/>
        <v>42037.599999999984</v>
      </c>
      <c r="G65" s="71">
        <f t="shared" si="23"/>
        <v>39410.249999999978</v>
      </c>
      <c r="H65" s="71">
        <f t="shared" si="23"/>
        <v>36782.899999999972</v>
      </c>
      <c r="I65" s="71">
        <f t="shared" si="23"/>
        <v>34155.549999999967</v>
      </c>
      <c r="J65" s="71">
        <f t="shared" si="23"/>
        <v>31528.199999999964</v>
      </c>
      <c r="K65" s="71">
        <f t="shared" si="23"/>
        <v>28900.849999999966</v>
      </c>
      <c r="L65" s="71">
        <f t="shared" si="23"/>
        <v>26273.499999999967</v>
      </c>
      <c r="M65" s="71">
        <f t="shared" si="23"/>
        <v>23646.149999999969</v>
      </c>
      <c r="N65" s="71">
        <f t="shared" si="23"/>
        <v>21018.79999999997</v>
      </c>
      <c r="O65" s="71">
        <f t="shared" si="23"/>
        <v>18391.449999999972</v>
      </c>
      <c r="P65" s="71">
        <f t="shared" si="23"/>
        <v>15764.099999999973</v>
      </c>
      <c r="Q65" s="71">
        <f t="shared" si="23"/>
        <v>13136.749999999975</v>
      </c>
      <c r="R65" s="71">
        <f t="shared" si="23"/>
        <v>10509.399999999976</v>
      </c>
      <c r="S65" s="71">
        <f t="shared" si="23"/>
        <v>7882.0499999999765</v>
      </c>
      <c r="T65" s="71">
        <f t="shared" si="23"/>
        <v>5254.6999999999762</v>
      </c>
      <c r="U65" s="71">
        <f t="shared" si="23"/>
        <v>2627.3499999999758</v>
      </c>
      <c r="V65" s="71">
        <f t="shared" si="23"/>
        <v>-2.4556356947869062E-11</v>
      </c>
      <c r="W65" s="71">
        <f t="shared" si="23"/>
        <v>-2.4556356947869062E-11</v>
      </c>
      <c r="X65" s="71"/>
      <c r="Y65" s="71"/>
      <c r="Z65" s="71"/>
      <c r="AA65" s="171"/>
      <c r="AB65" s="171"/>
      <c r="AC65" s="71"/>
      <c r="AD65" s="71"/>
      <c r="AE65" s="71"/>
      <c r="AF65" s="344"/>
      <c r="AG65" s="71"/>
      <c r="AH65" s="25"/>
    </row>
    <row r="66" spans="1:39">
      <c r="A66" s="71" t="s">
        <v>124</v>
      </c>
      <c r="B66" s="347">
        <v>0</v>
      </c>
      <c r="C66" s="71">
        <f>$B$65*C26/2</f>
        <v>1313.6750000000002</v>
      </c>
      <c r="D66" s="71">
        <f t="shared" ref="D66:W66" si="24">$B$65*D26/2</f>
        <v>1313.6750000000002</v>
      </c>
      <c r="E66" s="71">
        <f t="shared" si="24"/>
        <v>1313.6750000000002</v>
      </c>
      <c r="F66" s="71">
        <f t="shared" si="24"/>
        <v>1313.6750000000002</v>
      </c>
      <c r="G66" s="71">
        <f t="shared" si="24"/>
        <v>1313.6750000000002</v>
      </c>
      <c r="H66" s="71">
        <f t="shared" si="24"/>
        <v>1313.6750000000002</v>
      </c>
      <c r="I66" s="71">
        <f t="shared" si="24"/>
        <v>1313.6750000000002</v>
      </c>
      <c r="J66" s="71">
        <f t="shared" si="24"/>
        <v>1313.6750000000002</v>
      </c>
      <c r="K66" s="71">
        <f t="shared" si="24"/>
        <v>1313.6750000000002</v>
      </c>
      <c r="L66" s="71">
        <f t="shared" si="24"/>
        <v>1313.6750000000002</v>
      </c>
      <c r="M66" s="71">
        <f t="shared" si="24"/>
        <v>1313.6750000000002</v>
      </c>
      <c r="N66" s="71">
        <f t="shared" si="24"/>
        <v>1313.6750000000002</v>
      </c>
      <c r="O66" s="71">
        <f t="shared" si="24"/>
        <v>1313.6750000000002</v>
      </c>
      <c r="P66" s="71">
        <f t="shared" si="24"/>
        <v>1313.6750000000002</v>
      </c>
      <c r="Q66" s="71">
        <f t="shared" si="24"/>
        <v>1313.6750000000002</v>
      </c>
      <c r="R66" s="71">
        <f t="shared" si="24"/>
        <v>1313.6750000000002</v>
      </c>
      <c r="S66" s="71">
        <f t="shared" si="24"/>
        <v>1313.6750000000002</v>
      </c>
      <c r="T66" s="71">
        <f t="shared" si="24"/>
        <v>1313.6750000000002</v>
      </c>
      <c r="U66" s="71">
        <f t="shared" si="24"/>
        <v>1313.6750000000002</v>
      </c>
      <c r="V66" s="71">
        <f t="shared" si="24"/>
        <v>0</v>
      </c>
      <c r="W66" s="71">
        <f t="shared" si="24"/>
        <v>0</v>
      </c>
      <c r="X66" s="345"/>
      <c r="Y66" s="345"/>
      <c r="Z66" s="345"/>
      <c r="AA66" s="171"/>
      <c r="AB66" s="171"/>
      <c r="AC66" s="345"/>
      <c r="AD66" s="345"/>
      <c r="AE66" s="345"/>
      <c r="AF66" s="345"/>
      <c r="AG66" s="345"/>
      <c r="AH66" s="25"/>
    </row>
    <row r="67" spans="1:39">
      <c r="A67" s="71" t="s">
        <v>125</v>
      </c>
      <c r="B67" s="347">
        <v>0</v>
      </c>
      <c r="C67" s="71">
        <f>C65*$R$7/2</f>
        <v>2041.7136849999999</v>
      </c>
      <c r="D67" s="71">
        <f t="shared" ref="D67:W67" si="25">D65*$R$7/2</f>
        <v>1934.2550699999997</v>
      </c>
      <c r="E67" s="71">
        <f t="shared" si="25"/>
        <v>1826.7964549999995</v>
      </c>
      <c r="F67" s="71">
        <f t="shared" si="25"/>
        <v>1719.3378399999992</v>
      </c>
      <c r="G67" s="71">
        <f t="shared" si="25"/>
        <v>1611.879224999999</v>
      </c>
      <c r="H67" s="71">
        <f t="shared" si="25"/>
        <v>1504.4206099999988</v>
      </c>
      <c r="I67" s="71">
        <f t="shared" si="25"/>
        <v>1396.9619949999985</v>
      </c>
      <c r="J67" s="71">
        <f t="shared" si="25"/>
        <v>1289.5033799999985</v>
      </c>
      <c r="K67" s="71">
        <f t="shared" si="25"/>
        <v>1182.0447649999985</v>
      </c>
      <c r="L67" s="71">
        <f t="shared" si="25"/>
        <v>1074.5861499999987</v>
      </c>
      <c r="M67" s="71">
        <f t="shared" si="25"/>
        <v>967.12753499999872</v>
      </c>
      <c r="N67" s="71">
        <f t="shared" si="25"/>
        <v>859.66891999999871</v>
      </c>
      <c r="O67" s="71">
        <f t="shared" si="25"/>
        <v>752.21030499999881</v>
      </c>
      <c r="P67" s="71">
        <f t="shared" si="25"/>
        <v>644.75168999999892</v>
      </c>
      <c r="Q67" s="71">
        <f t="shared" si="25"/>
        <v>537.29307499999891</v>
      </c>
      <c r="R67" s="71">
        <f t="shared" si="25"/>
        <v>429.83445999999901</v>
      </c>
      <c r="S67" s="71">
        <f t="shared" si="25"/>
        <v>322.375844999999</v>
      </c>
      <c r="T67" s="71">
        <f t="shared" si="25"/>
        <v>214.91722999999902</v>
      </c>
      <c r="U67" s="71">
        <f t="shared" si="25"/>
        <v>107.45861499999901</v>
      </c>
      <c r="V67" s="71">
        <f t="shared" si="25"/>
        <v>-1.0043549991678447E-12</v>
      </c>
      <c r="W67" s="71">
        <f t="shared" si="25"/>
        <v>-1.0043549991678447E-12</v>
      </c>
      <c r="X67" s="345"/>
      <c r="Y67" s="345"/>
      <c r="Z67" s="345"/>
      <c r="AA67" s="171"/>
      <c r="AB67" s="171"/>
      <c r="AC67" s="345"/>
      <c r="AD67" s="345"/>
      <c r="AE67" s="345"/>
      <c r="AF67" s="345"/>
      <c r="AG67" s="345"/>
      <c r="AH67" s="25"/>
    </row>
    <row r="68" spans="1:39">
      <c r="A68" s="71" t="s">
        <v>126</v>
      </c>
      <c r="B68" s="347">
        <f>B65-B66</f>
        <v>52547</v>
      </c>
      <c r="C68" s="71">
        <f t="shared" ref="C68:R68" si="26">C65-C66</f>
        <v>48605.974999999999</v>
      </c>
      <c r="D68" s="71">
        <f t="shared" si="26"/>
        <v>45978.624999999993</v>
      </c>
      <c r="E68" s="71">
        <f t="shared" si="26"/>
        <v>43351.274999999987</v>
      </c>
      <c r="F68" s="71">
        <f t="shared" si="26"/>
        <v>40723.924999999981</v>
      </c>
      <c r="G68" s="71">
        <f t="shared" si="26"/>
        <v>38096.574999999975</v>
      </c>
      <c r="H68" s="71">
        <f t="shared" si="26"/>
        <v>35469.224999999969</v>
      </c>
      <c r="I68" s="71">
        <f t="shared" si="26"/>
        <v>32841.874999999964</v>
      </c>
      <c r="J68" s="71">
        <f t="shared" si="26"/>
        <v>30214.524999999965</v>
      </c>
      <c r="K68" s="71">
        <f t="shared" si="26"/>
        <v>27587.174999999967</v>
      </c>
      <c r="L68" s="71">
        <f t="shared" si="26"/>
        <v>24959.824999999968</v>
      </c>
      <c r="M68" s="345">
        <f t="shared" si="26"/>
        <v>22332.474999999969</v>
      </c>
      <c r="N68" s="345">
        <f t="shared" si="26"/>
        <v>19705.124999999971</v>
      </c>
      <c r="O68" s="345">
        <f t="shared" si="26"/>
        <v>17077.774999999972</v>
      </c>
      <c r="P68" s="345">
        <f t="shared" si="26"/>
        <v>14450.424999999974</v>
      </c>
      <c r="Q68" s="345">
        <f t="shared" si="26"/>
        <v>11823.074999999975</v>
      </c>
      <c r="R68" s="345">
        <f t="shared" si="26"/>
        <v>9195.7249999999767</v>
      </c>
      <c r="S68" s="345">
        <f>S65-S66</f>
        <v>6568.3749999999764</v>
      </c>
      <c r="T68" s="345">
        <f>T65-T66</f>
        <v>3941.024999999976</v>
      </c>
      <c r="U68" s="345">
        <f>U65-U66</f>
        <v>1313.6749999999756</v>
      </c>
      <c r="V68" s="345">
        <f>V65-V66</f>
        <v>-2.4556356947869062E-11</v>
      </c>
      <c r="W68" s="345">
        <f>W65-W66</f>
        <v>-2.4556356947869062E-11</v>
      </c>
      <c r="X68" s="345"/>
      <c r="Y68" s="345"/>
      <c r="Z68" s="345"/>
      <c r="AA68" s="171"/>
      <c r="AB68" s="171"/>
      <c r="AC68" s="345"/>
      <c r="AD68" s="345"/>
      <c r="AE68" s="345"/>
      <c r="AF68" s="345"/>
      <c r="AG68" s="345"/>
      <c r="AH68" s="25"/>
    </row>
    <row r="69" spans="1:39">
      <c r="A69" s="408">
        <f>A35</f>
        <v>36557</v>
      </c>
      <c r="B69" s="347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345"/>
      <c r="U69" s="345"/>
      <c r="V69" s="345"/>
      <c r="W69" s="345"/>
      <c r="X69" s="71"/>
      <c r="Y69" s="71"/>
      <c r="Z69" s="71"/>
      <c r="AA69" s="171"/>
      <c r="AB69" s="171"/>
      <c r="AC69" s="71"/>
      <c r="AD69" s="71"/>
      <c r="AE69" s="71"/>
      <c r="AF69" s="345"/>
      <c r="AG69" s="71"/>
      <c r="AH69" s="25"/>
    </row>
    <row r="70" spans="1:39">
      <c r="A70" s="71" t="s">
        <v>123</v>
      </c>
      <c r="B70" s="347">
        <f>B68</f>
        <v>52547</v>
      </c>
      <c r="C70" s="71">
        <f>C68</f>
        <v>48605.974999999999</v>
      </c>
      <c r="D70" s="71">
        <f t="shared" ref="D70:W70" si="27">D68</f>
        <v>45978.624999999993</v>
      </c>
      <c r="E70" s="71">
        <f t="shared" si="27"/>
        <v>43351.274999999987</v>
      </c>
      <c r="F70" s="71">
        <f t="shared" si="27"/>
        <v>40723.924999999981</v>
      </c>
      <c r="G70" s="71">
        <f t="shared" si="27"/>
        <v>38096.574999999975</v>
      </c>
      <c r="H70" s="71">
        <f t="shared" si="27"/>
        <v>35469.224999999969</v>
      </c>
      <c r="I70" s="71">
        <f t="shared" si="27"/>
        <v>32841.874999999964</v>
      </c>
      <c r="J70" s="71">
        <f t="shared" si="27"/>
        <v>30214.524999999965</v>
      </c>
      <c r="K70" s="71">
        <f t="shared" si="27"/>
        <v>27587.174999999967</v>
      </c>
      <c r="L70" s="71">
        <f t="shared" si="27"/>
        <v>24959.824999999968</v>
      </c>
      <c r="M70" s="71">
        <f t="shared" si="27"/>
        <v>22332.474999999969</v>
      </c>
      <c r="N70" s="71">
        <f t="shared" si="27"/>
        <v>19705.124999999971</v>
      </c>
      <c r="O70" s="71">
        <f t="shared" si="27"/>
        <v>17077.774999999972</v>
      </c>
      <c r="P70" s="71">
        <f t="shared" si="27"/>
        <v>14450.424999999974</v>
      </c>
      <c r="Q70" s="71">
        <f t="shared" si="27"/>
        <v>11823.074999999975</v>
      </c>
      <c r="R70" s="71">
        <f t="shared" si="27"/>
        <v>9195.7249999999767</v>
      </c>
      <c r="S70" s="71">
        <f t="shared" si="27"/>
        <v>6568.3749999999764</v>
      </c>
      <c r="T70" s="71">
        <f t="shared" si="27"/>
        <v>3941.024999999976</v>
      </c>
      <c r="U70" s="71">
        <f t="shared" si="27"/>
        <v>1313.6749999999756</v>
      </c>
      <c r="V70" s="71">
        <f t="shared" si="27"/>
        <v>-2.4556356947869062E-11</v>
      </c>
      <c r="W70" s="71">
        <f t="shared" si="27"/>
        <v>-2.4556356947869062E-11</v>
      </c>
      <c r="X70" s="71"/>
      <c r="Y70" s="71"/>
      <c r="Z70" s="71"/>
      <c r="AA70" s="171"/>
      <c r="AB70" s="171"/>
      <c r="AC70" s="71"/>
      <c r="AD70" s="71"/>
      <c r="AE70" s="71"/>
      <c r="AF70" s="345"/>
      <c r="AG70" s="71"/>
      <c r="AH70" s="25"/>
    </row>
    <row r="71" spans="1:39">
      <c r="A71" s="71" t="s">
        <v>124</v>
      </c>
      <c r="B71" s="347">
        <f>B65*B26</f>
        <v>2627.3500000000004</v>
      </c>
      <c r="C71" s="71">
        <f>$B$65*C26/2</f>
        <v>1313.6750000000002</v>
      </c>
      <c r="D71" s="71">
        <f t="shared" ref="D71:W71" si="28">$B$65*D26/2</f>
        <v>1313.6750000000002</v>
      </c>
      <c r="E71" s="71">
        <f t="shared" si="28"/>
        <v>1313.6750000000002</v>
      </c>
      <c r="F71" s="71">
        <f t="shared" si="28"/>
        <v>1313.6750000000002</v>
      </c>
      <c r="G71" s="71">
        <f t="shared" si="28"/>
        <v>1313.6750000000002</v>
      </c>
      <c r="H71" s="71">
        <f t="shared" si="28"/>
        <v>1313.6750000000002</v>
      </c>
      <c r="I71" s="71">
        <f t="shared" si="28"/>
        <v>1313.6750000000002</v>
      </c>
      <c r="J71" s="71">
        <f t="shared" si="28"/>
        <v>1313.6750000000002</v>
      </c>
      <c r="K71" s="71">
        <f t="shared" si="28"/>
        <v>1313.6750000000002</v>
      </c>
      <c r="L71" s="71">
        <f t="shared" si="28"/>
        <v>1313.6750000000002</v>
      </c>
      <c r="M71" s="71">
        <f t="shared" si="28"/>
        <v>1313.6750000000002</v>
      </c>
      <c r="N71" s="71">
        <f t="shared" si="28"/>
        <v>1313.6750000000002</v>
      </c>
      <c r="O71" s="71">
        <f t="shared" si="28"/>
        <v>1313.6750000000002</v>
      </c>
      <c r="P71" s="71">
        <f t="shared" si="28"/>
        <v>1313.6750000000002</v>
      </c>
      <c r="Q71" s="71">
        <f t="shared" si="28"/>
        <v>1313.6750000000002</v>
      </c>
      <c r="R71" s="71">
        <f t="shared" si="28"/>
        <v>1313.6750000000002</v>
      </c>
      <c r="S71" s="71">
        <f t="shared" si="28"/>
        <v>1313.6750000000002</v>
      </c>
      <c r="T71" s="71">
        <f t="shared" si="28"/>
        <v>1313.6750000000002</v>
      </c>
      <c r="U71" s="71">
        <f t="shared" si="28"/>
        <v>1313.6750000000002</v>
      </c>
      <c r="V71" s="71">
        <f t="shared" si="28"/>
        <v>0</v>
      </c>
      <c r="W71" s="71">
        <f t="shared" si="28"/>
        <v>0</v>
      </c>
      <c r="X71" s="71"/>
      <c r="Y71" s="71"/>
      <c r="Z71" s="71"/>
      <c r="AA71" s="171"/>
      <c r="AB71" s="171"/>
      <c r="AC71" s="71"/>
      <c r="AD71" s="71"/>
      <c r="AE71" s="71"/>
      <c r="AF71" s="345"/>
      <c r="AG71" s="71"/>
      <c r="AH71" s="25"/>
    </row>
    <row r="72" spans="1:39">
      <c r="A72" s="71" t="s">
        <v>125</v>
      </c>
      <c r="B72" s="347">
        <f>B70*$R$7/2</f>
        <v>2149.1722999999997</v>
      </c>
      <c r="C72" s="347">
        <f t="shared" ref="C72:W72" si="29">C70*$R$7/2</f>
        <v>1987.9843774999999</v>
      </c>
      <c r="D72" s="347">
        <f t="shared" si="29"/>
        <v>1880.5257624999997</v>
      </c>
      <c r="E72" s="347">
        <f t="shared" si="29"/>
        <v>1773.0671474999995</v>
      </c>
      <c r="F72" s="347">
        <f t="shared" si="29"/>
        <v>1665.6085324999992</v>
      </c>
      <c r="G72" s="347">
        <f t="shared" si="29"/>
        <v>1558.149917499999</v>
      </c>
      <c r="H72" s="347">
        <f t="shared" si="29"/>
        <v>1450.6913024999988</v>
      </c>
      <c r="I72" s="347">
        <f t="shared" si="29"/>
        <v>1343.2326874999985</v>
      </c>
      <c r="J72" s="347">
        <f t="shared" si="29"/>
        <v>1235.7740724999985</v>
      </c>
      <c r="K72" s="347">
        <f t="shared" si="29"/>
        <v>1128.3154574999985</v>
      </c>
      <c r="L72" s="347">
        <f t="shared" si="29"/>
        <v>1020.8568424999986</v>
      </c>
      <c r="M72" s="347">
        <f t="shared" si="29"/>
        <v>913.39822749999871</v>
      </c>
      <c r="N72" s="347">
        <f t="shared" si="29"/>
        <v>805.93961249999882</v>
      </c>
      <c r="O72" s="347">
        <f t="shared" si="29"/>
        <v>698.48099749999881</v>
      </c>
      <c r="P72" s="347">
        <f t="shared" si="29"/>
        <v>591.02238249999891</v>
      </c>
      <c r="Q72" s="347">
        <f t="shared" si="29"/>
        <v>483.56376749999896</v>
      </c>
      <c r="R72" s="347">
        <f t="shared" si="29"/>
        <v>376.10515249999906</v>
      </c>
      <c r="S72" s="347">
        <f t="shared" si="29"/>
        <v>268.646537499999</v>
      </c>
      <c r="T72" s="347">
        <f t="shared" si="29"/>
        <v>161.18792249999902</v>
      </c>
      <c r="U72" s="347">
        <f t="shared" si="29"/>
        <v>53.729307499999003</v>
      </c>
      <c r="V72" s="347">
        <f t="shared" si="29"/>
        <v>-1.0043549991678447E-12</v>
      </c>
      <c r="W72" s="347">
        <f t="shared" si="29"/>
        <v>-1.0043549991678447E-12</v>
      </c>
      <c r="X72" s="71"/>
      <c r="Y72" s="71"/>
      <c r="Z72" s="71"/>
      <c r="AA72" s="171"/>
      <c r="AB72" s="171"/>
      <c r="AC72" s="71"/>
      <c r="AD72" s="71"/>
      <c r="AE72" s="71"/>
      <c r="AF72" s="345"/>
      <c r="AG72" s="71"/>
      <c r="AH72" s="25"/>
    </row>
    <row r="73" spans="1:39">
      <c r="A73" s="71" t="s">
        <v>126</v>
      </c>
      <c r="B73" s="71">
        <f>B70-B71</f>
        <v>49919.65</v>
      </c>
      <c r="C73" s="71">
        <f t="shared" ref="C73:R73" si="30">C70-C71</f>
        <v>47292.299999999996</v>
      </c>
      <c r="D73" s="71">
        <f t="shared" si="30"/>
        <v>44664.94999999999</v>
      </c>
      <c r="E73" s="71">
        <f t="shared" si="30"/>
        <v>42037.599999999984</v>
      </c>
      <c r="F73" s="71">
        <f t="shared" si="30"/>
        <v>39410.249999999978</v>
      </c>
      <c r="G73" s="71">
        <f t="shared" si="30"/>
        <v>36782.899999999972</v>
      </c>
      <c r="H73" s="71">
        <f t="shared" si="30"/>
        <v>34155.549999999967</v>
      </c>
      <c r="I73" s="71">
        <f t="shared" si="30"/>
        <v>31528.199999999964</v>
      </c>
      <c r="J73" s="71">
        <f t="shared" si="30"/>
        <v>28900.849999999966</v>
      </c>
      <c r="K73" s="71">
        <f t="shared" si="30"/>
        <v>26273.499999999967</v>
      </c>
      <c r="L73" s="71">
        <f t="shared" si="30"/>
        <v>23646.149999999969</v>
      </c>
      <c r="M73" s="71">
        <f t="shared" si="30"/>
        <v>21018.79999999997</v>
      </c>
      <c r="N73" s="71">
        <f t="shared" si="30"/>
        <v>18391.449999999972</v>
      </c>
      <c r="O73" s="71">
        <f t="shared" si="30"/>
        <v>15764.099999999973</v>
      </c>
      <c r="P73" s="71">
        <f t="shared" si="30"/>
        <v>13136.749999999975</v>
      </c>
      <c r="Q73" s="71">
        <f t="shared" si="30"/>
        <v>10509.399999999976</v>
      </c>
      <c r="R73" s="71">
        <f t="shared" si="30"/>
        <v>7882.0499999999765</v>
      </c>
      <c r="S73" s="71">
        <f>S70-S71</f>
        <v>5254.6999999999762</v>
      </c>
      <c r="T73" s="345">
        <f>T70-T71</f>
        <v>2627.3499999999758</v>
      </c>
      <c r="U73" s="345">
        <f>U70-U71</f>
        <v>-2.4556356947869062E-11</v>
      </c>
      <c r="V73" s="345">
        <f>V70-V71</f>
        <v>-2.4556356947869062E-11</v>
      </c>
      <c r="W73" s="345">
        <f>W70-W71</f>
        <v>-2.4556356947869062E-11</v>
      </c>
      <c r="X73" s="71"/>
      <c r="Y73" s="71"/>
      <c r="Z73" s="71"/>
      <c r="AA73" s="171"/>
      <c r="AB73" s="171"/>
      <c r="AC73" s="71"/>
      <c r="AD73" s="71"/>
      <c r="AE73" s="71"/>
      <c r="AF73" s="345"/>
      <c r="AG73" s="71"/>
      <c r="AH73" s="25"/>
    </row>
    <row r="74" spans="1:39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345"/>
      <c r="U74" s="345"/>
      <c r="V74" s="345"/>
      <c r="W74" s="345"/>
      <c r="X74" s="71"/>
      <c r="Y74" s="71"/>
      <c r="Z74" s="71"/>
      <c r="AA74" s="171"/>
      <c r="AB74" s="171"/>
      <c r="AC74" s="71"/>
      <c r="AD74" s="71"/>
      <c r="AE74" s="71"/>
      <c r="AF74" s="345"/>
      <c r="AG74" s="71"/>
      <c r="AH74" s="25"/>
    </row>
    <row r="75" spans="1:39">
      <c r="A75" s="73" t="s">
        <v>165</v>
      </c>
      <c r="B75" s="71">
        <f>B72+B67</f>
        <v>2149.1722999999997</v>
      </c>
      <c r="C75" s="71">
        <f t="shared" ref="C75:W75" si="31">C72+C67</f>
        <v>4029.6980624999997</v>
      </c>
      <c r="D75" s="71">
        <f t="shared" si="31"/>
        <v>3814.7808324999996</v>
      </c>
      <c r="E75" s="71">
        <f t="shared" si="31"/>
        <v>3599.8636024999987</v>
      </c>
      <c r="F75" s="71">
        <f t="shared" si="31"/>
        <v>3384.9463724999987</v>
      </c>
      <c r="G75" s="71">
        <f t="shared" si="31"/>
        <v>3170.0291424999978</v>
      </c>
      <c r="H75" s="71">
        <f t="shared" si="31"/>
        <v>2955.1119124999977</v>
      </c>
      <c r="I75" s="71">
        <f t="shared" si="31"/>
        <v>2740.1946824999968</v>
      </c>
      <c r="J75" s="71">
        <f t="shared" si="31"/>
        <v>2525.2774524999968</v>
      </c>
      <c r="K75" s="71">
        <f t="shared" si="31"/>
        <v>2310.3602224999968</v>
      </c>
      <c r="L75" s="71">
        <f t="shared" si="31"/>
        <v>2095.4429924999972</v>
      </c>
      <c r="M75" s="71">
        <f t="shared" si="31"/>
        <v>1880.5257624999974</v>
      </c>
      <c r="N75" s="71">
        <f t="shared" si="31"/>
        <v>1665.6085324999976</v>
      </c>
      <c r="O75" s="71">
        <f t="shared" si="31"/>
        <v>1450.6913024999976</v>
      </c>
      <c r="P75" s="71">
        <f t="shared" si="31"/>
        <v>1235.7740724999978</v>
      </c>
      <c r="Q75" s="71">
        <f t="shared" si="31"/>
        <v>1020.8568424999978</v>
      </c>
      <c r="R75" s="71">
        <f t="shared" si="31"/>
        <v>805.93961249999802</v>
      </c>
      <c r="S75" s="71">
        <f t="shared" si="31"/>
        <v>591.022382499998</v>
      </c>
      <c r="T75" s="71">
        <f t="shared" si="31"/>
        <v>376.10515249999804</v>
      </c>
      <c r="U75" s="71">
        <f t="shared" si="31"/>
        <v>161.18792249999802</v>
      </c>
      <c r="V75" s="71">
        <f t="shared" si="31"/>
        <v>-2.0087099983356894E-12</v>
      </c>
      <c r="W75" s="71">
        <f t="shared" si="31"/>
        <v>-2.0087099983356894E-12</v>
      </c>
      <c r="X75" s="71"/>
      <c r="Y75" s="71"/>
      <c r="Z75" s="71"/>
      <c r="AA75" s="171"/>
      <c r="AB75" s="171"/>
      <c r="AC75" s="71"/>
      <c r="AD75" s="71"/>
      <c r="AE75" s="71"/>
      <c r="AF75" s="345"/>
      <c r="AG75" s="71"/>
      <c r="AH75" s="25"/>
    </row>
    <row r="76" spans="1:39">
      <c r="A76" s="16" t="s">
        <v>166</v>
      </c>
      <c r="B76" s="71">
        <v>0</v>
      </c>
      <c r="C76" s="71">
        <v>0</v>
      </c>
      <c r="D76" s="71">
        <v>0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1">
        <v>0</v>
      </c>
      <c r="T76" s="345">
        <v>0</v>
      </c>
      <c r="U76" s="345">
        <v>0</v>
      </c>
      <c r="V76" s="345">
        <v>0</v>
      </c>
      <c r="W76" s="345">
        <v>0</v>
      </c>
      <c r="AA76" s="17"/>
      <c r="AB76" s="17"/>
      <c r="AF76" s="6"/>
      <c r="AG76" s="71"/>
      <c r="AH76" s="25"/>
    </row>
    <row r="77" spans="1:39">
      <c r="A77" s="73" t="s">
        <v>173</v>
      </c>
      <c r="B77" s="347">
        <f>B71+B66</f>
        <v>2627.3500000000004</v>
      </c>
      <c r="C77" s="347">
        <f t="shared" ref="C77:W77" si="32">C71+C66</f>
        <v>2627.3500000000004</v>
      </c>
      <c r="D77" s="347">
        <f t="shared" si="32"/>
        <v>2627.3500000000004</v>
      </c>
      <c r="E77" s="347">
        <f t="shared" si="32"/>
        <v>2627.3500000000004</v>
      </c>
      <c r="F77" s="347">
        <f t="shared" si="32"/>
        <v>2627.3500000000004</v>
      </c>
      <c r="G77" s="347">
        <f t="shared" si="32"/>
        <v>2627.3500000000004</v>
      </c>
      <c r="H77" s="347">
        <f t="shared" si="32"/>
        <v>2627.3500000000004</v>
      </c>
      <c r="I77" s="347">
        <f t="shared" si="32"/>
        <v>2627.3500000000004</v>
      </c>
      <c r="J77" s="347">
        <f t="shared" si="32"/>
        <v>2627.3500000000004</v>
      </c>
      <c r="K77" s="347">
        <f t="shared" si="32"/>
        <v>2627.3500000000004</v>
      </c>
      <c r="L77" s="347">
        <f t="shared" si="32"/>
        <v>2627.3500000000004</v>
      </c>
      <c r="M77" s="347">
        <f t="shared" si="32"/>
        <v>2627.3500000000004</v>
      </c>
      <c r="N77" s="347">
        <f t="shared" si="32"/>
        <v>2627.3500000000004</v>
      </c>
      <c r="O77" s="347">
        <f t="shared" si="32"/>
        <v>2627.3500000000004</v>
      </c>
      <c r="P77" s="347">
        <f t="shared" si="32"/>
        <v>2627.3500000000004</v>
      </c>
      <c r="Q77" s="347">
        <f t="shared" si="32"/>
        <v>2627.3500000000004</v>
      </c>
      <c r="R77" s="347">
        <f t="shared" si="32"/>
        <v>2627.3500000000004</v>
      </c>
      <c r="S77" s="347">
        <f t="shared" si="32"/>
        <v>2627.3500000000004</v>
      </c>
      <c r="T77" s="347">
        <f t="shared" si="32"/>
        <v>2627.3500000000004</v>
      </c>
      <c r="U77" s="347">
        <f t="shared" si="32"/>
        <v>2627.3500000000004</v>
      </c>
      <c r="V77" s="347">
        <f t="shared" si="32"/>
        <v>0</v>
      </c>
      <c r="W77" s="347">
        <f t="shared" si="32"/>
        <v>0</v>
      </c>
      <c r="AA77" s="17"/>
      <c r="AB77" s="17"/>
      <c r="AF77" s="6"/>
      <c r="AG77" s="71"/>
      <c r="AH77" s="25"/>
    </row>
    <row r="78" spans="1:39">
      <c r="T78" s="6"/>
      <c r="U78" s="6"/>
      <c r="V78" s="6"/>
      <c r="W78" s="6"/>
    </row>
    <row r="80" spans="1:39">
      <c r="A80" s="86" t="s">
        <v>92</v>
      </c>
      <c r="B80" s="87">
        <f>IS!D42</f>
        <v>10171.347294908455</v>
      </c>
      <c r="C80" s="87">
        <f>IS!E42</f>
        <v>19038.481259796885</v>
      </c>
      <c r="D80" s="87">
        <f>IS!F42</f>
        <v>19018.841234105948</v>
      </c>
      <c r="E80" s="87">
        <f>IS!G42</f>
        <v>18998.213908741913</v>
      </c>
      <c r="F80" s="87">
        <f>IS!H42</f>
        <v>24917.145435037673</v>
      </c>
      <c r="G80" s="87">
        <f>IS!I42</f>
        <v>31255.388059575394</v>
      </c>
      <c r="H80" s="87">
        <f>IS!J42</f>
        <v>31647.088380358033</v>
      </c>
      <c r="I80" s="87">
        <f>IS!K42</f>
        <v>32037.56379610144</v>
      </c>
      <c r="J80" s="87">
        <f>IS!L42</f>
        <v>33056.597052121673</v>
      </c>
      <c r="K80" s="87">
        <f>IS!M42</f>
        <v>33450.406948084128</v>
      </c>
      <c r="L80" s="87">
        <f>IS!N42</f>
        <v>34515.797792723213</v>
      </c>
      <c r="M80" s="87">
        <f>IS!O42</f>
        <v>34131.176069828492</v>
      </c>
      <c r="N80" s="87">
        <f>IS!P42</f>
        <v>35298.185922826233</v>
      </c>
      <c r="O80" s="87">
        <f>IS!Q42</f>
        <v>35775.73985346705</v>
      </c>
      <c r="P80" s="87">
        <f>IS!R42</f>
        <v>36240.793026194937</v>
      </c>
      <c r="Q80" s="87">
        <f>IS!S42</f>
        <v>36691.077093442247</v>
      </c>
      <c r="R80" s="87">
        <f>IS!T42</f>
        <v>37155.978391196826</v>
      </c>
      <c r="S80" s="87">
        <f>IS!U42</f>
        <v>37613.729078741359</v>
      </c>
      <c r="T80" s="87">
        <f>IS!V42</f>
        <v>38038.640797159489</v>
      </c>
      <c r="U80" s="87">
        <f>IS!W42</f>
        <v>38315.394671377551</v>
      </c>
      <c r="V80" s="87">
        <f>IS!X42</f>
        <v>38480.204854011354</v>
      </c>
      <c r="W80" s="87">
        <f>IS!Y42</f>
        <v>38802.281015885797</v>
      </c>
      <c r="X80"/>
      <c r="Y80"/>
      <c r="Z80"/>
      <c r="AA80"/>
      <c r="AB80" s="111"/>
      <c r="AC80" s="87"/>
      <c r="AD80" s="87"/>
      <c r="AE80" s="87"/>
      <c r="AF80" s="87"/>
      <c r="AG80" s="87"/>
      <c r="AH80" s="1"/>
      <c r="AI80" s="1"/>
      <c r="AJ80" s="1"/>
      <c r="AK80" s="1"/>
      <c r="AL80" s="1"/>
      <c r="AM80" s="1"/>
    </row>
    <row r="81" spans="1:39">
      <c r="A81" s="65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/>
      <c r="Y81"/>
      <c r="Z81"/>
      <c r="AA81"/>
      <c r="AB81" s="172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</row>
    <row r="82" spans="1:39">
      <c r="A82" s="72" t="s">
        <v>170</v>
      </c>
      <c r="B82" s="72">
        <f>B32+B33+B37+B38</f>
        <v>1332.2099000000001</v>
      </c>
      <c r="C82" s="72">
        <f t="shared" ref="C82:W82" si="33">C32+C33+C37+C38</f>
        <v>1801.1310625000003</v>
      </c>
      <c r="D82" s="72">
        <f t="shared" si="33"/>
        <v>1747.5400725000002</v>
      </c>
      <c r="E82" s="72">
        <f t="shared" si="33"/>
        <v>1693.9490825000003</v>
      </c>
      <c r="F82" s="72">
        <f t="shared" si="33"/>
        <v>1640.3580925000003</v>
      </c>
      <c r="G82" s="72">
        <f t="shared" si="33"/>
        <v>1586.7671025000002</v>
      </c>
      <c r="H82" s="72">
        <f t="shared" si="33"/>
        <v>1533.1761125000005</v>
      </c>
      <c r="I82" s="72">
        <f t="shared" si="33"/>
        <v>1479.5851225000004</v>
      </c>
      <c r="J82" s="72">
        <f t="shared" si="33"/>
        <v>1425.9941325000007</v>
      </c>
      <c r="K82" s="72">
        <f t="shared" si="33"/>
        <v>1372.4031425000005</v>
      </c>
      <c r="L82" s="72">
        <f t="shared" si="33"/>
        <v>1318.8121525000006</v>
      </c>
      <c r="M82" s="72">
        <f t="shared" si="33"/>
        <v>1265.2211625000007</v>
      </c>
      <c r="N82" s="72">
        <f t="shared" si="33"/>
        <v>1211.6301725000005</v>
      </c>
      <c r="O82" s="72">
        <f t="shared" si="33"/>
        <v>1158.0391825000008</v>
      </c>
      <c r="P82" s="72">
        <f t="shared" si="33"/>
        <v>1104.4481925000007</v>
      </c>
      <c r="Q82" s="72">
        <f t="shared" si="33"/>
        <v>1050.8572025000008</v>
      </c>
      <c r="R82" s="72">
        <f t="shared" si="33"/>
        <v>997.26621250000085</v>
      </c>
      <c r="S82" s="72">
        <f t="shared" si="33"/>
        <v>943.6752225000007</v>
      </c>
      <c r="T82" s="72">
        <f t="shared" si="33"/>
        <v>890.08423250000067</v>
      </c>
      <c r="U82" s="72">
        <f t="shared" si="33"/>
        <v>836.49324250000075</v>
      </c>
      <c r="V82" s="72">
        <f t="shared" si="33"/>
        <v>6.5034555518650444E-13</v>
      </c>
      <c r="W82" s="72">
        <f t="shared" si="33"/>
        <v>6.5034555518650444E-13</v>
      </c>
      <c r="X82"/>
      <c r="Y82"/>
      <c r="Z82"/>
      <c r="AA82"/>
      <c r="AB82" s="173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</row>
    <row r="83" spans="1:39">
      <c r="A83" s="72" t="s">
        <v>171</v>
      </c>
      <c r="B83" s="72">
        <f>B49+B50+B54+B55</f>
        <v>2574.1806999999999</v>
      </c>
      <c r="C83" s="72">
        <f t="shared" ref="C83:W83" si="34">C49+C50+C54+C55</f>
        <v>3544.6263125000005</v>
      </c>
      <c r="D83" s="72">
        <f t="shared" si="34"/>
        <v>3433.7182425000005</v>
      </c>
      <c r="E83" s="72">
        <f t="shared" si="34"/>
        <v>3322.8101725000006</v>
      </c>
      <c r="F83" s="72">
        <f t="shared" si="34"/>
        <v>3211.9021025000006</v>
      </c>
      <c r="G83" s="72">
        <f t="shared" si="34"/>
        <v>3100.9940325000011</v>
      </c>
      <c r="H83" s="72">
        <f t="shared" si="34"/>
        <v>2990.0859625000007</v>
      </c>
      <c r="I83" s="72">
        <f t="shared" si="34"/>
        <v>2879.1778925000012</v>
      </c>
      <c r="J83" s="72">
        <f t="shared" si="34"/>
        <v>2768.2698225000013</v>
      </c>
      <c r="K83" s="72">
        <f t="shared" si="34"/>
        <v>2657.3617525000013</v>
      </c>
      <c r="L83" s="72">
        <f t="shared" si="34"/>
        <v>2546.4536825000014</v>
      </c>
      <c r="M83" s="72">
        <f t="shared" si="34"/>
        <v>2435.5456125000014</v>
      </c>
      <c r="N83" s="72">
        <f t="shared" si="34"/>
        <v>2324.6375425000015</v>
      </c>
      <c r="O83" s="72">
        <f t="shared" si="34"/>
        <v>2213.7294725000015</v>
      </c>
      <c r="P83" s="72">
        <f t="shared" si="34"/>
        <v>2102.821402500002</v>
      </c>
      <c r="Q83" s="72">
        <f t="shared" si="34"/>
        <v>1991.9133325000016</v>
      </c>
      <c r="R83" s="72">
        <f t="shared" si="34"/>
        <v>1881.0052625000014</v>
      </c>
      <c r="S83" s="72">
        <f t="shared" si="34"/>
        <v>1770.0971925000017</v>
      </c>
      <c r="T83" s="72">
        <f t="shared" si="34"/>
        <v>1659.1891225000015</v>
      </c>
      <c r="U83" s="72">
        <f t="shared" si="34"/>
        <v>1548.2810525000016</v>
      </c>
      <c r="V83" s="72">
        <f t="shared" si="34"/>
        <v>1.3941871657152661E-12</v>
      </c>
      <c r="W83" s="72">
        <f t="shared" si="34"/>
        <v>1.3941871657152661E-12</v>
      </c>
      <c r="X83"/>
      <c r="Y83"/>
      <c r="Z83"/>
      <c r="AA83"/>
      <c r="AB83" s="173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</row>
    <row r="84" spans="1:39">
      <c r="A84" s="72" t="s">
        <v>172</v>
      </c>
      <c r="B84" s="72">
        <f>B66+B67+B71+B72</f>
        <v>4776.5223000000005</v>
      </c>
      <c r="C84" s="72">
        <f t="shared" ref="C84:W84" si="35">C66+C67+C71+C72</f>
        <v>6657.0480625</v>
      </c>
      <c r="D84" s="72">
        <f t="shared" si="35"/>
        <v>6442.1308324999991</v>
      </c>
      <c r="E84" s="72">
        <f t="shared" si="35"/>
        <v>6227.2136025</v>
      </c>
      <c r="F84" s="72">
        <f t="shared" si="35"/>
        <v>6012.2963724999991</v>
      </c>
      <c r="G84" s="72">
        <f t="shared" si="35"/>
        <v>5797.3791424999981</v>
      </c>
      <c r="H84" s="72">
        <f t="shared" si="35"/>
        <v>5582.4619124999981</v>
      </c>
      <c r="I84" s="72">
        <f t="shared" si="35"/>
        <v>5367.5446824999981</v>
      </c>
      <c r="J84" s="72">
        <f t="shared" si="35"/>
        <v>5152.6274524999972</v>
      </c>
      <c r="K84" s="72">
        <f t="shared" si="35"/>
        <v>4937.7102224999981</v>
      </c>
      <c r="L84" s="72">
        <f t="shared" si="35"/>
        <v>4722.792992499998</v>
      </c>
      <c r="M84" s="72">
        <f t="shared" si="35"/>
        <v>4507.875762499998</v>
      </c>
      <c r="N84" s="72">
        <f t="shared" si="35"/>
        <v>4292.958532499998</v>
      </c>
      <c r="O84" s="72">
        <f t="shared" si="35"/>
        <v>4078.041302499998</v>
      </c>
      <c r="P84" s="72">
        <f t="shared" si="35"/>
        <v>3863.1240724999984</v>
      </c>
      <c r="Q84" s="72">
        <f t="shared" si="35"/>
        <v>3648.2068424999979</v>
      </c>
      <c r="R84" s="72">
        <f t="shared" si="35"/>
        <v>3433.2896124999984</v>
      </c>
      <c r="S84" s="72">
        <f t="shared" si="35"/>
        <v>3218.3723824999984</v>
      </c>
      <c r="T84" s="72">
        <f t="shared" si="35"/>
        <v>3003.4551524999983</v>
      </c>
      <c r="U84" s="72">
        <f t="shared" si="35"/>
        <v>2788.5379224999983</v>
      </c>
      <c r="V84" s="72">
        <f t="shared" si="35"/>
        <v>-2.0087099983356894E-12</v>
      </c>
      <c r="W84" s="72">
        <f t="shared" si="35"/>
        <v>-2.0087099983356894E-12</v>
      </c>
      <c r="X84"/>
      <c r="Y84"/>
      <c r="Z84"/>
      <c r="AA84"/>
      <c r="AB84" s="173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>
      <c r="A85" s="65" t="s">
        <v>179</v>
      </c>
      <c r="B85" s="424">
        <v>0</v>
      </c>
      <c r="C85" s="424">
        <v>0</v>
      </c>
      <c r="D85" s="425">
        <v>0</v>
      </c>
      <c r="E85" s="425">
        <v>0</v>
      </c>
      <c r="F85" s="425">
        <v>0</v>
      </c>
      <c r="G85" s="425">
        <v>0</v>
      </c>
      <c r="H85" s="425">
        <v>0</v>
      </c>
      <c r="I85" s="425">
        <v>0</v>
      </c>
      <c r="J85" s="425">
        <v>0</v>
      </c>
      <c r="K85" s="425">
        <v>0</v>
      </c>
      <c r="L85" s="425">
        <v>0</v>
      </c>
      <c r="M85" s="425">
        <v>0</v>
      </c>
      <c r="N85" s="425">
        <v>0</v>
      </c>
      <c r="O85" s="425">
        <v>0</v>
      </c>
      <c r="P85" s="425">
        <v>0</v>
      </c>
      <c r="Q85" s="425">
        <v>0</v>
      </c>
      <c r="R85" s="425">
        <v>0</v>
      </c>
      <c r="S85" s="425">
        <v>0</v>
      </c>
      <c r="T85" s="425">
        <v>0</v>
      </c>
      <c r="U85" s="425">
        <v>0</v>
      </c>
      <c r="V85" s="425">
        <v>0</v>
      </c>
      <c r="W85" s="425">
        <v>0</v>
      </c>
      <c r="X85"/>
      <c r="Y85"/>
      <c r="Z85"/>
      <c r="AA85"/>
      <c r="AB85" s="173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</row>
    <row r="86" spans="1:39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/>
      <c r="Y86"/>
      <c r="Z86"/>
      <c r="AA86"/>
      <c r="AB86" s="173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</row>
    <row r="87" spans="1:39">
      <c r="A87" s="73" t="s">
        <v>127</v>
      </c>
      <c r="B87" s="73">
        <f>SUM(B82:B84)-B85</f>
        <v>8682.9128999999994</v>
      </c>
      <c r="C87" s="73">
        <f t="shared" ref="C87:W87" si="36">SUM(C82:C84)-C85</f>
        <v>12002.805437500001</v>
      </c>
      <c r="D87" s="73">
        <f t="shared" si="36"/>
        <v>11623.3891475</v>
      </c>
      <c r="E87" s="73">
        <f t="shared" si="36"/>
        <v>11243.972857500001</v>
      </c>
      <c r="F87" s="73">
        <f t="shared" si="36"/>
        <v>10864.5565675</v>
      </c>
      <c r="G87" s="73">
        <f t="shared" si="36"/>
        <v>10485.140277499999</v>
      </c>
      <c r="H87" s="73">
        <f t="shared" si="36"/>
        <v>10105.7239875</v>
      </c>
      <c r="I87" s="73">
        <f t="shared" si="36"/>
        <v>9726.3076975000004</v>
      </c>
      <c r="J87" s="73">
        <f t="shared" si="36"/>
        <v>9346.8914074999993</v>
      </c>
      <c r="K87" s="73">
        <f t="shared" si="36"/>
        <v>8967.4751175000001</v>
      </c>
      <c r="L87" s="73">
        <f t="shared" si="36"/>
        <v>8588.0588275000009</v>
      </c>
      <c r="M87" s="73">
        <f t="shared" si="36"/>
        <v>8208.6425374999999</v>
      </c>
      <c r="N87" s="73">
        <f t="shared" si="36"/>
        <v>7829.2262474999998</v>
      </c>
      <c r="O87" s="73">
        <f t="shared" si="36"/>
        <v>7449.8099575000006</v>
      </c>
      <c r="P87" s="73">
        <f t="shared" si="36"/>
        <v>7070.3936675000004</v>
      </c>
      <c r="Q87" s="73">
        <f t="shared" si="36"/>
        <v>6690.9773775000003</v>
      </c>
      <c r="R87" s="73">
        <f t="shared" si="36"/>
        <v>6311.5610875000002</v>
      </c>
      <c r="S87" s="73">
        <f t="shared" si="36"/>
        <v>5932.144797500001</v>
      </c>
      <c r="T87" s="73">
        <f t="shared" si="36"/>
        <v>5552.7285075</v>
      </c>
      <c r="U87" s="73">
        <f t="shared" si="36"/>
        <v>5173.3122175000008</v>
      </c>
      <c r="V87" s="73">
        <f t="shared" si="36"/>
        <v>3.5822722566080926E-14</v>
      </c>
      <c r="W87" s="73">
        <f t="shared" si="36"/>
        <v>3.5822722566080926E-14</v>
      </c>
      <c r="X87"/>
      <c r="Y87"/>
      <c r="Z87"/>
      <c r="AA87"/>
      <c r="AB87" s="174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</row>
    <row r="88" spans="1:39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/>
      <c r="Y88"/>
      <c r="Z88"/>
      <c r="AA88"/>
      <c r="AB88" s="174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</row>
    <row r="89" spans="1:39">
      <c r="A89" s="73" t="s">
        <v>168</v>
      </c>
      <c r="B89" s="73">
        <f t="shared" ref="B89:W89" si="37">B41+B58+B75</f>
        <v>3794.1628999999998</v>
      </c>
      <c r="C89" s="73">
        <f t="shared" si="37"/>
        <v>7114.0554375000002</v>
      </c>
      <c r="D89" s="73">
        <f t="shared" si="37"/>
        <v>6734.6391475</v>
      </c>
      <c r="E89" s="73">
        <f t="shared" si="37"/>
        <v>6355.222857499999</v>
      </c>
      <c r="F89" s="73">
        <f t="shared" si="37"/>
        <v>5975.8065674999998</v>
      </c>
      <c r="G89" s="73">
        <f t="shared" si="37"/>
        <v>5596.3902774999988</v>
      </c>
      <c r="H89" s="73">
        <f t="shared" si="37"/>
        <v>5216.9739874999987</v>
      </c>
      <c r="I89" s="73">
        <f t="shared" si="37"/>
        <v>4837.5576974999985</v>
      </c>
      <c r="J89" s="73">
        <f t="shared" si="37"/>
        <v>4458.1414074999984</v>
      </c>
      <c r="K89" s="73">
        <f t="shared" si="37"/>
        <v>4078.7251174999983</v>
      </c>
      <c r="L89" s="73">
        <f t="shared" si="37"/>
        <v>3699.3088274999986</v>
      </c>
      <c r="M89" s="73">
        <f t="shared" si="37"/>
        <v>3319.892537499999</v>
      </c>
      <c r="N89" s="73">
        <f t="shared" si="37"/>
        <v>2940.4762474999998</v>
      </c>
      <c r="O89" s="73">
        <f t="shared" si="37"/>
        <v>2561.0599574999997</v>
      </c>
      <c r="P89" s="73">
        <f t="shared" si="37"/>
        <v>2181.6436675</v>
      </c>
      <c r="Q89" s="73">
        <f t="shared" si="37"/>
        <v>1802.2273775000001</v>
      </c>
      <c r="R89" s="73">
        <f t="shared" si="37"/>
        <v>1422.8110875000002</v>
      </c>
      <c r="S89" s="73">
        <f t="shared" si="37"/>
        <v>1043.3947975000001</v>
      </c>
      <c r="T89" s="73">
        <f t="shared" si="37"/>
        <v>663.97850750000021</v>
      </c>
      <c r="U89" s="73">
        <f t="shared" si="37"/>
        <v>284.56221750000009</v>
      </c>
      <c r="V89" s="73">
        <f t="shared" si="37"/>
        <v>3.5822722566080926E-14</v>
      </c>
      <c r="W89" s="73">
        <f t="shared" si="37"/>
        <v>3.5822722566080926E-14</v>
      </c>
      <c r="X89"/>
      <c r="Y89"/>
      <c r="Z89"/>
      <c r="AA89"/>
      <c r="AB89" s="174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</row>
    <row r="90" spans="1:39">
      <c r="A90" s="73" t="s">
        <v>169</v>
      </c>
      <c r="B90" s="73">
        <f t="shared" ref="B90:W90" si="38">B42+B59+B76</f>
        <v>0</v>
      </c>
      <c r="C90" s="73">
        <f t="shared" si="38"/>
        <v>0</v>
      </c>
      <c r="D90" s="73">
        <f t="shared" si="38"/>
        <v>0</v>
      </c>
      <c r="E90" s="73">
        <f t="shared" si="38"/>
        <v>0</v>
      </c>
      <c r="F90" s="73">
        <f t="shared" si="38"/>
        <v>0</v>
      </c>
      <c r="G90" s="73">
        <f t="shared" si="38"/>
        <v>0</v>
      </c>
      <c r="H90" s="73">
        <f t="shared" si="38"/>
        <v>0</v>
      </c>
      <c r="I90" s="73">
        <f t="shared" si="38"/>
        <v>0</v>
      </c>
      <c r="J90" s="73">
        <f t="shared" si="38"/>
        <v>0</v>
      </c>
      <c r="K90" s="73">
        <f t="shared" si="38"/>
        <v>0</v>
      </c>
      <c r="L90" s="73">
        <f t="shared" si="38"/>
        <v>0</v>
      </c>
      <c r="M90" s="73">
        <f t="shared" si="38"/>
        <v>0</v>
      </c>
      <c r="N90" s="73">
        <f t="shared" si="38"/>
        <v>0</v>
      </c>
      <c r="O90" s="73">
        <f t="shared" si="38"/>
        <v>0</v>
      </c>
      <c r="P90" s="73">
        <f t="shared" si="38"/>
        <v>0</v>
      </c>
      <c r="Q90" s="73">
        <f t="shared" si="38"/>
        <v>0</v>
      </c>
      <c r="R90" s="73">
        <f t="shared" si="38"/>
        <v>0</v>
      </c>
      <c r="S90" s="73">
        <f t="shared" si="38"/>
        <v>0</v>
      </c>
      <c r="T90" s="73">
        <f t="shared" si="38"/>
        <v>0</v>
      </c>
      <c r="U90" s="73">
        <f t="shared" si="38"/>
        <v>0</v>
      </c>
      <c r="V90" s="73">
        <f t="shared" si="38"/>
        <v>0</v>
      </c>
      <c r="W90" s="73">
        <f t="shared" si="38"/>
        <v>0</v>
      </c>
      <c r="X90"/>
      <c r="Y90"/>
      <c r="Z90"/>
      <c r="AA90"/>
      <c r="AB90" s="174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</row>
    <row r="91" spans="1:39">
      <c r="A91" s="73" t="s">
        <v>173</v>
      </c>
      <c r="B91" s="73">
        <f t="shared" ref="B91:W91" si="39">B77+B60+B43</f>
        <v>4888.7500000000009</v>
      </c>
      <c r="C91" s="73">
        <f t="shared" si="39"/>
        <v>4888.7500000000009</v>
      </c>
      <c r="D91" s="73">
        <f t="shared" si="39"/>
        <v>4888.7500000000009</v>
      </c>
      <c r="E91" s="73">
        <f t="shared" si="39"/>
        <v>4888.7500000000009</v>
      </c>
      <c r="F91" s="73">
        <f t="shared" si="39"/>
        <v>4888.7500000000009</v>
      </c>
      <c r="G91" s="73">
        <f t="shared" si="39"/>
        <v>4888.7500000000009</v>
      </c>
      <c r="H91" s="73">
        <f t="shared" si="39"/>
        <v>4888.7500000000009</v>
      </c>
      <c r="I91" s="73">
        <f t="shared" si="39"/>
        <v>4888.7500000000009</v>
      </c>
      <c r="J91" s="73">
        <f t="shared" si="39"/>
        <v>4888.7500000000009</v>
      </c>
      <c r="K91" s="73">
        <f t="shared" si="39"/>
        <v>4888.7500000000009</v>
      </c>
      <c r="L91" s="73">
        <f t="shared" si="39"/>
        <v>4888.7500000000009</v>
      </c>
      <c r="M91" s="73">
        <f t="shared" si="39"/>
        <v>4888.7500000000009</v>
      </c>
      <c r="N91" s="73">
        <f t="shared" si="39"/>
        <v>4888.7500000000009</v>
      </c>
      <c r="O91" s="73">
        <f t="shared" si="39"/>
        <v>4888.7500000000009</v>
      </c>
      <c r="P91" s="73">
        <f t="shared" si="39"/>
        <v>4888.7500000000009</v>
      </c>
      <c r="Q91" s="73">
        <f t="shared" si="39"/>
        <v>4888.7500000000009</v>
      </c>
      <c r="R91" s="73">
        <f t="shared" si="39"/>
        <v>4888.7500000000009</v>
      </c>
      <c r="S91" s="73">
        <f t="shared" si="39"/>
        <v>4888.7500000000009</v>
      </c>
      <c r="T91" s="73">
        <f t="shared" si="39"/>
        <v>4888.7500000000009</v>
      </c>
      <c r="U91" s="73">
        <f t="shared" si="39"/>
        <v>4888.7500000000009</v>
      </c>
      <c r="V91" s="73">
        <f t="shared" si="39"/>
        <v>0</v>
      </c>
      <c r="W91" s="73">
        <f t="shared" si="39"/>
        <v>0</v>
      </c>
      <c r="X91"/>
      <c r="Y91"/>
      <c r="Z91"/>
      <c r="AA91"/>
      <c r="AB91" s="174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</row>
    <row r="92" spans="1:39">
      <c r="A92" s="72"/>
      <c r="B92" s="72"/>
      <c r="C92" s="72"/>
      <c r="D92" s="72"/>
      <c r="E92" s="72"/>
      <c r="F9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/>
      <c r="Y92"/>
      <c r="Z92"/>
      <c r="AA92"/>
      <c r="AB92" s="173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</row>
    <row r="93" spans="1:39">
      <c r="A93" s="394" t="s">
        <v>128</v>
      </c>
      <c r="B93" s="395">
        <f>IF(B87&gt;0,B80/B87," ")</f>
        <v>1.1714210901399755</v>
      </c>
      <c r="C93" s="395">
        <f t="shared" ref="C93:U93" si="40">IF(C87&gt;0,C80/C87," ")</f>
        <v>1.5861692800847655</v>
      </c>
      <c r="D93" s="395">
        <f t="shared" si="40"/>
        <v>1.6362560861344464</v>
      </c>
      <c r="E93" s="395">
        <f t="shared" si="40"/>
        <v>1.6896353405966866</v>
      </c>
      <c r="F93" s="395">
        <f t="shared" si="40"/>
        <v>2.2934341848404824</v>
      </c>
      <c r="G93" s="395">
        <f t="shared" si="40"/>
        <v>2.9809222606822101</v>
      </c>
      <c r="H93" s="395">
        <f t="shared" si="40"/>
        <v>3.1316003108241466</v>
      </c>
      <c r="I93" s="395">
        <f t="shared" si="40"/>
        <v>3.2939081090696121</v>
      </c>
      <c r="J93" s="395">
        <f t="shared" si="40"/>
        <v>3.5366407515547755</v>
      </c>
      <c r="K93" s="395">
        <f t="shared" si="40"/>
        <v>3.7301923350537947</v>
      </c>
      <c r="L93" s="395">
        <f t="shared" si="40"/>
        <v>4.0190453379522113</v>
      </c>
      <c r="M93" s="395">
        <f t="shared" si="40"/>
        <v>4.1579561923795723</v>
      </c>
      <c r="N93" s="395">
        <f t="shared" si="40"/>
        <v>4.5085152487575026</v>
      </c>
      <c r="O93" s="395">
        <f t="shared" si="40"/>
        <v>4.8022352325176136</v>
      </c>
      <c r="P93" s="395">
        <f t="shared" si="40"/>
        <v>5.1257107779981945</v>
      </c>
      <c r="Q93" s="395">
        <f t="shared" si="40"/>
        <v>5.4836647956432651</v>
      </c>
      <c r="R93" s="395">
        <f t="shared" si="40"/>
        <v>5.8869712066613697</v>
      </c>
      <c r="S93" s="395">
        <f t="shared" si="40"/>
        <v>6.3406626713820282</v>
      </c>
      <c r="T93" s="395">
        <f t="shared" si="40"/>
        <v>6.850441318314263</v>
      </c>
      <c r="U93" s="395">
        <f t="shared" si="40"/>
        <v>7.4063565198648371</v>
      </c>
      <c r="V93" s="395" t="str">
        <f>IF(V87&gt;1,V80/V87," ")</f>
        <v xml:space="preserve"> </v>
      </c>
      <c r="W93" s="533" t="str">
        <f>IF(W87&gt;1,W80/W87," ")</f>
        <v xml:space="preserve"> </v>
      </c>
      <c r="X93"/>
      <c r="Y93"/>
      <c r="Z93"/>
      <c r="AA93"/>
      <c r="AB93" s="175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</row>
    <row r="94" spans="1:39">
      <c r="A94" s="75"/>
      <c r="B94" s="393"/>
      <c r="C94" s="393"/>
      <c r="D94" s="393"/>
      <c r="E94" s="393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/>
      <c r="X94"/>
      <c r="Y94"/>
      <c r="Z94"/>
      <c r="AA94"/>
      <c r="AB94" s="175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</row>
    <row r="95" spans="1:39">
      <c r="A95" s="75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/>
      <c r="X95"/>
      <c r="Y95"/>
      <c r="Z95"/>
      <c r="AA95"/>
      <c r="AB95" s="175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</row>
    <row r="96" spans="1:39">
      <c r="A96" s="77" t="s">
        <v>196</v>
      </c>
      <c r="B96" s="78">
        <f>AVERAGE(B93:W93)</f>
        <v>3.9815869525225884</v>
      </c>
      <c r="C96"/>
      <c r="F96" s="74"/>
      <c r="G96"/>
      <c r="H96"/>
      <c r="I96"/>
      <c r="J96"/>
      <c r="K96" s="74"/>
      <c r="L96" s="74"/>
      <c r="M96" s="79"/>
      <c r="N96" s="74"/>
      <c r="O96" s="74"/>
      <c r="P96" s="80"/>
      <c r="Q96" s="80"/>
      <c r="R96" s="80"/>
      <c r="S96" s="74"/>
      <c r="T96" s="74"/>
      <c r="U96" s="74"/>
      <c r="V96" s="74"/>
      <c r="W96"/>
      <c r="X96"/>
      <c r="Y96"/>
      <c r="Z96"/>
      <c r="AA96"/>
      <c r="AB96" s="175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</row>
    <row r="97" spans="1:39">
      <c r="A97" s="83" t="s">
        <v>197</v>
      </c>
      <c r="B97" s="101">
        <f>MIN(B93:W93)</f>
        <v>1.1714210901399755</v>
      </c>
      <c r="C97"/>
      <c r="F97" s="75"/>
      <c r="G97"/>
      <c r="H97"/>
      <c r="I97"/>
      <c r="J97"/>
      <c r="K97" s="75"/>
      <c r="L97" s="75"/>
      <c r="M97" s="75"/>
      <c r="N97" s="75"/>
      <c r="O97" s="75"/>
      <c r="P97" s="80"/>
      <c r="Q97" s="80"/>
      <c r="R97" s="80"/>
      <c r="S97" s="74"/>
      <c r="T97" s="74"/>
      <c r="U97" s="74"/>
      <c r="V97" s="74"/>
      <c r="W97"/>
      <c r="X97"/>
      <c r="Y97"/>
      <c r="Z97"/>
      <c r="AA97"/>
      <c r="AB97" s="175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</row>
    <row r="100" spans="1:39" ht="13.5" thickBo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2" spans="1:39">
      <c r="A102" s="70" t="s">
        <v>241</v>
      </c>
      <c r="B102" s="420">
        <v>2</v>
      </c>
    </row>
    <row r="103" spans="1:39">
      <c r="A103" s="284" t="s">
        <v>31</v>
      </c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412"/>
      <c r="AB103" s="412"/>
    </row>
    <row r="104" spans="1:39">
      <c r="A104" s="417" t="s">
        <v>78</v>
      </c>
      <c r="B104" s="415">
        <v>0.03</v>
      </c>
      <c r="C104" s="415">
        <v>0.03</v>
      </c>
      <c r="D104" s="415">
        <v>0.03</v>
      </c>
      <c r="E104" s="415">
        <v>0.03</v>
      </c>
      <c r="F104" s="415">
        <v>0.03</v>
      </c>
      <c r="G104" s="415">
        <v>0.03</v>
      </c>
      <c r="H104" s="415">
        <v>0.03</v>
      </c>
      <c r="I104" s="415">
        <v>0.03</v>
      </c>
      <c r="J104" s="415">
        <v>0.03</v>
      </c>
      <c r="K104" s="415">
        <v>0.03</v>
      </c>
      <c r="L104" s="415">
        <v>0.03</v>
      </c>
      <c r="M104" s="415">
        <v>0.03</v>
      </c>
      <c r="N104" s="415">
        <v>0.03</v>
      </c>
      <c r="O104" s="415">
        <v>0.03</v>
      </c>
      <c r="P104" s="415">
        <v>0.03</v>
      </c>
      <c r="Q104" s="415">
        <v>0.03</v>
      </c>
      <c r="R104" s="415">
        <v>0.03</v>
      </c>
      <c r="S104" s="415">
        <v>0.03</v>
      </c>
      <c r="T104" s="415">
        <v>0.03</v>
      </c>
      <c r="U104" s="415">
        <v>0.03</v>
      </c>
      <c r="V104" s="415">
        <v>0.03</v>
      </c>
      <c r="W104" s="415">
        <f>1-SUM(B104:V104)</f>
        <v>0.36999999999999966</v>
      </c>
      <c r="X104" s="412"/>
      <c r="Y104" s="412"/>
      <c r="AA104" s="17"/>
      <c r="AB104" s="17"/>
    </row>
    <row r="105" spans="1:39">
      <c r="A105" s="417" t="s">
        <v>239</v>
      </c>
      <c r="B105" s="415">
        <f t="shared" ref="B105:U105" si="41">100%/20</f>
        <v>0.05</v>
      </c>
      <c r="C105" s="415">
        <f t="shared" si="41"/>
        <v>0.05</v>
      </c>
      <c r="D105" s="415">
        <f t="shared" si="41"/>
        <v>0.05</v>
      </c>
      <c r="E105" s="415">
        <f t="shared" si="41"/>
        <v>0.05</v>
      </c>
      <c r="F105" s="415">
        <f t="shared" si="41"/>
        <v>0.05</v>
      </c>
      <c r="G105" s="415">
        <f t="shared" si="41"/>
        <v>0.05</v>
      </c>
      <c r="H105" s="415">
        <f t="shared" si="41"/>
        <v>0.05</v>
      </c>
      <c r="I105" s="415">
        <f t="shared" si="41"/>
        <v>0.05</v>
      </c>
      <c r="J105" s="415">
        <f t="shared" si="41"/>
        <v>0.05</v>
      </c>
      <c r="K105" s="415">
        <f t="shared" si="41"/>
        <v>0.05</v>
      </c>
      <c r="L105" s="415">
        <f t="shared" si="41"/>
        <v>0.05</v>
      </c>
      <c r="M105" s="415">
        <f t="shared" si="41"/>
        <v>0.05</v>
      </c>
      <c r="N105" s="415">
        <f t="shared" si="41"/>
        <v>0.05</v>
      </c>
      <c r="O105" s="415">
        <f t="shared" si="41"/>
        <v>0.05</v>
      </c>
      <c r="P105" s="415">
        <f t="shared" si="41"/>
        <v>0.05</v>
      </c>
      <c r="Q105" s="416">
        <f t="shared" si="41"/>
        <v>0.05</v>
      </c>
      <c r="R105" s="416">
        <f t="shared" si="41"/>
        <v>0.05</v>
      </c>
      <c r="S105" s="416">
        <f t="shared" si="41"/>
        <v>0.05</v>
      </c>
      <c r="T105" s="416">
        <f t="shared" si="41"/>
        <v>0.05</v>
      </c>
      <c r="U105" s="416">
        <f t="shared" si="41"/>
        <v>0.05</v>
      </c>
      <c r="V105" s="416">
        <v>0</v>
      </c>
      <c r="W105" s="416">
        <v>0</v>
      </c>
      <c r="X105" s="412"/>
      <c r="Y105" s="412"/>
      <c r="AA105" s="17"/>
      <c r="AB105" s="17"/>
    </row>
    <row r="106" spans="1:39">
      <c r="A106" s="417" t="s">
        <v>240</v>
      </c>
      <c r="B106" s="413">
        <f>CHOOSE($B$102,B104,B105)</f>
        <v>0.05</v>
      </c>
      <c r="C106" s="413">
        <f t="shared" ref="C106:W106" si="42">CHOOSE($B$102,C104,C105)</f>
        <v>0.05</v>
      </c>
      <c r="D106" s="413">
        <f t="shared" si="42"/>
        <v>0.05</v>
      </c>
      <c r="E106" s="413">
        <f t="shared" si="42"/>
        <v>0.05</v>
      </c>
      <c r="F106" s="413">
        <f t="shared" si="42"/>
        <v>0.05</v>
      </c>
      <c r="G106" s="413">
        <f t="shared" si="42"/>
        <v>0.05</v>
      </c>
      <c r="H106" s="413">
        <f t="shared" si="42"/>
        <v>0.05</v>
      </c>
      <c r="I106" s="413">
        <f t="shared" si="42"/>
        <v>0.05</v>
      </c>
      <c r="J106" s="413">
        <f t="shared" si="42"/>
        <v>0.05</v>
      </c>
      <c r="K106" s="413">
        <f t="shared" si="42"/>
        <v>0.05</v>
      </c>
      <c r="L106" s="413">
        <f t="shared" si="42"/>
        <v>0.05</v>
      </c>
      <c r="M106" s="413">
        <f t="shared" si="42"/>
        <v>0.05</v>
      </c>
      <c r="N106" s="413">
        <f t="shared" si="42"/>
        <v>0.05</v>
      </c>
      <c r="O106" s="413">
        <f t="shared" si="42"/>
        <v>0.05</v>
      </c>
      <c r="P106" s="413">
        <f t="shared" si="42"/>
        <v>0.05</v>
      </c>
      <c r="Q106" s="413">
        <f t="shared" si="42"/>
        <v>0.05</v>
      </c>
      <c r="R106" s="413">
        <f t="shared" si="42"/>
        <v>0.05</v>
      </c>
      <c r="S106" s="413">
        <f t="shared" si="42"/>
        <v>0.05</v>
      </c>
      <c r="T106" s="413">
        <f t="shared" si="42"/>
        <v>0.05</v>
      </c>
      <c r="U106" s="413">
        <f t="shared" si="42"/>
        <v>0.05</v>
      </c>
      <c r="V106" s="413">
        <f t="shared" si="42"/>
        <v>0</v>
      </c>
      <c r="W106" s="413">
        <f t="shared" si="42"/>
        <v>0</v>
      </c>
      <c r="X106" s="412"/>
      <c r="Y106" s="412"/>
      <c r="AA106" s="17"/>
      <c r="AB106" s="17"/>
    </row>
    <row r="107" spans="1:39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7"/>
      <c r="Y107" s="7"/>
      <c r="AA107" s="17"/>
      <c r="AB107" s="17"/>
    </row>
    <row r="108" spans="1:39">
      <c r="A108" s="284" t="s">
        <v>32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2"/>
      <c r="Y108" s="412"/>
      <c r="AA108" s="17"/>
      <c r="AB108" s="17"/>
    </row>
    <row r="109" spans="1:39">
      <c r="A109" s="417" t="s">
        <v>78</v>
      </c>
      <c r="B109" s="415">
        <v>0.03</v>
      </c>
      <c r="C109" s="415">
        <v>0.03</v>
      </c>
      <c r="D109" s="415">
        <v>0.03</v>
      </c>
      <c r="E109" s="415">
        <v>0.03</v>
      </c>
      <c r="F109" s="415">
        <v>0.03</v>
      </c>
      <c r="G109" s="415">
        <v>0.03</v>
      </c>
      <c r="H109" s="415">
        <v>0.03</v>
      </c>
      <c r="I109" s="415">
        <v>0.03</v>
      </c>
      <c r="J109" s="415">
        <v>0.03</v>
      </c>
      <c r="K109" s="415">
        <v>0.03</v>
      </c>
      <c r="L109" s="415">
        <v>0.03</v>
      </c>
      <c r="M109" s="415">
        <v>0.03</v>
      </c>
      <c r="N109" s="415">
        <v>0.03</v>
      </c>
      <c r="O109" s="415">
        <v>0.03</v>
      </c>
      <c r="P109" s="415">
        <v>0.03</v>
      </c>
      <c r="Q109" s="415">
        <v>0.03</v>
      </c>
      <c r="R109" s="415">
        <v>0.03</v>
      </c>
      <c r="S109" s="415">
        <v>0.03</v>
      </c>
      <c r="T109" s="415">
        <v>0.03</v>
      </c>
      <c r="U109" s="415">
        <v>0.03</v>
      </c>
      <c r="V109" s="415">
        <v>0.03</v>
      </c>
      <c r="W109" s="415">
        <f>1-SUM(B109:V109)</f>
        <v>0.36999999999999966</v>
      </c>
      <c r="X109" s="412"/>
      <c r="Y109" s="412"/>
      <c r="AA109" s="17"/>
      <c r="AB109" s="17"/>
    </row>
    <row r="110" spans="1:39">
      <c r="A110" s="417" t="s">
        <v>239</v>
      </c>
      <c r="B110" s="415">
        <f t="shared" ref="B110:U110" si="43">100%/20</f>
        <v>0.05</v>
      </c>
      <c r="C110" s="415">
        <f t="shared" si="43"/>
        <v>0.05</v>
      </c>
      <c r="D110" s="415">
        <f t="shared" si="43"/>
        <v>0.05</v>
      </c>
      <c r="E110" s="415">
        <f t="shared" si="43"/>
        <v>0.05</v>
      </c>
      <c r="F110" s="415">
        <f t="shared" si="43"/>
        <v>0.05</v>
      </c>
      <c r="G110" s="415">
        <f t="shared" si="43"/>
        <v>0.05</v>
      </c>
      <c r="H110" s="415">
        <f t="shared" si="43"/>
        <v>0.05</v>
      </c>
      <c r="I110" s="415">
        <f t="shared" si="43"/>
        <v>0.05</v>
      </c>
      <c r="J110" s="415">
        <f t="shared" si="43"/>
        <v>0.05</v>
      </c>
      <c r="K110" s="415">
        <f t="shared" si="43"/>
        <v>0.05</v>
      </c>
      <c r="L110" s="415">
        <f t="shared" si="43"/>
        <v>0.05</v>
      </c>
      <c r="M110" s="415">
        <f t="shared" si="43"/>
        <v>0.05</v>
      </c>
      <c r="N110" s="415">
        <f t="shared" si="43"/>
        <v>0.05</v>
      </c>
      <c r="O110" s="415">
        <f t="shared" si="43"/>
        <v>0.05</v>
      </c>
      <c r="P110" s="415">
        <f t="shared" si="43"/>
        <v>0.05</v>
      </c>
      <c r="Q110" s="416">
        <f t="shared" si="43"/>
        <v>0.05</v>
      </c>
      <c r="R110" s="416">
        <f t="shared" si="43"/>
        <v>0.05</v>
      </c>
      <c r="S110" s="416">
        <f t="shared" si="43"/>
        <v>0.05</v>
      </c>
      <c r="T110" s="416">
        <f t="shared" si="43"/>
        <v>0.05</v>
      </c>
      <c r="U110" s="416">
        <f t="shared" si="43"/>
        <v>0.05</v>
      </c>
      <c r="V110" s="416">
        <v>0</v>
      </c>
      <c r="W110" s="416">
        <v>0</v>
      </c>
      <c r="X110" s="412"/>
      <c r="Y110" s="412"/>
      <c r="AA110" s="17"/>
      <c r="AB110" s="17"/>
    </row>
    <row r="111" spans="1:39">
      <c r="A111" s="417" t="s">
        <v>240</v>
      </c>
      <c r="B111" s="413">
        <f>CHOOSE($B$102,B109,B110)</f>
        <v>0.05</v>
      </c>
      <c r="C111" s="413">
        <f t="shared" ref="C111:W111" si="44">CHOOSE($B$102,C109,C110)</f>
        <v>0.05</v>
      </c>
      <c r="D111" s="413">
        <f t="shared" si="44"/>
        <v>0.05</v>
      </c>
      <c r="E111" s="413">
        <f t="shared" si="44"/>
        <v>0.05</v>
      </c>
      <c r="F111" s="413">
        <f t="shared" si="44"/>
        <v>0.05</v>
      </c>
      <c r="G111" s="413">
        <f t="shared" si="44"/>
        <v>0.05</v>
      </c>
      <c r="H111" s="413">
        <f t="shared" si="44"/>
        <v>0.05</v>
      </c>
      <c r="I111" s="413">
        <f t="shared" si="44"/>
        <v>0.05</v>
      </c>
      <c r="J111" s="413">
        <f t="shared" si="44"/>
        <v>0.05</v>
      </c>
      <c r="K111" s="413">
        <f t="shared" si="44"/>
        <v>0.05</v>
      </c>
      <c r="L111" s="413">
        <f t="shared" si="44"/>
        <v>0.05</v>
      </c>
      <c r="M111" s="413">
        <f t="shared" si="44"/>
        <v>0.05</v>
      </c>
      <c r="N111" s="413">
        <f t="shared" si="44"/>
        <v>0.05</v>
      </c>
      <c r="O111" s="413">
        <f t="shared" si="44"/>
        <v>0.05</v>
      </c>
      <c r="P111" s="413">
        <f t="shared" si="44"/>
        <v>0.05</v>
      </c>
      <c r="Q111" s="413">
        <f t="shared" si="44"/>
        <v>0.05</v>
      </c>
      <c r="R111" s="413">
        <f t="shared" si="44"/>
        <v>0.05</v>
      </c>
      <c r="S111" s="413">
        <f t="shared" si="44"/>
        <v>0.05</v>
      </c>
      <c r="T111" s="413">
        <f t="shared" si="44"/>
        <v>0.05</v>
      </c>
      <c r="U111" s="413">
        <f t="shared" si="44"/>
        <v>0.05</v>
      </c>
      <c r="V111" s="413">
        <f t="shared" si="44"/>
        <v>0</v>
      </c>
      <c r="W111" s="413">
        <f t="shared" si="44"/>
        <v>0</v>
      </c>
      <c r="X111" s="412"/>
      <c r="Y111" s="412"/>
      <c r="AA111" s="17"/>
      <c r="AB111" s="17"/>
    </row>
    <row r="112" spans="1:39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7"/>
      <c r="Y112" s="7"/>
      <c r="AA112" s="17"/>
      <c r="AB112" s="17"/>
    </row>
    <row r="113" spans="1:48">
      <c r="A113" s="284" t="s">
        <v>33</v>
      </c>
      <c r="B113" s="414"/>
      <c r="C113" s="414"/>
      <c r="D113" s="414"/>
      <c r="E113" s="414"/>
      <c r="F113" s="414"/>
      <c r="G113" s="414"/>
      <c r="H113" s="414"/>
      <c r="I113" s="414"/>
      <c r="J113" s="414"/>
      <c r="K113" s="414"/>
      <c r="L113" s="414"/>
      <c r="M113" s="414"/>
      <c r="N113" s="414"/>
      <c r="O113" s="414"/>
      <c r="P113" s="414"/>
      <c r="Q113" s="414"/>
      <c r="R113" s="414"/>
      <c r="S113" s="414"/>
      <c r="T113" s="414"/>
      <c r="U113" s="414"/>
      <c r="V113" s="414"/>
      <c r="W113" s="414"/>
      <c r="X113" s="412"/>
      <c r="Y113" s="412"/>
      <c r="AA113" s="17"/>
      <c r="AB113" s="17"/>
    </row>
    <row r="114" spans="1:48">
      <c r="A114" s="417" t="s">
        <v>78</v>
      </c>
      <c r="B114" s="415">
        <v>0.03</v>
      </c>
      <c r="C114" s="415">
        <v>0.03</v>
      </c>
      <c r="D114" s="415">
        <v>0.03</v>
      </c>
      <c r="E114" s="415">
        <v>0.03</v>
      </c>
      <c r="F114" s="415">
        <v>0.03</v>
      </c>
      <c r="G114" s="415">
        <v>0.03</v>
      </c>
      <c r="H114" s="415">
        <v>0.03</v>
      </c>
      <c r="I114" s="415">
        <v>0.03</v>
      </c>
      <c r="J114" s="415">
        <v>0.03</v>
      </c>
      <c r="K114" s="415">
        <v>0.03</v>
      </c>
      <c r="L114" s="415">
        <v>0.03</v>
      </c>
      <c r="M114" s="415">
        <v>0.03</v>
      </c>
      <c r="N114" s="415">
        <v>0.03</v>
      </c>
      <c r="O114" s="415">
        <v>0.03</v>
      </c>
      <c r="P114" s="415">
        <v>0.03</v>
      </c>
      <c r="Q114" s="415">
        <v>0.03</v>
      </c>
      <c r="R114" s="415">
        <v>0.03</v>
      </c>
      <c r="S114" s="415">
        <v>0.03</v>
      </c>
      <c r="T114" s="415">
        <v>0.03</v>
      </c>
      <c r="U114" s="415">
        <v>0.03</v>
      </c>
      <c r="V114" s="415">
        <v>0.03</v>
      </c>
      <c r="W114" s="415">
        <f>1-SUM(B114:V114)</f>
        <v>0.36999999999999966</v>
      </c>
      <c r="X114" s="412"/>
      <c r="Y114" s="412"/>
      <c r="AA114" s="17"/>
      <c r="AB114" s="17"/>
    </row>
    <row r="115" spans="1:48">
      <c r="A115" s="417" t="s">
        <v>239</v>
      </c>
      <c r="B115" s="415">
        <f t="shared" ref="B115:U115" si="45">100%/20</f>
        <v>0.05</v>
      </c>
      <c r="C115" s="415">
        <f t="shared" si="45"/>
        <v>0.05</v>
      </c>
      <c r="D115" s="415">
        <f t="shared" si="45"/>
        <v>0.05</v>
      </c>
      <c r="E115" s="415">
        <f t="shared" si="45"/>
        <v>0.05</v>
      </c>
      <c r="F115" s="415">
        <f t="shared" si="45"/>
        <v>0.05</v>
      </c>
      <c r="G115" s="415">
        <f t="shared" si="45"/>
        <v>0.05</v>
      </c>
      <c r="H115" s="415">
        <f t="shared" si="45"/>
        <v>0.05</v>
      </c>
      <c r="I115" s="415">
        <f t="shared" si="45"/>
        <v>0.05</v>
      </c>
      <c r="J115" s="415">
        <f t="shared" si="45"/>
        <v>0.05</v>
      </c>
      <c r="K115" s="415">
        <f t="shared" si="45"/>
        <v>0.05</v>
      </c>
      <c r="L115" s="415">
        <f t="shared" si="45"/>
        <v>0.05</v>
      </c>
      <c r="M115" s="415">
        <f t="shared" si="45"/>
        <v>0.05</v>
      </c>
      <c r="N115" s="415">
        <f t="shared" si="45"/>
        <v>0.05</v>
      </c>
      <c r="O115" s="415">
        <f t="shared" si="45"/>
        <v>0.05</v>
      </c>
      <c r="P115" s="415">
        <f t="shared" si="45"/>
        <v>0.05</v>
      </c>
      <c r="Q115" s="416">
        <f t="shared" si="45"/>
        <v>0.05</v>
      </c>
      <c r="R115" s="416">
        <f t="shared" si="45"/>
        <v>0.05</v>
      </c>
      <c r="S115" s="416">
        <f t="shared" si="45"/>
        <v>0.05</v>
      </c>
      <c r="T115" s="416">
        <f t="shared" si="45"/>
        <v>0.05</v>
      </c>
      <c r="U115" s="416">
        <f t="shared" si="45"/>
        <v>0.05</v>
      </c>
      <c r="V115" s="416">
        <v>0</v>
      </c>
      <c r="W115" s="416">
        <v>0</v>
      </c>
      <c r="X115" s="412"/>
      <c r="Y115" s="412"/>
      <c r="AA115" s="17"/>
      <c r="AB115" s="17"/>
    </row>
    <row r="116" spans="1:48">
      <c r="A116" s="417" t="s">
        <v>240</v>
      </c>
      <c r="B116" s="413">
        <f>CHOOSE($B$102,B114,B115)</f>
        <v>0.05</v>
      </c>
      <c r="C116" s="413">
        <f t="shared" ref="C116:W116" si="46">CHOOSE($B$102,C114,C115)</f>
        <v>0.05</v>
      </c>
      <c r="D116" s="413">
        <f t="shared" si="46"/>
        <v>0.05</v>
      </c>
      <c r="E116" s="413">
        <f t="shared" si="46"/>
        <v>0.05</v>
      </c>
      <c r="F116" s="413">
        <f t="shared" si="46"/>
        <v>0.05</v>
      </c>
      <c r="G116" s="413">
        <f t="shared" si="46"/>
        <v>0.05</v>
      </c>
      <c r="H116" s="413">
        <f t="shared" si="46"/>
        <v>0.05</v>
      </c>
      <c r="I116" s="413">
        <f t="shared" si="46"/>
        <v>0.05</v>
      </c>
      <c r="J116" s="413">
        <f t="shared" si="46"/>
        <v>0.05</v>
      </c>
      <c r="K116" s="413">
        <f t="shared" si="46"/>
        <v>0.05</v>
      </c>
      <c r="L116" s="413">
        <f t="shared" si="46"/>
        <v>0.05</v>
      </c>
      <c r="M116" s="413">
        <f t="shared" si="46"/>
        <v>0.05</v>
      </c>
      <c r="N116" s="413">
        <f t="shared" si="46"/>
        <v>0.05</v>
      </c>
      <c r="O116" s="413">
        <f t="shared" si="46"/>
        <v>0.05</v>
      </c>
      <c r="P116" s="413">
        <f t="shared" si="46"/>
        <v>0.05</v>
      </c>
      <c r="Q116" s="413">
        <f t="shared" si="46"/>
        <v>0.05</v>
      </c>
      <c r="R116" s="413">
        <f t="shared" si="46"/>
        <v>0.05</v>
      </c>
      <c r="S116" s="413">
        <f t="shared" si="46"/>
        <v>0.05</v>
      </c>
      <c r="T116" s="413">
        <f t="shared" si="46"/>
        <v>0.05</v>
      </c>
      <c r="U116" s="413">
        <f t="shared" si="46"/>
        <v>0.05</v>
      </c>
      <c r="V116" s="413">
        <f t="shared" si="46"/>
        <v>0</v>
      </c>
      <c r="W116" s="413">
        <f t="shared" si="46"/>
        <v>0</v>
      </c>
      <c r="X116" s="412"/>
      <c r="Y116" s="412"/>
      <c r="AA116" s="17"/>
      <c r="AB116" s="17"/>
    </row>
    <row r="117" spans="1:48">
      <c r="X117" s="7"/>
      <c r="Y117" s="7"/>
      <c r="AA117" s="17"/>
      <c r="AB117" s="17"/>
    </row>
    <row r="118" spans="1:48">
      <c r="X118" s="7"/>
      <c r="Y118" s="7"/>
      <c r="AA118" s="17"/>
      <c r="AB118" s="17"/>
    </row>
    <row r="119" spans="1:48"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46"/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46"/>
      <c r="AT119" s="346"/>
      <c r="AU119" s="346"/>
      <c r="AV119" s="346"/>
    </row>
    <row r="120" spans="1:48">
      <c r="A120" s="16" t="s">
        <v>242</v>
      </c>
      <c r="B120" s="156">
        <v>0</v>
      </c>
      <c r="C120" s="156">
        <v>1</v>
      </c>
      <c r="D120" s="156">
        <v>2</v>
      </c>
      <c r="E120" s="156">
        <v>3</v>
      </c>
      <c r="F120" s="156">
        <v>4</v>
      </c>
      <c r="G120" s="156">
        <v>5</v>
      </c>
      <c r="H120" s="156">
        <v>6</v>
      </c>
      <c r="I120" s="156">
        <v>7</v>
      </c>
      <c r="J120" s="156">
        <v>8</v>
      </c>
      <c r="K120" s="156">
        <v>9</v>
      </c>
      <c r="L120" s="156">
        <v>10</v>
      </c>
      <c r="M120" s="156">
        <v>11</v>
      </c>
      <c r="N120" s="156">
        <v>12</v>
      </c>
      <c r="O120" s="156">
        <v>13</v>
      </c>
      <c r="P120" s="156">
        <v>14</v>
      </c>
      <c r="Q120" s="156">
        <v>15</v>
      </c>
      <c r="R120" s="156">
        <v>16</v>
      </c>
      <c r="S120" s="156">
        <v>17</v>
      </c>
      <c r="T120" s="156">
        <v>18</v>
      </c>
      <c r="U120" s="156">
        <v>19</v>
      </c>
      <c r="V120" s="156">
        <v>20</v>
      </c>
      <c r="W120" s="156">
        <v>21</v>
      </c>
      <c r="X120" s="418"/>
      <c r="Y120" s="418"/>
      <c r="Z120" s="418"/>
      <c r="AA120" s="418"/>
      <c r="AB120" s="418"/>
      <c r="AC120" s="418"/>
      <c r="AD120" s="418"/>
      <c r="AE120" s="418"/>
      <c r="AF120" s="418"/>
      <c r="AG120" s="418"/>
      <c r="AH120" s="418"/>
      <c r="AI120" s="418"/>
      <c r="AJ120" s="418"/>
      <c r="AK120" s="418"/>
      <c r="AL120" s="418"/>
      <c r="AM120" s="418"/>
      <c r="AN120" s="418"/>
      <c r="AO120" s="418"/>
      <c r="AP120" s="418"/>
      <c r="AQ120" s="418"/>
    </row>
    <row r="121" spans="1:48">
      <c r="B121" s="156">
        <v>0.5</v>
      </c>
      <c r="C121" s="156">
        <v>1.5</v>
      </c>
      <c r="D121" s="156">
        <v>2.5</v>
      </c>
      <c r="E121" s="156">
        <v>3.5</v>
      </c>
      <c r="F121" s="156">
        <v>4.5</v>
      </c>
      <c r="G121" s="156">
        <v>5.5</v>
      </c>
      <c r="H121" s="156">
        <v>6.5</v>
      </c>
      <c r="I121" s="156">
        <v>7.5</v>
      </c>
      <c r="J121" s="156">
        <v>8.5</v>
      </c>
      <c r="K121" s="156">
        <v>9.5</v>
      </c>
      <c r="L121" s="156">
        <v>10.5</v>
      </c>
      <c r="M121" s="156">
        <v>11.5</v>
      </c>
      <c r="N121" s="156">
        <v>12.5</v>
      </c>
      <c r="O121" s="156">
        <v>13.5</v>
      </c>
      <c r="P121" s="156">
        <v>14.5</v>
      </c>
      <c r="Q121" s="156">
        <v>15.5</v>
      </c>
      <c r="R121" s="156">
        <v>16.5</v>
      </c>
      <c r="S121" s="156">
        <v>17.5</v>
      </c>
      <c r="T121" s="156">
        <v>18.5</v>
      </c>
      <c r="U121" s="156">
        <v>19.5</v>
      </c>
      <c r="V121" s="156">
        <v>20.5</v>
      </c>
      <c r="W121" s="156">
        <v>21.5</v>
      </c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71"/>
      <c r="AP121" s="71"/>
    </row>
    <row r="122" spans="1:48">
      <c r="A122" s="16" t="s">
        <v>167</v>
      </c>
      <c r="B122" s="419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48">
      <c r="A123" t="s">
        <v>31</v>
      </c>
      <c r="B123" s="421">
        <f>(SUMPRODUCT(B120:W120,B32:W32)+SUMPRODUCT(B121:W121,B37:W37))/B31</f>
        <v>9.7625000000000011</v>
      </c>
      <c r="C123"/>
      <c r="D123"/>
      <c r="E123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171"/>
      <c r="AB123" s="1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</row>
    <row r="124" spans="1:48">
      <c r="A124" t="s">
        <v>32</v>
      </c>
      <c r="B124" s="421">
        <f>(SUMPRODUCT(B49:W49,B120:W120)+SUMPRODUCT(B121:W121,B54:W54))/B48</f>
        <v>9.7625000000000011</v>
      </c>
      <c r="C124"/>
      <c r="D124"/>
      <c r="E124"/>
    </row>
    <row r="125" spans="1:48">
      <c r="A125" t="s">
        <v>33</v>
      </c>
      <c r="B125" s="421">
        <f>(SUMPRODUCT(B120:W120,B66:W66)+SUMPRODUCT(B121:W121,B71:W71))/B65</f>
        <v>9.7625000000000011</v>
      </c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</row>
    <row r="128" spans="1:48">
      <c r="A128"/>
      <c r="B128"/>
      <c r="C128"/>
      <c r="D128"/>
      <c r="E128"/>
    </row>
    <row r="129" spans="1:31">
      <c r="A129"/>
      <c r="B129"/>
      <c r="C129"/>
      <c r="D129"/>
      <c r="E129"/>
    </row>
    <row r="130" spans="1:31">
      <c r="A130"/>
      <c r="B130"/>
      <c r="C130"/>
      <c r="D130"/>
      <c r="E130"/>
    </row>
    <row r="131" spans="1: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>
      <c r="A132"/>
      <c r="B132"/>
      <c r="C132"/>
      <c r="D132"/>
      <c r="E132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/>
      <c r="X132"/>
      <c r="Y132"/>
      <c r="Z132"/>
      <c r="AA132"/>
      <c r="AB132"/>
      <c r="AC132"/>
      <c r="AD132"/>
      <c r="AE132"/>
    </row>
    <row r="133" spans="1:3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>
      <c r="A135"/>
      <c r="B135"/>
      <c r="C135"/>
      <c r="D135"/>
      <c r="E135"/>
    </row>
    <row r="136" spans="1:31">
      <c r="A136"/>
      <c r="B136"/>
      <c r="C136"/>
      <c r="D136"/>
      <c r="E136"/>
    </row>
    <row r="137" spans="1:31">
      <c r="A137"/>
      <c r="B137"/>
      <c r="C137"/>
      <c r="D137"/>
      <c r="E137"/>
    </row>
    <row r="138" spans="1:31">
      <c r="A138"/>
      <c r="B138"/>
      <c r="C138"/>
      <c r="D138"/>
      <c r="E138"/>
    </row>
    <row r="139" spans="1:31">
      <c r="A139"/>
      <c r="B139"/>
      <c r="C139"/>
      <c r="D139"/>
      <c r="E139"/>
    </row>
  </sheetData>
  <pageMargins left="0.75" right="0.75" top="1" bottom="1" header="0.5" footer="0.5"/>
  <pageSetup scale="30" orientation="landscape" r:id="rId1"/>
  <headerFooter alignWithMargins="0">
    <oddFooter xml:space="preserve">&amp;L&amp;T, &amp;D&amp;C&amp;F&amp;R&amp;P 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5"/>
  <sheetViews>
    <sheetView zoomScale="75" zoomScaleNormal="75" workbookViewId="0"/>
  </sheetViews>
  <sheetFormatPr defaultRowHeight="12.75"/>
  <cols>
    <col min="1" max="1" width="55.7109375" style="17" customWidth="1"/>
    <col min="2" max="2" width="9.7109375" style="17" customWidth="1"/>
    <col min="3" max="4" width="9" style="34" customWidth="1"/>
    <col min="5" max="5" width="14.85546875" style="17" customWidth="1"/>
    <col min="6" max="6" width="14.140625" style="17" customWidth="1"/>
    <col min="7" max="7" width="11.140625" style="17" customWidth="1"/>
    <col min="8" max="10" width="11.5703125" style="17" customWidth="1"/>
    <col min="11" max="11" width="11.28515625" style="17" customWidth="1"/>
    <col min="12" max="12" width="11.5703125" style="17" customWidth="1"/>
    <col min="13" max="13" width="11.28515625" style="17" customWidth="1"/>
    <col min="14" max="15" width="11.5703125" style="17" customWidth="1"/>
    <col min="16" max="16" width="11.140625" style="17" customWidth="1"/>
    <col min="17" max="17" width="10.5703125" style="17" customWidth="1"/>
    <col min="18" max="20" width="11.140625" style="17" customWidth="1"/>
    <col min="21" max="21" width="10.85546875" style="17" customWidth="1"/>
    <col min="22" max="22" width="11.140625" style="17" customWidth="1"/>
    <col min="23" max="23" width="10.85546875" style="17" customWidth="1"/>
    <col min="24" max="25" width="11.140625" style="17" customWidth="1"/>
    <col min="26" max="27" width="11.5703125" style="17" customWidth="1"/>
    <col min="28" max="28" width="12.140625" style="17" customWidth="1"/>
    <col min="29" max="29" width="11.7109375" style="17" customWidth="1"/>
    <col min="30" max="16384" width="9.140625" style="17"/>
  </cols>
  <sheetData>
    <row r="2" spans="1:29" ht="21" customHeight="1">
      <c r="A2" s="157" t="str">
        <f>Assumptions!A3</f>
        <v>PROJECT NAME:</v>
      </c>
    </row>
    <row r="4" spans="1:29" ht="18.75">
      <c r="A4" s="104" t="s">
        <v>236</v>
      </c>
    </row>
    <row r="5" spans="1:29">
      <c r="AA5" s="350"/>
    </row>
    <row r="6" spans="1:29">
      <c r="E6" s="456">
        <f>'Power Price Assumption'!F9</f>
        <v>0.5</v>
      </c>
      <c r="F6" s="456">
        <f>'Power Price Assumption'!G9</f>
        <v>1.5</v>
      </c>
      <c r="G6" s="456">
        <f>'Power Price Assumption'!H9</f>
        <v>2.5</v>
      </c>
      <c r="H6" s="456">
        <f>'Power Price Assumption'!I9</f>
        <v>3.5</v>
      </c>
      <c r="I6" s="456">
        <f>'Power Price Assumption'!J9</f>
        <v>4.5</v>
      </c>
      <c r="J6" s="456">
        <f>'Power Price Assumption'!K9</f>
        <v>5.5</v>
      </c>
      <c r="K6" s="456">
        <f>'Power Price Assumption'!L9</f>
        <v>6.5</v>
      </c>
      <c r="L6" s="456">
        <f>'Power Price Assumption'!M9</f>
        <v>7.5</v>
      </c>
      <c r="M6" s="456">
        <f>'Power Price Assumption'!N9</f>
        <v>8.5</v>
      </c>
      <c r="N6" s="456">
        <f>'Power Price Assumption'!O9</f>
        <v>9.5</v>
      </c>
      <c r="O6" s="456">
        <f>'Power Price Assumption'!P9</f>
        <v>10.5</v>
      </c>
      <c r="P6" s="456">
        <f>'Power Price Assumption'!Q9</f>
        <v>11.5</v>
      </c>
      <c r="Q6" s="456">
        <f>'Power Price Assumption'!R9</f>
        <v>12.5</v>
      </c>
      <c r="R6" s="456">
        <f>'Power Price Assumption'!S9</f>
        <v>13.5</v>
      </c>
      <c r="S6" s="456">
        <f>'Power Price Assumption'!T9</f>
        <v>14.5</v>
      </c>
      <c r="T6" s="456">
        <f>'Power Price Assumption'!U9</f>
        <v>15.5</v>
      </c>
      <c r="U6" s="456">
        <f>'Power Price Assumption'!V9</f>
        <v>16.5</v>
      </c>
      <c r="V6" s="456">
        <f>'Power Price Assumption'!W9</f>
        <v>17.5</v>
      </c>
      <c r="W6" s="456">
        <f>'Power Price Assumption'!X9</f>
        <v>18.5</v>
      </c>
      <c r="X6" s="456">
        <f>'Power Price Assumption'!Y9</f>
        <v>19.5</v>
      </c>
      <c r="Y6" s="456">
        <f>'Power Price Assumption'!Z9</f>
        <v>20.5</v>
      </c>
      <c r="Z6" s="456">
        <f>'Power Price Assumption'!AA9</f>
        <v>21.5</v>
      </c>
      <c r="AA6" s="350"/>
    </row>
    <row r="7" spans="1:29" s="35" customFormat="1" ht="13.5" thickBot="1">
      <c r="A7" s="232" t="s">
        <v>79</v>
      </c>
      <c r="B7" s="296"/>
      <c r="C7" s="296"/>
      <c r="D7" s="296"/>
      <c r="E7" s="8">
        <f>'Power Price Assumption'!F10</f>
        <v>1999</v>
      </c>
      <c r="F7" s="8">
        <f>'Power Price Assumption'!G10</f>
        <v>2000</v>
      </c>
      <c r="G7" s="8">
        <f>'Power Price Assumption'!H10</f>
        <v>2001</v>
      </c>
      <c r="H7" s="8">
        <f>'Power Price Assumption'!I10</f>
        <v>2002</v>
      </c>
      <c r="I7" s="8">
        <f>'Power Price Assumption'!J10</f>
        <v>2003</v>
      </c>
      <c r="J7" s="8">
        <f>'Power Price Assumption'!K10</f>
        <v>2004</v>
      </c>
      <c r="K7" s="8">
        <f>'Power Price Assumption'!L10</f>
        <v>2005</v>
      </c>
      <c r="L7" s="8">
        <f>'Power Price Assumption'!M10</f>
        <v>2006</v>
      </c>
      <c r="M7" s="8">
        <f>'Power Price Assumption'!N10</f>
        <v>2007</v>
      </c>
      <c r="N7" s="8">
        <f>'Power Price Assumption'!O10</f>
        <v>2008</v>
      </c>
      <c r="O7" s="8">
        <f>'Power Price Assumption'!P10</f>
        <v>2009</v>
      </c>
      <c r="P7" s="8">
        <f>'Power Price Assumption'!Q10</f>
        <v>2010</v>
      </c>
      <c r="Q7" s="8">
        <f>'Power Price Assumption'!R10</f>
        <v>2011</v>
      </c>
      <c r="R7" s="8">
        <f>'Power Price Assumption'!S10</f>
        <v>2012</v>
      </c>
      <c r="S7" s="8">
        <f>'Power Price Assumption'!T10</f>
        <v>2013</v>
      </c>
      <c r="T7" s="8">
        <f>'Power Price Assumption'!U10</f>
        <v>2014</v>
      </c>
      <c r="U7" s="8">
        <f>'Power Price Assumption'!V10</f>
        <v>2015</v>
      </c>
      <c r="V7" s="8">
        <f>'Power Price Assumption'!W10</f>
        <v>2016</v>
      </c>
      <c r="W7" s="8">
        <f>'Power Price Assumption'!X10</f>
        <v>2017</v>
      </c>
      <c r="X7" s="8">
        <f>'Power Price Assumption'!Y10</f>
        <v>2018</v>
      </c>
      <c r="Y7" s="8">
        <f>'Power Price Assumption'!Z10</f>
        <v>2019</v>
      </c>
      <c r="Z7" s="8">
        <f>'Power Price Assumption'!AA10</f>
        <v>2020</v>
      </c>
      <c r="AA7" s="10"/>
    </row>
    <row r="8" spans="1:29" s="35" customFormat="1">
      <c r="A8" s="36" t="s">
        <v>212</v>
      </c>
      <c r="B8" s="36"/>
      <c r="C8" s="34"/>
      <c r="D8" s="34"/>
      <c r="E8" s="18">
        <f>Assumptions!I17</f>
        <v>6</v>
      </c>
      <c r="F8" s="18">
        <v>12</v>
      </c>
      <c r="G8" s="18">
        <v>12</v>
      </c>
      <c r="H8" s="18">
        <v>12</v>
      </c>
      <c r="I8" s="18">
        <v>12</v>
      </c>
      <c r="J8" s="18">
        <v>12</v>
      </c>
      <c r="K8" s="18">
        <v>12</v>
      </c>
      <c r="L8" s="18">
        <v>12</v>
      </c>
      <c r="M8" s="18">
        <v>12</v>
      </c>
      <c r="N8" s="18">
        <v>12</v>
      </c>
      <c r="O8" s="18">
        <v>12</v>
      </c>
      <c r="P8" s="18">
        <v>12</v>
      </c>
      <c r="Q8" s="18">
        <v>12</v>
      </c>
      <c r="R8" s="18">
        <v>12</v>
      </c>
      <c r="S8" s="18">
        <v>12</v>
      </c>
      <c r="T8" s="18">
        <v>12</v>
      </c>
      <c r="U8" s="18">
        <v>12</v>
      </c>
      <c r="V8" s="18">
        <v>12</v>
      </c>
      <c r="W8" s="18">
        <v>12</v>
      </c>
      <c r="X8" s="18">
        <v>12</v>
      </c>
      <c r="Y8" s="18">
        <v>12</v>
      </c>
      <c r="Z8" s="37">
        <v>12</v>
      </c>
      <c r="AA8" s="37"/>
      <c r="AB8"/>
      <c r="AC8"/>
    </row>
    <row r="9" spans="1:29" s="35" customFormat="1">
      <c r="A9" s="36"/>
      <c r="B9" s="36"/>
      <c r="C9" s="34"/>
      <c r="D9" s="34"/>
      <c r="E9" s="18"/>
      <c r="F9" s="18"/>
      <c r="G9" s="18"/>
      <c r="H9" s="18"/>
      <c r="I9" s="18"/>
      <c r="AB9"/>
      <c r="AC9"/>
    </row>
    <row r="10" spans="1:29" ht="15.75">
      <c r="A10" s="38"/>
      <c r="AB10"/>
      <c r="AC10"/>
    </row>
    <row r="11" spans="1:29" s="15" customFormat="1">
      <c r="A11" s="39" t="s">
        <v>129</v>
      </c>
      <c r="B11" s="17"/>
      <c r="C11" s="40"/>
      <c r="D11" s="4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/>
      <c r="AC11"/>
    </row>
    <row r="12" spans="1:29" s="15" customFormat="1">
      <c r="A12" s="17"/>
      <c r="B12" s="41" t="s">
        <v>130</v>
      </c>
      <c r="C12" s="34"/>
      <c r="D12" s="34"/>
      <c r="E12" s="45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17"/>
      <c r="U12" s="17"/>
      <c r="V12" s="17"/>
      <c r="W12" s="17"/>
      <c r="X12" s="17"/>
      <c r="Y12" s="17"/>
      <c r="Z12" s="17"/>
      <c r="AA12" s="17"/>
      <c r="AB12"/>
      <c r="AC12"/>
    </row>
    <row r="13" spans="1:29" s="15" customFormat="1">
      <c r="A13" s="29" t="s">
        <v>131</v>
      </c>
      <c r="B13" s="43">
        <f>Assumptions!$N$12</f>
        <v>15</v>
      </c>
      <c r="C13" s="44"/>
      <c r="D13" s="44"/>
      <c r="E13" s="422">
        <v>0.05</v>
      </c>
      <c r="F13" s="422">
        <v>9.5000000000000001E-2</v>
      </c>
      <c r="G13" s="422">
        <v>8.5500000000000007E-2</v>
      </c>
      <c r="H13" s="422">
        <v>7.6999999999999999E-2</v>
      </c>
      <c r="I13" s="422">
        <v>6.93E-2</v>
      </c>
      <c r="J13" s="422">
        <v>6.2300000000000001E-2</v>
      </c>
      <c r="K13" s="422">
        <v>5.8999999999999997E-2</v>
      </c>
      <c r="L13" s="422">
        <v>5.91E-2</v>
      </c>
      <c r="M13" s="422">
        <v>5.8999999999999997E-2</v>
      </c>
      <c r="N13" s="422">
        <v>5.91E-2</v>
      </c>
      <c r="O13" s="422">
        <v>5.8999999999999997E-2</v>
      </c>
      <c r="P13" s="422">
        <v>5.91E-2</v>
      </c>
      <c r="Q13" s="422">
        <v>5.8999999999999997E-2</v>
      </c>
      <c r="R13" s="422">
        <v>5.91E-2</v>
      </c>
      <c r="S13" s="422">
        <v>5.8999999999999997E-2</v>
      </c>
      <c r="T13" s="422">
        <v>2.9499999999999998E-2</v>
      </c>
      <c r="U13" s="422">
        <v>0</v>
      </c>
      <c r="V13" s="422">
        <v>0</v>
      </c>
      <c r="W13" s="422">
        <v>0</v>
      </c>
      <c r="X13" s="422">
        <v>0</v>
      </c>
      <c r="Y13" s="422">
        <v>0</v>
      </c>
      <c r="Z13" s="422">
        <v>0</v>
      </c>
      <c r="AA13" s="45"/>
      <c r="AB13"/>
      <c r="AC13"/>
    </row>
    <row r="14" spans="1:29" s="124" customFormat="1">
      <c r="A14" s="30" t="s">
        <v>132</v>
      </c>
      <c r="B14" s="121">
        <f>Assumptions!$N$13</f>
        <v>20</v>
      </c>
      <c r="C14" s="122"/>
      <c r="D14" s="122"/>
      <c r="E14" s="422">
        <f>1/Assumptions!$N$13*E8/12</f>
        <v>2.5000000000000005E-2</v>
      </c>
      <c r="F14" s="422">
        <f>IF(F6=Assumptions!$N$13,1/Assumptions!$N$13-Depreciation!$E$14,IF(F6&lt;Assumptions!$N$13,1/Assumptions!$N$13,0))</f>
        <v>0.05</v>
      </c>
      <c r="G14" s="422">
        <f>IF(G6=Assumptions!$N$13,1/Assumptions!$N$13-Depreciation!$E$14,IF(G6&lt;Assumptions!$N$13,1/Assumptions!$N$13,0))</f>
        <v>0.05</v>
      </c>
      <c r="H14" s="422">
        <f>IF(H6=Assumptions!$N$13,1/Assumptions!$N$13-Depreciation!$E$14,IF(H6&lt;Assumptions!$N$13,1/Assumptions!$N$13,0))</f>
        <v>0.05</v>
      </c>
      <c r="I14" s="422">
        <f>IF(I6=Assumptions!$N$13,1/Assumptions!$N$13-Depreciation!$E$14,IF(I6&lt;Assumptions!$N$13,1/Assumptions!$N$13,0))</f>
        <v>0.05</v>
      </c>
      <c r="J14" s="422">
        <f>IF(J6=Assumptions!$N$13,1/Assumptions!$N$13-Depreciation!$E$14,IF(J6&lt;Assumptions!$N$13,1/Assumptions!$N$13,0))</f>
        <v>0.05</v>
      </c>
      <c r="K14" s="422">
        <f>IF(K6=Assumptions!$N$13,1/Assumptions!$N$13-Depreciation!$E$14,IF(K6&lt;Assumptions!$N$13,1/Assumptions!$N$13,0))</f>
        <v>0.05</v>
      </c>
      <c r="L14" s="422">
        <f>IF(L6=Assumptions!$N$13,1/Assumptions!$N$13-Depreciation!$E$14,IF(L6&lt;Assumptions!$N$13,1/Assumptions!$N$13,0))</f>
        <v>0.05</v>
      </c>
      <c r="M14" s="422">
        <f>IF(M6=Assumptions!$N$13,1/Assumptions!$N$13-Depreciation!$E$14,IF(M6&lt;Assumptions!$N$13,1/Assumptions!$N$13,0))</f>
        <v>0.05</v>
      </c>
      <c r="N14" s="422">
        <f>IF(N6=Assumptions!$N$13,1/Assumptions!$N$13-Depreciation!$E$14,IF(N6&lt;Assumptions!$N$13,1/Assumptions!$N$13,0))</f>
        <v>0.05</v>
      </c>
      <c r="O14" s="422">
        <f>IF(O6=Assumptions!$N$13,1/Assumptions!$N$13-Depreciation!$E$14,IF(O6&lt;Assumptions!$N$13,1/Assumptions!$N$13,0))</f>
        <v>0.05</v>
      </c>
      <c r="P14" s="422">
        <f>IF(P6=Assumptions!$N$13,1/Assumptions!$N$13-Depreciation!$E$14,IF(P6&lt;Assumptions!$N$13,1/Assumptions!$N$13,0))</f>
        <v>0.05</v>
      </c>
      <c r="Q14" s="422">
        <f>IF(Q6=Assumptions!$N$13,1/Assumptions!$N$13-Depreciation!$E$14,IF(Q6&lt;Assumptions!$N$13,1/Assumptions!$N$13,0))</f>
        <v>0.05</v>
      </c>
      <c r="R14" s="422">
        <f>IF(R6=Assumptions!$N$13,1/Assumptions!$N$13-Depreciation!$E$14,IF(R6&lt;Assumptions!$N$13,1/Assumptions!$N$13,0))</f>
        <v>0.05</v>
      </c>
      <c r="S14" s="422">
        <f>IF(S6=Assumptions!$N$13,1/Assumptions!$N$13-Depreciation!$E$14,IF(S6&lt;Assumptions!$N$13,1/Assumptions!$N$13,0))</f>
        <v>0.05</v>
      </c>
      <c r="T14" s="422">
        <f>IF(T6=Assumptions!$N$13,1/Assumptions!$N$13-Depreciation!$E$14,IF(T6&lt;Assumptions!$N$13,1/Assumptions!$N$13,0))</f>
        <v>0.05</v>
      </c>
      <c r="U14" s="422">
        <f>IF(U6=Assumptions!$N$13,1/Assumptions!$N$13-Depreciation!$E$14,IF(U6&lt;Assumptions!$N$13,1/Assumptions!$N$13,0))</f>
        <v>0.05</v>
      </c>
      <c r="V14" s="422">
        <f>IF(V6=Assumptions!$N$13,1/Assumptions!$N$13-Depreciation!$E$14,IF(V6&lt;Assumptions!$N$13,1/Assumptions!$N$13,0))</f>
        <v>0.05</v>
      </c>
      <c r="W14" s="422">
        <f>IF(W6=Assumptions!$N$13,1/Assumptions!$N$13-Depreciation!$E$14,IF(W6&lt;Assumptions!$N$13,1/Assumptions!$N$13,0))</f>
        <v>0.05</v>
      </c>
      <c r="X14" s="422">
        <f>IF(X6=Assumptions!$N$13,1/Assumptions!$N$13-Depreciation!$E$14,IF(X6&lt;Assumptions!$N$13,1/Assumptions!$N$13,0))</f>
        <v>0.05</v>
      </c>
      <c r="Y14" s="422">
        <f>IF(Y6=Assumptions!$N$13,1/Assumptions!$N$13-Depreciation!$E$14,IF(Y6&lt;Assumptions!$N$13,1/Assumptions!$N$13,0))</f>
        <v>0</v>
      </c>
      <c r="Z14" s="422">
        <f>IF(Z6=Assumptions!$N$13,1/Assumptions!$N$13-Depreciation!$E$14,IF(Z6&lt;Assumptions!$N$13,1/Assumptions!$N$13,0))</f>
        <v>0</v>
      </c>
      <c r="AA14" s="123"/>
      <c r="AB14"/>
      <c r="AC14"/>
    </row>
    <row r="15" spans="1:29" s="15" customFormat="1">
      <c r="A15" s="17"/>
      <c r="B15" s="46"/>
      <c r="C15" s="34"/>
      <c r="D15" s="34"/>
      <c r="E15" s="4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/>
      <c r="AC15"/>
    </row>
    <row r="16" spans="1:29" s="15" customFormat="1">
      <c r="A16" s="29" t="s">
        <v>133</v>
      </c>
      <c r="B16" s="130">
        <f>Assumptions!D43-Assumptions!D39-Assumptions!D40</f>
        <v>123180.53499999999</v>
      </c>
      <c r="C16" s="131"/>
      <c r="D16" s="131"/>
      <c r="E16" s="132">
        <f>$B$16*E13</f>
        <v>6159.02675</v>
      </c>
      <c r="F16" s="132">
        <f t="shared" ref="F16:Z16" si="0">$B$16*F13</f>
        <v>11702.150824999999</v>
      </c>
      <c r="G16" s="132">
        <f t="shared" si="0"/>
        <v>10531.9357425</v>
      </c>
      <c r="H16" s="132">
        <f t="shared" si="0"/>
        <v>9484.9011949999986</v>
      </c>
      <c r="I16" s="132">
        <f t="shared" si="0"/>
        <v>8536.4110755000002</v>
      </c>
      <c r="J16" s="132">
        <f t="shared" si="0"/>
        <v>7674.147330499999</v>
      </c>
      <c r="K16" s="132">
        <f t="shared" si="0"/>
        <v>7267.6515649999992</v>
      </c>
      <c r="L16" s="132">
        <f t="shared" si="0"/>
        <v>7279.9696184999993</v>
      </c>
      <c r="M16" s="132">
        <f t="shared" si="0"/>
        <v>7267.6515649999992</v>
      </c>
      <c r="N16" s="132">
        <f t="shared" si="0"/>
        <v>7279.9696184999993</v>
      </c>
      <c r="O16" s="132">
        <f t="shared" si="0"/>
        <v>7267.6515649999992</v>
      </c>
      <c r="P16" s="132">
        <f t="shared" si="0"/>
        <v>7279.9696184999993</v>
      </c>
      <c r="Q16" s="132">
        <f t="shared" si="0"/>
        <v>7267.6515649999992</v>
      </c>
      <c r="R16" s="132">
        <f t="shared" si="0"/>
        <v>7279.9696184999993</v>
      </c>
      <c r="S16" s="132">
        <f t="shared" si="0"/>
        <v>7267.6515649999992</v>
      </c>
      <c r="T16" s="132">
        <f t="shared" si="0"/>
        <v>3633.8257824999996</v>
      </c>
      <c r="U16" s="132">
        <f t="shared" si="0"/>
        <v>0</v>
      </c>
      <c r="V16" s="132">
        <f t="shared" si="0"/>
        <v>0</v>
      </c>
      <c r="W16" s="132">
        <f t="shared" si="0"/>
        <v>0</v>
      </c>
      <c r="X16" s="132">
        <f t="shared" si="0"/>
        <v>0</v>
      </c>
      <c r="Y16" s="132">
        <f t="shared" si="0"/>
        <v>0</v>
      </c>
      <c r="Z16" s="132">
        <f t="shared" si="0"/>
        <v>0</v>
      </c>
      <c r="AA16" s="132"/>
      <c r="AB16"/>
      <c r="AC16"/>
    </row>
    <row r="17" spans="1:29" s="15" customFormat="1" ht="15">
      <c r="A17" s="30" t="s">
        <v>132</v>
      </c>
      <c r="B17" s="133">
        <f>SUM(Assumptions!D34:D36)</f>
        <v>1103.77</v>
      </c>
      <c r="C17" s="131"/>
      <c r="D17" s="131"/>
      <c r="E17" s="134">
        <f>$B$17*E14</f>
        <v>27.594250000000006</v>
      </c>
      <c r="F17" s="134">
        <f t="shared" ref="F17:Z17" si="1">$B$17*F14</f>
        <v>55.188500000000005</v>
      </c>
      <c r="G17" s="134">
        <f t="shared" si="1"/>
        <v>55.188500000000005</v>
      </c>
      <c r="H17" s="134">
        <f t="shared" si="1"/>
        <v>55.188500000000005</v>
      </c>
      <c r="I17" s="134">
        <f t="shared" si="1"/>
        <v>55.188500000000005</v>
      </c>
      <c r="J17" s="134">
        <f t="shared" si="1"/>
        <v>55.188500000000005</v>
      </c>
      <c r="K17" s="134">
        <f t="shared" si="1"/>
        <v>55.188500000000005</v>
      </c>
      <c r="L17" s="134">
        <f t="shared" si="1"/>
        <v>55.188500000000005</v>
      </c>
      <c r="M17" s="134">
        <f t="shared" si="1"/>
        <v>55.188500000000005</v>
      </c>
      <c r="N17" s="134">
        <f t="shared" si="1"/>
        <v>55.188500000000005</v>
      </c>
      <c r="O17" s="134">
        <f t="shared" si="1"/>
        <v>55.188500000000005</v>
      </c>
      <c r="P17" s="134">
        <f t="shared" si="1"/>
        <v>55.188500000000005</v>
      </c>
      <c r="Q17" s="134">
        <f t="shared" si="1"/>
        <v>55.188500000000005</v>
      </c>
      <c r="R17" s="134">
        <f t="shared" si="1"/>
        <v>55.188500000000005</v>
      </c>
      <c r="S17" s="134">
        <f t="shared" si="1"/>
        <v>55.188500000000005</v>
      </c>
      <c r="T17" s="134">
        <f t="shared" si="1"/>
        <v>55.188500000000005</v>
      </c>
      <c r="U17" s="134">
        <f t="shared" si="1"/>
        <v>55.188500000000005</v>
      </c>
      <c r="V17" s="134">
        <f t="shared" si="1"/>
        <v>55.188500000000005</v>
      </c>
      <c r="W17" s="134">
        <f t="shared" si="1"/>
        <v>55.188500000000005</v>
      </c>
      <c r="X17" s="134">
        <f t="shared" si="1"/>
        <v>55.188500000000005</v>
      </c>
      <c r="Y17" s="134">
        <f t="shared" si="1"/>
        <v>0</v>
      </c>
      <c r="Z17" s="134">
        <f t="shared" si="1"/>
        <v>0</v>
      </c>
      <c r="AA17" s="134"/>
      <c r="AB17"/>
      <c r="AC17"/>
    </row>
    <row r="18" spans="1:29" s="15" customFormat="1">
      <c r="A18" s="30" t="s">
        <v>134</v>
      </c>
      <c r="B18" s="132">
        <f>SUM(B16:B17)</f>
        <v>124284.30499999999</v>
      </c>
      <c r="C18" s="311"/>
      <c r="D18" s="131"/>
      <c r="E18" s="132">
        <f t="shared" ref="E18:Z18" si="2">SUM(E16:E17)</f>
        <v>6186.6210000000001</v>
      </c>
      <c r="F18" s="132">
        <f t="shared" si="2"/>
        <v>11757.339324999999</v>
      </c>
      <c r="G18" s="132">
        <f t="shared" si="2"/>
        <v>10587.1242425</v>
      </c>
      <c r="H18" s="132">
        <f t="shared" si="2"/>
        <v>9540.0896949999988</v>
      </c>
      <c r="I18" s="132">
        <f t="shared" si="2"/>
        <v>8591.5995755000004</v>
      </c>
      <c r="J18" s="132">
        <f t="shared" si="2"/>
        <v>7729.3358304999992</v>
      </c>
      <c r="K18" s="132">
        <f t="shared" si="2"/>
        <v>7322.8400649999994</v>
      </c>
      <c r="L18" s="132">
        <f t="shared" si="2"/>
        <v>7335.1581184999995</v>
      </c>
      <c r="M18" s="132">
        <f t="shared" si="2"/>
        <v>7322.8400649999994</v>
      </c>
      <c r="N18" s="132">
        <f t="shared" si="2"/>
        <v>7335.1581184999995</v>
      </c>
      <c r="O18" s="132">
        <f t="shared" si="2"/>
        <v>7322.8400649999994</v>
      </c>
      <c r="P18" s="132">
        <f t="shared" si="2"/>
        <v>7335.1581184999995</v>
      </c>
      <c r="Q18" s="132">
        <f t="shared" si="2"/>
        <v>7322.8400649999994</v>
      </c>
      <c r="R18" s="132">
        <f t="shared" si="2"/>
        <v>7335.1581184999995</v>
      </c>
      <c r="S18" s="132">
        <f t="shared" si="2"/>
        <v>7322.8400649999994</v>
      </c>
      <c r="T18" s="132">
        <f t="shared" si="2"/>
        <v>3689.0142824999998</v>
      </c>
      <c r="U18" s="132">
        <f t="shared" si="2"/>
        <v>55.188500000000005</v>
      </c>
      <c r="V18" s="132">
        <f t="shared" si="2"/>
        <v>55.188500000000005</v>
      </c>
      <c r="W18" s="132">
        <f t="shared" si="2"/>
        <v>55.188500000000005</v>
      </c>
      <c r="X18" s="132">
        <f t="shared" si="2"/>
        <v>55.188500000000005</v>
      </c>
      <c r="Y18" s="132">
        <f t="shared" si="2"/>
        <v>0</v>
      </c>
      <c r="Z18" s="132">
        <f t="shared" si="2"/>
        <v>0</v>
      </c>
      <c r="AA18" s="132"/>
      <c r="AB18"/>
      <c r="AC18"/>
    </row>
    <row r="19" spans="1:29" s="15" customFormat="1">
      <c r="B19" s="132"/>
      <c r="C19" s="131"/>
      <c r="D19" s="131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/>
      <c r="AC19"/>
    </row>
    <row r="20" spans="1:29" s="15" customFormat="1">
      <c r="A20" s="17" t="s">
        <v>135</v>
      </c>
      <c r="B20" s="132">
        <f>B18</f>
        <v>124284.30499999999</v>
      </c>
      <c r="C20" s="131"/>
      <c r="D20" s="131"/>
      <c r="E20" s="132">
        <f>B18-E18</f>
        <v>118097.68399999999</v>
      </c>
      <c r="F20" s="132">
        <f>E20-F18</f>
        <v>106340.344675</v>
      </c>
      <c r="G20" s="132">
        <f t="shared" ref="G20:Y20" si="3">F20-G18</f>
        <v>95753.220432500006</v>
      </c>
      <c r="H20" s="132">
        <f t="shared" si="3"/>
        <v>86213.130737500003</v>
      </c>
      <c r="I20" s="132">
        <f t="shared" si="3"/>
        <v>77621.531161999999</v>
      </c>
      <c r="J20" s="132">
        <f t="shared" si="3"/>
        <v>69892.195331499999</v>
      </c>
      <c r="K20" s="132">
        <f t="shared" si="3"/>
        <v>62569.355266500002</v>
      </c>
      <c r="L20" s="132">
        <f t="shared" si="3"/>
        <v>55234.197148000007</v>
      </c>
      <c r="M20" s="132">
        <f t="shared" si="3"/>
        <v>47911.35708300001</v>
      </c>
      <c r="N20" s="132">
        <f t="shared" si="3"/>
        <v>40576.198964500014</v>
      </c>
      <c r="O20" s="132">
        <f t="shared" si="3"/>
        <v>33253.358899500017</v>
      </c>
      <c r="P20" s="132">
        <f t="shared" si="3"/>
        <v>25918.200781000018</v>
      </c>
      <c r="Q20" s="132">
        <f t="shared" si="3"/>
        <v>18595.360716000017</v>
      </c>
      <c r="R20" s="132">
        <f t="shared" si="3"/>
        <v>11260.202597500018</v>
      </c>
      <c r="S20" s="132">
        <f t="shared" si="3"/>
        <v>3937.3625325000185</v>
      </c>
      <c r="T20" s="132">
        <f t="shared" si="3"/>
        <v>248.34825000001865</v>
      </c>
      <c r="U20" s="132">
        <f t="shared" si="3"/>
        <v>193.15975000001865</v>
      </c>
      <c r="V20" s="132">
        <f t="shared" si="3"/>
        <v>137.97125000001864</v>
      </c>
      <c r="W20" s="132">
        <f t="shared" si="3"/>
        <v>82.782750000018638</v>
      </c>
      <c r="X20" s="132">
        <f t="shared" si="3"/>
        <v>27.594250000018633</v>
      </c>
      <c r="Y20" s="132">
        <f t="shared" si="3"/>
        <v>27.594250000018633</v>
      </c>
      <c r="Z20" s="132">
        <f>Y20-Z18</f>
        <v>27.594250000018633</v>
      </c>
      <c r="AA20" s="132"/>
      <c r="AB20"/>
      <c r="AC20"/>
    </row>
    <row r="21" spans="1:29" s="15" customFormat="1">
      <c r="A21" s="21"/>
      <c r="B21" s="23"/>
      <c r="C21" s="47"/>
      <c r="D21" s="4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/>
      <c r="AC21"/>
    </row>
    <row r="22" spans="1:29" s="15" customFormat="1">
      <c r="A22" s="39" t="s">
        <v>136</v>
      </c>
      <c r="B22" s="48"/>
      <c r="C22" s="34"/>
      <c r="D22" s="3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/>
      <c r="AC22"/>
    </row>
    <row r="23" spans="1:29" s="15" customFormat="1">
      <c r="A23" s="39"/>
      <c r="B23" s="41" t="s">
        <v>130</v>
      </c>
      <c r="C23" s="34"/>
      <c r="D23" s="3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/>
      <c r="AC23"/>
    </row>
    <row r="24" spans="1:29" s="15" customFormat="1">
      <c r="A24" s="29" t="s">
        <v>131</v>
      </c>
      <c r="B24" s="43">
        <f>Assumptions!$N$12</f>
        <v>15</v>
      </c>
      <c r="C24" s="44"/>
      <c r="D24" s="44"/>
      <c r="E24" s="45">
        <f>E13</f>
        <v>0.05</v>
      </c>
      <c r="F24" s="45">
        <f t="shared" ref="F24:Z24" si="4">F13</f>
        <v>9.5000000000000001E-2</v>
      </c>
      <c r="G24" s="45">
        <f t="shared" si="4"/>
        <v>8.5500000000000007E-2</v>
      </c>
      <c r="H24" s="45">
        <f t="shared" si="4"/>
        <v>7.6999999999999999E-2</v>
      </c>
      <c r="I24" s="45">
        <f t="shared" si="4"/>
        <v>6.93E-2</v>
      </c>
      <c r="J24" s="45">
        <f t="shared" si="4"/>
        <v>6.2300000000000001E-2</v>
      </c>
      <c r="K24" s="45">
        <f t="shared" si="4"/>
        <v>5.8999999999999997E-2</v>
      </c>
      <c r="L24" s="45">
        <f t="shared" si="4"/>
        <v>5.91E-2</v>
      </c>
      <c r="M24" s="45">
        <f t="shared" si="4"/>
        <v>5.8999999999999997E-2</v>
      </c>
      <c r="N24" s="45">
        <f t="shared" si="4"/>
        <v>5.91E-2</v>
      </c>
      <c r="O24" s="45">
        <f t="shared" si="4"/>
        <v>5.8999999999999997E-2</v>
      </c>
      <c r="P24" s="45">
        <f t="shared" si="4"/>
        <v>5.91E-2</v>
      </c>
      <c r="Q24" s="45">
        <f t="shared" si="4"/>
        <v>5.8999999999999997E-2</v>
      </c>
      <c r="R24" s="45">
        <f t="shared" si="4"/>
        <v>5.91E-2</v>
      </c>
      <c r="S24" s="45">
        <f t="shared" si="4"/>
        <v>5.8999999999999997E-2</v>
      </c>
      <c r="T24" s="45">
        <f t="shared" si="4"/>
        <v>2.9499999999999998E-2</v>
      </c>
      <c r="U24" s="45">
        <f t="shared" si="4"/>
        <v>0</v>
      </c>
      <c r="V24" s="45">
        <f t="shared" si="4"/>
        <v>0</v>
      </c>
      <c r="W24" s="45">
        <f t="shared" si="4"/>
        <v>0</v>
      </c>
      <c r="X24" s="45">
        <f t="shared" si="4"/>
        <v>0</v>
      </c>
      <c r="Y24" s="45">
        <f t="shared" si="4"/>
        <v>0</v>
      </c>
      <c r="Z24" s="45">
        <f t="shared" si="4"/>
        <v>0</v>
      </c>
      <c r="AA24" s="45"/>
      <c r="AB24"/>
      <c r="AC24"/>
    </row>
    <row r="25" spans="1:29" s="15" customFormat="1">
      <c r="A25" s="30" t="s">
        <v>132</v>
      </c>
      <c r="B25" s="121">
        <f>Assumptions!$N$13</f>
        <v>20</v>
      </c>
      <c r="C25" s="44"/>
      <c r="D25" s="44"/>
      <c r="E25" s="45">
        <f>E14</f>
        <v>2.5000000000000005E-2</v>
      </c>
      <c r="F25" s="45">
        <f t="shared" ref="F25:Z25" si="5">F14</f>
        <v>0.05</v>
      </c>
      <c r="G25" s="45">
        <f t="shared" si="5"/>
        <v>0.05</v>
      </c>
      <c r="H25" s="45">
        <f t="shared" si="5"/>
        <v>0.05</v>
      </c>
      <c r="I25" s="45">
        <f t="shared" si="5"/>
        <v>0.05</v>
      </c>
      <c r="J25" s="45">
        <f t="shared" si="5"/>
        <v>0.05</v>
      </c>
      <c r="K25" s="45">
        <f t="shared" si="5"/>
        <v>0.05</v>
      </c>
      <c r="L25" s="45">
        <f t="shared" si="5"/>
        <v>0.05</v>
      </c>
      <c r="M25" s="45">
        <f t="shared" si="5"/>
        <v>0.05</v>
      </c>
      <c r="N25" s="45">
        <f t="shared" si="5"/>
        <v>0.05</v>
      </c>
      <c r="O25" s="45">
        <f t="shared" si="5"/>
        <v>0.05</v>
      </c>
      <c r="P25" s="45">
        <f t="shared" si="5"/>
        <v>0.05</v>
      </c>
      <c r="Q25" s="45">
        <f t="shared" si="5"/>
        <v>0.05</v>
      </c>
      <c r="R25" s="45">
        <f t="shared" si="5"/>
        <v>0.05</v>
      </c>
      <c r="S25" s="45">
        <f t="shared" si="5"/>
        <v>0.05</v>
      </c>
      <c r="T25" s="45">
        <f t="shared" si="5"/>
        <v>0.05</v>
      </c>
      <c r="U25" s="45">
        <f t="shared" si="5"/>
        <v>0.05</v>
      </c>
      <c r="V25" s="45">
        <f t="shared" si="5"/>
        <v>0.05</v>
      </c>
      <c r="W25" s="45">
        <f t="shared" si="5"/>
        <v>0.05</v>
      </c>
      <c r="X25" s="45">
        <f t="shared" si="5"/>
        <v>0.05</v>
      </c>
      <c r="Y25" s="45">
        <f t="shared" si="5"/>
        <v>0</v>
      </c>
      <c r="Z25" s="45">
        <f t="shared" si="5"/>
        <v>0</v>
      </c>
      <c r="AA25" s="45"/>
      <c r="AB25"/>
      <c r="AC25"/>
    </row>
    <row r="26" spans="1:29" s="15" customFormat="1">
      <c r="A26" s="21"/>
      <c r="B26" s="43"/>
      <c r="C26" s="34"/>
      <c r="D26" s="3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/>
      <c r="AC26"/>
    </row>
    <row r="27" spans="1:29" s="15" customFormat="1">
      <c r="A27" s="17"/>
      <c r="B27" s="41"/>
      <c r="C27" s="34"/>
      <c r="D27" s="34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/>
      <c r="AC27"/>
    </row>
    <row r="28" spans="1:29" s="27" customFormat="1">
      <c r="A28" s="29" t="s">
        <v>133</v>
      </c>
      <c r="B28" s="130">
        <f>B16</f>
        <v>123180.53499999999</v>
      </c>
      <c r="C28" s="131"/>
      <c r="D28" s="131"/>
      <c r="E28" s="132">
        <f>$B$28*E24</f>
        <v>6159.02675</v>
      </c>
      <c r="F28" s="132">
        <f t="shared" ref="F28:Z28" si="6">$B$28*F24</f>
        <v>11702.150824999999</v>
      </c>
      <c r="G28" s="132">
        <f t="shared" si="6"/>
        <v>10531.9357425</v>
      </c>
      <c r="H28" s="132">
        <f t="shared" si="6"/>
        <v>9484.9011949999986</v>
      </c>
      <c r="I28" s="132">
        <f t="shared" si="6"/>
        <v>8536.4110755000002</v>
      </c>
      <c r="J28" s="132">
        <f t="shared" si="6"/>
        <v>7674.147330499999</v>
      </c>
      <c r="K28" s="132">
        <f t="shared" si="6"/>
        <v>7267.6515649999992</v>
      </c>
      <c r="L28" s="132">
        <f t="shared" si="6"/>
        <v>7279.9696184999993</v>
      </c>
      <c r="M28" s="132">
        <f t="shared" si="6"/>
        <v>7267.6515649999992</v>
      </c>
      <c r="N28" s="132">
        <f t="shared" si="6"/>
        <v>7279.9696184999993</v>
      </c>
      <c r="O28" s="132">
        <f t="shared" si="6"/>
        <v>7267.6515649999992</v>
      </c>
      <c r="P28" s="132">
        <f t="shared" si="6"/>
        <v>7279.9696184999993</v>
      </c>
      <c r="Q28" s="132">
        <f t="shared" si="6"/>
        <v>7267.6515649999992</v>
      </c>
      <c r="R28" s="132">
        <f t="shared" si="6"/>
        <v>7279.9696184999993</v>
      </c>
      <c r="S28" s="132">
        <f t="shared" si="6"/>
        <v>7267.6515649999992</v>
      </c>
      <c r="T28" s="132">
        <f t="shared" si="6"/>
        <v>3633.8257824999996</v>
      </c>
      <c r="U28" s="132">
        <f t="shared" si="6"/>
        <v>0</v>
      </c>
      <c r="V28" s="132">
        <f t="shared" si="6"/>
        <v>0</v>
      </c>
      <c r="W28" s="132">
        <f t="shared" si="6"/>
        <v>0</v>
      </c>
      <c r="X28" s="132">
        <f t="shared" si="6"/>
        <v>0</v>
      </c>
      <c r="Y28" s="132">
        <f t="shared" si="6"/>
        <v>0</v>
      </c>
      <c r="Z28" s="132">
        <f t="shared" si="6"/>
        <v>0</v>
      </c>
      <c r="AA28" s="132"/>
      <c r="AB28"/>
      <c r="AC28"/>
    </row>
    <row r="29" spans="1:29" s="15" customFormat="1" ht="15">
      <c r="A29" s="30" t="s">
        <v>132</v>
      </c>
      <c r="B29" s="133">
        <f>B17</f>
        <v>1103.77</v>
      </c>
      <c r="C29" s="131"/>
      <c r="D29" s="131"/>
      <c r="E29" s="134">
        <f t="shared" ref="E29:Z29" si="7">$B29*E25</f>
        <v>27.594250000000006</v>
      </c>
      <c r="F29" s="134">
        <f t="shared" si="7"/>
        <v>55.188500000000005</v>
      </c>
      <c r="G29" s="134">
        <f t="shared" si="7"/>
        <v>55.188500000000005</v>
      </c>
      <c r="H29" s="134">
        <f t="shared" si="7"/>
        <v>55.188500000000005</v>
      </c>
      <c r="I29" s="134">
        <f t="shared" si="7"/>
        <v>55.188500000000005</v>
      </c>
      <c r="J29" s="134">
        <f t="shared" si="7"/>
        <v>55.188500000000005</v>
      </c>
      <c r="K29" s="134">
        <f t="shared" si="7"/>
        <v>55.188500000000005</v>
      </c>
      <c r="L29" s="134">
        <f t="shared" si="7"/>
        <v>55.188500000000005</v>
      </c>
      <c r="M29" s="134">
        <f t="shared" si="7"/>
        <v>55.188500000000005</v>
      </c>
      <c r="N29" s="134">
        <f t="shared" si="7"/>
        <v>55.188500000000005</v>
      </c>
      <c r="O29" s="134">
        <f t="shared" si="7"/>
        <v>55.188500000000005</v>
      </c>
      <c r="P29" s="134">
        <f t="shared" si="7"/>
        <v>55.188500000000005</v>
      </c>
      <c r="Q29" s="134">
        <f t="shared" si="7"/>
        <v>55.188500000000005</v>
      </c>
      <c r="R29" s="134">
        <f t="shared" si="7"/>
        <v>55.188500000000005</v>
      </c>
      <c r="S29" s="134">
        <f t="shared" si="7"/>
        <v>55.188500000000005</v>
      </c>
      <c r="T29" s="134">
        <f t="shared" si="7"/>
        <v>55.188500000000005</v>
      </c>
      <c r="U29" s="134">
        <f t="shared" si="7"/>
        <v>55.188500000000005</v>
      </c>
      <c r="V29" s="134">
        <f t="shared" si="7"/>
        <v>55.188500000000005</v>
      </c>
      <c r="W29" s="134">
        <f t="shared" si="7"/>
        <v>55.188500000000005</v>
      </c>
      <c r="X29" s="134">
        <f t="shared" si="7"/>
        <v>55.188500000000005</v>
      </c>
      <c r="Y29" s="134">
        <f t="shared" si="7"/>
        <v>0</v>
      </c>
      <c r="Z29" s="134">
        <f t="shared" si="7"/>
        <v>0</v>
      </c>
      <c r="AA29" s="134"/>
      <c r="AB29"/>
      <c r="AC29"/>
    </row>
    <row r="30" spans="1:29" s="15" customFormat="1">
      <c r="A30" s="21" t="s">
        <v>134</v>
      </c>
      <c r="B30" s="132">
        <f>SUM(B28:B29)</f>
        <v>124284.30499999999</v>
      </c>
      <c r="C30" s="131"/>
      <c r="D30" s="131"/>
      <c r="E30" s="132">
        <f t="shared" ref="E30:Z30" si="8">SUM(E28:E29)</f>
        <v>6186.6210000000001</v>
      </c>
      <c r="F30" s="132">
        <f t="shared" si="8"/>
        <v>11757.339324999999</v>
      </c>
      <c r="G30" s="132">
        <f t="shared" si="8"/>
        <v>10587.1242425</v>
      </c>
      <c r="H30" s="132">
        <f t="shared" si="8"/>
        <v>9540.0896949999988</v>
      </c>
      <c r="I30" s="132">
        <f t="shared" si="8"/>
        <v>8591.5995755000004</v>
      </c>
      <c r="J30" s="132">
        <f t="shared" si="8"/>
        <v>7729.3358304999992</v>
      </c>
      <c r="K30" s="132">
        <f t="shared" si="8"/>
        <v>7322.8400649999994</v>
      </c>
      <c r="L30" s="132">
        <f t="shared" si="8"/>
        <v>7335.1581184999995</v>
      </c>
      <c r="M30" s="132">
        <f t="shared" si="8"/>
        <v>7322.8400649999994</v>
      </c>
      <c r="N30" s="132">
        <f t="shared" si="8"/>
        <v>7335.1581184999995</v>
      </c>
      <c r="O30" s="132">
        <f t="shared" si="8"/>
        <v>7322.8400649999994</v>
      </c>
      <c r="P30" s="132">
        <f t="shared" si="8"/>
        <v>7335.1581184999995</v>
      </c>
      <c r="Q30" s="132">
        <f t="shared" si="8"/>
        <v>7322.8400649999994</v>
      </c>
      <c r="R30" s="132">
        <f t="shared" si="8"/>
        <v>7335.1581184999995</v>
      </c>
      <c r="S30" s="132">
        <f t="shared" si="8"/>
        <v>7322.8400649999994</v>
      </c>
      <c r="T30" s="132">
        <f t="shared" si="8"/>
        <v>3689.0142824999998</v>
      </c>
      <c r="U30" s="132">
        <f t="shared" si="8"/>
        <v>55.188500000000005</v>
      </c>
      <c r="V30" s="132">
        <f t="shared" si="8"/>
        <v>55.188500000000005</v>
      </c>
      <c r="W30" s="132">
        <f t="shared" si="8"/>
        <v>55.188500000000005</v>
      </c>
      <c r="X30" s="132">
        <f t="shared" si="8"/>
        <v>55.188500000000005</v>
      </c>
      <c r="Y30" s="132">
        <f t="shared" si="8"/>
        <v>0</v>
      </c>
      <c r="Z30" s="132">
        <f t="shared" si="8"/>
        <v>0</v>
      </c>
      <c r="AA30" s="132"/>
      <c r="AB30"/>
      <c r="AC30"/>
    </row>
    <row r="31" spans="1:29" s="15" customFormat="1">
      <c r="A31" s="21"/>
      <c r="B31" s="17"/>
      <c r="C31" s="34"/>
      <c r="D31" s="34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/>
      <c r="AC31"/>
    </row>
    <row r="32" spans="1:29" s="15" customFormat="1">
      <c r="A32" s="17" t="s">
        <v>135</v>
      </c>
      <c r="B32" s="118">
        <f>B30</f>
        <v>124284.30499999999</v>
      </c>
      <c r="C32" s="34"/>
      <c r="D32" s="34"/>
      <c r="E32" s="25">
        <f>B30-E30</f>
        <v>118097.68399999999</v>
      </c>
      <c r="F32" s="25">
        <f>E32-F30</f>
        <v>106340.344675</v>
      </c>
      <c r="G32" s="25">
        <f t="shared" ref="G32:X32" si="9">F32-G30</f>
        <v>95753.220432500006</v>
      </c>
      <c r="H32" s="25">
        <f t="shared" si="9"/>
        <v>86213.130737500003</v>
      </c>
      <c r="I32" s="25">
        <f t="shared" si="9"/>
        <v>77621.531161999999</v>
      </c>
      <c r="J32" s="25">
        <f t="shared" si="9"/>
        <v>69892.195331499999</v>
      </c>
      <c r="K32" s="25">
        <f t="shared" si="9"/>
        <v>62569.355266500002</v>
      </c>
      <c r="L32" s="25">
        <f t="shared" si="9"/>
        <v>55234.197148000007</v>
      </c>
      <c r="M32" s="25">
        <f t="shared" si="9"/>
        <v>47911.35708300001</v>
      </c>
      <c r="N32" s="25">
        <f t="shared" si="9"/>
        <v>40576.198964500014</v>
      </c>
      <c r="O32" s="25">
        <f t="shared" si="9"/>
        <v>33253.358899500017</v>
      </c>
      <c r="P32" s="25">
        <f t="shared" si="9"/>
        <v>25918.200781000018</v>
      </c>
      <c r="Q32" s="25">
        <f t="shared" si="9"/>
        <v>18595.360716000017</v>
      </c>
      <c r="R32" s="25">
        <f t="shared" si="9"/>
        <v>11260.202597500018</v>
      </c>
      <c r="S32" s="25">
        <f t="shared" si="9"/>
        <v>3937.3625325000185</v>
      </c>
      <c r="T32" s="25">
        <f t="shared" si="9"/>
        <v>248.34825000001865</v>
      </c>
      <c r="U32" s="25">
        <f t="shared" si="9"/>
        <v>193.15975000001865</v>
      </c>
      <c r="V32" s="25">
        <f t="shared" si="9"/>
        <v>137.97125000001864</v>
      </c>
      <c r="W32" s="25">
        <f t="shared" si="9"/>
        <v>82.782750000018638</v>
      </c>
      <c r="X32" s="25">
        <f t="shared" si="9"/>
        <v>27.594250000018633</v>
      </c>
      <c r="Y32" s="25">
        <f>X32-Y30</f>
        <v>27.594250000018633</v>
      </c>
      <c r="Z32" s="25">
        <f>Y32-Z30</f>
        <v>27.594250000018633</v>
      </c>
      <c r="AA32" s="25"/>
    </row>
    <row r="33" spans="1:29" s="15" customFormat="1">
      <c r="A33" s="17"/>
      <c r="B33" s="17"/>
      <c r="C33" s="34"/>
      <c r="D33" s="34"/>
      <c r="E33" s="5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9" s="15" customFormat="1">
      <c r="A34" s="17"/>
      <c r="D34" s="5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9" s="15" customFormat="1">
      <c r="A35" s="39" t="s">
        <v>137</v>
      </c>
      <c r="D35" s="261"/>
      <c r="AA35" s="45"/>
    </row>
    <row r="36" spans="1:29" s="15" customFormat="1">
      <c r="A36" s="39"/>
      <c r="B36" s="41" t="s">
        <v>130</v>
      </c>
      <c r="C36" s="51" t="s">
        <v>138</v>
      </c>
      <c r="D36" s="34"/>
      <c r="AA36" s="45"/>
    </row>
    <row r="37" spans="1:29" s="15" customFormat="1">
      <c r="A37" s="29" t="s">
        <v>139</v>
      </c>
      <c r="B37" s="43">
        <f>Assumptions!$N$16</f>
        <v>30</v>
      </c>
      <c r="C37" s="52">
        <f>Assumptions!P16</f>
        <v>0.1</v>
      </c>
      <c r="D37" s="34"/>
      <c r="E37" s="422">
        <f>1/Assumptions!$N$16*E8/12*(1-$C$37)</f>
        <v>1.4999999999999999E-2</v>
      </c>
      <c r="F37" s="422">
        <f>IF(F6=Assumptions!$N$16,1/Assumptions!$N$16*(1-$C$37)-Depreciation!$E$37,IF(F6&lt;Assumptions!$N$16,1/Assumptions!$N$13*(1-$C$37),0))</f>
        <v>4.5000000000000005E-2</v>
      </c>
      <c r="G37" s="422">
        <f>IF(G6=Assumptions!$N$16,1/Assumptions!$N$16*(1-$C$37)-Depreciation!$E$37,IF(G6&lt;Assumptions!$N$16,1/Assumptions!$N$13*(1-$C$37),0))</f>
        <v>4.5000000000000005E-2</v>
      </c>
      <c r="H37" s="422">
        <f>IF(H6=Assumptions!$N$16,1/Assumptions!$N$16*(1-$C$37)-Depreciation!$E$37,IF(H6&lt;Assumptions!$N$16,1/Assumptions!$N$13*(1-$C$37),0))</f>
        <v>4.5000000000000005E-2</v>
      </c>
      <c r="I37" s="422">
        <f>IF(I6=Assumptions!$N$16,1/Assumptions!$N$16*(1-$C$37)-Depreciation!$E$37,IF(I6&lt;Assumptions!$N$16,1/Assumptions!$N$13*(1-$C$37),0))</f>
        <v>4.5000000000000005E-2</v>
      </c>
      <c r="J37" s="422">
        <f>IF(J6=Assumptions!$N$16,1/Assumptions!$N$16*(1-$C$37)-Depreciation!$E$37,IF(J6&lt;Assumptions!$N$16,1/Assumptions!$N$13*(1-$C$37),0))</f>
        <v>4.5000000000000005E-2</v>
      </c>
      <c r="K37" s="422">
        <f>IF(K6=Assumptions!$N$16,1/Assumptions!$N$16*(1-$C$37)-Depreciation!$E$37,IF(K6&lt;Assumptions!$N$16,1/Assumptions!$N$13*(1-$C$37),0))</f>
        <v>4.5000000000000005E-2</v>
      </c>
      <c r="L37" s="422">
        <f>IF(L6=Assumptions!$N$16,1/Assumptions!$N$16*(1-$C$37)-Depreciation!$E$37,IF(L6&lt;Assumptions!$N$16,1/Assumptions!$N$13*(1-$C$37),0))</f>
        <v>4.5000000000000005E-2</v>
      </c>
      <c r="M37" s="422">
        <f>IF(M6=Assumptions!$N$16,1/Assumptions!$N$16*(1-$C$37)-Depreciation!$E$37,IF(M6&lt;Assumptions!$N$16,1/Assumptions!$N$13*(1-$C$37),0))</f>
        <v>4.5000000000000005E-2</v>
      </c>
      <c r="N37" s="422">
        <f>IF(N6=Assumptions!$N$16,1/Assumptions!$N$16*(1-$C$37)-Depreciation!$E$37,IF(N6&lt;Assumptions!$N$16,1/Assumptions!$N$13*(1-$C$37),0))</f>
        <v>4.5000000000000005E-2</v>
      </c>
      <c r="O37" s="422">
        <f>IF(O6=Assumptions!$N$16,1/Assumptions!$N$16*(1-$C$37)-Depreciation!$E$37,IF(O6&lt;Assumptions!$N$16,1/Assumptions!$N$13*(1-$C$37),0))</f>
        <v>4.5000000000000005E-2</v>
      </c>
      <c r="P37" s="422">
        <f>IF(P6=Assumptions!$N$16,1/Assumptions!$N$16*(1-$C$37)-Depreciation!$E$37,IF(P6&lt;Assumptions!$N$16,1/Assumptions!$N$13*(1-$C$37),0))</f>
        <v>4.5000000000000005E-2</v>
      </c>
      <c r="Q37" s="422">
        <f>IF(Q6=Assumptions!$N$16,1/Assumptions!$N$16*(1-$C$37)-Depreciation!$E$37,IF(Q6&lt;Assumptions!$N$16,1/Assumptions!$N$13*(1-$C$37),0))</f>
        <v>4.5000000000000005E-2</v>
      </c>
      <c r="R37" s="422">
        <f>IF(R6=Assumptions!$N$16,1/Assumptions!$N$16*(1-$C$37)-Depreciation!$E$37,IF(R6&lt;Assumptions!$N$16,1/Assumptions!$N$13*(1-$C$37),0))</f>
        <v>4.5000000000000005E-2</v>
      </c>
      <c r="S37" s="422">
        <f>IF(S6=Assumptions!$N$16,1/Assumptions!$N$16*(1-$C$37)-Depreciation!$E$37,IF(S6&lt;Assumptions!$N$16,1/Assumptions!$N$13*(1-$C$37),0))</f>
        <v>4.5000000000000005E-2</v>
      </c>
      <c r="T37" s="422">
        <f>IF(T6=Assumptions!$N$16,1/Assumptions!$N$16*(1-$C$37)-Depreciation!$E$37,IF(T6&lt;Assumptions!$N$16,1/Assumptions!$N$13*(1-$C$37),0))</f>
        <v>4.5000000000000005E-2</v>
      </c>
      <c r="U37" s="422">
        <f>IF(U6=Assumptions!$N$16,1/Assumptions!$N$16*(1-$C$37)-Depreciation!$E$37,IF(U6&lt;Assumptions!$N$16,1/Assumptions!$N$13*(1-$C$37),0))</f>
        <v>4.5000000000000005E-2</v>
      </c>
      <c r="V37" s="422">
        <f>IF(V6=Assumptions!$N$16,1/Assumptions!$N$16*(1-$C$37)-Depreciation!$E$37,IF(V6&lt;Assumptions!$N$16,1/Assumptions!$N$13*(1-$C$37),0))</f>
        <v>4.5000000000000005E-2</v>
      </c>
      <c r="W37" s="422">
        <f>IF(W6=Assumptions!$N$16,1/Assumptions!$N$16*(1-$C$37)-Depreciation!$E$37,IF(W6&lt;Assumptions!$N$16,1/Assumptions!$N$13*(1-$C$37),0))</f>
        <v>4.5000000000000005E-2</v>
      </c>
      <c r="X37" s="422">
        <f>IF(X6=Assumptions!$N$16,1/Assumptions!$N$16*(1-$C$37)-Depreciation!$E$37,IF(X6&lt;Assumptions!$N$16,1/Assumptions!$N$13*(1-$C$37),0))</f>
        <v>4.5000000000000005E-2</v>
      </c>
      <c r="Y37" s="422">
        <f>IF(Y6=Assumptions!$N$16,1/Assumptions!$N$16*(1-$C$37)-Depreciation!$E$37,IF(Y6&lt;Assumptions!$N$16,1/Assumptions!$N$13*(1-$C$37),0))</f>
        <v>4.5000000000000005E-2</v>
      </c>
      <c r="Z37" s="422">
        <f>IF(Z6=Assumptions!$N$16,1/Assumptions!$N$16*(1-$C$37)-Depreciation!$E$37,IF(Z6&lt;Assumptions!$N$16,1/Assumptions!$N$13*(1-$C$37),0))</f>
        <v>4.5000000000000005E-2</v>
      </c>
      <c r="AA37" s="17"/>
    </row>
    <row r="38" spans="1:29" s="15" customFormat="1">
      <c r="A38" s="30" t="s">
        <v>132</v>
      </c>
      <c r="B38" s="46">
        <f>Assumptions!$N$17</f>
        <v>20</v>
      </c>
      <c r="C38" s="34"/>
      <c r="D38" s="131"/>
      <c r="E38" s="422">
        <f>1/Assumptions!$N$17*E8/12</f>
        <v>2.5000000000000005E-2</v>
      </c>
      <c r="F38" s="422">
        <f>IF(F6=Assumptions!$N$17,1/Assumptions!$N$17-Depreciation!$E$38,IF(F6&lt;Assumptions!$N$17,1/Assumptions!$N$17,0))</f>
        <v>0.05</v>
      </c>
      <c r="G38" s="422">
        <f>IF(G6=Assumptions!$N$17,1/Assumptions!$N$17-Depreciation!$E$38,IF(G6&lt;Assumptions!$N$17,1/Assumptions!$N$17,0))</f>
        <v>0.05</v>
      </c>
      <c r="H38" s="422">
        <f>IF(H6=Assumptions!$N$17,1/Assumptions!$N$17-Depreciation!$E$38,IF(H6&lt;Assumptions!$N$17,1/Assumptions!$N$17,0))</f>
        <v>0.05</v>
      </c>
      <c r="I38" s="422">
        <f>IF(I6=Assumptions!$N$17,1/Assumptions!$N$17-Depreciation!$E$38,IF(I6&lt;Assumptions!$N$17,1/Assumptions!$N$17,0))</f>
        <v>0.05</v>
      </c>
      <c r="J38" s="422">
        <f>IF(J6=Assumptions!$N$17,1/Assumptions!$N$17-Depreciation!$E$38,IF(J6&lt;Assumptions!$N$17,1/Assumptions!$N$17,0))</f>
        <v>0.05</v>
      </c>
      <c r="K38" s="422">
        <f>IF(K6=Assumptions!$N$17,1/Assumptions!$N$17-Depreciation!$E$38,IF(K6&lt;Assumptions!$N$17,1/Assumptions!$N$17,0))</f>
        <v>0.05</v>
      </c>
      <c r="L38" s="422">
        <f>IF(L6=Assumptions!$N$17,1/Assumptions!$N$17-Depreciation!$E$38,IF(L6&lt;Assumptions!$N$17,1/Assumptions!$N$17,0))</f>
        <v>0.05</v>
      </c>
      <c r="M38" s="422">
        <f>IF(M6=Assumptions!$N$17,1/Assumptions!$N$17-Depreciation!$E$38,IF(M6&lt;Assumptions!$N$17,1/Assumptions!$N$17,0))</f>
        <v>0.05</v>
      </c>
      <c r="N38" s="422">
        <f>IF(N6=Assumptions!$N$17,1/Assumptions!$N$17-Depreciation!$E$38,IF(N6&lt;Assumptions!$N$17,1/Assumptions!$N$17,0))</f>
        <v>0.05</v>
      </c>
      <c r="O38" s="422">
        <f>IF(O6=Assumptions!$N$17,1/Assumptions!$N$17-Depreciation!$E$38,IF(O6&lt;Assumptions!$N$17,1/Assumptions!$N$17,0))</f>
        <v>0.05</v>
      </c>
      <c r="P38" s="422">
        <f>IF(P6=Assumptions!$N$17,1/Assumptions!$N$17-Depreciation!$E$38,IF(P6&lt;Assumptions!$N$17,1/Assumptions!$N$17,0))</f>
        <v>0.05</v>
      </c>
      <c r="Q38" s="422">
        <f>IF(Q6=Assumptions!$N$17,1/Assumptions!$N$17-Depreciation!$E$38,IF(Q6&lt;Assumptions!$N$17,1/Assumptions!$N$17,0))</f>
        <v>0.05</v>
      </c>
      <c r="R38" s="422">
        <f>IF(R6=Assumptions!$N$17,1/Assumptions!$N$17-Depreciation!$E$38,IF(R6&lt;Assumptions!$N$17,1/Assumptions!$N$17,0))</f>
        <v>0.05</v>
      </c>
      <c r="S38" s="422">
        <f>IF(S6=Assumptions!$N$17,1/Assumptions!$N$17-Depreciation!$E$38,IF(S6&lt;Assumptions!$N$17,1/Assumptions!$N$17,0))</f>
        <v>0.05</v>
      </c>
      <c r="T38" s="422">
        <f>IF(T6=Assumptions!$N$17,1/Assumptions!$N$17-Depreciation!$E$38,IF(T6&lt;Assumptions!$N$17,1/Assumptions!$N$17,0))</f>
        <v>0.05</v>
      </c>
      <c r="U38" s="422">
        <f>IF(U6=Assumptions!$N$17,1/Assumptions!$N$17-Depreciation!$E$38,IF(U6&lt;Assumptions!$N$17,1/Assumptions!$N$17,0))</f>
        <v>0.05</v>
      </c>
      <c r="V38" s="422">
        <f>IF(V6=Assumptions!$N$17,1/Assumptions!$N$17-Depreciation!$E$38,IF(V6&lt;Assumptions!$N$17,1/Assumptions!$N$17,0))</f>
        <v>0.05</v>
      </c>
      <c r="W38" s="422">
        <f>IF(W6=Assumptions!$N$17,1/Assumptions!$N$17-Depreciation!$E$38,IF(W6&lt;Assumptions!$N$17,1/Assumptions!$N$17,0))</f>
        <v>0.05</v>
      </c>
      <c r="X38" s="422">
        <f>IF(X6=Assumptions!$N$17,1/Assumptions!$N$17-Depreciation!$E$38,IF(X6&lt;Assumptions!$N$17,1/Assumptions!$N$17,0))</f>
        <v>0.05</v>
      </c>
      <c r="Y38" s="422">
        <f>IF(Y6=Assumptions!$N$17,1/Assumptions!$N$17-Depreciation!$E$38,IF(Y6&lt;Assumptions!$N$17,1/Assumptions!$N$17,0))</f>
        <v>0</v>
      </c>
      <c r="Z38" s="422">
        <f>IF(Z6=Assumptions!$N$17,1/Assumptions!$N$17-Depreciation!$E$38,IF(Z6&lt;Assumptions!$N$17,1/Assumptions!$N$17,0))</f>
        <v>0</v>
      </c>
      <c r="AA38" s="132"/>
    </row>
    <row r="39" spans="1:29" s="15" customFormat="1" ht="15">
      <c r="A39" s="17"/>
      <c r="B39" s="41"/>
      <c r="C39" s="34"/>
      <c r="D39" s="131"/>
      <c r="AA39" s="134"/>
    </row>
    <row r="40" spans="1:29" s="15" customFormat="1">
      <c r="A40" s="29" t="s">
        <v>139</v>
      </c>
      <c r="B40" s="130">
        <f>B16</f>
        <v>123180.53499999999</v>
      </c>
      <c r="C40" s="131"/>
      <c r="D40" s="131"/>
      <c r="E40" s="132">
        <f t="shared" ref="E40:Z40" si="10">E37*$B$40</f>
        <v>1847.7080249999997</v>
      </c>
      <c r="F40" s="132">
        <f t="shared" si="10"/>
        <v>5543.1240749999997</v>
      </c>
      <c r="G40" s="132">
        <f t="shared" si="10"/>
        <v>5543.1240749999997</v>
      </c>
      <c r="H40" s="132">
        <f t="shared" si="10"/>
        <v>5543.1240749999997</v>
      </c>
      <c r="I40" s="132">
        <f t="shared" si="10"/>
        <v>5543.1240749999997</v>
      </c>
      <c r="J40" s="132">
        <f t="shared" si="10"/>
        <v>5543.1240749999997</v>
      </c>
      <c r="K40" s="132">
        <f t="shared" si="10"/>
        <v>5543.1240749999997</v>
      </c>
      <c r="L40" s="132">
        <f t="shared" si="10"/>
        <v>5543.1240749999997</v>
      </c>
      <c r="M40" s="132">
        <f t="shared" si="10"/>
        <v>5543.1240749999997</v>
      </c>
      <c r="N40" s="132">
        <f t="shared" si="10"/>
        <v>5543.1240749999997</v>
      </c>
      <c r="O40" s="132">
        <f t="shared" si="10"/>
        <v>5543.1240749999997</v>
      </c>
      <c r="P40" s="132">
        <f t="shared" si="10"/>
        <v>5543.1240749999997</v>
      </c>
      <c r="Q40" s="132">
        <f t="shared" si="10"/>
        <v>5543.1240749999997</v>
      </c>
      <c r="R40" s="132">
        <f t="shared" si="10"/>
        <v>5543.1240749999997</v>
      </c>
      <c r="S40" s="132">
        <f t="shared" si="10"/>
        <v>5543.1240749999997</v>
      </c>
      <c r="T40" s="132">
        <f t="shared" si="10"/>
        <v>5543.1240749999997</v>
      </c>
      <c r="U40" s="132">
        <f t="shared" si="10"/>
        <v>5543.1240749999997</v>
      </c>
      <c r="V40" s="132">
        <f t="shared" si="10"/>
        <v>5543.1240749999997</v>
      </c>
      <c r="W40" s="132">
        <f t="shared" si="10"/>
        <v>5543.1240749999997</v>
      </c>
      <c r="X40" s="132">
        <f t="shared" si="10"/>
        <v>5543.1240749999997</v>
      </c>
      <c r="Y40" s="132">
        <f t="shared" si="10"/>
        <v>5543.1240749999997</v>
      </c>
      <c r="Z40" s="132">
        <f t="shared" si="10"/>
        <v>5543.1240749999997</v>
      </c>
      <c r="AA40" s="132"/>
    </row>
    <row r="41" spans="1:29" s="15" customFormat="1" ht="15">
      <c r="A41" s="30" t="s">
        <v>132</v>
      </c>
      <c r="B41" s="133">
        <f>B17</f>
        <v>1103.77</v>
      </c>
      <c r="C41" s="131"/>
      <c r="D41" s="49"/>
      <c r="E41" s="134">
        <f t="shared" ref="E41:Z41" si="11">E38*$B$41</f>
        <v>27.594250000000006</v>
      </c>
      <c r="F41" s="134">
        <f t="shared" si="11"/>
        <v>55.188500000000005</v>
      </c>
      <c r="G41" s="134">
        <f t="shared" si="11"/>
        <v>55.188500000000005</v>
      </c>
      <c r="H41" s="134">
        <f t="shared" si="11"/>
        <v>55.188500000000005</v>
      </c>
      <c r="I41" s="134">
        <f t="shared" si="11"/>
        <v>55.188500000000005</v>
      </c>
      <c r="J41" s="134">
        <f t="shared" si="11"/>
        <v>55.188500000000005</v>
      </c>
      <c r="K41" s="134">
        <f t="shared" si="11"/>
        <v>55.188500000000005</v>
      </c>
      <c r="L41" s="134">
        <f t="shared" si="11"/>
        <v>55.188500000000005</v>
      </c>
      <c r="M41" s="134">
        <f t="shared" si="11"/>
        <v>55.188500000000005</v>
      </c>
      <c r="N41" s="134">
        <f t="shared" si="11"/>
        <v>55.188500000000005</v>
      </c>
      <c r="O41" s="134">
        <f t="shared" si="11"/>
        <v>55.188500000000005</v>
      </c>
      <c r="P41" s="134">
        <f t="shared" si="11"/>
        <v>55.188500000000005</v>
      </c>
      <c r="Q41" s="134">
        <f t="shared" si="11"/>
        <v>55.188500000000005</v>
      </c>
      <c r="R41" s="134">
        <f t="shared" si="11"/>
        <v>55.188500000000005</v>
      </c>
      <c r="S41" s="134">
        <f t="shared" si="11"/>
        <v>55.188500000000005</v>
      </c>
      <c r="T41" s="134">
        <f t="shared" si="11"/>
        <v>55.188500000000005</v>
      </c>
      <c r="U41" s="134">
        <f t="shared" si="11"/>
        <v>55.188500000000005</v>
      </c>
      <c r="V41" s="134">
        <f t="shared" si="11"/>
        <v>55.188500000000005</v>
      </c>
      <c r="W41" s="134">
        <f t="shared" si="11"/>
        <v>55.188500000000005</v>
      </c>
      <c r="X41" s="134">
        <f t="shared" si="11"/>
        <v>55.188500000000005</v>
      </c>
      <c r="Y41" s="134">
        <f t="shared" si="11"/>
        <v>0</v>
      </c>
      <c r="Z41" s="134">
        <f t="shared" si="11"/>
        <v>0</v>
      </c>
      <c r="AA41" s="17"/>
    </row>
    <row r="42" spans="1:29" s="15" customFormat="1">
      <c r="A42" s="21" t="s">
        <v>134</v>
      </c>
      <c r="B42" s="132">
        <f>SUM(B40:B41)</f>
        <v>124284.30499999999</v>
      </c>
      <c r="C42" s="131"/>
      <c r="D42" s="49"/>
      <c r="E42" s="132">
        <f t="shared" ref="E42:Z42" si="12">SUM(E40:E41)</f>
        <v>1875.3022749999998</v>
      </c>
      <c r="F42" s="132">
        <f t="shared" si="12"/>
        <v>5598.3125749999999</v>
      </c>
      <c r="G42" s="132">
        <f t="shared" si="12"/>
        <v>5598.3125749999999</v>
      </c>
      <c r="H42" s="132">
        <f t="shared" si="12"/>
        <v>5598.3125749999999</v>
      </c>
      <c r="I42" s="132">
        <f t="shared" si="12"/>
        <v>5598.3125749999999</v>
      </c>
      <c r="J42" s="132">
        <f t="shared" si="12"/>
        <v>5598.3125749999999</v>
      </c>
      <c r="K42" s="132">
        <f t="shared" si="12"/>
        <v>5598.3125749999999</v>
      </c>
      <c r="L42" s="132">
        <f t="shared" si="12"/>
        <v>5598.3125749999999</v>
      </c>
      <c r="M42" s="132">
        <f t="shared" si="12"/>
        <v>5598.3125749999999</v>
      </c>
      <c r="N42" s="132">
        <f t="shared" si="12"/>
        <v>5598.3125749999999</v>
      </c>
      <c r="O42" s="132">
        <f t="shared" si="12"/>
        <v>5598.3125749999999</v>
      </c>
      <c r="P42" s="132">
        <f t="shared" si="12"/>
        <v>5598.3125749999999</v>
      </c>
      <c r="Q42" s="132">
        <f t="shared" si="12"/>
        <v>5598.3125749999999</v>
      </c>
      <c r="R42" s="132">
        <f t="shared" si="12"/>
        <v>5598.3125749999999</v>
      </c>
      <c r="S42" s="132">
        <f t="shared" si="12"/>
        <v>5598.3125749999999</v>
      </c>
      <c r="T42" s="132">
        <f t="shared" si="12"/>
        <v>5598.3125749999999</v>
      </c>
      <c r="U42" s="132">
        <f t="shared" si="12"/>
        <v>5598.3125749999999</v>
      </c>
      <c r="V42" s="132">
        <f t="shared" si="12"/>
        <v>5598.3125749999999</v>
      </c>
      <c r="W42" s="132">
        <f t="shared" si="12"/>
        <v>5598.3125749999999</v>
      </c>
      <c r="X42" s="132">
        <f t="shared" si="12"/>
        <v>5598.3125749999999</v>
      </c>
      <c r="Y42" s="132">
        <f t="shared" si="12"/>
        <v>5543.1240749999997</v>
      </c>
      <c r="Z42" s="132">
        <f t="shared" si="12"/>
        <v>5543.1240749999997</v>
      </c>
      <c r="AA42" s="132"/>
    </row>
    <row r="43" spans="1:29">
      <c r="A43" s="30"/>
      <c r="AB43" s="15"/>
      <c r="AC43" s="15"/>
    </row>
    <row r="44" spans="1:29" s="35" customFormat="1">
      <c r="A44" s="21" t="s">
        <v>140</v>
      </c>
      <c r="B44" s="36">
        <f>B42</f>
        <v>124284.30499999999</v>
      </c>
      <c r="C44" s="34"/>
      <c r="D44" s="34"/>
      <c r="E44" s="132">
        <f>B42-E42</f>
        <v>122409.002725</v>
      </c>
      <c r="F44" s="132">
        <f>E44-F42</f>
        <v>116810.69014999999</v>
      </c>
      <c r="G44" s="132">
        <f t="shared" ref="G44:Z44" si="13">F44-G42</f>
        <v>111212.37757499999</v>
      </c>
      <c r="H44" s="132">
        <f t="shared" si="13"/>
        <v>105614.06499999999</v>
      </c>
      <c r="I44" s="132">
        <f t="shared" si="13"/>
        <v>100015.75242499998</v>
      </c>
      <c r="J44" s="132">
        <f t="shared" si="13"/>
        <v>94417.439849999981</v>
      </c>
      <c r="K44" s="132">
        <f t="shared" si="13"/>
        <v>88819.127274999977</v>
      </c>
      <c r="L44" s="132">
        <f t="shared" si="13"/>
        <v>83220.814699999974</v>
      </c>
      <c r="M44" s="132">
        <f t="shared" si="13"/>
        <v>77622.50212499997</v>
      </c>
      <c r="N44" s="132">
        <f t="shared" si="13"/>
        <v>72024.189549999966</v>
      </c>
      <c r="O44" s="132">
        <f t="shared" si="13"/>
        <v>66425.876974999963</v>
      </c>
      <c r="P44" s="132">
        <f t="shared" si="13"/>
        <v>60827.564399999959</v>
      </c>
      <c r="Q44" s="132">
        <f t="shared" si="13"/>
        <v>55229.251824999956</v>
      </c>
      <c r="R44" s="132">
        <f t="shared" si="13"/>
        <v>49630.939249999952</v>
      </c>
      <c r="S44" s="132">
        <f t="shared" si="13"/>
        <v>44032.626674999949</v>
      </c>
      <c r="T44" s="132">
        <f t="shared" si="13"/>
        <v>38434.314099999945</v>
      </c>
      <c r="U44" s="132">
        <f t="shared" si="13"/>
        <v>32836.001524999941</v>
      </c>
      <c r="V44" s="132">
        <f t="shared" si="13"/>
        <v>27237.688949999942</v>
      </c>
      <c r="W44" s="132">
        <f t="shared" si="13"/>
        <v>21639.376374999942</v>
      </c>
      <c r="X44" s="132">
        <f t="shared" si="13"/>
        <v>16041.063799999942</v>
      </c>
      <c r="Y44" s="132">
        <f t="shared" si="13"/>
        <v>10497.939724999942</v>
      </c>
      <c r="Z44" s="132">
        <f t="shared" si="13"/>
        <v>4954.8156499999423</v>
      </c>
      <c r="AA44" s="37"/>
      <c r="AB44" s="17"/>
      <c r="AC44" s="17"/>
    </row>
    <row r="45" spans="1:29">
      <c r="AB45" s="35"/>
      <c r="AC45" s="35"/>
    </row>
  </sheetData>
  <pageMargins left="0.75" right="0.75" top="1" bottom="1" header="0.5" footer="0.5"/>
  <pageSetup scale="31" orientation="landscape" r:id="rId1"/>
  <headerFooter alignWithMargins="0">
    <oddFooter xml:space="preserve">&amp;L&amp;T, &amp;D&amp;C&amp;F&amp;R&amp;P </oddFooter>
  </headerFooter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58"/>
  <sheetViews>
    <sheetView zoomScale="75" zoomScaleNormal="75" workbookViewId="0"/>
  </sheetViews>
  <sheetFormatPr defaultRowHeight="12.75"/>
  <cols>
    <col min="1" max="1" width="38.28515625" style="17" customWidth="1"/>
    <col min="2" max="2" width="9.140625" style="17"/>
    <col min="3" max="3" width="16.85546875" style="17" customWidth="1"/>
    <col min="4" max="23" width="10.5703125" style="17" customWidth="1"/>
    <col min="24" max="24" width="12.7109375" style="17" bestFit="1" customWidth="1"/>
    <col min="25" max="25" width="13.140625" style="17" bestFit="1" customWidth="1"/>
    <col min="26" max="26" width="10.5703125" style="6" customWidth="1"/>
    <col min="27" max="27" width="10" style="6" customWidth="1"/>
    <col min="28" max="16384" width="9.140625" style="6"/>
  </cols>
  <sheetData>
    <row r="2" spans="1:28" ht="18.75">
      <c r="A2" s="157" t="str">
        <f>Assumptions!A3</f>
        <v>PROJECT NAME:</v>
      </c>
    </row>
    <row r="4" spans="1:28" ht="18.75">
      <c r="A4" s="105" t="s">
        <v>237</v>
      </c>
      <c r="B4" s="327"/>
      <c r="C4" s="140"/>
      <c r="D4" s="14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24"/>
      <c r="AA4" s="124"/>
    </row>
    <row r="5" spans="1:28">
      <c r="A5" s="111"/>
      <c r="B5" s="140"/>
      <c r="C5" s="140"/>
      <c r="D5" s="141"/>
      <c r="E5" s="19"/>
      <c r="F5" s="19"/>
      <c r="G5" s="19"/>
      <c r="H5" s="19"/>
      <c r="I5" s="19"/>
      <c r="J5" s="19"/>
      <c r="K5" s="138"/>
      <c r="L5" s="19"/>
      <c r="M5" s="19"/>
      <c r="N5" s="19"/>
      <c r="O5" s="19"/>
      <c r="P5" s="19"/>
      <c r="Q5" s="138"/>
      <c r="R5" s="19"/>
      <c r="S5" s="19"/>
      <c r="T5" s="19"/>
      <c r="U5" s="19"/>
      <c r="V5" s="19"/>
      <c r="W5" s="138"/>
      <c r="X5" s="19"/>
      <c r="Y5" s="19"/>
      <c r="Z5" s="177"/>
      <c r="AA5" s="177"/>
    </row>
    <row r="6" spans="1:28">
      <c r="A6" s="263"/>
      <c r="B6" s="18"/>
      <c r="C6" s="265"/>
      <c r="D6" s="458">
        <f>'Power Price Assumption'!F9</f>
        <v>0.5</v>
      </c>
      <c r="E6" s="458">
        <f>'Power Price Assumption'!G9</f>
        <v>1.5</v>
      </c>
      <c r="F6" s="458">
        <f>'Power Price Assumption'!H9</f>
        <v>2.5</v>
      </c>
      <c r="G6" s="458">
        <f>'Power Price Assumption'!I9</f>
        <v>3.5</v>
      </c>
      <c r="H6" s="458">
        <f>'Power Price Assumption'!J9</f>
        <v>4.5</v>
      </c>
      <c r="I6" s="458">
        <f>'Power Price Assumption'!K9</f>
        <v>5.5</v>
      </c>
      <c r="J6" s="458">
        <f>'Power Price Assumption'!L9</f>
        <v>6.5</v>
      </c>
      <c r="K6" s="458">
        <f>'Power Price Assumption'!M9</f>
        <v>7.5</v>
      </c>
      <c r="L6" s="458">
        <f>'Power Price Assumption'!N9</f>
        <v>8.5</v>
      </c>
      <c r="M6" s="458">
        <f>'Power Price Assumption'!O9</f>
        <v>9.5</v>
      </c>
      <c r="N6" s="458">
        <f>'Power Price Assumption'!P9</f>
        <v>10.5</v>
      </c>
      <c r="O6" s="458">
        <f>'Power Price Assumption'!Q9</f>
        <v>11.5</v>
      </c>
      <c r="P6" s="458">
        <f>'Power Price Assumption'!R9</f>
        <v>12.5</v>
      </c>
      <c r="Q6" s="458">
        <f>'Power Price Assumption'!S9</f>
        <v>13.5</v>
      </c>
      <c r="R6" s="458">
        <f>'Power Price Assumption'!T9</f>
        <v>14.5</v>
      </c>
      <c r="S6" s="458">
        <f>'Power Price Assumption'!U9</f>
        <v>15.5</v>
      </c>
      <c r="T6" s="458">
        <f>'Power Price Assumption'!V9</f>
        <v>16.5</v>
      </c>
      <c r="U6" s="458">
        <f>'Power Price Assumption'!W9</f>
        <v>17.5</v>
      </c>
      <c r="V6" s="458">
        <f>'Power Price Assumption'!X9</f>
        <v>18.5</v>
      </c>
      <c r="W6" s="458">
        <f>'Power Price Assumption'!Y9</f>
        <v>19.5</v>
      </c>
      <c r="X6" s="458">
        <f>'Power Price Assumption'!Z9</f>
        <v>20.5</v>
      </c>
      <c r="Y6" s="458">
        <f>'Power Price Assumption'!AA9</f>
        <v>21.5</v>
      </c>
      <c r="Z6" s="178"/>
      <c r="AA6" s="177"/>
    </row>
    <row r="7" spans="1:28" ht="13.5" thickBot="1">
      <c r="A7" s="232" t="s">
        <v>79</v>
      </c>
      <c r="B7" s="296"/>
      <c r="C7" s="296"/>
      <c r="D7" s="8">
        <f>'Power Price Assumption'!F10</f>
        <v>1999</v>
      </c>
      <c r="E7" s="8">
        <f>'Power Price Assumption'!G10</f>
        <v>2000</v>
      </c>
      <c r="F7" s="8">
        <f>'Power Price Assumption'!H10</f>
        <v>2001</v>
      </c>
      <c r="G7" s="8">
        <f>'Power Price Assumption'!I10</f>
        <v>2002</v>
      </c>
      <c r="H7" s="8">
        <f>'Power Price Assumption'!J10</f>
        <v>2003</v>
      </c>
      <c r="I7" s="8">
        <f>'Power Price Assumption'!K10</f>
        <v>2004</v>
      </c>
      <c r="J7" s="8">
        <f>'Power Price Assumption'!L10</f>
        <v>2005</v>
      </c>
      <c r="K7" s="8">
        <f>'Power Price Assumption'!M10</f>
        <v>2006</v>
      </c>
      <c r="L7" s="8">
        <f>'Power Price Assumption'!N10</f>
        <v>2007</v>
      </c>
      <c r="M7" s="8">
        <f>'Power Price Assumption'!O10</f>
        <v>2008</v>
      </c>
      <c r="N7" s="8">
        <f>'Power Price Assumption'!P10</f>
        <v>2009</v>
      </c>
      <c r="O7" s="8">
        <f>'Power Price Assumption'!Q10</f>
        <v>2010</v>
      </c>
      <c r="P7" s="8">
        <f>'Power Price Assumption'!R10</f>
        <v>2011</v>
      </c>
      <c r="Q7" s="8">
        <f>'Power Price Assumption'!S10</f>
        <v>2012</v>
      </c>
      <c r="R7" s="8">
        <f>'Power Price Assumption'!T10</f>
        <v>2013</v>
      </c>
      <c r="S7" s="8">
        <f>'Power Price Assumption'!U10</f>
        <v>2014</v>
      </c>
      <c r="T7" s="8">
        <f>'Power Price Assumption'!V10</f>
        <v>2015</v>
      </c>
      <c r="U7" s="8">
        <f>'Power Price Assumption'!W10</f>
        <v>2016</v>
      </c>
      <c r="V7" s="8">
        <f>'Power Price Assumption'!X10</f>
        <v>2017</v>
      </c>
      <c r="W7" s="8">
        <f>'Power Price Assumption'!Y10</f>
        <v>2018</v>
      </c>
      <c r="X7" s="8">
        <f>'Power Price Assumption'!Z10</f>
        <v>2019</v>
      </c>
      <c r="Y7" s="8">
        <f>'Power Price Assumption'!AA10</f>
        <v>2020</v>
      </c>
    </row>
    <row r="8" spans="1:28">
      <c r="A8" s="263"/>
      <c r="B8" s="297"/>
      <c r="C8" s="297"/>
      <c r="D8" s="297"/>
      <c r="E8" s="297"/>
      <c r="F8" s="29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267" t="s">
        <v>141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0"/>
      <c r="AA9" s="140"/>
    </row>
    <row r="10" spans="1:28">
      <c r="A10" s="26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0"/>
      <c r="AA10" s="140"/>
    </row>
    <row r="11" spans="1:28">
      <c r="A11" s="267"/>
      <c r="B11" s="18"/>
      <c r="C11" s="18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176"/>
      <c r="AA11" s="176"/>
    </row>
    <row r="12" spans="1:28" ht="13.5">
      <c r="A12" s="31" t="s">
        <v>142</v>
      </c>
      <c r="B12" s="18"/>
      <c r="C12" s="18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176"/>
      <c r="AA12" s="176"/>
    </row>
    <row r="13" spans="1:28">
      <c r="A13" s="29" t="s">
        <v>143</v>
      </c>
      <c r="B13" s="269"/>
      <c r="C13" s="22"/>
      <c r="D13" s="26">
        <f>IS!D50</f>
        <v>8296.0450199084553</v>
      </c>
      <c r="E13" s="26">
        <f>IS!E50</f>
        <v>13440.168684796885</v>
      </c>
      <c r="F13" s="26">
        <f>IS!F50</f>
        <v>13420.528659105948</v>
      </c>
      <c r="G13" s="26">
        <f>IS!G50</f>
        <v>13399.901333741913</v>
      </c>
      <c r="H13" s="26">
        <f>IS!H50</f>
        <v>19318.832860037674</v>
      </c>
      <c r="I13" s="26">
        <f>IS!I50</f>
        <v>25657.075484575395</v>
      </c>
      <c r="J13" s="26">
        <f>IS!J50</f>
        <v>26048.775805358033</v>
      </c>
      <c r="K13" s="26">
        <f>IS!K50</f>
        <v>26439.25122110144</v>
      </c>
      <c r="L13" s="26">
        <f>IS!L50</f>
        <v>27458.284477121673</v>
      </c>
      <c r="M13" s="26">
        <f>IS!M50</f>
        <v>27852.094373084128</v>
      </c>
      <c r="N13" s="26">
        <f>IS!N50</f>
        <v>28917.485217723213</v>
      </c>
      <c r="O13" s="26">
        <f>IS!O50</f>
        <v>28532.863494828493</v>
      </c>
      <c r="P13" s="26">
        <f>IS!P50</f>
        <v>29699.873347826233</v>
      </c>
      <c r="Q13" s="26">
        <f>IS!Q50</f>
        <v>30177.42727846705</v>
      </c>
      <c r="R13" s="26">
        <f>IS!R50</f>
        <v>30642.480451194937</v>
      </c>
      <c r="S13" s="26">
        <f>IS!S50</f>
        <v>31092.764518442247</v>
      </c>
      <c r="T13" s="26">
        <f>IS!T50</f>
        <v>31557.665816196826</v>
      </c>
      <c r="U13" s="26">
        <f>IS!U50</f>
        <v>32015.416503741359</v>
      </c>
      <c r="V13" s="26">
        <f>IS!V50</f>
        <v>32440.328222159489</v>
      </c>
      <c r="W13" s="26">
        <f>IS!W50</f>
        <v>32717.082096377551</v>
      </c>
      <c r="X13" s="26">
        <f>IS!X50</f>
        <v>32937.080779011354</v>
      </c>
      <c r="Y13" s="26">
        <f>IS!Y50</f>
        <v>33259.156940885798</v>
      </c>
      <c r="Z13" s="179"/>
      <c r="AA13" s="179"/>
    </row>
    <row r="14" spans="1:28">
      <c r="A14" s="29" t="s">
        <v>144</v>
      </c>
      <c r="B14" s="18"/>
      <c r="C14" s="24"/>
      <c r="D14" s="26">
        <f>IS!D44</f>
        <v>1875.3022749999998</v>
      </c>
      <c r="E14" s="26">
        <f>IS!E44</f>
        <v>5598.3125749999999</v>
      </c>
      <c r="F14" s="26">
        <f>IS!F44</f>
        <v>5598.3125749999999</v>
      </c>
      <c r="G14" s="26">
        <f>IS!G44</f>
        <v>5598.3125749999999</v>
      </c>
      <c r="H14" s="26">
        <f>IS!H44</f>
        <v>5598.3125749999999</v>
      </c>
      <c r="I14" s="26">
        <f>IS!I44</f>
        <v>5598.3125749999999</v>
      </c>
      <c r="J14" s="26">
        <f>IS!J44</f>
        <v>5598.3125749999999</v>
      </c>
      <c r="K14" s="26">
        <f>IS!K44</f>
        <v>5598.3125749999999</v>
      </c>
      <c r="L14" s="26">
        <f>IS!L44</f>
        <v>5598.3125749999999</v>
      </c>
      <c r="M14" s="26">
        <f>IS!M44</f>
        <v>5598.3125749999999</v>
      </c>
      <c r="N14" s="26">
        <f>IS!N44</f>
        <v>5598.3125749999999</v>
      </c>
      <c r="O14" s="26">
        <f>IS!O44</f>
        <v>5598.3125749999999</v>
      </c>
      <c r="P14" s="26">
        <f>IS!P44</f>
        <v>5598.3125749999999</v>
      </c>
      <c r="Q14" s="26">
        <f>IS!Q44</f>
        <v>5598.3125749999999</v>
      </c>
      <c r="R14" s="26">
        <f>IS!R44</f>
        <v>5598.3125749999999</v>
      </c>
      <c r="S14" s="26">
        <f>IS!S44</f>
        <v>5598.3125749999999</v>
      </c>
      <c r="T14" s="26">
        <f>IS!T44</f>
        <v>5598.3125749999999</v>
      </c>
      <c r="U14" s="26">
        <f>IS!U44</f>
        <v>5598.3125749999999</v>
      </c>
      <c r="V14" s="26">
        <f>IS!V44</f>
        <v>5598.3125749999999</v>
      </c>
      <c r="W14" s="26">
        <f>IS!W44</f>
        <v>5598.3125749999999</v>
      </c>
      <c r="X14" s="26">
        <f>IS!X44</f>
        <v>5543.1240749999997</v>
      </c>
      <c r="Y14" s="26">
        <f>IS!Y44</f>
        <v>5543.1240749999997</v>
      </c>
      <c r="Z14" s="179"/>
      <c r="AA14" s="179"/>
    </row>
    <row r="15" spans="1:28" ht="15">
      <c r="A15" s="29" t="s">
        <v>145</v>
      </c>
      <c r="B15" s="18"/>
      <c r="C15" s="18"/>
      <c r="D15" s="270">
        <f>-Depreciation!E30</f>
        <v>-6186.6210000000001</v>
      </c>
      <c r="E15" s="270">
        <f>-Depreciation!F30</f>
        <v>-11757.339324999999</v>
      </c>
      <c r="F15" s="270">
        <f>-Depreciation!G30</f>
        <v>-10587.1242425</v>
      </c>
      <c r="G15" s="270">
        <f>-Depreciation!H30</f>
        <v>-9540.0896949999988</v>
      </c>
      <c r="H15" s="270">
        <f>-Depreciation!I30</f>
        <v>-8591.5995755000004</v>
      </c>
      <c r="I15" s="270">
        <f>-Depreciation!J30</f>
        <v>-7729.3358304999992</v>
      </c>
      <c r="J15" s="270">
        <f>-Depreciation!K30</f>
        <v>-7322.8400649999994</v>
      </c>
      <c r="K15" s="270">
        <f>-Depreciation!L30</f>
        <v>-7335.1581184999995</v>
      </c>
      <c r="L15" s="270">
        <f>-Depreciation!M30</f>
        <v>-7322.8400649999994</v>
      </c>
      <c r="M15" s="270">
        <f>-Depreciation!N30</f>
        <v>-7335.1581184999995</v>
      </c>
      <c r="N15" s="270">
        <f>-Depreciation!O30</f>
        <v>-7322.8400649999994</v>
      </c>
      <c r="O15" s="270">
        <f>-Depreciation!P30</f>
        <v>-7335.1581184999995</v>
      </c>
      <c r="P15" s="270">
        <f>-Depreciation!Q30</f>
        <v>-7322.8400649999994</v>
      </c>
      <c r="Q15" s="270">
        <f>-Depreciation!R30</f>
        <v>-7335.1581184999995</v>
      </c>
      <c r="R15" s="270">
        <f>-Depreciation!S30</f>
        <v>-7322.8400649999994</v>
      </c>
      <c r="S15" s="270">
        <f>-Depreciation!T30</f>
        <v>-3689.0142824999998</v>
      </c>
      <c r="T15" s="270">
        <f>-Depreciation!U30</f>
        <v>-55.188500000000005</v>
      </c>
      <c r="U15" s="270">
        <f>-Depreciation!V30</f>
        <v>-55.188500000000005</v>
      </c>
      <c r="V15" s="270">
        <f>-Depreciation!W30</f>
        <v>-55.188500000000005</v>
      </c>
      <c r="W15" s="270">
        <f>-Depreciation!X30</f>
        <v>-55.188500000000005</v>
      </c>
      <c r="X15" s="270">
        <f>-Depreciation!Y30</f>
        <v>0</v>
      </c>
      <c r="Y15" s="270">
        <f>-Depreciation!Z30</f>
        <v>0</v>
      </c>
      <c r="Z15" s="182"/>
      <c r="AA15" s="182"/>
    </row>
    <row r="16" spans="1:28">
      <c r="A16" s="268" t="s">
        <v>146</v>
      </c>
      <c r="B16" s="18"/>
      <c r="C16" s="18"/>
      <c r="D16" s="32">
        <f>SUM(D13:D15)</f>
        <v>3984.7262949084552</v>
      </c>
      <c r="E16" s="32">
        <f t="shared" ref="E16:Y16" si="0">SUM(E13:E15)</f>
        <v>7281.1419347968858</v>
      </c>
      <c r="F16" s="32">
        <f t="shared" si="0"/>
        <v>8431.7169916059484</v>
      </c>
      <c r="G16" s="32">
        <f t="shared" si="0"/>
        <v>9458.124213741914</v>
      </c>
      <c r="H16" s="32">
        <f t="shared" si="0"/>
        <v>16325.545859537673</v>
      </c>
      <c r="I16" s="32">
        <f t="shared" si="0"/>
        <v>23526.052229075394</v>
      </c>
      <c r="J16" s="32">
        <f t="shared" si="0"/>
        <v>24324.248315358032</v>
      </c>
      <c r="K16" s="32">
        <f t="shared" si="0"/>
        <v>24702.40567760144</v>
      </c>
      <c r="L16" s="32">
        <f t="shared" si="0"/>
        <v>25733.756987121673</v>
      </c>
      <c r="M16" s="32">
        <f t="shared" si="0"/>
        <v>26115.248829584129</v>
      </c>
      <c r="N16" s="32">
        <f t="shared" si="0"/>
        <v>27192.957727723213</v>
      </c>
      <c r="O16" s="32">
        <f t="shared" si="0"/>
        <v>26796.017951328493</v>
      </c>
      <c r="P16" s="32">
        <f t="shared" si="0"/>
        <v>27975.345857826233</v>
      </c>
      <c r="Q16" s="32">
        <f t="shared" si="0"/>
        <v>28440.581734967051</v>
      </c>
      <c r="R16" s="32">
        <f t="shared" si="0"/>
        <v>28917.952961194937</v>
      </c>
      <c r="S16" s="32">
        <f t="shared" si="0"/>
        <v>33002.062810942247</v>
      </c>
      <c r="T16" s="32">
        <f t="shared" si="0"/>
        <v>37100.78989119683</v>
      </c>
      <c r="U16" s="32">
        <f t="shared" si="0"/>
        <v>37558.540578741362</v>
      </c>
      <c r="V16" s="32">
        <f t="shared" si="0"/>
        <v>37983.452297159492</v>
      </c>
      <c r="W16" s="32">
        <f t="shared" si="0"/>
        <v>38260.206171377555</v>
      </c>
      <c r="X16" s="32">
        <f t="shared" si="0"/>
        <v>38480.204854011354</v>
      </c>
      <c r="Y16" s="32">
        <f t="shared" si="0"/>
        <v>38802.281015885797</v>
      </c>
      <c r="Z16" s="176"/>
      <c r="AA16" s="176"/>
    </row>
    <row r="17" spans="1:27">
      <c r="A17" s="29"/>
      <c r="B17" s="18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176"/>
      <c r="AA17" s="176"/>
    </row>
    <row r="18" spans="1:27">
      <c r="A18" s="29" t="s">
        <v>146</v>
      </c>
      <c r="B18" s="18"/>
      <c r="C18" s="28"/>
      <c r="D18" s="26">
        <f>D16</f>
        <v>3984.7262949084552</v>
      </c>
      <c r="E18" s="26">
        <f t="shared" ref="E18:X18" si="1">E16</f>
        <v>7281.1419347968858</v>
      </c>
      <c r="F18" s="26">
        <f t="shared" si="1"/>
        <v>8431.7169916059484</v>
      </c>
      <c r="G18" s="26">
        <f t="shared" si="1"/>
        <v>9458.124213741914</v>
      </c>
      <c r="H18" s="26">
        <f t="shared" si="1"/>
        <v>16325.545859537673</v>
      </c>
      <c r="I18" s="26">
        <f t="shared" si="1"/>
        <v>23526.052229075394</v>
      </c>
      <c r="J18" s="26">
        <f t="shared" si="1"/>
        <v>24324.248315358032</v>
      </c>
      <c r="K18" s="26">
        <f t="shared" si="1"/>
        <v>24702.40567760144</v>
      </c>
      <c r="L18" s="26">
        <f t="shared" si="1"/>
        <v>25733.756987121673</v>
      </c>
      <c r="M18" s="26">
        <f t="shared" si="1"/>
        <v>26115.248829584129</v>
      </c>
      <c r="N18" s="26">
        <f t="shared" si="1"/>
        <v>27192.957727723213</v>
      </c>
      <c r="O18" s="26">
        <f t="shared" si="1"/>
        <v>26796.017951328493</v>
      </c>
      <c r="P18" s="26">
        <f t="shared" si="1"/>
        <v>27975.345857826233</v>
      </c>
      <c r="Q18" s="26">
        <f t="shared" si="1"/>
        <v>28440.581734967051</v>
      </c>
      <c r="R18" s="26">
        <f t="shared" si="1"/>
        <v>28917.952961194937</v>
      </c>
      <c r="S18" s="26">
        <f t="shared" si="1"/>
        <v>33002.062810942247</v>
      </c>
      <c r="T18" s="26">
        <f t="shared" si="1"/>
        <v>37100.78989119683</v>
      </c>
      <c r="U18" s="26">
        <f t="shared" si="1"/>
        <v>37558.540578741362</v>
      </c>
      <c r="V18" s="26">
        <f t="shared" si="1"/>
        <v>37983.452297159492</v>
      </c>
      <c r="W18" s="26">
        <f t="shared" si="1"/>
        <v>38260.206171377555</v>
      </c>
      <c r="X18" s="26">
        <f t="shared" si="1"/>
        <v>38480.204854011354</v>
      </c>
      <c r="Y18" s="26">
        <f>Y16</f>
        <v>38802.281015885797</v>
      </c>
      <c r="Z18" s="179"/>
      <c r="AA18" s="179"/>
    </row>
    <row r="19" spans="1:27">
      <c r="A19" s="29" t="s">
        <v>243</v>
      </c>
      <c r="B19" s="18"/>
      <c r="C19" s="18"/>
      <c r="D19" s="271">
        <f>Assumptions!$N$23</f>
        <v>0.06</v>
      </c>
      <c r="E19" s="271">
        <f>Assumptions!$N$23</f>
        <v>0.06</v>
      </c>
      <c r="F19" s="271">
        <f>Assumptions!$N$23</f>
        <v>0.06</v>
      </c>
      <c r="G19" s="271">
        <f>Assumptions!$N$23</f>
        <v>0.06</v>
      </c>
      <c r="H19" s="271">
        <f>Assumptions!$N$23</f>
        <v>0.06</v>
      </c>
      <c r="I19" s="271">
        <f>Assumptions!$N$23</f>
        <v>0.06</v>
      </c>
      <c r="J19" s="271">
        <f>Assumptions!$N$23</f>
        <v>0.06</v>
      </c>
      <c r="K19" s="271">
        <f>Assumptions!$N$23</f>
        <v>0.06</v>
      </c>
      <c r="L19" s="271">
        <f>Assumptions!$N$23</f>
        <v>0.06</v>
      </c>
      <c r="M19" s="271">
        <f>Assumptions!$N$23</f>
        <v>0.06</v>
      </c>
      <c r="N19" s="271">
        <f>Assumptions!$N$23</f>
        <v>0.06</v>
      </c>
      <c r="O19" s="271">
        <f>Assumptions!$N$23</f>
        <v>0.06</v>
      </c>
      <c r="P19" s="271">
        <f>Assumptions!$N$23</f>
        <v>0.06</v>
      </c>
      <c r="Q19" s="271">
        <f>Assumptions!$N$23</f>
        <v>0.06</v>
      </c>
      <c r="R19" s="271">
        <f>Assumptions!$N$23</f>
        <v>0.06</v>
      </c>
      <c r="S19" s="271">
        <f>Assumptions!$N$23</f>
        <v>0.06</v>
      </c>
      <c r="T19" s="271">
        <f>Assumptions!$N$23</f>
        <v>0.06</v>
      </c>
      <c r="U19" s="271">
        <f>Assumptions!$N$23</f>
        <v>0.06</v>
      </c>
      <c r="V19" s="271">
        <f>Assumptions!$N$23</f>
        <v>0.06</v>
      </c>
      <c r="W19" s="271">
        <f>Assumptions!$N$23</f>
        <v>0.06</v>
      </c>
      <c r="X19" s="271">
        <f>Assumptions!$N$23</f>
        <v>0.06</v>
      </c>
      <c r="Y19" s="271">
        <f>Assumptions!$N$23</f>
        <v>0.06</v>
      </c>
      <c r="Z19" s="183"/>
      <c r="AA19" s="183"/>
    </row>
    <row r="20" spans="1:27">
      <c r="A20" s="29" t="s">
        <v>147</v>
      </c>
      <c r="B20" s="269"/>
      <c r="C20" s="22"/>
      <c r="D20" s="26">
        <f>D18*D19</f>
        <v>239.08357769450731</v>
      </c>
      <c r="E20" s="26">
        <f t="shared" ref="E20:Y20" si="2">E18*E19</f>
        <v>436.86851608781313</v>
      </c>
      <c r="F20" s="26">
        <f t="shared" si="2"/>
        <v>505.90301949635688</v>
      </c>
      <c r="G20" s="26">
        <f t="shared" si="2"/>
        <v>567.48745282451478</v>
      </c>
      <c r="H20" s="26">
        <f t="shared" si="2"/>
        <v>979.53275157226039</v>
      </c>
      <c r="I20" s="26">
        <f t="shared" si="2"/>
        <v>1411.5631337445236</v>
      </c>
      <c r="J20" s="26">
        <f t="shared" si="2"/>
        <v>1459.4548989214818</v>
      </c>
      <c r="K20" s="26">
        <f t="shared" si="2"/>
        <v>1482.1443406560863</v>
      </c>
      <c r="L20" s="26">
        <f t="shared" si="2"/>
        <v>1544.0254192273003</v>
      </c>
      <c r="M20" s="26">
        <f t="shared" si="2"/>
        <v>1566.9149297750478</v>
      </c>
      <c r="N20" s="26">
        <f t="shared" si="2"/>
        <v>1631.5774636633928</v>
      </c>
      <c r="O20" s="26">
        <f t="shared" si="2"/>
        <v>1607.7610770797096</v>
      </c>
      <c r="P20" s="26">
        <f t="shared" si="2"/>
        <v>1678.520751469574</v>
      </c>
      <c r="Q20" s="26">
        <f t="shared" si="2"/>
        <v>1706.434904098023</v>
      </c>
      <c r="R20" s="26">
        <f t="shared" si="2"/>
        <v>1735.0771776716961</v>
      </c>
      <c r="S20" s="26">
        <f t="shared" si="2"/>
        <v>1980.1237686565348</v>
      </c>
      <c r="T20" s="26">
        <f t="shared" si="2"/>
        <v>2226.0473934718098</v>
      </c>
      <c r="U20" s="26">
        <f t="shared" si="2"/>
        <v>2253.5124347244814</v>
      </c>
      <c r="V20" s="26">
        <f t="shared" si="2"/>
        <v>2279.0071378295693</v>
      </c>
      <c r="W20" s="26">
        <f t="shared" si="2"/>
        <v>2295.612370282653</v>
      </c>
      <c r="X20" s="26">
        <f t="shared" si="2"/>
        <v>2308.8122912406811</v>
      </c>
      <c r="Y20" s="26">
        <f t="shared" si="2"/>
        <v>2328.1368609531478</v>
      </c>
      <c r="Z20" s="179"/>
      <c r="AA20" s="179"/>
    </row>
    <row r="21" spans="1:27">
      <c r="A21" s="29"/>
      <c r="B21" s="18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176"/>
      <c r="AA21" s="176"/>
    </row>
    <row r="22" spans="1:27">
      <c r="A22" s="29" t="s">
        <v>148</v>
      </c>
      <c r="B22" s="269"/>
      <c r="C22" s="22"/>
      <c r="D22" s="26">
        <v>0</v>
      </c>
      <c r="E22" s="26">
        <f>D26</f>
        <v>0</v>
      </c>
      <c r="F22" s="26">
        <f t="shared" ref="F22:Y22" si="3">E26</f>
        <v>0</v>
      </c>
      <c r="G22" s="26">
        <f t="shared" si="3"/>
        <v>0</v>
      </c>
      <c r="H22" s="26">
        <f t="shared" si="3"/>
        <v>0</v>
      </c>
      <c r="I22" s="26">
        <f t="shared" si="3"/>
        <v>0</v>
      </c>
      <c r="J22" s="26">
        <f t="shared" si="3"/>
        <v>0</v>
      </c>
      <c r="K22" s="26">
        <f t="shared" si="3"/>
        <v>0</v>
      </c>
      <c r="L22" s="26">
        <f t="shared" si="3"/>
        <v>0</v>
      </c>
      <c r="M22" s="26">
        <f t="shared" si="3"/>
        <v>0</v>
      </c>
      <c r="N22" s="26">
        <f t="shared" si="3"/>
        <v>0</v>
      </c>
      <c r="O22" s="26">
        <f t="shared" si="3"/>
        <v>0</v>
      </c>
      <c r="P22" s="26">
        <f t="shared" si="3"/>
        <v>0</v>
      </c>
      <c r="Q22" s="26">
        <f t="shared" si="3"/>
        <v>0</v>
      </c>
      <c r="R22" s="26">
        <f>Q26</f>
        <v>0</v>
      </c>
      <c r="S22" s="26">
        <f t="shared" si="3"/>
        <v>0</v>
      </c>
      <c r="T22" s="26">
        <f t="shared" si="3"/>
        <v>0</v>
      </c>
      <c r="U22" s="26">
        <f t="shared" si="3"/>
        <v>0</v>
      </c>
      <c r="V22" s="26">
        <v>0</v>
      </c>
      <c r="W22" s="26">
        <f t="shared" si="3"/>
        <v>0</v>
      </c>
      <c r="X22" s="26">
        <f t="shared" si="3"/>
        <v>0</v>
      </c>
      <c r="Y22" s="26">
        <f t="shared" si="3"/>
        <v>0</v>
      </c>
      <c r="Z22" s="179"/>
      <c r="AA22" s="179"/>
    </row>
    <row r="23" spans="1:27">
      <c r="A23" s="29" t="s">
        <v>149</v>
      </c>
      <c r="B23" s="269"/>
      <c r="C23" s="22"/>
      <c r="D23" s="286">
        <f>IF(D20&lt;0,-D20,0)</f>
        <v>0</v>
      </c>
      <c r="E23" s="286">
        <f t="shared" ref="E23:Y23" si="4">IF(E20&lt;0,-E20,0)</f>
        <v>0</v>
      </c>
      <c r="F23" s="286">
        <f t="shared" si="4"/>
        <v>0</v>
      </c>
      <c r="G23" s="286">
        <f t="shared" si="4"/>
        <v>0</v>
      </c>
      <c r="H23" s="286">
        <f t="shared" si="4"/>
        <v>0</v>
      </c>
      <c r="I23" s="286">
        <f t="shared" si="4"/>
        <v>0</v>
      </c>
      <c r="J23" s="286">
        <f t="shared" si="4"/>
        <v>0</v>
      </c>
      <c r="K23" s="286">
        <f t="shared" si="4"/>
        <v>0</v>
      </c>
      <c r="L23" s="286">
        <f t="shared" si="4"/>
        <v>0</v>
      </c>
      <c r="M23" s="286">
        <f t="shared" si="4"/>
        <v>0</v>
      </c>
      <c r="N23" s="286">
        <f t="shared" si="4"/>
        <v>0</v>
      </c>
      <c r="O23" s="286">
        <f t="shared" si="4"/>
        <v>0</v>
      </c>
      <c r="P23" s="286">
        <f t="shared" si="4"/>
        <v>0</v>
      </c>
      <c r="Q23" s="286">
        <f t="shared" si="4"/>
        <v>0</v>
      </c>
      <c r="R23" s="286">
        <f t="shared" si="4"/>
        <v>0</v>
      </c>
      <c r="S23" s="286">
        <f t="shared" si="4"/>
        <v>0</v>
      </c>
      <c r="T23" s="286">
        <f t="shared" si="4"/>
        <v>0</v>
      </c>
      <c r="U23" s="286">
        <f t="shared" si="4"/>
        <v>0</v>
      </c>
      <c r="V23" s="286">
        <f t="shared" si="4"/>
        <v>0</v>
      </c>
      <c r="W23" s="286">
        <f t="shared" si="4"/>
        <v>0</v>
      </c>
      <c r="X23" s="286">
        <f t="shared" si="4"/>
        <v>0</v>
      </c>
      <c r="Y23" s="286">
        <f t="shared" si="4"/>
        <v>0</v>
      </c>
      <c r="Z23" s="179"/>
      <c r="AA23" s="179"/>
    </row>
    <row r="24" spans="1:27">
      <c r="A24" s="29" t="s">
        <v>150</v>
      </c>
      <c r="B24" s="269"/>
      <c r="C24" s="272"/>
      <c r="D24" s="273">
        <v>0</v>
      </c>
      <c r="E24" s="273">
        <v>0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0</v>
      </c>
      <c r="N24" s="273">
        <v>0</v>
      </c>
      <c r="O24" s="273">
        <v>0</v>
      </c>
      <c r="P24" s="273">
        <v>0</v>
      </c>
      <c r="Q24" s="273">
        <v>0</v>
      </c>
      <c r="R24" s="273">
        <v>0</v>
      </c>
      <c r="S24" s="273">
        <v>0</v>
      </c>
      <c r="T24" s="273">
        <v>0</v>
      </c>
      <c r="U24" s="273">
        <v>0</v>
      </c>
      <c r="V24" s="273">
        <v>0</v>
      </c>
      <c r="W24" s="273">
        <v>0</v>
      </c>
      <c r="X24" s="26">
        <f>IF(P23&gt;(SUM(Q25:W25)+SUM(P24:W24))*-1,P23-(SUM(P25:W25)+SUM(P24:W24))*-1,0)</f>
        <v>0</v>
      </c>
      <c r="Y24" s="26">
        <f>IF(Q23&gt;(SUM(R25:X25)+SUM(Q24:X24))*-1,Q23-(SUM(Q25:X25)+SUM(Q24:X24))*-1,0)</f>
        <v>0</v>
      </c>
      <c r="Z24" s="179"/>
      <c r="AA24" s="179"/>
    </row>
    <row r="25" spans="1:27">
      <c r="A25" s="18" t="s">
        <v>151</v>
      </c>
      <c r="B25" s="266"/>
      <c r="C25" s="18"/>
      <c r="D25" s="274">
        <f>IF(D20&lt;0,0,IF(D22&gt;D20,-D20,-D22))</f>
        <v>0</v>
      </c>
      <c r="E25" s="274">
        <f t="shared" ref="E25:X25" si="5">IF(E20&lt;0,0,IF(E22&gt;E20,-E20,-E22))</f>
        <v>0</v>
      </c>
      <c r="F25" s="274">
        <f t="shared" si="5"/>
        <v>0</v>
      </c>
      <c r="G25" s="274">
        <f t="shared" si="5"/>
        <v>0</v>
      </c>
      <c r="H25" s="274">
        <f t="shared" si="5"/>
        <v>0</v>
      </c>
      <c r="I25" s="274">
        <f t="shared" si="5"/>
        <v>0</v>
      </c>
      <c r="J25" s="274">
        <f t="shared" si="5"/>
        <v>0</v>
      </c>
      <c r="K25" s="274">
        <f t="shared" si="5"/>
        <v>0</v>
      </c>
      <c r="L25" s="274">
        <f t="shared" si="5"/>
        <v>0</v>
      </c>
      <c r="M25" s="274">
        <f t="shared" si="5"/>
        <v>0</v>
      </c>
      <c r="N25" s="274">
        <f t="shared" si="5"/>
        <v>0</v>
      </c>
      <c r="O25" s="274">
        <f t="shared" si="5"/>
        <v>0</v>
      </c>
      <c r="P25" s="274">
        <f t="shared" si="5"/>
        <v>0</v>
      </c>
      <c r="Q25" s="274">
        <f t="shared" si="5"/>
        <v>0</v>
      </c>
      <c r="R25" s="274">
        <f t="shared" si="5"/>
        <v>0</v>
      </c>
      <c r="S25" s="274">
        <f t="shared" si="5"/>
        <v>0</v>
      </c>
      <c r="T25" s="274">
        <f t="shared" si="5"/>
        <v>0</v>
      </c>
      <c r="U25" s="274">
        <f t="shared" si="5"/>
        <v>0</v>
      </c>
      <c r="V25" s="274">
        <f t="shared" si="5"/>
        <v>0</v>
      </c>
      <c r="W25" s="274">
        <f t="shared" si="5"/>
        <v>0</v>
      </c>
      <c r="X25" s="274">
        <f t="shared" si="5"/>
        <v>0</v>
      </c>
      <c r="Y25" s="274">
        <f>IF(Y20&lt;0,0,IF(Y22&gt;Y20,-Y20,-Y22))</f>
        <v>0</v>
      </c>
      <c r="Z25" s="184"/>
      <c r="AA25" s="184"/>
    </row>
    <row r="26" spans="1:27">
      <c r="A26" s="18" t="s">
        <v>152</v>
      </c>
      <c r="B26" s="266"/>
      <c r="C26" s="18"/>
      <c r="D26" s="274">
        <f t="shared" ref="D26:Y26" si="6">SUM(D22:D25)</f>
        <v>0</v>
      </c>
      <c r="E26" s="274">
        <f t="shared" si="6"/>
        <v>0</v>
      </c>
      <c r="F26" s="274">
        <f t="shared" si="6"/>
        <v>0</v>
      </c>
      <c r="G26" s="274">
        <f t="shared" si="6"/>
        <v>0</v>
      </c>
      <c r="H26" s="274">
        <f t="shared" si="6"/>
        <v>0</v>
      </c>
      <c r="I26" s="274">
        <f t="shared" si="6"/>
        <v>0</v>
      </c>
      <c r="J26" s="274">
        <f t="shared" si="6"/>
        <v>0</v>
      </c>
      <c r="K26" s="274">
        <f t="shared" si="6"/>
        <v>0</v>
      </c>
      <c r="L26" s="274">
        <f t="shared" si="6"/>
        <v>0</v>
      </c>
      <c r="M26" s="274">
        <f t="shared" si="6"/>
        <v>0</v>
      </c>
      <c r="N26" s="274">
        <f t="shared" si="6"/>
        <v>0</v>
      </c>
      <c r="O26" s="274">
        <f t="shared" si="6"/>
        <v>0</v>
      </c>
      <c r="P26" s="274">
        <f t="shared" si="6"/>
        <v>0</v>
      </c>
      <c r="Q26" s="274">
        <f t="shared" si="6"/>
        <v>0</v>
      </c>
      <c r="R26" s="274">
        <f t="shared" si="6"/>
        <v>0</v>
      </c>
      <c r="S26" s="274">
        <f t="shared" si="6"/>
        <v>0</v>
      </c>
      <c r="T26" s="274">
        <f t="shared" si="6"/>
        <v>0</v>
      </c>
      <c r="U26" s="274">
        <f t="shared" si="6"/>
        <v>0</v>
      </c>
      <c r="V26" s="274">
        <f t="shared" si="6"/>
        <v>0</v>
      </c>
      <c r="W26" s="274">
        <f t="shared" si="6"/>
        <v>0</v>
      </c>
      <c r="X26" s="274">
        <f t="shared" si="6"/>
        <v>0</v>
      </c>
      <c r="Y26" s="274">
        <f t="shared" si="6"/>
        <v>0</v>
      </c>
      <c r="Z26" s="184"/>
      <c r="AA26" s="184"/>
    </row>
    <row r="27" spans="1:27">
      <c r="A27" s="18"/>
      <c r="B27" s="18"/>
      <c r="C27" s="1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176"/>
      <c r="AA27" s="176"/>
    </row>
    <row r="28" spans="1:27">
      <c r="A28" s="59" t="s">
        <v>153</v>
      </c>
      <c r="B28" s="18"/>
      <c r="C28" s="18"/>
      <c r="D28" s="32">
        <f>IF(D20&lt;0,0,D20+D25)</f>
        <v>239.08357769450731</v>
      </c>
      <c r="E28" s="32">
        <f t="shared" ref="E28:X28" si="7">IF(E20&lt;0,0,E20+E25)</f>
        <v>436.86851608781313</v>
      </c>
      <c r="F28" s="32">
        <f t="shared" si="7"/>
        <v>505.90301949635688</v>
      </c>
      <c r="G28" s="32">
        <f t="shared" si="7"/>
        <v>567.48745282451478</v>
      </c>
      <c r="H28" s="32">
        <f t="shared" si="7"/>
        <v>979.53275157226039</v>
      </c>
      <c r="I28" s="32">
        <f t="shared" si="7"/>
        <v>1411.5631337445236</v>
      </c>
      <c r="J28" s="32">
        <f t="shared" si="7"/>
        <v>1459.4548989214818</v>
      </c>
      <c r="K28" s="32">
        <f t="shared" si="7"/>
        <v>1482.1443406560863</v>
      </c>
      <c r="L28" s="32">
        <f t="shared" si="7"/>
        <v>1544.0254192273003</v>
      </c>
      <c r="M28" s="32">
        <f t="shared" si="7"/>
        <v>1566.9149297750478</v>
      </c>
      <c r="N28" s="32">
        <f t="shared" si="7"/>
        <v>1631.5774636633928</v>
      </c>
      <c r="O28" s="32">
        <f t="shared" si="7"/>
        <v>1607.7610770797096</v>
      </c>
      <c r="P28" s="32">
        <f t="shared" si="7"/>
        <v>1678.520751469574</v>
      </c>
      <c r="Q28" s="32">
        <f t="shared" si="7"/>
        <v>1706.434904098023</v>
      </c>
      <c r="R28" s="32">
        <f t="shared" si="7"/>
        <v>1735.0771776716961</v>
      </c>
      <c r="S28" s="32">
        <f t="shared" si="7"/>
        <v>1980.1237686565348</v>
      </c>
      <c r="T28" s="32">
        <f t="shared" si="7"/>
        <v>2226.0473934718098</v>
      </c>
      <c r="U28" s="32">
        <f t="shared" si="7"/>
        <v>2253.5124347244814</v>
      </c>
      <c r="V28" s="32">
        <f t="shared" si="7"/>
        <v>2279.0071378295693</v>
      </c>
      <c r="W28" s="32">
        <f t="shared" si="7"/>
        <v>2295.612370282653</v>
      </c>
      <c r="X28" s="32">
        <f t="shared" si="7"/>
        <v>2308.8122912406811</v>
      </c>
      <c r="Y28" s="32">
        <f>IF(Y20&lt;0,0,Y20+Y25)</f>
        <v>2328.1368609531478</v>
      </c>
      <c r="Z28" s="176"/>
      <c r="AA28" s="176"/>
    </row>
    <row r="29" spans="1:27">
      <c r="A29" s="18" t="s">
        <v>244</v>
      </c>
      <c r="B29" s="18"/>
      <c r="C29" s="18"/>
      <c r="D29" s="423">
        <v>0</v>
      </c>
      <c r="E29" s="423">
        <v>0</v>
      </c>
      <c r="F29" s="423">
        <v>0</v>
      </c>
      <c r="G29" s="423">
        <v>0</v>
      </c>
      <c r="H29" s="423">
        <v>0</v>
      </c>
      <c r="I29" s="423">
        <v>0</v>
      </c>
      <c r="J29" s="423">
        <v>0</v>
      </c>
      <c r="K29" s="423">
        <v>0</v>
      </c>
      <c r="L29" s="423">
        <v>0</v>
      </c>
      <c r="M29" s="423">
        <v>0</v>
      </c>
      <c r="N29" s="423">
        <v>0</v>
      </c>
      <c r="O29" s="423">
        <v>0</v>
      </c>
      <c r="P29" s="423">
        <v>0</v>
      </c>
      <c r="Q29" s="423">
        <v>0</v>
      </c>
      <c r="R29" s="423">
        <v>0</v>
      </c>
      <c r="S29" s="423">
        <v>0</v>
      </c>
      <c r="T29" s="423">
        <v>0</v>
      </c>
      <c r="U29" s="423">
        <v>0</v>
      </c>
      <c r="V29" s="423">
        <v>0</v>
      </c>
      <c r="W29" s="423">
        <v>0</v>
      </c>
      <c r="X29" s="423">
        <v>0</v>
      </c>
      <c r="Y29" s="423">
        <v>0</v>
      </c>
      <c r="Z29" s="181"/>
      <c r="AA29" s="181"/>
    </row>
    <row r="30" spans="1:27">
      <c r="A30" s="59" t="s">
        <v>154</v>
      </c>
      <c r="B30" s="18"/>
      <c r="C30" s="18"/>
      <c r="D30" s="287">
        <f t="shared" ref="D30:Y30" si="8">SUM(D28:D29)</f>
        <v>239.08357769450731</v>
      </c>
      <c r="E30" s="288">
        <f t="shared" si="8"/>
        <v>436.86851608781313</v>
      </c>
      <c r="F30" s="288">
        <f t="shared" si="8"/>
        <v>505.90301949635688</v>
      </c>
      <c r="G30" s="288">
        <f t="shared" si="8"/>
        <v>567.48745282451478</v>
      </c>
      <c r="H30" s="288">
        <f t="shared" si="8"/>
        <v>979.53275157226039</v>
      </c>
      <c r="I30" s="288">
        <f t="shared" si="8"/>
        <v>1411.5631337445236</v>
      </c>
      <c r="J30" s="288">
        <f t="shared" si="8"/>
        <v>1459.4548989214818</v>
      </c>
      <c r="K30" s="288">
        <f t="shared" si="8"/>
        <v>1482.1443406560863</v>
      </c>
      <c r="L30" s="288">
        <f t="shared" si="8"/>
        <v>1544.0254192273003</v>
      </c>
      <c r="M30" s="288">
        <f t="shared" si="8"/>
        <v>1566.9149297750478</v>
      </c>
      <c r="N30" s="289">
        <f t="shared" si="8"/>
        <v>1631.5774636633928</v>
      </c>
      <c r="O30" s="287">
        <f t="shared" si="8"/>
        <v>1607.7610770797096</v>
      </c>
      <c r="P30" s="288">
        <f t="shared" si="8"/>
        <v>1678.520751469574</v>
      </c>
      <c r="Q30" s="288">
        <f t="shared" si="8"/>
        <v>1706.434904098023</v>
      </c>
      <c r="R30" s="288">
        <f t="shared" si="8"/>
        <v>1735.0771776716961</v>
      </c>
      <c r="S30" s="288">
        <f t="shared" si="8"/>
        <v>1980.1237686565348</v>
      </c>
      <c r="T30" s="288">
        <f t="shared" si="8"/>
        <v>2226.0473934718098</v>
      </c>
      <c r="U30" s="288">
        <f t="shared" si="8"/>
        <v>2253.5124347244814</v>
      </c>
      <c r="V30" s="288">
        <f t="shared" si="8"/>
        <v>2279.0071378295693</v>
      </c>
      <c r="W30" s="288">
        <f t="shared" si="8"/>
        <v>2295.612370282653</v>
      </c>
      <c r="X30" s="288">
        <f t="shared" si="8"/>
        <v>2308.8122912406811</v>
      </c>
      <c r="Y30" s="288">
        <f t="shared" si="8"/>
        <v>2328.1368609531478</v>
      </c>
      <c r="Z30" s="259"/>
      <c r="AA30" s="259"/>
    </row>
    <row r="31" spans="1:27">
      <c r="A31" s="59"/>
      <c r="B31" s="18"/>
      <c r="C31" s="18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59"/>
      <c r="AA31" s="259"/>
    </row>
    <row r="32" spans="1:27">
      <c r="A32" s="29"/>
      <c r="B32" s="18"/>
      <c r="C32" s="18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79"/>
      <c r="AA32" s="179"/>
    </row>
    <row r="33" spans="1:27">
      <c r="A33" s="267" t="s">
        <v>155</v>
      </c>
      <c r="B33" s="18"/>
      <c r="C33" s="18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176"/>
      <c r="AA33" s="176"/>
    </row>
    <row r="34" spans="1:27">
      <c r="A34" s="29" t="s">
        <v>143</v>
      </c>
      <c r="B34" s="18"/>
      <c r="C34" s="24"/>
      <c r="D34" s="26">
        <f>D13</f>
        <v>8296.0450199084553</v>
      </c>
      <c r="E34" s="26">
        <f t="shared" ref="E34:X34" si="9">E13</f>
        <v>13440.168684796885</v>
      </c>
      <c r="F34" s="26">
        <f t="shared" si="9"/>
        <v>13420.528659105948</v>
      </c>
      <c r="G34" s="26">
        <f t="shared" si="9"/>
        <v>13399.901333741913</v>
      </c>
      <c r="H34" s="26">
        <f t="shared" si="9"/>
        <v>19318.832860037674</v>
      </c>
      <c r="I34" s="26">
        <f t="shared" si="9"/>
        <v>25657.075484575395</v>
      </c>
      <c r="J34" s="26">
        <f t="shared" si="9"/>
        <v>26048.775805358033</v>
      </c>
      <c r="K34" s="26">
        <f t="shared" si="9"/>
        <v>26439.25122110144</v>
      </c>
      <c r="L34" s="26">
        <f t="shared" si="9"/>
        <v>27458.284477121673</v>
      </c>
      <c r="M34" s="26">
        <f t="shared" si="9"/>
        <v>27852.094373084128</v>
      </c>
      <c r="N34" s="26">
        <f t="shared" si="9"/>
        <v>28917.485217723213</v>
      </c>
      <c r="O34" s="26">
        <f t="shared" si="9"/>
        <v>28532.863494828493</v>
      </c>
      <c r="P34" s="26">
        <f t="shared" si="9"/>
        <v>29699.873347826233</v>
      </c>
      <c r="Q34" s="26">
        <f t="shared" si="9"/>
        <v>30177.42727846705</v>
      </c>
      <c r="R34" s="26">
        <f t="shared" si="9"/>
        <v>30642.480451194937</v>
      </c>
      <c r="S34" s="26">
        <f t="shared" si="9"/>
        <v>31092.764518442247</v>
      </c>
      <c r="T34" s="26">
        <f t="shared" si="9"/>
        <v>31557.665816196826</v>
      </c>
      <c r="U34" s="26">
        <f t="shared" si="9"/>
        <v>32015.416503741359</v>
      </c>
      <c r="V34" s="26">
        <f t="shared" si="9"/>
        <v>32440.328222159489</v>
      </c>
      <c r="W34" s="26">
        <f t="shared" si="9"/>
        <v>32717.082096377551</v>
      </c>
      <c r="X34" s="26">
        <f t="shared" si="9"/>
        <v>32937.080779011354</v>
      </c>
      <c r="Y34" s="26">
        <f>Y13</f>
        <v>33259.156940885798</v>
      </c>
      <c r="Z34" s="179"/>
      <c r="AA34" s="179"/>
    </row>
    <row r="35" spans="1:27">
      <c r="A35" s="29" t="s">
        <v>144</v>
      </c>
      <c r="B35" s="18"/>
      <c r="C35" s="24"/>
      <c r="D35" s="26">
        <f>D14</f>
        <v>1875.3022749999998</v>
      </c>
      <c r="E35" s="26">
        <f t="shared" ref="E35:X35" si="10">E14</f>
        <v>5598.3125749999999</v>
      </c>
      <c r="F35" s="26">
        <f t="shared" si="10"/>
        <v>5598.3125749999999</v>
      </c>
      <c r="G35" s="26">
        <f t="shared" si="10"/>
        <v>5598.3125749999999</v>
      </c>
      <c r="H35" s="26">
        <f t="shared" si="10"/>
        <v>5598.3125749999999</v>
      </c>
      <c r="I35" s="26">
        <f t="shared" si="10"/>
        <v>5598.3125749999999</v>
      </c>
      <c r="J35" s="26">
        <f t="shared" si="10"/>
        <v>5598.3125749999999</v>
      </c>
      <c r="K35" s="26">
        <f t="shared" si="10"/>
        <v>5598.3125749999999</v>
      </c>
      <c r="L35" s="26">
        <f t="shared" si="10"/>
        <v>5598.3125749999999</v>
      </c>
      <c r="M35" s="26">
        <f t="shared" si="10"/>
        <v>5598.3125749999999</v>
      </c>
      <c r="N35" s="26">
        <f t="shared" si="10"/>
        <v>5598.3125749999999</v>
      </c>
      <c r="O35" s="26">
        <f t="shared" si="10"/>
        <v>5598.3125749999999</v>
      </c>
      <c r="P35" s="26">
        <f t="shared" si="10"/>
        <v>5598.3125749999999</v>
      </c>
      <c r="Q35" s="26">
        <f t="shared" si="10"/>
        <v>5598.3125749999999</v>
      </c>
      <c r="R35" s="26">
        <f t="shared" si="10"/>
        <v>5598.3125749999999</v>
      </c>
      <c r="S35" s="26">
        <f t="shared" si="10"/>
        <v>5598.3125749999999</v>
      </c>
      <c r="T35" s="26">
        <f t="shared" si="10"/>
        <v>5598.3125749999999</v>
      </c>
      <c r="U35" s="26">
        <f t="shared" si="10"/>
        <v>5598.3125749999999</v>
      </c>
      <c r="V35" s="26">
        <f t="shared" si="10"/>
        <v>5598.3125749999999</v>
      </c>
      <c r="W35" s="26">
        <f t="shared" si="10"/>
        <v>5598.3125749999999</v>
      </c>
      <c r="X35" s="26">
        <f t="shared" si="10"/>
        <v>5543.1240749999997</v>
      </c>
      <c r="Y35" s="26">
        <f>Y14</f>
        <v>5543.1240749999997</v>
      </c>
      <c r="Z35" s="179"/>
      <c r="AA35" s="179"/>
    </row>
    <row r="36" spans="1:27">
      <c r="A36" s="29" t="s">
        <v>156</v>
      </c>
      <c r="B36" s="32"/>
      <c r="C36" s="26"/>
      <c r="D36" s="26">
        <f>-Depreciation!E18</f>
        <v>-6186.6210000000001</v>
      </c>
      <c r="E36" s="26">
        <f>-Depreciation!F18</f>
        <v>-11757.339324999999</v>
      </c>
      <c r="F36" s="26">
        <f>-Depreciation!G18</f>
        <v>-10587.1242425</v>
      </c>
      <c r="G36" s="26">
        <f>-Depreciation!H18</f>
        <v>-9540.0896949999988</v>
      </c>
      <c r="H36" s="26">
        <f>-Depreciation!I18</f>
        <v>-8591.5995755000004</v>
      </c>
      <c r="I36" s="26">
        <f>-Depreciation!J18</f>
        <v>-7729.3358304999992</v>
      </c>
      <c r="J36" s="26">
        <f>-Depreciation!K18</f>
        <v>-7322.8400649999994</v>
      </c>
      <c r="K36" s="26">
        <f>-Depreciation!L18</f>
        <v>-7335.1581184999995</v>
      </c>
      <c r="L36" s="26">
        <f>-Depreciation!M18</f>
        <v>-7322.8400649999994</v>
      </c>
      <c r="M36" s="26">
        <f>-Depreciation!N18</f>
        <v>-7335.1581184999995</v>
      </c>
      <c r="N36" s="26">
        <f>-Depreciation!O18</f>
        <v>-7322.8400649999994</v>
      </c>
      <c r="O36" s="26">
        <f>-Depreciation!P18</f>
        <v>-7335.1581184999995</v>
      </c>
      <c r="P36" s="26">
        <f>-Depreciation!Q18</f>
        <v>-7322.8400649999994</v>
      </c>
      <c r="Q36" s="26">
        <f>-Depreciation!R18</f>
        <v>-7335.1581184999995</v>
      </c>
      <c r="R36" s="26">
        <f>-Depreciation!S18</f>
        <v>-7322.8400649999994</v>
      </c>
      <c r="S36" s="26">
        <f>-Depreciation!T18</f>
        <v>-3689.0142824999998</v>
      </c>
      <c r="T36" s="26">
        <f>-Depreciation!U18</f>
        <v>-55.188500000000005</v>
      </c>
      <c r="U36" s="26">
        <f>-Depreciation!V18</f>
        <v>-55.188500000000005</v>
      </c>
      <c r="V36" s="26">
        <f>-Depreciation!W18</f>
        <v>-55.188500000000005</v>
      </c>
      <c r="W36" s="26">
        <f>-Depreciation!X18</f>
        <v>-55.188500000000005</v>
      </c>
      <c r="X36" s="26">
        <f>-Depreciation!Y18</f>
        <v>0</v>
      </c>
      <c r="Y36" s="26">
        <f>-Depreciation!Z18</f>
        <v>0</v>
      </c>
      <c r="Z36" s="179"/>
      <c r="AA36" s="179"/>
    </row>
    <row r="37" spans="1:27" ht="15">
      <c r="A37" s="29" t="s">
        <v>157</v>
      </c>
      <c r="B37" s="32"/>
      <c r="C37" s="32"/>
      <c r="D37" s="276">
        <f>-D30</f>
        <v>-239.08357769450731</v>
      </c>
      <c r="E37" s="276">
        <f t="shared" ref="E37:X37" si="11">-E30</f>
        <v>-436.86851608781313</v>
      </c>
      <c r="F37" s="276">
        <f t="shared" si="11"/>
        <v>-505.90301949635688</v>
      </c>
      <c r="G37" s="276">
        <f t="shared" si="11"/>
        <v>-567.48745282451478</v>
      </c>
      <c r="H37" s="276">
        <f t="shared" si="11"/>
        <v>-979.53275157226039</v>
      </c>
      <c r="I37" s="276">
        <f t="shared" si="11"/>
        <v>-1411.5631337445236</v>
      </c>
      <c r="J37" s="276">
        <f t="shared" si="11"/>
        <v>-1459.4548989214818</v>
      </c>
      <c r="K37" s="276">
        <f t="shared" si="11"/>
        <v>-1482.1443406560863</v>
      </c>
      <c r="L37" s="276">
        <f t="shared" si="11"/>
        <v>-1544.0254192273003</v>
      </c>
      <c r="M37" s="276">
        <f t="shared" si="11"/>
        <v>-1566.9149297750478</v>
      </c>
      <c r="N37" s="276">
        <f t="shared" si="11"/>
        <v>-1631.5774636633928</v>
      </c>
      <c r="O37" s="276">
        <f t="shared" si="11"/>
        <v>-1607.7610770797096</v>
      </c>
      <c r="P37" s="276">
        <f t="shared" si="11"/>
        <v>-1678.520751469574</v>
      </c>
      <c r="Q37" s="276">
        <f t="shared" si="11"/>
        <v>-1706.434904098023</v>
      </c>
      <c r="R37" s="276">
        <f t="shared" si="11"/>
        <v>-1735.0771776716961</v>
      </c>
      <c r="S37" s="276">
        <f t="shared" si="11"/>
        <v>-1980.1237686565348</v>
      </c>
      <c r="T37" s="276">
        <f t="shared" si="11"/>
        <v>-2226.0473934718098</v>
      </c>
      <c r="U37" s="276">
        <f t="shared" si="11"/>
        <v>-2253.5124347244814</v>
      </c>
      <c r="V37" s="276">
        <f t="shared" si="11"/>
        <v>-2279.0071378295693</v>
      </c>
      <c r="W37" s="276">
        <f t="shared" si="11"/>
        <v>-2295.612370282653</v>
      </c>
      <c r="X37" s="276">
        <f t="shared" si="11"/>
        <v>-2308.8122912406811</v>
      </c>
      <c r="Y37" s="276">
        <f>-Y30</f>
        <v>-2328.1368609531478</v>
      </c>
      <c r="Z37" s="185"/>
      <c r="AA37" s="185"/>
    </row>
    <row r="38" spans="1:27">
      <c r="A38" s="268" t="s">
        <v>158</v>
      </c>
      <c r="B38" s="275"/>
      <c r="C38" s="61"/>
      <c r="D38" s="61">
        <f>SUM(D34:D37)</f>
        <v>3745.6427172139479</v>
      </c>
      <c r="E38" s="61">
        <f t="shared" ref="E38:Y38" si="12">SUM(E34:E37)</f>
        <v>6844.2734187090728</v>
      </c>
      <c r="F38" s="61">
        <f t="shared" si="12"/>
        <v>7925.8139721095913</v>
      </c>
      <c r="G38" s="61">
        <f t="shared" si="12"/>
        <v>8890.6367609173994</v>
      </c>
      <c r="H38" s="61">
        <f t="shared" si="12"/>
        <v>15346.013107965413</v>
      </c>
      <c r="I38" s="61">
        <f t="shared" si="12"/>
        <v>22114.489095330871</v>
      </c>
      <c r="J38" s="61">
        <f t="shared" si="12"/>
        <v>22864.793416436551</v>
      </c>
      <c r="K38" s="61">
        <f t="shared" si="12"/>
        <v>23220.261336945354</v>
      </c>
      <c r="L38" s="61">
        <f t="shared" si="12"/>
        <v>24189.731567894374</v>
      </c>
      <c r="M38" s="61">
        <f t="shared" si="12"/>
        <v>24548.33389980908</v>
      </c>
      <c r="N38" s="61">
        <f t="shared" si="12"/>
        <v>25561.380264059819</v>
      </c>
      <c r="O38" s="61">
        <f t="shared" si="12"/>
        <v>25188.256874248782</v>
      </c>
      <c r="P38" s="61">
        <f t="shared" si="12"/>
        <v>26296.825106356657</v>
      </c>
      <c r="Q38" s="61">
        <f t="shared" si="12"/>
        <v>26734.146830869027</v>
      </c>
      <c r="R38" s="61">
        <f t="shared" si="12"/>
        <v>27182.875783523239</v>
      </c>
      <c r="S38" s="61">
        <f t="shared" si="12"/>
        <v>31021.93904228571</v>
      </c>
      <c r="T38" s="61">
        <f t="shared" si="12"/>
        <v>34874.742497725019</v>
      </c>
      <c r="U38" s="61">
        <f t="shared" si="12"/>
        <v>35305.028144016884</v>
      </c>
      <c r="V38" s="61">
        <f t="shared" si="12"/>
        <v>35704.445159329924</v>
      </c>
      <c r="W38" s="61">
        <f t="shared" si="12"/>
        <v>35964.593801094903</v>
      </c>
      <c r="X38" s="61">
        <f t="shared" si="12"/>
        <v>36171.39256277067</v>
      </c>
      <c r="Y38" s="61">
        <f t="shared" si="12"/>
        <v>36474.144154932648</v>
      </c>
      <c r="Z38" s="180"/>
      <c r="AA38" s="180"/>
    </row>
    <row r="39" spans="1:27">
      <c r="A39" s="268"/>
      <c r="B39" s="275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180"/>
      <c r="AA39" s="180"/>
    </row>
    <row r="40" spans="1:27">
      <c r="A40" s="29" t="s">
        <v>159</v>
      </c>
      <c r="B40" s="18"/>
      <c r="C40" s="33"/>
      <c r="D40" s="277">
        <f>Assumptions!$N$22</f>
        <v>0.35</v>
      </c>
      <c r="E40" s="277">
        <f>Assumptions!$N$22</f>
        <v>0.35</v>
      </c>
      <c r="F40" s="277">
        <f>Assumptions!$N$22</f>
        <v>0.35</v>
      </c>
      <c r="G40" s="277">
        <f>Assumptions!$N$22</f>
        <v>0.35</v>
      </c>
      <c r="H40" s="277">
        <f>Assumptions!$N$22</f>
        <v>0.35</v>
      </c>
      <c r="I40" s="277">
        <f>Assumptions!$N$22</f>
        <v>0.35</v>
      </c>
      <c r="J40" s="277">
        <f>Assumptions!$N$22</f>
        <v>0.35</v>
      </c>
      <c r="K40" s="277">
        <f>Assumptions!$N$22</f>
        <v>0.35</v>
      </c>
      <c r="L40" s="277">
        <f>Assumptions!$N$22</f>
        <v>0.35</v>
      </c>
      <c r="M40" s="277">
        <f>Assumptions!$N$22</f>
        <v>0.35</v>
      </c>
      <c r="N40" s="277">
        <f>Assumptions!$N$22</f>
        <v>0.35</v>
      </c>
      <c r="O40" s="277">
        <f>Assumptions!$N$22</f>
        <v>0.35</v>
      </c>
      <c r="P40" s="277">
        <f>Assumptions!$N$22</f>
        <v>0.35</v>
      </c>
      <c r="Q40" s="277">
        <f>Assumptions!$N$22</f>
        <v>0.35</v>
      </c>
      <c r="R40" s="277">
        <f>Assumptions!$N$22</f>
        <v>0.35</v>
      </c>
      <c r="S40" s="277">
        <f>Assumptions!$N$22</f>
        <v>0.35</v>
      </c>
      <c r="T40" s="277">
        <f>Assumptions!$N$22</f>
        <v>0.35</v>
      </c>
      <c r="U40" s="277">
        <f>Assumptions!$N$22</f>
        <v>0.35</v>
      </c>
      <c r="V40" s="277">
        <f>Assumptions!$N$22</f>
        <v>0.35</v>
      </c>
      <c r="W40" s="277">
        <f>Assumptions!$N$22</f>
        <v>0.35</v>
      </c>
      <c r="X40" s="277">
        <f>Assumptions!$N$22</f>
        <v>0.35</v>
      </c>
      <c r="Y40" s="277">
        <f>Assumptions!$N$22</f>
        <v>0.35</v>
      </c>
      <c r="Z40" s="186"/>
      <c r="AA40" s="186"/>
    </row>
    <row r="41" spans="1:27">
      <c r="A41" s="29" t="s">
        <v>160</v>
      </c>
      <c r="B41" s="32"/>
      <c r="C41" s="26"/>
      <c r="D41" s="292">
        <f>D38*D40</f>
        <v>1310.9749510248816</v>
      </c>
      <c r="E41" s="290">
        <f t="shared" ref="E41:Y41" si="13">E38*E40</f>
        <v>2395.4956965481751</v>
      </c>
      <c r="F41" s="290">
        <f t="shared" si="13"/>
        <v>2774.0348902383566</v>
      </c>
      <c r="G41" s="290">
        <f t="shared" si="13"/>
        <v>3111.7228663210894</v>
      </c>
      <c r="H41" s="290">
        <f t="shared" si="13"/>
        <v>5371.1045877878942</v>
      </c>
      <c r="I41" s="290">
        <f t="shared" si="13"/>
        <v>7740.0711833658042</v>
      </c>
      <c r="J41" s="290">
        <f t="shared" si="13"/>
        <v>8002.6776957527918</v>
      </c>
      <c r="K41" s="290">
        <f t="shared" si="13"/>
        <v>8127.0914679308735</v>
      </c>
      <c r="L41" s="290">
        <f t="shared" si="13"/>
        <v>8466.4060487630304</v>
      </c>
      <c r="M41" s="290">
        <f t="shared" si="13"/>
        <v>8591.9168649331768</v>
      </c>
      <c r="N41" s="291">
        <f t="shared" si="13"/>
        <v>8946.4830924209364</v>
      </c>
      <c r="O41" s="292">
        <f t="shared" si="13"/>
        <v>8815.8899059870728</v>
      </c>
      <c r="P41" s="290">
        <f t="shared" si="13"/>
        <v>9203.8887872248288</v>
      </c>
      <c r="Q41" s="290">
        <f t="shared" si="13"/>
        <v>9356.951390804159</v>
      </c>
      <c r="R41" s="290">
        <f t="shared" si="13"/>
        <v>9514.006524233133</v>
      </c>
      <c r="S41" s="290">
        <f t="shared" si="13"/>
        <v>10857.678664799998</v>
      </c>
      <c r="T41" s="290">
        <f t="shared" si="13"/>
        <v>12206.159874203757</v>
      </c>
      <c r="U41" s="290">
        <f t="shared" si="13"/>
        <v>12356.759850405908</v>
      </c>
      <c r="V41" s="290">
        <f t="shared" si="13"/>
        <v>12496.555805765473</v>
      </c>
      <c r="W41" s="290">
        <f t="shared" si="13"/>
        <v>12587.607830383215</v>
      </c>
      <c r="X41" s="290">
        <f t="shared" si="13"/>
        <v>12659.987396969735</v>
      </c>
      <c r="Y41" s="290">
        <f t="shared" si="13"/>
        <v>12765.950454226426</v>
      </c>
      <c r="Z41" s="179"/>
      <c r="AA41" s="179"/>
    </row>
    <row r="42" spans="1:27">
      <c r="A42" s="18"/>
      <c r="B42" s="18"/>
      <c r="C42" s="18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76"/>
      <c r="AA42" s="176"/>
    </row>
    <row r="43" spans="1:27">
      <c r="A43" s="18" t="s">
        <v>161</v>
      </c>
      <c r="B43" s="266"/>
      <c r="C43" s="18"/>
      <c r="D43" s="286">
        <f>IF(D41&lt;0,-D41+C43-C44,C43-C44)</f>
        <v>0</v>
      </c>
      <c r="E43" s="286">
        <f>IF(E41&lt;0,-E41+D43-D44,D43-D44)</f>
        <v>0</v>
      </c>
      <c r="F43" s="286">
        <f>IF(F41&lt;0,-F41+E43-E44,E43-E44)</f>
        <v>0</v>
      </c>
      <c r="G43" s="286">
        <f>IF(G41&lt;0,-G41+F43-F44,F43-F44)</f>
        <v>0</v>
      </c>
      <c r="H43" s="286">
        <f t="shared" ref="H43:Y43" si="14">IF(H41&lt;0,-H41+G43-G44,G43-G44)</f>
        <v>0</v>
      </c>
      <c r="I43" s="286">
        <f t="shared" si="14"/>
        <v>0</v>
      </c>
      <c r="J43" s="286">
        <f t="shared" si="14"/>
        <v>0</v>
      </c>
      <c r="K43" s="286">
        <f t="shared" si="14"/>
        <v>0</v>
      </c>
      <c r="L43" s="286">
        <f t="shared" si="14"/>
        <v>0</v>
      </c>
      <c r="M43" s="286">
        <f t="shared" si="14"/>
        <v>0</v>
      </c>
      <c r="N43" s="286">
        <f t="shared" si="14"/>
        <v>0</v>
      </c>
      <c r="O43" s="286">
        <f t="shared" si="14"/>
        <v>0</v>
      </c>
      <c r="P43" s="286">
        <f t="shared" si="14"/>
        <v>0</v>
      </c>
      <c r="Q43" s="286">
        <f t="shared" si="14"/>
        <v>0</v>
      </c>
      <c r="R43" s="286">
        <f t="shared" si="14"/>
        <v>0</v>
      </c>
      <c r="S43" s="286">
        <f t="shared" si="14"/>
        <v>0</v>
      </c>
      <c r="T43" s="286">
        <f t="shared" si="14"/>
        <v>0</v>
      </c>
      <c r="U43" s="286">
        <f t="shared" si="14"/>
        <v>0</v>
      </c>
      <c r="V43" s="286">
        <f t="shared" si="14"/>
        <v>0</v>
      </c>
      <c r="W43" s="286">
        <f t="shared" si="14"/>
        <v>0</v>
      </c>
      <c r="X43" s="286">
        <f t="shared" si="14"/>
        <v>0</v>
      </c>
      <c r="Y43" s="286">
        <f t="shared" si="14"/>
        <v>0</v>
      </c>
      <c r="Z43" s="179"/>
      <c r="AA43" s="179"/>
    </row>
    <row r="44" spans="1:27">
      <c r="A44" s="18" t="s">
        <v>151</v>
      </c>
      <c r="B44" s="266"/>
      <c r="C44" s="18"/>
      <c r="D44" s="26">
        <v>0</v>
      </c>
      <c r="E44" s="26">
        <f>IF(E41&lt;0,0,IF(E43&gt;E41,E41,E43))</f>
        <v>0</v>
      </c>
      <c r="F44" s="26">
        <f t="shared" ref="F44:Y44" si="15">IF(F41&lt;0,0,IF(F43&gt;F41,F41,F43))</f>
        <v>0</v>
      </c>
      <c r="G44" s="26">
        <f t="shared" si="15"/>
        <v>0</v>
      </c>
      <c r="H44" s="26">
        <f t="shared" si="15"/>
        <v>0</v>
      </c>
      <c r="I44" s="26">
        <f t="shared" si="15"/>
        <v>0</v>
      </c>
      <c r="J44" s="26">
        <f t="shared" si="15"/>
        <v>0</v>
      </c>
      <c r="K44" s="26">
        <f t="shared" si="15"/>
        <v>0</v>
      </c>
      <c r="L44" s="286">
        <f t="shared" si="15"/>
        <v>0</v>
      </c>
      <c r="M44" s="286">
        <f t="shared" si="15"/>
        <v>0</v>
      </c>
      <c r="N44" s="286">
        <f t="shared" si="15"/>
        <v>0</v>
      </c>
      <c r="O44" s="286">
        <f t="shared" si="15"/>
        <v>0</v>
      </c>
      <c r="P44" s="286">
        <f t="shared" si="15"/>
        <v>0</v>
      </c>
      <c r="Q44" s="286">
        <f t="shared" si="15"/>
        <v>0</v>
      </c>
      <c r="R44" s="286">
        <f t="shared" si="15"/>
        <v>0</v>
      </c>
      <c r="S44" s="286">
        <f t="shared" si="15"/>
        <v>0</v>
      </c>
      <c r="T44" s="286">
        <f t="shared" si="15"/>
        <v>0</v>
      </c>
      <c r="U44" s="286">
        <f t="shared" si="15"/>
        <v>0</v>
      </c>
      <c r="V44" s="286">
        <f t="shared" si="15"/>
        <v>0</v>
      </c>
      <c r="W44" s="286">
        <f t="shared" si="15"/>
        <v>0</v>
      </c>
      <c r="X44" s="286">
        <f t="shared" si="15"/>
        <v>0</v>
      </c>
      <c r="Y44" s="286">
        <f t="shared" si="15"/>
        <v>0</v>
      </c>
      <c r="Z44" s="260"/>
      <c r="AA44" s="260"/>
    </row>
    <row r="45" spans="1:27">
      <c r="A45" s="18"/>
      <c r="B45" s="266"/>
      <c r="C45" s="18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79"/>
      <c r="AA45" s="179"/>
    </row>
    <row r="46" spans="1:27">
      <c r="A46" s="59" t="s">
        <v>162</v>
      </c>
      <c r="B46" s="266"/>
      <c r="C46" s="59"/>
      <c r="D46" s="278">
        <f t="shared" ref="D46:X46" si="16">IF(D41&lt;0,0,(D41-D44))</f>
        <v>1310.9749510248816</v>
      </c>
      <c r="E46" s="278">
        <f t="shared" si="16"/>
        <v>2395.4956965481751</v>
      </c>
      <c r="F46" s="278">
        <f t="shared" si="16"/>
        <v>2774.0348902383566</v>
      </c>
      <c r="G46" s="278">
        <f t="shared" si="16"/>
        <v>3111.7228663210894</v>
      </c>
      <c r="H46" s="278">
        <f t="shared" si="16"/>
        <v>5371.1045877878942</v>
      </c>
      <c r="I46" s="278">
        <f t="shared" si="16"/>
        <v>7740.0711833658042</v>
      </c>
      <c r="J46" s="278">
        <f t="shared" si="16"/>
        <v>8002.6776957527918</v>
      </c>
      <c r="K46" s="278">
        <f t="shared" si="16"/>
        <v>8127.0914679308735</v>
      </c>
      <c r="L46" s="278">
        <f t="shared" si="16"/>
        <v>8466.4060487630304</v>
      </c>
      <c r="M46" s="278">
        <f t="shared" si="16"/>
        <v>8591.9168649331768</v>
      </c>
      <c r="N46" s="278">
        <f t="shared" si="16"/>
        <v>8946.4830924209364</v>
      </c>
      <c r="O46" s="278">
        <f t="shared" si="16"/>
        <v>8815.8899059870728</v>
      </c>
      <c r="P46" s="278">
        <f t="shared" si="16"/>
        <v>9203.8887872248288</v>
      </c>
      <c r="Q46" s="278">
        <f t="shared" si="16"/>
        <v>9356.951390804159</v>
      </c>
      <c r="R46" s="278">
        <f t="shared" si="16"/>
        <v>9514.006524233133</v>
      </c>
      <c r="S46" s="278">
        <f t="shared" si="16"/>
        <v>10857.678664799998</v>
      </c>
      <c r="T46" s="278">
        <f t="shared" si="16"/>
        <v>12206.159874203757</v>
      </c>
      <c r="U46" s="278">
        <f t="shared" si="16"/>
        <v>12356.759850405908</v>
      </c>
      <c r="V46" s="278">
        <f t="shared" si="16"/>
        <v>12496.555805765473</v>
      </c>
      <c r="W46" s="278">
        <f t="shared" si="16"/>
        <v>12587.607830383215</v>
      </c>
      <c r="X46" s="278">
        <f t="shared" si="16"/>
        <v>12659.987396969735</v>
      </c>
      <c r="Y46" s="278">
        <f>IF(Y41&lt;0,0,(Y41-Y44))</f>
        <v>12765.950454226426</v>
      </c>
      <c r="Z46" s="187"/>
      <c r="AA46" s="187"/>
    </row>
    <row r="47" spans="1:27">
      <c r="A47" s="59"/>
      <c r="B47" s="266"/>
      <c r="C47" s="59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187"/>
      <c r="AA47" s="187"/>
    </row>
    <row r="48" spans="1:27">
      <c r="A48"/>
      <c r="B48"/>
      <c r="C48"/>
      <c r="D48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79"/>
      <c r="AA48" s="179"/>
    </row>
    <row r="49" spans="1:27">
      <c r="A49"/>
      <c r="B49"/>
      <c r="C49"/>
      <c r="D49"/>
      <c r="Z49" s="7"/>
      <c r="AA49" s="7"/>
    </row>
    <row r="50" spans="1:27">
      <c r="A50"/>
      <c r="B50"/>
      <c r="C50"/>
      <c r="D50"/>
      <c r="E50" s="16"/>
      <c r="Z50" s="7"/>
      <c r="AA50" s="7"/>
    </row>
    <row r="51" spans="1:27">
      <c r="A51"/>
      <c r="B51"/>
      <c r="C51"/>
      <c r="D51"/>
      <c r="Z51" s="7"/>
      <c r="AA51" s="7"/>
    </row>
    <row r="52" spans="1:27">
      <c r="Z52" s="7"/>
      <c r="AA52" s="7"/>
    </row>
    <row r="53" spans="1:27">
      <c r="Z53" s="7"/>
      <c r="AA53" s="7"/>
    </row>
    <row r="54" spans="1:27">
      <c r="Z54" s="7"/>
      <c r="AA54" s="7"/>
    </row>
    <row r="55" spans="1:27">
      <c r="Z55" s="7"/>
      <c r="AA55" s="7"/>
    </row>
    <row r="56" spans="1:27">
      <c r="Z56" s="7"/>
      <c r="AA56" s="7"/>
    </row>
    <row r="57" spans="1:27">
      <c r="Z57" s="7"/>
      <c r="AA57" s="7"/>
    </row>
    <row r="58" spans="1:27">
      <c r="Z58" s="7"/>
      <c r="AA58" s="7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Preset Scenarios</vt:lpstr>
      <vt:lpstr>Tracking Sheet</vt:lpstr>
      <vt:lpstr>Assumptions</vt:lpstr>
      <vt:lpstr>Power Price Assumption</vt:lpstr>
      <vt:lpstr>IS</vt:lpstr>
      <vt:lpstr>CF</vt:lpstr>
      <vt:lpstr>Debt</vt:lpstr>
      <vt:lpstr>Depreciation</vt:lpstr>
      <vt:lpstr>Tax</vt:lpstr>
      <vt:lpstr>AnnualHours</vt:lpstr>
      <vt:lpstr>Deg_Rate</vt:lpstr>
      <vt:lpstr>ISO_MW</vt:lpstr>
      <vt:lpstr>NetMW</vt:lpstr>
      <vt:lpstr>Assumptions!Print_Area</vt:lpstr>
      <vt:lpstr>CF!Print_Area</vt:lpstr>
      <vt:lpstr>Debt!Print_Area</vt:lpstr>
      <vt:lpstr>Depreciation!Print_Area</vt:lpstr>
      <vt:lpstr>IS!Print_Area</vt:lpstr>
      <vt:lpstr>'Preset Scenarios'!Print_Area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2000-01-20T02:17:59Z</cp:lastPrinted>
  <dcterms:created xsi:type="dcterms:W3CDTF">1999-04-02T01:38:38Z</dcterms:created>
  <dcterms:modified xsi:type="dcterms:W3CDTF">2023-09-13T22:15:20Z</dcterms:modified>
</cp:coreProperties>
</file>