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538A75-9358-4F2E-9A37-B3E480C4E28C}" xr6:coauthVersionLast="47" xr6:coauthVersionMax="47" xr10:uidLastSave="{00000000-0000-0000-0000-000000000000}"/>
  <bookViews>
    <workbookView xWindow="-120" yWindow="-120" windowWidth="38640" windowHeight="15720" tabRatio="877" firstSheet="1" activeTab="6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7">CLARIFICATIONS!$A$1:$C$51</definedName>
    <definedName name="_xlnm.Print_Area" localSheetId="3">'EPC DETAIL X 2 LM 6000'!$B$2:$K$104</definedName>
    <definedName name="_xlnm.Print_Area" localSheetId="4">FINANCE!$B$4:$S$52</definedName>
    <definedName name="_xlnm.Print_Area" localSheetId="2">'OPERATIONAL CHARACTERISTICS'!$B$2:$J$45</definedName>
    <definedName name="_xlnm.Print_Area" localSheetId="1">PROJECTCONFIGURATION!$A$1:$K$37</definedName>
    <definedName name="_xlnm.Print_Area" localSheetId="6">SOURCEDATA!$A$1:$L$76</definedName>
    <definedName name="_xlnm.Print_Area" localSheetId="0">SUMMARY!$B$1:$J$32</definedName>
    <definedName name="_xlnm.Print_Area" localSheetId="5">'TURBINE AVAILABILITY'!$B$2:$E$17</definedName>
  </definedNames>
  <calcPr calcId="0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E42" i="2"/>
  <c r="E4" i="3"/>
  <c r="I4" i="3"/>
  <c r="K4" i="3"/>
  <c r="E7" i="3"/>
  <c r="I7" i="3"/>
  <c r="K7" i="3"/>
  <c r="I10" i="3"/>
  <c r="K10" i="3"/>
  <c r="I13" i="3"/>
  <c r="K13" i="3"/>
  <c r="E16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M34" i="3"/>
  <c r="M35" i="3"/>
  <c r="I37" i="3"/>
  <c r="K37" i="3"/>
  <c r="I39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D19" i="5"/>
  <c r="D20" i="5"/>
  <c r="D23" i="5"/>
  <c r="D24" i="5"/>
  <c r="D27" i="5"/>
  <c r="C30" i="5"/>
  <c r="D30" i="5"/>
  <c r="E22" i="6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<sst xmlns="http://schemas.openxmlformats.org/spreadsheetml/2006/main" count="508" uniqueCount="357">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</sst>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804820546436"/>
          <c:y val="8.0884900002790056E-2"/>
          <c:w val="0.87680591140471942"/>
          <c:h val="0.72796410002511047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85.966621861173635</c:v>
                </c:pt>
                <c:pt idx="1">
                  <c:v>71.638851550978018</c:v>
                </c:pt>
                <c:pt idx="2">
                  <c:v>61.404729900838312</c:v>
                </c:pt>
                <c:pt idx="3">
                  <c:v>53.72913866323352</c:v>
                </c:pt>
                <c:pt idx="4">
                  <c:v>47.759234367318683</c:v>
                </c:pt>
                <c:pt idx="5">
                  <c:v>42.983310930586818</c:v>
                </c:pt>
                <c:pt idx="6">
                  <c:v>39.075737209624371</c:v>
                </c:pt>
                <c:pt idx="7">
                  <c:v>35.819425775489009</c:v>
                </c:pt>
                <c:pt idx="8">
                  <c:v>33.064085331220625</c:v>
                </c:pt>
                <c:pt idx="9">
                  <c:v>30.702364950419156</c:v>
                </c:pt>
                <c:pt idx="10">
                  <c:v>28.655540620391211</c:v>
                </c:pt>
                <c:pt idx="11">
                  <c:v>21.491655465293409</c:v>
                </c:pt>
                <c:pt idx="12">
                  <c:v>17.193324372234724</c:v>
                </c:pt>
                <c:pt idx="13">
                  <c:v>14.327770310195605</c:v>
                </c:pt>
                <c:pt idx="14">
                  <c:v>12.280945980167662</c:v>
                </c:pt>
                <c:pt idx="15">
                  <c:v>10.745827732646704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C-4A65-B1B5-7751144D4E31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C-4A65-B1B5-7751144D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21151"/>
        <c:axId val="1"/>
      </c:areaChart>
      <c:catAx>
        <c:axId val="1465721151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72115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62973244032033"/>
          <c:y val="0.20588883637073832"/>
          <c:w val="0.23934431635642342"/>
          <c:h val="0.14338686818676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12.emf"/><Relationship Id="rId7" Type="http://schemas.openxmlformats.org/officeDocument/2006/relationships/image" Target="../media/image6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9</xdr:row>
          <xdr:rowOff>19050</xdr:rowOff>
        </xdr:from>
        <xdr:to>
          <xdr:col>2</xdr:col>
          <xdr:colOff>2647950</xdr:colOff>
          <xdr:row>9</xdr:row>
          <xdr:rowOff>209550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1A7828E2-92E0-625A-2E29-63EAD9F5FD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2047875</xdr:colOff>
          <xdr:row>3</xdr:row>
          <xdr:rowOff>19050</xdr:rowOff>
        </xdr:from>
        <xdr:to>
          <xdr:col>2</xdr:col>
          <xdr:colOff>2657475</xdr:colOff>
          <xdr:row>6</xdr:row>
          <xdr:rowOff>200025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B9AB5AA1-4892-4A2C-DA72-E3064D8789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23</xdr:row>
          <xdr:rowOff>9525</xdr:rowOff>
        </xdr:from>
        <xdr:to>
          <xdr:col>2</xdr:col>
          <xdr:colOff>2647950</xdr:colOff>
          <xdr:row>23</xdr:row>
          <xdr:rowOff>200025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859369A8-6577-6671-5550-F507F930E6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200025</xdr:rowOff>
        </xdr:from>
        <xdr:to>
          <xdr:col>3</xdr:col>
          <xdr:colOff>66675</xdr:colOff>
          <xdr:row>3</xdr:row>
          <xdr:rowOff>209550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E64F2CB-08E7-1DBD-7530-0D2F8EDC9B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200025</xdr:rowOff>
        </xdr:from>
        <xdr:to>
          <xdr:col>3</xdr:col>
          <xdr:colOff>66675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41443BB-D0A2-DF7C-AB39-801BE2C966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13386C7A-A539-1B12-B824-3DD6339EA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209550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3C60F76-7B76-A2B2-BE9E-6EF15E44A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14</xdr:row>
          <xdr:rowOff>200025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AD709A4-ED77-7BD5-00E7-EBBAA8743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561975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86C31CF1-2599-0A76-D04B-9EB67238B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200025</xdr:rowOff>
        </xdr:from>
        <xdr:to>
          <xdr:col>2</xdr:col>
          <xdr:colOff>552450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C192DA42-00D7-71E8-C025-5DF7EC209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23</xdr:row>
          <xdr:rowOff>200025</xdr:rowOff>
        </xdr:from>
        <xdr:to>
          <xdr:col>2</xdr:col>
          <xdr:colOff>561975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8AF75B81-A992-0E2D-5ABE-87004AC45F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26</xdr:row>
          <xdr:rowOff>200025</xdr:rowOff>
        </xdr:from>
        <xdr:to>
          <xdr:col>4</xdr:col>
          <xdr:colOff>590550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58B6940E-1280-3F24-E417-C989D43A82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32</xdr:row>
          <xdr:rowOff>190500</xdr:rowOff>
        </xdr:from>
        <xdr:to>
          <xdr:col>4</xdr:col>
          <xdr:colOff>590550</xdr:colOff>
          <xdr:row>33</xdr:row>
          <xdr:rowOff>209550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BF90F6DE-4FD8-7B89-6E96-04889D25F9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200025</xdr:rowOff>
        </xdr:from>
        <xdr:to>
          <xdr:col>2</xdr:col>
          <xdr:colOff>561975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49DE629A-7510-9589-DBB6-1250974DFE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4</xdr:row>
          <xdr:rowOff>19050</xdr:rowOff>
        </xdr:from>
        <xdr:to>
          <xdr:col>1</xdr:col>
          <xdr:colOff>1666875</xdr:colOff>
          <xdr:row>6</xdr:row>
          <xdr:rowOff>209550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C6B682CA-15EB-45AA-0800-F7F572E9C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29</xdr:row>
          <xdr:rowOff>180975</xdr:rowOff>
        </xdr:from>
        <xdr:to>
          <xdr:col>4</xdr:col>
          <xdr:colOff>590550</xdr:colOff>
          <xdr:row>30</xdr:row>
          <xdr:rowOff>200025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891397D8-DCD2-961E-F6B8-3E6DBE426A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542925</xdr:colOff>
          <xdr:row>18</xdr:row>
          <xdr:rowOff>209550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881D36D5-7C07-C1FD-E6B8-F76D3DC581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0</xdr:row>
          <xdr:rowOff>152400</xdr:rowOff>
        </xdr:from>
        <xdr:to>
          <xdr:col>4</xdr:col>
          <xdr:colOff>476250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36CC637-E7A3-085E-B88D-10E76B859B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0</xdr:row>
          <xdr:rowOff>161925</xdr:rowOff>
        </xdr:from>
        <xdr:to>
          <xdr:col>5</xdr:col>
          <xdr:colOff>257175</xdr:colOff>
          <xdr:row>0</xdr:row>
          <xdr:rowOff>438150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27CAB7BE-C1D6-5891-03A0-1AEE780F1E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0</xdr:rowOff>
    </xdr:from>
    <xdr:to>
      <xdr:col>5</xdr:col>
      <xdr:colOff>800100</xdr:colOff>
      <xdr:row>43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7367D62E-6ED1-5348-7BD8-A348FE066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2.xml"/><Relationship Id="rId26" Type="http://schemas.openxmlformats.org/officeDocument/2006/relationships/image" Target="../media/image12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7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4.xml"/><Relationship Id="rId29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image" Target="../media/image11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23" Type="http://schemas.openxmlformats.org/officeDocument/2006/relationships/control" Target="../activeX/activeX16.xml"/><Relationship Id="rId28" Type="http://schemas.openxmlformats.org/officeDocument/2006/relationships/image" Target="../media/image13.emf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18.xml"/><Relationship Id="rId30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opLeftCell="A2" zoomScale="75" workbookViewId="0">
      <selection activeCell="D4" sqref="D4"/>
    </sheetView>
  </sheetViews>
  <sheetFormatPr defaultRowHeight="12.75" x14ac:dyDescent="0.2"/>
  <cols>
    <col min="1" max="1" width="2.42578125" customWidth="1"/>
    <col min="2" max="2" width="4" customWidth="1"/>
    <col min="3" max="3" width="41.85546875" customWidth="1"/>
    <col min="4" max="5" width="12.28515625" customWidth="1"/>
    <col min="6" max="6" width="7.140625" customWidth="1"/>
    <col min="7" max="7" width="4.5703125" customWidth="1"/>
    <col min="8" max="8" width="29.42578125" customWidth="1"/>
    <col min="9" max="9" width="10.5703125" customWidth="1"/>
    <col min="10" max="10" width="24.5703125" customWidth="1"/>
    <col min="11" max="11" width="4" customWidth="1"/>
    <col min="12" max="12" width="14.28515625" customWidth="1"/>
    <col min="13" max="13" width="7.85546875" customWidth="1"/>
    <col min="14" max="14" width="10.28515625" bestFit="1" customWidth="1"/>
    <col min="16" max="16" width="10.28515625" bestFit="1" customWidth="1"/>
    <col min="55" max="55" width="14.85546875" bestFit="1" customWidth="1"/>
  </cols>
  <sheetData>
    <row r="1" spans="2:56" ht="29.25" customHeight="1" x14ac:dyDescent="0.2">
      <c r="B1" s="120" t="s">
        <v>120</v>
      </c>
    </row>
    <row r="2" spans="2:56" ht="17.25" customHeight="1" thickBot="1" x14ac:dyDescent="0.25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25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">
      <c r="B6" s="76"/>
      <c r="C6" s="104" t="s">
        <v>124</v>
      </c>
      <c r="D6" s="96">
        <f>+IF(PROJECTCONFIGURATION!A1,'OPERATIONAL CHARACTERISTICS'!$E$12,'OPERATIONAL CHARACTERISTICS'!$F$12)*PROJECTCONFIGURATION!$B$65</f>
        <v>273.50399999999996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25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25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25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">
      <c r="B10" s="72" t="b">
        <v>1</v>
      </c>
      <c r="C10" s="111" t="s">
        <v>96</v>
      </c>
      <c r="D10" s="112">
        <f ca="1">+PROJECTCONFIGURATION!I37</f>
        <v>142330.97297369593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793.25920314108282</v>
      </c>
      <c r="J10" s="255" t="s">
        <v>249</v>
      </c>
      <c r="K10" s="59"/>
      <c r="L10" s="258" t="s">
        <v>227</v>
      </c>
      <c r="M10" s="259">
        <f>PROJECTCONFIGURATION!$B$65^N10</f>
        <v>1.7117698594097051</v>
      </c>
      <c r="N10" s="248">
        <v>0.3</v>
      </c>
    </row>
    <row r="11" spans="2:56" ht="17.25" customHeight="1" x14ac:dyDescent="0.2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295.03675625598169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">
      <c r="B12" s="72"/>
      <c r="C12" s="104" t="s">
        <v>103</v>
      </c>
      <c r="D12" s="269">
        <f ca="1">+D10*(D11/12)*D22*0.5*0.84*(1-D18)</f>
        <v>1793.3702594685685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561</v>
      </c>
      <c r="J12" s="253" t="s">
        <v>249</v>
      </c>
      <c r="K12" s="59"/>
      <c r="L12" s="59"/>
      <c r="Q12" s="73"/>
    </row>
    <row r="13" spans="2:56" ht="17.25" customHeight="1" x14ac:dyDescent="0.2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109.94294218972902</v>
      </c>
      <c r="J13" s="253" t="s">
        <v>249</v>
      </c>
      <c r="K13" s="59"/>
      <c r="L13" s="59"/>
      <c r="Q13" s="73"/>
    </row>
    <row r="14" spans="2:56" ht="17.25" customHeight="1" x14ac:dyDescent="0.2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25">
      <c r="B15" s="62"/>
      <c r="C15" s="145" t="s">
        <v>166</v>
      </c>
      <c r="D15" s="116">
        <f ca="1">+D14+D12+D10</f>
        <v>144124.34323316449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25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244.93617500496592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25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0.61064770429675597</v>
      </c>
      <c r="J17" s="256" t="s">
        <v>254</v>
      </c>
      <c r="K17" s="59"/>
      <c r="L17" s="59"/>
      <c r="Q17" s="73"/>
    </row>
    <row r="18" spans="1:17" ht="17.25" customHeight="1" thickBot="1" x14ac:dyDescent="0.25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25">
      <c r="C19" s="104" t="s">
        <v>119</v>
      </c>
      <c r="D19" s="95">
        <f ca="1">+D15*D18</f>
        <v>72062.171616582244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">
      <c r="C20" s="104" t="s">
        <v>102</v>
      </c>
      <c r="D20" s="61">
        <f ca="1">+D15-D19</f>
        <v>72062.171616582244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">
      <c r="C23" s="104" t="s">
        <v>109</v>
      </c>
      <c r="D23" s="61">
        <f ca="1">-PMT($D$22/12,$D$21*12,$D$20)*12</f>
        <v>7233.082535855161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25">
      <c r="C24" s="106" t="s">
        <v>109</v>
      </c>
      <c r="D24" s="123">
        <f ca="1">+D23/12/(IF(PROJECTCONFIGURATION!A1,'OPERATIONAL CHARACTERISTICS'!E12,'OPERATIONAL CHARACTERISTICS'!H12)*PROJECTCONFIGURATION!B65)</f>
        <v>2.9712948732521447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25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25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">
      <c r="A27" s="7"/>
      <c r="B27" s="72"/>
      <c r="C27" s="104" t="s">
        <v>206</v>
      </c>
      <c r="D27" s="203">
        <f ca="1">+D24+I17</f>
        <v>3.5819425775489009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">
      <c r="A30" s="7"/>
      <c r="B30" s="72"/>
      <c r="C30" s="104" t="str">
        <f>REPLACE("XX YEAR IRR",1,2,D21)</f>
        <v>20 YEAR IRR</v>
      </c>
      <c r="D30" s="201">
        <f ca="1">+IRR(FINANCE!S8:S38)</f>
        <v>0.12004542415174704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25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">
      <c r="G43" s="59"/>
      <c r="H43" s="125"/>
      <c r="I43" s="59"/>
      <c r="J43" s="59"/>
      <c r="K43" s="59"/>
      <c r="L43" s="59"/>
    </row>
    <row r="44" spans="3:12" ht="17.25" customHeight="1" x14ac:dyDescent="0.2">
      <c r="G44" s="59"/>
      <c r="H44" s="125"/>
      <c r="I44" s="59"/>
      <c r="J44" s="59"/>
    </row>
    <row r="45" spans="3:12" ht="17.25" customHeight="1" x14ac:dyDescent="0.2">
      <c r="G45" s="59"/>
      <c r="H45" s="125"/>
    </row>
    <row r="46" spans="3:12" ht="17.25" customHeight="1" x14ac:dyDescent="0.2">
      <c r="G46" s="59"/>
      <c r="H46" s="125"/>
    </row>
    <row r="47" spans="3:12" ht="17.25" customHeight="1" x14ac:dyDescent="0.2">
      <c r="G47" s="59"/>
      <c r="H47" s="125"/>
    </row>
    <row r="48" spans="3:12" x14ac:dyDescent="0.2">
      <c r="G48" s="59"/>
      <c r="H48" s="125"/>
    </row>
    <row r="49" spans="7:8" x14ac:dyDescent="0.2">
      <c r="G49" s="59"/>
      <c r="H49" s="125"/>
    </row>
    <row r="50" spans="7:8" x14ac:dyDescent="0.2">
      <c r="G50" s="59"/>
      <c r="H50" s="125"/>
    </row>
    <row r="51" spans="7:8" x14ac:dyDescent="0.2">
      <c r="G51" s="59"/>
      <c r="H51" s="125"/>
    </row>
    <row r="52" spans="7:8" x14ac:dyDescent="0.2">
      <c r="G52" s="59"/>
      <c r="H52" s="125"/>
    </row>
    <row r="53" spans="7:8" x14ac:dyDescent="0.2">
      <c r="G53" s="59"/>
      <c r="H53" s="125"/>
    </row>
    <row r="54" spans="7:8" x14ac:dyDescent="0.2">
      <c r="G54" s="59"/>
      <c r="H54" s="125"/>
    </row>
    <row r="55" spans="7:8" x14ac:dyDescent="0.2">
      <c r="G55" s="59"/>
      <c r="H55" s="125"/>
    </row>
    <row r="56" spans="7:8" x14ac:dyDescent="0.2">
      <c r="G56" s="59"/>
      <c r="H56" s="125"/>
    </row>
    <row r="57" spans="7:8" x14ac:dyDescent="0.2">
      <c r="G57" s="59"/>
      <c r="H57" s="125"/>
    </row>
    <row r="58" spans="7:8" x14ac:dyDescent="0.2">
      <c r="G58" s="59"/>
      <c r="H58" s="125"/>
    </row>
    <row r="59" spans="7:8" x14ac:dyDescent="0.2">
      <c r="G59" s="59"/>
      <c r="H59" s="125"/>
    </row>
    <row r="60" spans="7:8" x14ac:dyDescent="0.2">
      <c r="G60" s="59"/>
      <c r="H60" s="125"/>
    </row>
    <row r="61" spans="7:8" x14ac:dyDescent="0.2">
      <c r="G61" s="59"/>
      <c r="H61" s="125"/>
    </row>
    <row r="62" spans="7:8" x14ac:dyDescent="0.2">
      <c r="G62" s="59"/>
      <c r="H62" s="125"/>
    </row>
    <row r="63" spans="7:8" x14ac:dyDescent="0.2">
      <c r="G63" s="59"/>
      <c r="H63" s="125"/>
    </row>
    <row r="64" spans="7:8" x14ac:dyDescent="0.2">
      <c r="G64" s="59"/>
      <c r="H64" s="125"/>
    </row>
    <row r="65" spans="7:8" x14ac:dyDescent="0.2">
      <c r="G65" s="59"/>
      <c r="H65" s="125"/>
    </row>
    <row r="66" spans="7:8" x14ac:dyDescent="0.2">
      <c r="G66" s="59"/>
      <c r="H66" s="125"/>
    </row>
    <row r="67" spans="7:8" x14ac:dyDescent="0.2">
      <c r="G67" s="59"/>
      <c r="H67" s="125"/>
    </row>
    <row r="68" spans="7:8" x14ac:dyDescent="0.2">
      <c r="G68" s="59"/>
      <c r="H68" s="125"/>
    </row>
    <row r="69" spans="7:8" x14ac:dyDescent="0.2">
      <c r="G69" s="59"/>
      <c r="H69" s="125"/>
    </row>
    <row r="70" spans="7:8" x14ac:dyDescent="0.2">
      <c r="G70" s="59"/>
      <c r="H70" s="125"/>
    </row>
    <row r="71" spans="7:8" x14ac:dyDescent="0.2">
      <c r="G71" s="59"/>
      <c r="H71" s="125"/>
    </row>
    <row r="72" spans="7:8" x14ac:dyDescent="0.2">
      <c r="G72" s="59"/>
      <c r="H72" s="125"/>
    </row>
    <row r="73" spans="7:8" x14ac:dyDescent="0.2">
      <c r="G73" s="59"/>
      <c r="H73" s="125"/>
    </row>
    <row r="74" spans="7:8" x14ac:dyDescent="0.2">
      <c r="G74" s="59"/>
      <c r="H74" s="125"/>
    </row>
    <row r="75" spans="7:8" x14ac:dyDescent="0.2">
      <c r="G75" s="59"/>
      <c r="H75" s="125"/>
    </row>
    <row r="76" spans="7:8" x14ac:dyDescent="0.2">
      <c r="G76" s="59"/>
      <c r="H76" s="125"/>
    </row>
    <row r="77" spans="7:8" x14ac:dyDescent="0.2">
      <c r="G77" s="59"/>
      <c r="H77" s="125"/>
    </row>
    <row r="78" spans="7:8" x14ac:dyDescent="0.2">
      <c r="G78" s="59"/>
      <c r="H78" s="125"/>
    </row>
    <row r="79" spans="7:8" x14ac:dyDescent="0.2">
      <c r="G79" s="59"/>
      <c r="H79" s="125"/>
    </row>
    <row r="80" spans="7:8" x14ac:dyDescent="0.2">
      <c r="G80" s="59"/>
      <c r="H80" s="125"/>
    </row>
    <row r="81" spans="7:8" x14ac:dyDescent="0.2">
      <c r="G81" s="59"/>
      <c r="H81" s="125"/>
    </row>
    <row r="82" spans="7:8" x14ac:dyDescent="0.2">
      <c r="G82" s="59"/>
      <c r="H82" s="125"/>
    </row>
    <row r="83" spans="7:8" x14ac:dyDescent="0.2">
      <c r="G83" s="59"/>
      <c r="H83" s="125"/>
    </row>
    <row r="84" spans="7:8" x14ac:dyDescent="0.2">
      <c r="G84" s="59"/>
      <c r="H84" s="125"/>
    </row>
    <row r="85" spans="7:8" x14ac:dyDescent="0.2">
      <c r="G85" s="59"/>
      <c r="H85" s="125"/>
    </row>
    <row r="86" spans="7:8" x14ac:dyDescent="0.2">
      <c r="G86" s="59"/>
      <c r="H86" s="125"/>
    </row>
    <row r="87" spans="7:8" x14ac:dyDescent="0.2">
      <c r="G87" s="59"/>
      <c r="H87" s="125"/>
    </row>
    <row r="88" spans="7:8" x14ac:dyDescent="0.2">
      <c r="G88" s="59"/>
      <c r="H88" s="125"/>
    </row>
    <row r="89" spans="7:8" x14ac:dyDescent="0.2">
      <c r="G89" s="59"/>
      <c r="H89" s="125"/>
    </row>
    <row r="90" spans="7:8" x14ac:dyDescent="0.2">
      <c r="G90" s="59"/>
      <c r="H90" s="125"/>
    </row>
    <row r="91" spans="7:8" x14ac:dyDescent="0.2">
      <c r="G91" s="59"/>
      <c r="H91" s="125"/>
    </row>
    <row r="92" spans="7:8" x14ac:dyDescent="0.2">
      <c r="G92" s="59"/>
      <c r="H92" s="125"/>
    </row>
    <row r="93" spans="7:8" x14ac:dyDescent="0.2">
      <c r="G93" s="59"/>
      <c r="H93" s="125"/>
    </row>
    <row r="94" spans="7:8" x14ac:dyDescent="0.2">
      <c r="G94" s="59"/>
      <c r="H94" s="125"/>
    </row>
    <row r="95" spans="7:8" x14ac:dyDescent="0.2">
      <c r="G95" s="59"/>
      <c r="H95" s="125"/>
    </row>
    <row r="96" spans="7:8" x14ac:dyDescent="0.2">
      <c r="G96" s="59"/>
      <c r="H96" s="125"/>
    </row>
    <row r="97" spans="7:8" x14ac:dyDescent="0.2">
      <c r="G97" s="59"/>
      <c r="H97" s="125"/>
    </row>
    <row r="98" spans="7:8" x14ac:dyDescent="0.2">
      <c r="G98" s="59"/>
      <c r="H98" s="125"/>
    </row>
    <row r="99" spans="7:8" x14ac:dyDescent="0.2">
      <c r="G99" s="59"/>
      <c r="H99" s="125"/>
    </row>
    <row r="100" spans="7:8" x14ac:dyDescent="0.2">
      <c r="G100" s="59"/>
      <c r="H100" s="125"/>
    </row>
    <row r="101" spans="7:8" x14ac:dyDescent="0.2">
      <c r="G101" s="59"/>
      <c r="H101" s="125"/>
    </row>
    <row r="102" spans="7:8" x14ac:dyDescent="0.2">
      <c r="G102" s="59"/>
      <c r="H102" s="125"/>
    </row>
    <row r="103" spans="7:8" x14ac:dyDescent="0.2">
      <c r="G103" s="59"/>
      <c r="H103" s="125"/>
    </row>
    <row r="104" spans="7:8" x14ac:dyDescent="0.2">
      <c r="G104" s="59"/>
      <c r="H104" s="125"/>
    </row>
    <row r="105" spans="7:8" x14ac:dyDescent="0.2">
      <c r="G105" s="59"/>
      <c r="H105" s="125"/>
    </row>
    <row r="106" spans="7:8" x14ac:dyDescent="0.2">
      <c r="G106" s="59"/>
      <c r="H106" s="125"/>
    </row>
    <row r="107" spans="7:8" x14ac:dyDescent="0.2">
      <c r="G107" s="59"/>
      <c r="H107" s="125"/>
    </row>
    <row r="108" spans="7:8" x14ac:dyDescent="0.2">
      <c r="G108" s="59"/>
      <c r="H108" s="125"/>
    </row>
    <row r="109" spans="7:8" x14ac:dyDescent="0.2">
      <c r="G109" s="59"/>
      <c r="H109" s="125"/>
    </row>
    <row r="110" spans="7:8" x14ac:dyDescent="0.2">
      <c r="G110" s="59"/>
      <c r="H110" s="125"/>
    </row>
    <row r="111" spans="7:8" x14ac:dyDescent="0.2">
      <c r="G111" s="59"/>
      <c r="H111" s="125"/>
    </row>
    <row r="112" spans="7:8" x14ac:dyDescent="0.2">
      <c r="G112" s="59"/>
      <c r="H112" s="125"/>
    </row>
    <row r="113" spans="7:8" x14ac:dyDescent="0.2">
      <c r="G113" s="59"/>
      <c r="H113" s="125"/>
    </row>
    <row r="114" spans="7:8" x14ac:dyDescent="0.2">
      <c r="G114" s="59"/>
      <c r="H114" s="125"/>
    </row>
    <row r="115" spans="7:8" x14ac:dyDescent="0.2">
      <c r="G115" s="59"/>
      <c r="H115" s="125"/>
    </row>
    <row r="116" spans="7:8" x14ac:dyDescent="0.2">
      <c r="G116" s="59"/>
      <c r="H116" s="125"/>
    </row>
    <row r="117" spans="7:8" x14ac:dyDescent="0.2">
      <c r="G117" s="59"/>
      <c r="H117" s="125"/>
    </row>
    <row r="118" spans="7:8" x14ac:dyDescent="0.2">
      <c r="G118" s="59"/>
      <c r="H118" s="125"/>
    </row>
    <row r="119" spans="7:8" x14ac:dyDescent="0.2">
      <c r="G119" s="59"/>
      <c r="H119" s="125"/>
    </row>
    <row r="120" spans="7:8" x14ac:dyDescent="0.2">
      <c r="G120" s="59"/>
      <c r="H120" s="125"/>
    </row>
    <row r="121" spans="7:8" x14ac:dyDescent="0.2">
      <c r="G121" s="59"/>
      <c r="H121" s="125"/>
    </row>
    <row r="122" spans="7:8" x14ac:dyDescent="0.2">
      <c r="G122" s="59"/>
      <c r="H122" s="125"/>
    </row>
    <row r="123" spans="7:8" x14ac:dyDescent="0.2">
      <c r="G123" s="59"/>
      <c r="H123" s="125"/>
    </row>
    <row r="124" spans="7:8" x14ac:dyDescent="0.2">
      <c r="G124" s="59"/>
      <c r="H124" s="125"/>
    </row>
    <row r="125" spans="7:8" x14ac:dyDescent="0.2">
      <c r="G125" s="59"/>
      <c r="H125" s="125"/>
    </row>
    <row r="126" spans="7:8" x14ac:dyDescent="0.2">
      <c r="G126" s="59"/>
      <c r="H126" s="125"/>
    </row>
    <row r="127" spans="7:8" x14ac:dyDescent="0.2">
      <c r="G127" s="59"/>
      <c r="H127" s="125"/>
    </row>
    <row r="128" spans="7:8" x14ac:dyDescent="0.2">
      <c r="G128" s="59"/>
      <c r="H128" s="125"/>
    </row>
    <row r="129" spans="7:8" x14ac:dyDescent="0.2">
      <c r="G129" s="59"/>
      <c r="H129" s="125"/>
    </row>
    <row r="130" spans="7:8" x14ac:dyDescent="0.2">
      <c r="G130" s="59"/>
      <c r="H130" s="125"/>
    </row>
    <row r="131" spans="7:8" x14ac:dyDescent="0.2">
      <c r="G131" s="59"/>
      <c r="H131" s="125"/>
    </row>
    <row r="132" spans="7:8" x14ac:dyDescent="0.2">
      <c r="G132" s="59"/>
      <c r="H132" s="125"/>
    </row>
    <row r="133" spans="7:8" x14ac:dyDescent="0.2">
      <c r="G133" s="59"/>
      <c r="H133" s="125"/>
    </row>
    <row r="134" spans="7:8" x14ac:dyDescent="0.2">
      <c r="G134" s="59"/>
      <c r="H134" s="125"/>
    </row>
    <row r="135" spans="7:8" x14ac:dyDescent="0.2">
      <c r="G135" s="59"/>
      <c r="H135" s="125"/>
    </row>
    <row r="136" spans="7:8" x14ac:dyDescent="0.2">
      <c r="G136" s="59"/>
      <c r="H136" s="125"/>
    </row>
    <row r="137" spans="7:8" x14ac:dyDescent="0.2">
      <c r="G137" s="59"/>
      <c r="H137" s="125"/>
    </row>
    <row r="138" spans="7:8" x14ac:dyDescent="0.2">
      <c r="G138" s="59"/>
      <c r="H138" s="125"/>
    </row>
    <row r="139" spans="7:8" x14ac:dyDescent="0.2">
      <c r="G139" s="59"/>
      <c r="H139" s="125"/>
    </row>
    <row r="140" spans="7:8" x14ac:dyDescent="0.2">
      <c r="G140" s="59"/>
      <c r="H140" s="125"/>
    </row>
    <row r="141" spans="7:8" x14ac:dyDescent="0.2">
      <c r="G141" s="59"/>
      <c r="H141" s="125"/>
    </row>
    <row r="142" spans="7:8" x14ac:dyDescent="0.2">
      <c r="G142" s="59"/>
      <c r="H142" s="125"/>
    </row>
    <row r="143" spans="7:8" x14ac:dyDescent="0.2">
      <c r="G143" s="59"/>
      <c r="H143" s="125"/>
    </row>
    <row r="144" spans="7:8" x14ac:dyDescent="0.2">
      <c r="G144" s="59"/>
      <c r="H144" s="125"/>
    </row>
    <row r="226" spans="17:17" x14ac:dyDescent="0.2">
      <c r="Q226" s="73"/>
    </row>
    <row r="370" spans="53:55" x14ac:dyDescent="0.2">
      <c r="BA370" s="132"/>
      <c r="BB370" s="132"/>
      <c r="BC370" s="132"/>
    </row>
    <row r="371" spans="53:55" x14ac:dyDescent="0.2">
      <c r="BA371" s="132"/>
      <c r="BB371" s="132"/>
      <c r="BC371" s="132"/>
    </row>
    <row r="372" spans="53:55" x14ac:dyDescent="0.2">
      <c r="BA372" s="132"/>
      <c r="BB372" s="132"/>
      <c r="BC372" s="132"/>
    </row>
    <row r="373" spans="53:55" x14ac:dyDescent="0.2">
      <c r="BA373" s="132"/>
      <c r="BB373" s="132"/>
      <c r="BC373" s="132"/>
    </row>
    <row r="374" spans="53:55" x14ac:dyDescent="0.2">
      <c r="BA374" s="132"/>
      <c r="BB374" s="132"/>
      <c r="BC374" s="132"/>
    </row>
    <row r="375" spans="53:55" x14ac:dyDescent="0.2">
      <c r="BA375" s="132"/>
      <c r="BB375" s="132"/>
      <c r="BC375" s="132"/>
    </row>
    <row r="376" spans="53:55" x14ac:dyDescent="0.2">
      <c r="BA376" s="132"/>
      <c r="BB376" s="132"/>
      <c r="BC376" s="132"/>
    </row>
    <row r="377" spans="53:55" x14ac:dyDescent="0.2">
      <c r="BA377" s="132"/>
      <c r="BB377" s="132"/>
      <c r="BC377" s="132"/>
    </row>
    <row r="378" spans="53:55" x14ac:dyDescent="0.2">
      <c r="BA378" s="132"/>
      <c r="BB378" s="132"/>
      <c r="BC378" s="132"/>
    </row>
    <row r="379" spans="53:55" x14ac:dyDescent="0.2">
      <c r="BA379" s="132"/>
      <c r="BB379" s="132"/>
      <c r="BC379" s="132"/>
    </row>
    <row r="380" spans="53:55" x14ac:dyDescent="0.2">
      <c r="BA380" s="132"/>
      <c r="BB380" s="132"/>
      <c r="BC380" s="132"/>
    </row>
    <row r="381" spans="53:55" x14ac:dyDescent="0.2">
      <c r="BA381" s="132"/>
      <c r="BB381" s="132"/>
      <c r="BC381" s="132"/>
    </row>
    <row r="382" spans="53:55" x14ac:dyDescent="0.2">
      <c r="BA382" s="132"/>
      <c r="BB382" s="132"/>
      <c r="BC382" s="132"/>
    </row>
    <row r="383" spans="53:55" x14ac:dyDescent="0.2">
      <c r="BA383" s="132"/>
      <c r="BB383" s="132"/>
      <c r="BC383" s="132"/>
    </row>
    <row r="384" spans="53:55" x14ac:dyDescent="0.2">
      <c r="BA384" s="132"/>
      <c r="BB384" s="132"/>
      <c r="BC384" s="132"/>
    </row>
    <row r="385" spans="53:55" x14ac:dyDescent="0.2">
      <c r="BA385" s="132"/>
      <c r="BB385" s="132"/>
      <c r="BC385" s="132"/>
    </row>
    <row r="386" spans="53:55" x14ac:dyDescent="0.2">
      <c r="BA386" s="132"/>
      <c r="BB386" s="132"/>
      <c r="BC386" s="132"/>
    </row>
    <row r="387" spans="53:55" x14ac:dyDescent="0.2">
      <c r="BA387" s="132"/>
      <c r="BB387" s="132"/>
      <c r="BC387" s="132"/>
    </row>
    <row r="388" spans="53:55" x14ac:dyDescent="0.2">
      <c r="BA388" s="132"/>
      <c r="BB388" s="132"/>
      <c r="BC388" s="132"/>
    </row>
    <row r="389" spans="53:55" x14ac:dyDescent="0.2">
      <c r="BA389" s="132"/>
      <c r="BB389" s="132"/>
      <c r="BC389" s="132"/>
    </row>
    <row r="390" spans="53:55" x14ac:dyDescent="0.2">
      <c r="BA390" s="132"/>
      <c r="BB390" s="132"/>
      <c r="BC390" s="132"/>
    </row>
    <row r="391" spans="53:55" x14ac:dyDescent="0.2">
      <c r="BA391" s="132"/>
      <c r="BB391" s="132"/>
      <c r="BC391" s="132"/>
    </row>
    <row r="392" spans="53:55" x14ac:dyDescent="0.2">
      <c r="BA392" s="132"/>
      <c r="BB392" s="132"/>
      <c r="BC392" s="132"/>
    </row>
    <row r="393" spans="53:55" x14ac:dyDescent="0.2">
      <c r="BA393" s="132"/>
      <c r="BB393" s="132"/>
      <c r="BC393" s="132"/>
    </row>
    <row r="394" spans="53:55" x14ac:dyDescent="0.2">
      <c r="BA394" s="132"/>
      <c r="BB394" s="132"/>
      <c r="BC394" s="132"/>
    </row>
    <row r="395" spans="53:55" x14ac:dyDescent="0.2">
      <c r="BA395" s="132"/>
      <c r="BB395" s="132"/>
      <c r="BC395" s="132"/>
    </row>
    <row r="396" spans="53:55" x14ac:dyDescent="0.2">
      <c r="BA396" s="132"/>
      <c r="BB396" s="132"/>
      <c r="BC396" s="132"/>
    </row>
    <row r="397" spans="53:55" x14ac:dyDescent="0.2">
      <c r="BA397" s="132"/>
      <c r="BB397" s="132"/>
      <c r="BC397" s="132"/>
    </row>
    <row r="398" spans="53:55" x14ac:dyDescent="0.2">
      <c r="BA398" s="132"/>
      <c r="BB398" s="132"/>
      <c r="BC398" s="132"/>
    </row>
    <row r="399" spans="53:55" x14ac:dyDescent="0.2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2038350</xdr:colOff>
                <xdr:row>23</xdr:row>
                <xdr:rowOff>9525</xdr:rowOff>
              </from>
              <to>
                <xdr:col>2</xdr:col>
                <xdr:colOff>2647950</xdr:colOff>
                <xdr:row>23</xdr:row>
                <xdr:rowOff>200025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2047875</xdr:colOff>
                <xdr:row>3</xdr:row>
                <xdr:rowOff>19050</xdr:rowOff>
              </from>
              <to>
                <xdr:col>2</xdr:col>
                <xdr:colOff>2657475</xdr:colOff>
                <xdr:row>6</xdr:row>
                <xdr:rowOff>200025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2038350</xdr:colOff>
                <xdr:row>9</xdr:row>
                <xdr:rowOff>19050</xdr:rowOff>
              </from>
              <to>
                <xdr:col>2</xdr:col>
                <xdr:colOff>2647950</xdr:colOff>
                <xdr:row>9</xdr:row>
                <xdr:rowOff>209550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E16" sqref="E16"/>
    </sheetView>
  </sheetViews>
  <sheetFormatPr defaultRowHeight="12.75" x14ac:dyDescent="0.2"/>
  <cols>
    <col min="1" max="1" width="3.7109375" style="58" customWidth="1"/>
    <col min="2" max="2" width="35.42578125" style="58" customWidth="1"/>
    <col min="3" max="4" width="9.140625" style="58"/>
    <col min="5" max="5" width="10.28515625" style="58" bestFit="1" customWidth="1"/>
    <col min="6" max="6" width="9.140625" style="58"/>
    <col min="7" max="7" width="11.28515625" style="58" bestFit="1" customWidth="1"/>
    <col min="8" max="8" width="9.140625" style="58"/>
    <col min="9" max="9" width="11.28515625" style="58" bestFit="1" customWidth="1"/>
    <col min="10" max="16384" width="9.140625" style="58"/>
  </cols>
  <sheetData>
    <row r="1" spans="1:12" ht="36.75" customHeight="1" thickBot="1" x14ac:dyDescent="0.25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84072</v>
      </c>
      <c r="J4" s="328"/>
      <c r="K4" s="329">
        <f>+I4/($B$65*'OPERATIONAL CHARACTERISTICS'!$B$12)</f>
        <v>307.38855738855744</v>
      </c>
      <c r="L4" s="58" t="s">
        <v>224</v>
      </c>
    </row>
    <row r="5" spans="1:12" ht="17.25" customHeight="1" x14ac:dyDescent="0.2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">
      <c r="B7" s="325" t="s">
        <v>73</v>
      </c>
      <c r="C7" s="66"/>
      <c r="D7" s="326"/>
      <c r="E7" s="71">
        <f>+I7/$B$65</f>
        <v>7840.116407699621</v>
      </c>
      <c r="F7" s="328"/>
      <c r="G7" s="70">
        <v>0</v>
      </c>
      <c r="H7" s="326"/>
      <c r="I7" s="71">
        <f>(1+IF(G65,SOURCEDATA!B36,0))*(IF(B65=0,0,HLOOKUP(B65,SOURCEDATA!B3:K6,4))+G7)</f>
        <v>47040.698446197726</v>
      </c>
      <c r="J7" s="328"/>
      <c r="K7" s="329">
        <f>+I7/($B$65*'OPERATIONAL CHARACTERISTICS'!$B$12)</f>
        <v>171.99272568663613</v>
      </c>
    </row>
    <row r="8" spans="1:12" ht="6.75" customHeight="1" x14ac:dyDescent="0.2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0</v>
      </c>
      <c r="J13" s="328"/>
      <c r="K13" s="329">
        <f>+I13/($B$65*'OPERATIONAL CHARACTERISTICS'!$B$12)</f>
        <v>0</v>
      </c>
    </row>
    <row r="14" spans="1:12" ht="5.25" customHeight="1" x14ac:dyDescent="0.2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">
      <c r="B16" s="325" t="s">
        <v>77</v>
      </c>
      <c r="C16" s="66"/>
      <c r="D16" s="326"/>
      <c r="E16" s="71">
        <f>+I16/$B$65</f>
        <v>914.30782676182787</v>
      </c>
      <c r="F16" s="67"/>
      <c r="G16" s="74">
        <v>0</v>
      </c>
      <c r="H16" s="326"/>
      <c r="I16" s="71">
        <f>+IF(F65,HLOOKUP(B65,SOURCEDATA!B30:K31,2),0)+G16</f>
        <v>5485.846960570967</v>
      </c>
      <c r="J16" s="328"/>
      <c r="K16" s="329">
        <f>+I16/($B$65*'OPERATIONAL CHARACTERISTICS'!$B$12)</f>
        <v>20.05764800723561</v>
      </c>
    </row>
    <row r="17" spans="2:13" ht="6" customHeight="1" x14ac:dyDescent="0.2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5732.4275669272465</v>
      </c>
      <c r="J31" s="328"/>
      <c r="K31" s="329">
        <f>+I31/($B$65*'OPERATIONAL CHARACTERISTICS'!$B$12)</f>
        <v>20.959209250786998</v>
      </c>
    </row>
    <row r="32" spans="2:13" ht="8.25" customHeight="1" x14ac:dyDescent="0.2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25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25">
      <c r="B35" s="57"/>
      <c r="M35" s="58">
        <f>25/4</f>
        <v>6.25</v>
      </c>
    </row>
    <row r="36" spans="2:13" ht="17.25" customHeight="1" x14ac:dyDescent="0.2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25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142330.97297369593</v>
      </c>
      <c r="J37" s="86"/>
      <c r="K37" s="345">
        <f ca="1">K34+K28+K25+K22+K19+K16+K13+K10+K7+K4+K31</f>
        <v>520.39814033321613</v>
      </c>
    </row>
    <row r="38" spans="2:13" ht="17.25" customHeight="1" x14ac:dyDescent="0.2">
      <c r="B38" s="57"/>
    </row>
    <row r="39" spans="2:13" ht="17.25" customHeight="1" x14ac:dyDescent="0.2">
      <c r="B39" s="57"/>
      <c r="I39" s="58">
        <f ca="1">+I37/5</f>
        <v>28466.194594739187</v>
      </c>
    </row>
    <row r="40" spans="2:13" ht="17.25" customHeight="1" x14ac:dyDescent="0.2">
      <c r="B40" s="57"/>
    </row>
    <row r="41" spans="2:13" ht="17.25" customHeight="1" x14ac:dyDescent="0.2"/>
    <row r="42" spans="2:13" ht="17.25" customHeight="1" x14ac:dyDescent="0.2"/>
    <row r="43" spans="2:13" ht="17.25" customHeight="1" x14ac:dyDescent="0.2"/>
    <row r="44" spans="2:13" ht="17.25" customHeight="1" x14ac:dyDescent="0.2"/>
    <row r="45" spans="2:13" ht="17.25" customHeight="1" x14ac:dyDescent="0.2"/>
    <row r="46" spans="2:13" ht="17.25" customHeight="1" x14ac:dyDescent="0.2"/>
    <row r="47" spans="2:13" ht="17.25" customHeight="1" x14ac:dyDescent="0.2"/>
    <row r="48" spans="2:13" ht="17.25" customHeight="1" x14ac:dyDescent="0.2"/>
    <row r="49" spans="2:13" ht="17.25" customHeight="1" x14ac:dyDescent="0.2"/>
    <row r="50" spans="2:13" ht="17.25" customHeight="1" x14ac:dyDescent="0.2"/>
    <row r="51" spans="2:13" ht="17.25" customHeight="1" x14ac:dyDescent="0.2"/>
    <row r="52" spans="2:13" ht="17.25" customHeight="1" x14ac:dyDescent="0.2"/>
    <row r="53" spans="2:13" ht="17.25" customHeight="1" x14ac:dyDescent="0.2"/>
    <row r="54" spans="2:13" ht="17.25" customHeight="1" x14ac:dyDescent="0.2"/>
    <row r="62" spans="2:13" ht="408.75" customHeight="1" x14ac:dyDescent="0.2"/>
    <row r="63" spans="2:13" x14ac:dyDescent="0.2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">
      <c r="B65" s="348">
        <f>+VALUE(B66)</f>
        <v>6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1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1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">
      <c r="B67" s="352"/>
      <c r="C67" s="347"/>
      <c r="D67" s="347"/>
      <c r="E67" s="347" t="b">
        <v>0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495300</xdr:colOff>
                <xdr:row>0</xdr:row>
                <xdr:rowOff>161925</xdr:rowOff>
              </from>
              <to>
                <xdr:col>5</xdr:col>
                <xdr:colOff>257175</xdr:colOff>
                <xdr:row>0</xdr:row>
                <xdr:rowOff>438150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352425</xdr:colOff>
                <xdr:row>0</xdr:row>
                <xdr:rowOff>152400</xdr:rowOff>
              </from>
              <to>
                <xdr:col>4</xdr:col>
                <xdr:colOff>476250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542925</xdr:colOff>
                <xdr:row>18</xdr:row>
                <xdr:rowOff>209550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276225</xdr:colOff>
                <xdr:row>29</xdr:row>
                <xdr:rowOff>180975</xdr:rowOff>
              </from>
              <to>
                <xdr:col>4</xdr:col>
                <xdr:colOff>590550</xdr:colOff>
                <xdr:row>30</xdr:row>
                <xdr:rowOff>200025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971550</xdr:colOff>
                <xdr:row>4</xdr:row>
                <xdr:rowOff>19050</xdr:rowOff>
              </from>
              <to>
                <xdr:col>1</xdr:col>
                <xdr:colOff>1666875</xdr:colOff>
                <xdr:row>6</xdr:row>
                <xdr:rowOff>209550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5">
            <anchor moveWithCells="1">
              <from>
                <xdr:col>2</xdr:col>
                <xdr:colOff>247650</xdr:colOff>
                <xdr:row>11</xdr:row>
                <xdr:rowOff>200025</xdr:rowOff>
              </from>
              <to>
                <xdr:col>2</xdr:col>
                <xdr:colOff>561975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6" name="CheckBox6">
          <controlPr defaultSize="0" autoLine="0" linkedCell="L66" r:id="rId15">
            <anchor moveWithCells="1">
              <from>
                <xdr:col>4</xdr:col>
                <xdr:colOff>276225</xdr:colOff>
                <xdr:row>32</xdr:row>
                <xdr:rowOff>190500</xdr:rowOff>
              </from>
              <to>
                <xdr:col>4</xdr:col>
                <xdr:colOff>590550</xdr:colOff>
                <xdr:row>33</xdr:row>
                <xdr:rowOff>209550</xdr:rowOff>
              </to>
            </anchor>
          </controlPr>
        </control>
      </mc:Choice>
      <mc:Fallback>
        <control shapeId="1118" r:id="rId16" name="CheckBox6"/>
      </mc:Fallback>
    </mc:AlternateContent>
    <mc:AlternateContent xmlns:mc="http://schemas.openxmlformats.org/markup-compatibility/2006">
      <mc:Choice Requires="x14">
        <control shapeId="1071" r:id="rId17" name="CheckBox5">
          <controlPr defaultSize="0" autoLine="0" linkedCell="K66" r:id="rId9">
            <anchor moveWithCells="1">
              <from>
                <xdr:col>4</xdr:col>
                <xdr:colOff>276225</xdr:colOff>
                <xdr:row>26</xdr:row>
                <xdr:rowOff>200025</xdr:rowOff>
              </from>
              <to>
                <xdr:col>4</xdr:col>
                <xdr:colOff>590550</xdr:colOff>
                <xdr:row>28</xdr:row>
                <xdr:rowOff>0</xdr:rowOff>
              </to>
            </anchor>
          </controlPr>
        </control>
      </mc:Choice>
      <mc:Fallback>
        <control shapeId="1071" r:id="rId17" name="CheckBox5"/>
      </mc:Fallback>
    </mc:AlternateContent>
    <mc:AlternateContent xmlns:mc="http://schemas.openxmlformats.org/markup-compatibility/2006">
      <mc:Choice Requires="x14">
        <control shapeId="1070" r:id="rId18" name="CheckBox4">
          <controlPr defaultSize="0" autoLine="0" linkedCell="J66" r:id="rId15">
            <anchor moveWithCells="1">
              <from>
                <xdr:col>2</xdr:col>
                <xdr:colOff>247650</xdr:colOff>
                <xdr:row>23</xdr:row>
                <xdr:rowOff>200025</xdr:rowOff>
              </from>
              <to>
                <xdr:col>2</xdr:col>
                <xdr:colOff>561975</xdr:colOff>
                <xdr:row>25</xdr:row>
                <xdr:rowOff>0</xdr:rowOff>
              </to>
            </anchor>
          </controlPr>
        </control>
      </mc:Choice>
      <mc:Fallback>
        <control shapeId="1070" r:id="rId18" name="CheckBox4"/>
      </mc:Fallback>
    </mc:AlternateContent>
    <mc:AlternateContent xmlns:mc="http://schemas.openxmlformats.org/markup-compatibility/2006">
      <mc:Choice Requires="x14">
        <control shapeId="1064" r:id="rId19" name="CheckBox3">
          <controlPr defaultSize="0" autoLine="0" linkedCell="I66" r:id="rId9">
            <anchor moveWithCells="1">
              <from>
                <xdr:col>2</xdr:col>
                <xdr:colOff>238125</xdr:colOff>
                <xdr:row>20</xdr:row>
                <xdr:rowOff>200025</xdr:rowOff>
              </from>
              <to>
                <xdr:col>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64" r:id="rId19" name="CheckBox3"/>
      </mc:Fallback>
    </mc:AlternateContent>
    <mc:AlternateContent xmlns:mc="http://schemas.openxmlformats.org/markup-compatibility/2006">
      <mc:Choice Requires="x14">
        <control shapeId="1053" r:id="rId20" name="CheckBox2">
          <controlPr defaultSize="0" autoLine="0" linkedCell="G66" r:id="rId21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561975</xdr:colOff>
                <xdr:row>7</xdr:row>
                <xdr:rowOff>0</xdr:rowOff>
              </to>
            </anchor>
          </controlPr>
        </control>
      </mc:Choice>
      <mc:Fallback>
        <control shapeId="1053" r:id="rId20" name="CheckBox2"/>
      </mc:Fallback>
    </mc:AlternateContent>
    <mc:AlternateContent xmlns:mc="http://schemas.openxmlformats.org/markup-compatibility/2006">
      <mc:Choice Requires="x14">
        <control shapeId="1033" r:id="rId22" name="CheckBox1">
          <controlPr defaultSize="0" autoLine="0" linkedCell="F66" r:id="rId11">
            <anchor moveWithCells="1">
              <from>
                <xdr:col>2</xdr:col>
                <xdr:colOff>257175</xdr:colOff>
                <xdr:row>14</xdr:row>
                <xdr:rowOff>200025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2" name="CheckBox1"/>
      </mc:Fallback>
    </mc:AlternateContent>
    <mc:AlternateContent xmlns:mc="http://schemas.openxmlformats.org/markup-compatibility/2006">
      <mc:Choice Requires="x14">
        <control shapeId="1030" r:id="rId23" name="ComboBox4">
          <controlPr defaultSize="0" autoLine="0" linkedCell="E66" listFillRange="E69:E74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209550</xdr:rowOff>
              </to>
            </anchor>
          </controlPr>
        </control>
      </mc:Choice>
      <mc:Fallback>
        <control shapeId="1030" r:id="rId23" name="ComboBox4"/>
      </mc:Fallback>
    </mc:AlternateContent>
    <mc:AlternateContent xmlns:mc="http://schemas.openxmlformats.org/markup-compatibility/2006">
      <mc:Choice Requires="x14">
        <control shapeId="1029" r:id="rId25" name="ComboBox3">
          <controlPr defaultSize="0" autoLine="0" autoPict="0" linkedCell="D66" listFillRange="D68:D72" r:id="rId26">
            <anchor moveWithCells="1">
              <from>
                <xdr:col>4</xdr:col>
                <xdr:colOff>19050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5" name="ComboBox3"/>
      </mc:Fallback>
    </mc:AlternateContent>
    <mc:AlternateContent xmlns:mc="http://schemas.openxmlformats.org/markup-compatibility/2006">
      <mc:Choice Requires="x14">
        <control shapeId="1028" r:id="rId27" name="ComboBox2">
          <controlPr defaultSize="0" autoLine="0" linkedCell="C66" listFillRange="C68:C78" r:id="rId28">
            <anchor moveWithCells="1">
              <from>
                <xdr:col>2</xdr:col>
                <xdr:colOff>9525</xdr:colOff>
                <xdr:row>8</xdr:row>
                <xdr:rowOff>200025</xdr:rowOff>
              </from>
              <to>
                <xdr:col>3</xdr:col>
                <xdr:colOff>66675</xdr:colOff>
                <xdr:row>10</xdr:row>
                <xdr:rowOff>0</xdr:rowOff>
              </to>
            </anchor>
          </controlPr>
        </control>
      </mc:Choice>
      <mc:Fallback>
        <control shapeId="1028" r:id="rId27" name="ComboBox2"/>
      </mc:Fallback>
    </mc:AlternateContent>
    <mc:AlternateContent xmlns:mc="http://schemas.openxmlformats.org/markup-compatibility/2006">
      <mc:Choice Requires="x14">
        <control shapeId="1025" r:id="rId29" name="ComboBox1">
          <controlPr defaultSize="0" autoLine="0" autoPict="0" linkedCell="B66" listFillRange="B68:B78" r:id="rId30">
            <anchor moveWithCells="1">
              <from>
                <xdr:col>2</xdr:col>
                <xdr:colOff>0</xdr:colOff>
                <xdr:row>2</xdr:row>
                <xdr:rowOff>200025</xdr:rowOff>
              </from>
              <to>
                <xdr:col>3</xdr:col>
                <xdr:colOff>66675</xdr:colOff>
                <xdr:row>3</xdr:row>
                <xdr:rowOff>209550</xdr:rowOff>
              </to>
            </anchor>
          </controlPr>
        </control>
      </mc:Choice>
      <mc:Fallback>
        <control shapeId="1025" r:id="rId29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L45"/>
  <sheetViews>
    <sheetView showGridLines="0" workbookViewId="0">
      <selection activeCell="B20" sqref="B20"/>
    </sheetView>
  </sheetViews>
  <sheetFormatPr defaultRowHeight="12.75" x14ac:dyDescent="0.2"/>
  <cols>
    <col min="1" max="1" width="3.42578125" customWidth="1"/>
    <col min="2" max="2" width="8.5703125" customWidth="1"/>
    <col min="3" max="3" width="45.42578125" customWidth="1"/>
    <col min="4" max="4" width="5.85546875" customWidth="1"/>
    <col min="5" max="5" width="14" customWidth="1"/>
    <col min="6" max="6" width="12.42578125" customWidth="1"/>
    <col min="7" max="7" width="9.5703125" customWidth="1"/>
    <col min="8" max="8" width="13.28515625" customWidth="1"/>
    <col min="11" max="11" width="3.140625" customWidth="1"/>
  </cols>
  <sheetData>
    <row r="2" spans="2:12" ht="20.25" x14ac:dyDescent="0.2">
      <c r="B2" s="120" t="s">
        <v>163</v>
      </c>
    </row>
    <row r="3" spans="2:12" ht="13.5" thickBot="1" x14ac:dyDescent="0.25"/>
    <row r="4" spans="2:12" ht="13.5" thickBot="1" x14ac:dyDescent="0.25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">
      <c r="C5" s="149"/>
      <c r="D5" s="78"/>
      <c r="E5" s="150"/>
      <c r="F5" s="150"/>
      <c r="G5" s="150"/>
      <c r="H5" s="150"/>
      <c r="I5" s="77"/>
      <c r="J5" s="79"/>
    </row>
    <row r="6" spans="2:12" x14ac:dyDescent="0.2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5" thickBot="1" x14ac:dyDescent="0.25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5" thickBot="1" x14ac:dyDescent="0.25"/>
    <row r="17" spans="2:10" ht="13.5" thickBot="1" x14ac:dyDescent="0.25">
      <c r="B17" s="20" t="s">
        <v>187</v>
      </c>
      <c r="C17" s="2"/>
      <c r="D17" s="2"/>
      <c r="E17" s="122"/>
      <c r="F17" s="122"/>
      <c r="G17" s="2"/>
      <c r="H17" s="87"/>
    </row>
    <row r="18" spans="2:10" x14ac:dyDescent="0.2">
      <c r="C18" s="149"/>
      <c r="D18" s="78"/>
      <c r="E18" s="150"/>
      <c r="F18" s="150"/>
      <c r="G18" s="77"/>
      <c r="H18" s="79"/>
    </row>
    <row r="19" spans="2:10" x14ac:dyDescent="0.2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5" thickBot="1" x14ac:dyDescent="0.25">
      <c r="C22" s="8"/>
      <c r="D22" s="84"/>
      <c r="E22" s="84"/>
      <c r="F22" s="84"/>
      <c r="G22" s="84"/>
      <c r="H22" s="85"/>
    </row>
    <row r="23" spans="2:10" ht="13.5" thickBot="1" x14ac:dyDescent="0.25"/>
    <row r="24" spans="2:10" ht="13.5" thickBot="1" x14ac:dyDescent="0.25">
      <c r="B24" s="20" t="s">
        <v>181</v>
      </c>
      <c r="C24" s="2"/>
      <c r="D24" s="2"/>
      <c r="E24" s="122"/>
      <c r="F24" s="122"/>
      <c r="G24" s="2"/>
      <c r="H24" s="87"/>
    </row>
    <row r="25" spans="2:10" x14ac:dyDescent="0.2">
      <c r="C25" s="149"/>
      <c r="D25" s="78"/>
      <c r="E25" s="150"/>
      <c r="F25" s="150"/>
      <c r="G25" s="77"/>
      <c r="H25" s="79"/>
    </row>
    <row r="26" spans="2:10" x14ac:dyDescent="0.2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">
      <c r="C28" s="6"/>
      <c r="D28" s="7"/>
      <c r="E28" s="32"/>
      <c r="F28" s="184"/>
      <c r="G28" s="7"/>
      <c r="H28" s="81"/>
    </row>
    <row r="29" spans="2:10" x14ac:dyDescent="0.2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5" thickBot="1" x14ac:dyDescent="0.25">
      <c r="C35" s="8"/>
      <c r="D35" s="84"/>
      <c r="E35" s="187"/>
      <c r="F35" s="188"/>
      <c r="G35" s="84"/>
      <c r="H35" s="85"/>
    </row>
    <row r="36" spans="2:8" ht="13.5" thickBot="1" x14ac:dyDescent="0.25"/>
    <row r="37" spans="2:8" ht="13.5" thickBot="1" x14ac:dyDescent="0.25">
      <c r="B37" s="20" t="s">
        <v>347</v>
      </c>
      <c r="C37" s="2"/>
      <c r="D37" s="2"/>
      <c r="E37" s="122"/>
      <c r="F37" s="122"/>
      <c r="G37" s="2"/>
      <c r="H37" s="87"/>
    </row>
    <row r="38" spans="2:8" x14ac:dyDescent="0.2">
      <c r="C38" s="149"/>
      <c r="D38" s="78"/>
      <c r="E38" s="150"/>
      <c r="F38" s="150"/>
      <c r="G38" s="77"/>
      <c r="H38" s="79"/>
    </row>
    <row r="39" spans="2:8" x14ac:dyDescent="0.2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">
      <c r="C40" s="6" t="s">
        <v>348</v>
      </c>
      <c r="D40" s="7"/>
      <c r="E40" s="186">
        <v>500000</v>
      </c>
      <c r="F40" s="184"/>
      <c r="G40" s="7"/>
      <c r="H40" s="81"/>
    </row>
    <row r="41" spans="2:8" ht="13.5" thickBot="1" x14ac:dyDescent="0.25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">
      <c r="C43" s="6"/>
      <c r="D43" s="7"/>
      <c r="E43" s="7"/>
      <c r="F43" s="7"/>
      <c r="G43" s="7"/>
      <c r="H43" s="81"/>
    </row>
    <row r="44" spans="2:8" x14ac:dyDescent="0.2">
      <c r="C44" s="27" t="s">
        <v>160</v>
      </c>
      <c r="D44" s="7"/>
      <c r="E44" s="317" t="s">
        <v>350</v>
      </c>
      <c r="F44" s="7"/>
      <c r="G44" s="7"/>
      <c r="H44" s="81"/>
    </row>
    <row r="45" spans="2:8" ht="13.5" thickBot="1" x14ac:dyDescent="0.25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scale="8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>
      <selection activeCell="B2" sqref="B2:K104"/>
    </sheetView>
  </sheetViews>
  <sheetFormatPr defaultRowHeight="12.75" x14ac:dyDescent="0.2"/>
  <cols>
    <col min="1" max="1" width="2.7109375" customWidth="1"/>
    <col min="2" max="2" width="25.28515625" customWidth="1"/>
    <col min="3" max="3" width="38" customWidth="1"/>
    <col min="4" max="4" width="21.85546875" customWidth="1"/>
    <col min="5" max="5" width="3.28515625" hidden="1" customWidth="1"/>
    <col min="6" max="6" width="21.85546875" customWidth="1"/>
    <col min="7" max="7" width="3.42578125" hidden="1" customWidth="1"/>
    <col min="8" max="8" width="4.85546875" hidden="1" customWidth="1"/>
    <col min="9" max="9" width="16.85546875" customWidth="1"/>
    <col min="10" max="10" width="3.140625" hidden="1" customWidth="1"/>
    <col min="11" max="11" width="19.42578125" customWidth="1"/>
    <col min="12" max="13" width="18.140625" customWidth="1"/>
  </cols>
  <sheetData>
    <row r="2" spans="2:11" ht="20.25" x14ac:dyDescent="0.2">
      <c r="B2" s="120" t="s">
        <v>162</v>
      </c>
    </row>
    <row r="3" spans="2:11" x14ac:dyDescent="0.2">
      <c r="E3" s="271"/>
    </row>
    <row r="4" spans="2:11" ht="13.5" thickBot="1" x14ac:dyDescent="0.25">
      <c r="E4" s="271"/>
    </row>
    <row r="5" spans="2:11" x14ac:dyDescent="0.2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5" thickBot="1" x14ac:dyDescent="0.25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5" thickBot="1" x14ac:dyDescent="0.25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5" thickBot="1" x14ac:dyDescent="0.3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5" thickBot="1" x14ac:dyDescent="0.25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5" thickBot="1" x14ac:dyDescent="0.3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5" thickBot="1" x14ac:dyDescent="0.25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5" thickBot="1" x14ac:dyDescent="0.3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5" thickBot="1" x14ac:dyDescent="0.3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5" thickBot="1" x14ac:dyDescent="0.25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5" thickBot="1" x14ac:dyDescent="0.3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25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5" thickBot="1" x14ac:dyDescent="0.25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5" thickBot="1" x14ac:dyDescent="0.3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5" thickBot="1" x14ac:dyDescent="0.25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5" thickBot="1" x14ac:dyDescent="0.3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5" thickBot="1" x14ac:dyDescent="0.25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5" thickBot="1" x14ac:dyDescent="0.3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5" thickBot="1" x14ac:dyDescent="0.25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5" thickBot="1" x14ac:dyDescent="0.3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5" thickBot="1" x14ac:dyDescent="0.25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5" thickBot="1" x14ac:dyDescent="0.3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5" thickBot="1" x14ac:dyDescent="0.3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5" thickBot="1" x14ac:dyDescent="0.3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5" thickBot="1" x14ac:dyDescent="0.3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5" thickBot="1" x14ac:dyDescent="0.3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5" thickBot="1" x14ac:dyDescent="0.3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5" thickBot="1" x14ac:dyDescent="0.3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5" thickBot="1" x14ac:dyDescent="0.25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5" thickBot="1" x14ac:dyDescent="0.25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5" thickBot="1" x14ac:dyDescent="0.3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5" thickBot="1" x14ac:dyDescent="0.3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5" thickBot="1" x14ac:dyDescent="0.3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">
      <c r="E129" s="271"/>
      <c r="G129" s="271"/>
    </row>
    <row r="130" spans="5:7" x14ac:dyDescent="0.2">
      <c r="E130" s="271"/>
      <c r="G130" s="271"/>
    </row>
    <row r="131" spans="5:7" x14ac:dyDescent="0.2">
      <c r="E131" s="271"/>
      <c r="G131" s="271"/>
    </row>
    <row r="132" spans="5:7" x14ac:dyDescent="0.2">
      <c r="E132" s="271"/>
      <c r="G132" s="271"/>
    </row>
    <row r="133" spans="5:7" x14ac:dyDescent="0.2">
      <c r="E133" s="271"/>
      <c r="G133" s="271"/>
    </row>
    <row r="134" spans="5:7" x14ac:dyDescent="0.2">
      <c r="E134" s="271"/>
      <c r="G134" s="271"/>
    </row>
    <row r="135" spans="5:7" x14ac:dyDescent="0.2">
      <c r="E135" s="271"/>
      <c r="G135" s="271"/>
    </row>
    <row r="136" spans="5:7" x14ac:dyDescent="0.2">
      <c r="E136" s="271"/>
      <c r="G136" s="271"/>
    </row>
    <row r="137" spans="5:7" x14ac:dyDescent="0.2">
      <c r="E137" s="271"/>
      <c r="G137" s="271"/>
    </row>
    <row r="138" spans="5:7" x14ac:dyDescent="0.2">
      <c r="E138" s="271"/>
      <c r="G138" s="271"/>
    </row>
    <row r="139" spans="5:7" x14ac:dyDescent="0.2">
      <c r="E139" s="271"/>
      <c r="G139" s="271"/>
    </row>
    <row r="140" spans="5:7" x14ac:dyDescent="0.2">
      <c r="E140" s="271"/>
      <c r="G140" s="271"/>
    </row>
    <row r="141" spans="5:7" x14ac:dyDescent="0.2">
      <c r="E141" s="271"/>
      <c r="G141" s="271"/>
    </row>
    <row r="142" spans="5:7" x14ac:dyDescent="0.2">
      <c r="E142" s="271"/>
      <c r="G142" s="271"/>
    </row>
    <row r="143" spans="5:7" x14ac:dyDescent="0.2">
      <c r="E143" s="271"/>
      <c r="G143" s="271"/>
    </row>
    <row r="144" spans="5:7" x14ac:dyDescent="0.2">
      <c r="E144" s="271"/>
      <c r="G144" s="271"/>
    </row>
    <row r="145" spans="5:7" x14ac:dyDescent="0.2">
      <c r="E145" s="271"/>
      <c r="G145" s="271"/>
    </row>
    <row r="146" spans="5:7" x14ac:dyDescent="0.2">
      <c r="E146" s="271"/>
      <c r="G146" s="271"/>
    </row>
    <row r="147" spans="5:7" x14ac:dyDescent="0.2">
      <c r="E147" s="271"/>
      <c r="G147" s="271"/>
    </row>
    <row r="148" spans="5:7" x14ac:dyDescent="0.2">
      <c r="E148" s="271"/>
      <c r="G148" s="271"/>
    </row>
    <row r="149" spans="5:7" x14ac:dyDescent="0.2">
      <c r="E149" s="271"/>
      <c r="G149" s="271"/>
    </row>
    <row r="150" spans="5:7" x14ac:dyDescent="0.2">
      <c r="E150" s="271"/>
      <c r="G150" s="271"/>
    </row>
    <row r="151" spans="5:7" x14ac:dyDescent="0.2">
      <c r="E151" s="271"/>
      <c r="G151" s="271"/>
    </row>
    <row r="152" spans="5:7" x14ac:dyDescent="0.2">
      <c r="E152" s="271"/>
      <c r="G152" s="271"/>
    </row>
    <row r="153" spans="5:7" x14ac:dyDescent="0.2">
      <c r="E153" s="271"/>
      <c r="G153" s="271"/>
    </row>
    <row r="154" spans="5:7" x14ac:dyDescent="0.2">
      <c r="E154" s="271"/>
      <c r="G154" s="271"/>
    </row>
    <row r="155" spans="5:7" x14ac:dyDescent="0.2">
      <c r="E155" s="271"/>
      <c r="G155" s="271"/>
    </row>
    <row r="156" spans="5:7" x14ac:dyDescent="0.2">
      <c r="E156" s="271"/>
      <c r="G156" s="271"/>
    </row>
    <row r="157" spans="5:7" x14ac:dyDescent="0.2">
      <c r="E157" s="271"/>
      <c r="G157" s="271"/>
    </row>
    <row r="158" spans="5:7" x14ac:dyDescent="0.2">
      <c r="E158" s="271"/>
      <c r="G158" s="271"/>
    </row>
    <row r="159" spans="5:7" x14ac:dyDescent="0.2">
      <c r="E159" s="271"/>
      <c r="G159" s="271"/>
    </row>
    <row r="160" spans="5:7" x14ac:dyDescent="0.2">
      <c r="E160" s="271"/>
      <c r="G160" s="271"/>
    </row>
    <row r="161" spans="5:7" x14ac:dyDescent="0.2">
      <c r="E161" s="271"/>
      <c r="G161" s="271"/>
    </row>
    <row r="162" spans="5:7" x14ac:dyDescent="0.2">
      <c r="E162" s="271"/>
      <c r="G162" s="271"/>
    </row>
    <row r="163" spans="5:7" x14ac:dyDescent="0.2">
      <c r="E163" s="271"/>
      <c r="G163" s="271"/>
    </row>
    <row r="164" spans="5:7" x14ac:dyDescent="0.2">
      <c r="E164" s="271"/>
      <c r="G164" s="271"/>
    </row>
    <row r="165" spans="5:7" x14ac:dyDescent="0.2">
      <c r="E165" s="271"/>
      <c r="G165" s="271"/>
    </row>
    <row r="166" spans="5:7" x14ac:dyDescent="0.2">
      <c r="E166" s="271"/>
      <c r="G166" s="271"/>
    </row>
    <row r="167" spans="5:7" x14ac:dyDescent="0.2">
      <c r="E167" s="271"/>
      <c r="G167" s="271"/>
    </row>
    <row r="168" spans="5:7" x14ac:dyDescent="0.2">
      <c r="E168" s="271"/>
      <c r="G168" s="271"/>
    </row>
    <row r="169" spans="5:7" x14ac:dyDescent="0.2">
      <c r="E169" s="271"/>
      <c r="G169" s="271"/>
    </row>
    <row r="170" spans="5:7" x14ac:dyDescent="0.2">
      <c r="E170" s="271"/>
      <c r="G170" s="271"/>
    </row>
    <row r="171" spans="5:7" x14ac:dyDescent="0.2">
      <c r="E171" s="271"/>
      <c r="G171" s="271"/>
    </row>
    <row r="172" spans="5:7" x14ac:dyDescent="0.2">
      <c r="E172" s="271"/>
      <c r="G172" s="271"/>
    </row>
    <row r="173" spans="5:7" x14ac:dyDescent="0.2">
      <c r="E173" s="271"/>
      <c r="G173" s="271"/>
    </row>
    <row r="174" spans="5:7" x14ac:dyDescent="0.2">
      <c r="E174" s="271"/>
      <c r="G174" s="271"/>
    </row>
    <row r="175" spans="5:7" x14ac:dyDescent="0.2">
      <c r="E175" s="271"/>
      <c r="G175" s="271"/>
    </row>
    <row r="176" spans="5:7" x14ac:dyDescent="0.2">
      <c r="E176" s="271"/>
      <c r="G176" s="271"/>
    </row>
    <row r="177" spans="5:7" x14ac:dyDescent="0.2">
      <c r="E177" s="271"/>
      <c r="G177" s="271"/>
    </row>
    <row r="178" spans="5:7" x14ac:dyDescent="0.2">
      <c r="E178" s="271"/>
      <c r="G178" s="271"/>
    </row>
    <row r="179" spans="5:7" x14ac:dyDescent="0.2">
      <c r="E179" s="271"/>
      <c r="G179" s="271"/>
    </row>
    <row r="180" spans="5:7" x14ac:dyDescent="0.2">
      <c r="E180" s="271"/>
      <c r="G180" s="271"/>
    </row>
    <row r="181" spans="5:7" x14ac:dyDescent="0.2">
      <c r="E181" s="271"/>
      <c r="G181" s="271"/>
    </row>
    <row r="182" spans="5:7" x14ac:dyDescent="0.2">
      <c r="E182" s="271"/>
      <c r="G182" s="271"/>
    </row>
    <row r="183" spans="5:7" x14ac:dyDescent="0.2">
      <c r="E183" s="271"/>
      <c r="G183" s="271"/>
    </row>
    <row r="184" spans="5:7" x14ac:dyDescent="0.2">
      <c r="E184" s="271"/>
      <c r="G184" s="271"/>
    </row>
    <row r="185" spans="5:7" x14ac:dyDescent="0.2">
      <c r="E185" s="271"/>
      <c r="G185" s="271"/>
    </row>
    <row r="186" spans="5:7" x14ac:dyDescent="0.2">
      <c r="E186" s="271"/>
      <c r="G186" s="271"/>
    </row>
    <row r="187" spans="5:7" x14ac:dyDescent="0.2">
      <c r="E187" s="271"/>
      <c r="G187" s="271"/>
    </row>
    <row r="188" spans="5:7" x14ac:dyDescent="0.2">
      <c r="E188" s="271"/>
      <c r="G188" s="271"/>
    </row>
    <row r="189" spans="5:7" x14ac:dyDescent="0.2">
      <c r="E189" s="271"/>
      <c r="G189" s="271"/>
    </row>
    <row r="190" spans="5:7" x14ac:dyDescent="0.2">
      <c r="E190" s="271"/>
      <c r="G190" s="271"/>
    </row>
    <row r="191" spans="5:7" x14ac:dyDescent="0.2">
      <c r="E191" s="271"/>
      <c r="G191" s="271"/>
    </row>
    <row r="192" spans="5:7" x14ac:dyDescent="0.2">
      <c r="E192" s="271"/>
      <c r="G192" s="271"/>
    </row>
    <row r="193" spans="5:7" x14ac:dyDescent="0.2">
      <c r="E193" s="271"/>
      <c r="G193" s="271"/>
    </row>
    <row r="194" spans="5:7" x14ac:dyDescent="0.2">
      <c r="E194" s="271"/>
      <c r="G194" s="271"/>
    </row>
    <row r="195" spans="5:7" x14ac:dyDescent="0.2">
      <c r="E195" s="271"/>
      <c r="G195" s="271"/>
    </row>
    <row r="196" spans="5:7" x14ac:dyDescent="0.2">
      <c r="E196" s="271"/>
      <c r="G196" s="271"/>
    </row>
    <row r="197" spans="5:7" x14ac:dyDescent="0.2">
      <c r="E197" s="271"/>
      <c r="G197" s="271"/>
    </row>
    <row r="198" spans="5:7" x14ac:dyDescent="0.2">
      <c r="E198" s="271"/>
      <c r="G198" s="271"/>
    </row>
    <row r="199" spans="5:7" x14ac:dyDescent="0.2">
      <c r="E199" s="271"/>
      <c r="G199" s="271"/>
    </row>
    <row r="200" spans="5:7" x14ac:dyDescent="0.2">
      <c r="E200" s="271"/>
      <c r="G200" s="271"/>
    </row>
    <row r="201" spans="5:7" x14ac:dyDescent="0.2">
      <c r="E201" s="271"/>
      <c r="G201" s="271"/>
    </row>
    <row r="202" spans="5:7" x14ac:dyDescent="0.2">
      <c r="E202" s="271"/>
      <c r="G202" s="271"/>
    </row>
    <row r="203" spans="5:7" x14ac:dyDescent="0.2">
      <c r="E203" s="271"/>
      <c r="G203" s="271"/>
    </row>
    <row r="204" spans="5:7" x14ac:dyDescent="0.2">
      <c r="E204" s="271"/>
      <c r="G204" s="271"/>
    </row>
    <row r="205" spans="5:7" x14ac:dyDescent="0.2">
      <c r="E205" s="271"/>
    </row>
    <row r="206" spans="5:7" x14ac:dyDescent="0.2">
      <c r="E206" s="271"/>
    </row>
    <row r="207" spans="5:7" x14ac:dyDescent="0.2">
      <c r="E207" s="271"/>
    </row>
    <row r="208" spans="5:7" x14ac:dyDescent="0.2">
      <c r="E208" s="271"/>
    </row>
    <row r="209" spans="5:5" x14ac:dyDescent="0.2">
      <c r="E209" s="271"/>
    </row>
    <row r="210" spans="5:5" x14ac:dyDescent="0.2">
      <c r="E210" s="271"/>
    </row>
    <row r="211" spans="5:5" x14ac:dyDescent="0.2">
      <c r="E211" s="271"/>
    </row>
    <row r="212" spans="5:5" x14ac:dyDescent="0.2">
      <c r="E212" s="271"/>
    </row>
    <row r="213" spans="5:5" x14ac:dyDescent="0.2">
      <c r="E213" s="271"/>
    </row>
    <row r="214" spans="5:5" x14ac:dyDescent="0.2">
      <c r="E214" s="271"/>
    </row>
    <row r="215" spans="5:5" x14ac:dyDescent="0.2">
      <c r="E215" s="271"/>
    </row>
    <row r="216" spans="5:5" x14ac:dyDescent="0.2">
      <c r="E216" s="271"/>
    </row>
    <row r="217" spans="5:5" x14ac:dyDescent="0.2">
      <c r="E217" s="271"/>
    </row>
    <row r="218" spans="5:5" x14ac:dyDescent="0.2">
      <c r="E218" s="271"/>
    </row>
    <row r="219" spans="5:5" x14ac:dyDescent="0.2">
      <c r="E219" s="271"/>
    </row>
    <row r="220" spans="5:5" x14ac:dyDescent="0.2">
      <c r="E220" s="271"/>
    </row>
    <row r="221" spans="5:5" x14ac:dyDescent="0.2">
      <c r="E221" s="271"/>
    </row>
    <row r="222" spans="5:5" x14ac:dyDescent="0.2">
      <c r="E222" s="271"/>
    </row>
    <row r="223" spans="5:5" x14ac:dyDescent="0.2">
      <c r="E223" s="271"/>
    </row>
    <row r="224" spans="5:5" x14ac:dyDescent="0.2">
      <c r="E224" s="271"/>
    </row>
    <row r="225" spans="5:5" x14ac:dyDescent="0.2">
      <c r="E225" s="271"/>
    </row>
    <row r="226" spans="5:5" x14ac:dyDescent="0.2">
      <c r="E226" s="271"/>
    </row>
    <row r="227" spans="5:5" x14ac:dyDescent="0.2">
      <c r="E227" s="271"/>
    </row>
    <row r="228" spans="5:5" x14ac:dyDescent="0.2">
      <c r="E228" s="271"/>
    </row>
    <row r="229" spans="5:5" x14ac:dyDescent="0.2">
      <c r="E229" s="271"/>
    </row>
    <row r="230" spans="5:5" x14ac:dyDescent="0.2">
      <c r="E230" s="271"/>
    </row>
    <row r="231" spans="5:5" x14ac:dyDescent="0.2">
      <c r="E231" s="271"/>
    </row>
    <row r="232" spans="5:5" x14ac:dyDescent="0.2">
      <c r="E232" s="271"/>
    </row>
    <row r="233" spans="5:5" x14ac:dyDescent="0.2">
      <c r="E233" s="271"/>
    </row>
    <row r="234" spans="5:5" x14ac:dyDescent="0.2">
      <c r="E234" s="271"/>
    </row>
    <row r="235" spans="5:5" x14ac:dyDescent="0.2">
      <c r="E235" s="271"/>
    </row>
    <row r="236" spans="5:5" x14ac:dyDescent="0.2">
      <c r="E236" s="271"/>
    </row>
    <row r="237" spans="5:5" x14ac:dyDescent="0.2">
      <c r="E237" s="271"/>
    </row>
    <row r="238" spans="5:5" x14ac:dyDescent="0.2">
      <c r="E238" s="271"/>
    </row>
    <row r="239" spans="5:5" x14ac:dyDescent="0.2">
      <c r="E239" s="271"/>
    </row>
    <row r="240" spans="5:5" x14ac:dyDescent="0.2">
      <c r="E240" s="271"/>
    </row>
    <row r="241" spans="5:5" x14ac:dyDescent="0.2">
      <c r="E241" s="271"/>
    </row>
    <row r="242" spans="5:5" x14ac:dyDescent="0.2">
      <c r="E242" s="271"/>
    </row>
    <row r="243" spans="5:5" x14ac:dyDescent="0.2">
      <c r="E243" s="271"/>
    </row>
    <row r="244" spans="5:5" x14ac:dyDescent="0.2">
      <c r="E244" s="271"/>
    </row>
    <row r="245" spans="5:5" x14ac:dyDescent="0.2">
      <c r="E245" s="271"/>
    </row>
    <row r="246" spans="5:5" x14ac:dyDescent="0.2">
      <c r="E246" s="271"/>
    </row>
    <row r="247" spans="5:5" x14ac:dyDescent="0.2">
      <c r="E247" s="271"/>
    </row>
    <row r="248" spans="5:5" x14ac:dyDescent="0.2">
      <c r="E248" s="271"/>
    </row>
    <row r="249" spans="5:5" x14ac:dyDescent="0.2">
      <c r="E249" s="271"/>
    </row>
    <row r="250" spans="5:5" x14ac:dyDescent="0.2">
      <c r="E250" s="271"/>
    </row>
    <row r="251" spans="5:5" x14ac:dyDescent="0.2">
      <c r="E251" s="271"/>
    </row>
    <row r="252" spans="5:5" x14ac:dyDescent="0.2">
      <c r="E252" s="271"/>
    </row>
    <row r="253" spans="5:5" x14ac:dyDescent="0.2">
      <c r="E253" s="271"/>
    </row>
    <row r="254" spans="5:5" x14ac:dyDescent="0.2">
      <c r="E254" s="271"/>
    </row>
    <row r="255" spans="5:5" x14ac:dyDescent="0.2">
      <c r="E255" s="271"/>
    </row>
    <row r="256" spans="5:5" x14ac:dyDescent="0.2">
      <c r="E256" s="271"/>
    </row>
    <row r="257" spans="5:5" x14ac:dyDescent="0.2">
      <c r="E257" s="271"/>
    </row>
    <row r="258" spans="5:5" x14ac:dyDescent="0.2">
      <c r="E258" s="271"/>
    </row>
    <row r="259" spans="5:5" x14ac:dyDescent="0.2">
      <c r="E259" s="271"/>
    </row>
    <row r="260" spans="5:5" x14ac:dyDescent="0.2">
      <c r="E260" s="271"/>
    </row>
    <row r="261" spans="5:5" x14ac:dyDescent="0.2">
      <c r="E261" s="271"/>
    </row>
    <row r="262" spans="5:5" x14ac:dyDescent="0.2">
      <c r="E262" s="271"/>
    </row>
    <row r="263" spans="5:5" x14ac:dyDescent="0.2">
      <c r="E263" s="271"/>
    </row>
    <row r="264" spans="5:5" x14ac:dyDescent="0.2">
      <c r="E264" s="271"/>
    </row>
    <row r="265" spans="5:5" x14ac:dyDescent="0.2">
      <c r="E265" s="271"/>
    </row>
    <row r="266" spans="5:5" x14ac:dyDescent="0.2">
      <c r="E266" s="271"/>
    </row>
    <row r="267" spans="5:5" x14ac:dyDescent="0.2">
      <c r="E267" s="271"/>
    </row>
    <row r="268" spans="5:5" x14ac:dyDescent="0.2">
      <c r="E268" s="271"/>
    </row>
    <row r="269" spans="5:5" x14ac:dyDescent="0.2">
      <c r="E269" s="271"/>
    </row>
    <row r="270" spans="5:5" x14ac:dyDescent="0.2">
      <c r="E270" s="271"/>
    </row>
    <row r="271" spans="5:5" x14ac:dyDescent="0.2">
      <c r="E271" s="271"/>
    </row>
    <row r="272" spans="5:5" x14ac:dyDescent="0.2">
      <c r="E272" s="271"/>
    </row>
    <row r="273" spans="5:5" x14ac:dyDescent="0.2">
      <c r="E273" s="271"/>
    </row>
    <row r="274" spans="5:5" x14ac:dyDescent="0.2">
      <c r="E274" s="271"/>
    </row>
    <row r="275" spans="5:5" x14ac:dyDescent="0.2">
      <c r="E275" s="271"/>
    </row>
    <row r="276" spans="5:5" x14ac:dyDescent="0.2">
      <c r="E276" s="271"/>
    </row>
    <row r="277" spans="5:5" x14ac:dyDescent="0.2">
      <c r="E277" s="271"/>
    </row>
    <row r="278" spans="5:5" x14ac:dyDescent="0.2">
      <c r="E278" s="271"/>
    </row>
    <row r="279" spans="5:5" x14ac:dyDescent="0.2">
      <c r="E279" s="271"/>
    </row>
    <row r="280" spans="5:5" x14ac:dyDescent="0.2">
      <c r="E280" s="271"/>
    </row>
    <row r="281" spans="5:5" x14ac:dyDescent="0.2">
      <c r="E281" s="271"/>
    </row>
    <row r="282" spans="5:5" x14ac:dyDescent="0.2">
      <c r="E282" s="271"/>
    </row>
    <row r="283" spans="5:5" x14ac:dyDescent="0.2">
      <c r="E283" s="271"/>
    </row>
    <row r="284" spans="5:5" x14ac:dyDescent="0.2">
      <c r="E284" s="271"/>
    </row>
    <row r="285" spans="5:5" x14ac:dyDescent="0.2">
      <c r="E285" s="271"/>
    </row>
    <row r="286" spans="5:5" x14ac:dyDescent="0.2">
      <c r="E286" s="271"/>
    </row>
    <row r="287" spans="5:5" x14ac:dyDescent="0.2">
      <c r="E287" s="271"/>
    </row>
    <row r="288" spans="5:5" x14ac:dyDescent="0.2">
      <c r="E288" s="271"/>
    </row>
    <row r="289" spans="5:5" x14ac:dyDescent="0.2">
      <c r="E289" s="271"/>
    </row>
    <row r="290" spans="5:5" x14ac:dyDescent="0.2">
      <c r="E290" s="271"/>
    </row>
    <row r="291" spans="5:5" x14ac:dyDescent="0.2">
      <c r="E291" s="271"/>
    </row>
    <row r="292" spans="5:5" x14ac:dyDescent="0.2">
      <c r="E292" s="271"/>
    </row>
    <row r="293" spans="5:5" x14ac:dyDescent="0.2">
      <c r="E293" s="271"/>
    </row>
    <row r="294" spans="5:5" x14ac:dyDescent="0.2">
      <c r="E294" s="271"/>
    </row>
    <row r="295" spans="5:5" x14ac:dyDescent="0.2">
      <c r="E295" s="271"/>
    </row>
    <row r="296" spans="5:5" x14ac:dyDescent="0.2">
      <c r="E296" s="271"/>
    </row>
    <row r="297" spans="5:5" x14ac:dyDescent="0.2">
      <c r="E297" s="271"/>
    </row>
    <row r="298" spans="5:5" x14ac:dyDescent="0.2">
      <c r="E298" s="271"/>
    </row>
    <row r="299" spans="5:5" x14ac:dyDescent="0.2">
      <c r="E299" s="271"/>
    </row>
    <row r="300" spans="5:5" x14ac:dyDescent="0.2">
      <c r="E300" s="271"/>
    </row>
    <row r="301" spans="5:5" x14ac:dyDescent="0.2">
      <c r="E301" s="271"/>
    </row>
    <row r="302" spans="5:5" x14ac:dyDescent="0.2">
      <c r="E302" s="271"/>
    </row>
    <row r="303" spans="5:5" x14ac:dyDescent="0.2">
      <c r="E303" s="271"/>
    </row>
    <row r="304" spans="5:5" x14ac:dyDescent="0.2">
      <c r="E304" s="271"/>
    </row>
    <row r="305" spans="5:5" x14ac:dyDescent="0.2">
      <c r="E305" s="271"/>
    </row>
    <row r="306" spans="5:5" x14ac:dyDescent="0.2">
      <c r="E306" s="271"/>
    </row>
    <row r="307" spans="5:5" x14ac:dyDescent="0.2">
      <c r="E307" s="271"/>
    </row>
    <row r="308" spans="5:5" x14ac:dyDescent="0.2">
      <c r="E308" s="271"/>
    </row>
    <row r="309" spans="5:5" x14ac:dyDescent="0.2">
      <c r="E309" s="271"/>
    </row>
    <row r="310" spans="5:5" x14ac:dyDescent="0.2">
      <c r="E310" s="271"/>
    </row>
    <row r="311" spans="5:5" x14ac:dyDescent="0.2">
      <c r="E311" s="271"/>
    </row>
    <row r="312" spans="5:5" x14ac:dyDescent="0.2">
      <c r="E312" s="271"/>
    </row>
    <row r="313" spans="5:5" x14ac:dyDescent="0.2">
      <c r="E313" s="271"/>
    </row>
    <row r="314" spans="5:5" x14ac:dyDescent="0.2">
      <c r="E314" s="271"/>
    </row>
    <row r="315" spans="5:5" x14ac:dyDescent="0.2">
      <c r="E315" s="271"/>
    </row>
    <row r="316" spans="5:5" x14ac:dyDescent="0.2">
      <c r="E316" s="271"/>
    </row>
    <row r="317" spans="5:5" x14ac:dyDescent="0.2">
      <c r="E317" s="271"/>
    </row>
    <row r="318" spans="5:5" x14ac:dyDescent="0.2">
      <c r="E318" s="271"/>
    </row>
    <row r="319" spans="5:5" x14ac:dyDescent="0.2">
      <c r="E319" s="271"/>
    </row>
    <row r="320" spans="5:5" x14ac:dyDescent="0.2">
      <c r="E320" s="271"/>
    </row>
    <row r="321" spans="5:5" x14ac:dyDescent="0.2">
      <c r="E321" s="271"/>
    </row>
    <row r="322" spans="5:5" x14ac:dyDescent="0.2">
      <c r="E322" s="271"/>
    </row>
    <row r="323" spans="5:5" x14ac:dyDescent="0.2">
      <c r="E323" s="271"/>
    </row>
    <row r="324" spans="5:5" x14ac:dyDescent="0.2">
      <c r="E324" s="271"/>
    </row>
    <row r="325" spans="5:5" x14ac:dyDescent="0.2">
      <c r="E325" s="271"/>
    </row>
    <row r="326" spans="5:5" x14ac:dyDescent="0.2">
      <c r="E326" s="271"/>
    </row>
    <row r="327" spans="5:5" x14ac:dyDescent="0.2">
      <c r="E327" s="271"/>
    </row>
    <row r="328" spans="5:5" x14ac:dyDescent="0.2">
      <c r="E328" s="271"/>
    </row>
    <row r="329" spans="5:5" x14ac:dyDescent="0.2">
      <c r="E329" s="271"/>
    </row>
    <row r="330" spans="5:5" x14ac:dyDescent="0.2">
      <c r="E330" s="271"/>
    </row>
    <row r="331" spans="5:5" x14ac:dyDescent="0.2">
      <c r="E331" s="271"/>
    </row>
    <row r="332" spans="5:5" x14ac:dyDescent="0.2">
      <c r="E332" s="271"/>
    </row>
    <row r="333" spans="5:5" x14ac:dyDescent="0.2">
      <c r="E333" s="271"/>
    </row>
    <row r="334" spans="5:5" x14ac:dyDescent="0.2">
      <c r="E334" s="271"/>
    </row>
    <row r="335" spans="5:5" x14ac:dyDescent="0.2">
      <c r="E335" s="271"/>
    </row>
    <row r="336" spans="5:5" x14ac:dyDescent="0.2">
      <c r="E336" s="271"/>
    </row>
    <row r="337" spans="5:5" x14ac:dyDescent="0.2">
      <c r="E337" s="271"/>
    </row>
    <row r="338" spans="5:5" x14ac:dyDescent="0.2">
      <c r="E338" s="271"/>
    </row>
    <row r="339" spans="5:5" x14ac:dyDescent="0.2">
      <c r="E339" s="271"/>
    </row>
    <row r="340" spans="5:5" x14ac:dyDescent="0.2">
      <c r="E340" s="271"/>
    </row>
    <row r="341" spans="5:5" x14ac:dyDescent="0.2">
      <c r="E341" s="271"/>
    </row>
    <row r="342" spans="5:5" x14ac:dyDescent="0.2">
      <c r="E342" s="271"/>
    </row>
    <row r="343" spans="5:5" x14ac:dyDescent="0.2">
      <c r="E343" s="271"/>
    </row>
    <row r="344" spans="5:5" x14ac:dyDescent="0.2">
      <c r="E344" s="271"/>
    </row>
    <row r="345" spans="5:5" x14ac:dyDescent="0.2">
      <c r="E345" s="271"/>
    </row>
    <row r="346" spans="5:5" x14ac:dyDescent="0.2">
      <c r="E346" s="271"/>
    </row>
    <row r="347" spans="5:5" x14ac:dyDescent="0.2">
      <c r="E347" s="271"/>
    </row>
    <row r="348" spans="5:5" x14ac:dyDescent="0.2">
      <c r="E348" s="271"/>
    </row>
    <row r="349" spans="5:5" x14ac:dyDescent="0.2">
      <c r="E349" s="271"/>
    </row>
    <row r="350" spans="5:5" x14ac:dyDescent="0.2">
      <c r="E350" s="271"/>
    </row>
    <row r="351" spans="5:5" x14ac:dyDescent="0.2">
      <c r="E351" s="271"/>
    </row>
    <row r="352" spans="5:5" x14ac:dyDescent="0.2">
      <c r="E352" s="271"/>
    </row>
    <row r="353" spans="5:5" x14ac:dyDescent="0.2">
      <c r="E353" s="271"/>
    </row>
    <row r="354" spans="5:5" x14ac:dyDescent="0.2">
      <c r="E354" s="271"/>
    </row>
    <row r="355" spans="5:5" x14ac:dyDescent="0.2">
      <c r="E355" s="271"/>
    </row>
    <row r="356" spans="5:5" x14ac:dyDescent="0.2">
      <c r="E356" s="271"/>
    </row>
    <row r="357" spans="5:5" x14ac:dyDescent="0.2">
      <c r="E357" s="271"/>
    </row>
    <row r="358" spans="5:5" x14ac:dyDescent="0.2">
      <c r="E358" s="271"/>
    </row>
    <row r="359" spans="5:5" x14ac:dyDescent="0.2">
      <c r="E359" s="271"/>
    </row>
    <row r="360" spans="5:5" x14ac:dyDescent="0.2">
      <c r="E360" s="271"/>
    </row>
    <row r="361" spans="5:5" x14ac:dyDescent="0.2">
      <c r="E361" s="271"/>
    </row>
    <row r="362" spans="5:5" x14ac:dyDescent="0.2">
      <c r="E362" s="271"/>
    </row>
    <row r="363" spans="5:5" x14ac:dyDescent="0.2">
      <c r="E363" s="271"/>
    </row>
    <row r="364" spans="5:5" x14ac:dyDescent="0.2">
      <c r="E364" s="271"/>
    </row>
    <row r="365" spans="5:5" x14ac:dyDescent="0.2">
      <c r="E365" s="271"/>
    </row>
    <row r="366" spans="5:5" x14ac:dyDescent="0.2">
      <c r="E366" s="271"/>
    </row>
    <row r="367" spans="5:5" x14ac:dyDescent="0.2">
      <c r="E367" s="271"/>
    </row>
    <row r="368" spans="5:5" x14ac:dyDescent="0.2">
      <c r="E368" s="271"/>
    </row>
    <row r="369" spans="5:5" x14ac:dyDescent="0.2">
      <c r="E369" s="271"/>
    </row>
    <row r="370" spans="5:5" x14ac:dyDescent="0.2">
      <c r="E370" s="271"/>
    </row>
    <row r="371" spans="5:5" x14ac:dyDescent="0.2">
      <c r="E371" s="271"/>
    </row>
    <row r="372" spans="5:5" x14ac:dyDescent="0.2">
      <c r="E372" s="271"/>
    </row>
    <row r="373" spans="5:5" x14ac:dyDescent="0.2">
      <c r="E373" s="271"/>
    </row>
    <row r="374" spans="5:5" x14ac:dyDescent="0.2">
      <c r="E374" s="271"/>
    </row>
    <row r="375" spans="5:5" x14ac:dyDescent="0.2">
      <c r="E375" s="271"/>
    </row>
    <row r="376" spans="5:5" x14ac:dyDescent="0.2">
      <c r="E376" s="271"/>
    </row>
    <row r="377" spans="5:5" x14ac:dyDescent="0.2">
      <c r="E377" s="271"/>
    </row>
    <row r="378" spans="5:5" x14ac:dyDescent="0.2">
      <c r="E378" s="271"/>
    </row>
    <row r="379" spans="5:5" x14ac:dyDescent="0.2">
      <c r="E379" s="271"/>
    </row>
    <row r="380" spans="5:5" x14ac:dyDescent="0.2">
      <c r="E380" s="271"/>
    </row>
    <row r="381" spans="5:5" x14ac:dyDescent="0.2">
      <c r="E381" s="271"/>
    </row>
    <row r="382" spans="5:5" x14ac:dyDescent="0.2">
      <c r="E382" s="271"/>
    </row>
    <row r="383" spans="5:5" x14ac:dyDescent="0.2">
      <c r="E383" s="271"/>
    </row>
    <row r="384" spans="5:5" x14ac:dyDescent="0.2">
      <c r="E384" s="271"/>
    </row>
    <row r="385" spans="5:5" x14ac:dyDescent="0.2">
      <c r="E385" s="271"/>
    </row>
    <row r="386" spans="5:5" x14ac:dyDescent="0.2">
      <c r="E386" s="271"/>
    </row>
    <row r="387" spans="5:5" x14ac:dyDescent="0.2">
      <c r="E387" s="271"/>
    </row>
    <row r="388" spans="5:5" x14ac:dyDescent="0.2">
      <c r="E388" s="271"/>
    </row>
    <row r="389" spans="5:5" x14ac:dyDescent="0.2">
      <c r="E389" s="271"/>
    </row>
    <row r="390" spans="5:5" x14ac:dyDescent="0.2">
      <c r="E390" s="271"/>
    </row>
    <row r="391" spans="5:5" x14ac:dyDescent="0.2">
      <c r="E391" s="271"/>
    </row>
    <row r="392" spans="5:5" x14ac:dyDescent="0.2">
      <c r="E392" s="271"/>
    </row>
    <row r="393" spans="5:5" x14ac:dyDescent="0.2">
      <c r="E393" s="271"/>
    </row>
    <row r="394" spans="5:5" x14ac:dyDescent="0.2">
      <c r="E394" s="271"/>
    </row>
    <row r="395" spans="5:5" x14ac:dyDescent="0.2">
      <c r="E395" s="271"/>
    </row>
    <row r="396" spans="5:5" x14ac:dyDescent="0.2">
      <c r="E396" s="271"/>
    </row>
    <row r="397" spans="5:5" x14ac:dyDescent="0.2">
      <c r="E397" s="271"/>
    </row>
    <row r="398" spans="5:5" x14ac:dyDescent="0.2">
      <c r="E398" s="271"/>
    </row>
    <row r="399" spans="5:5" x14ac:dyDescent="0.2">
      <c r="E399" s="271"/>
    </row>
    <row r="400" spans="5:5" x14ac:dyDescent="0.2">
      <c r="E400" s="271"/>
    </row>
    <row r="401" spans="5:5" x14ac:dyDescent="0.2">
      <c r="E401" s="271"/>
    </row>
    <row r="402" spans="5:5" x14ac:dyDescent="0.2">
      <c r="E402" s="271"/>
    </row>
    <row r="403" spans="5:5" x14ac:dyDescent="0.2">
      <c r="E403" s="271"/>
    </row>
    <row r="404" spans="5:5" x14ac:dyDescent="0.2">
      <c r="E404" s="271"/>
    </row>
    <row r="405" spans="5:5" x14ac:dyDescent="0.2">
      <c r="E405" s="271"/>
    </row>
    <row r="406" spans="5:5" x14ac:dyDescent="0.2">
      <c r="E406" s="271"/>
    </row>
    <row r="407" spans="5:5" x14ac:dyDescent="0.2">
      <c r="E407" s="271"/>
    </row>
    <row r="408" spans="5:5" x14ac:dyDescent="0.2">
      <c r="E408" s="271"/>
    </row>
    <row r="409" spans="5:5" x14ac:dyDescent="0.2">
      <c r="E409" s="271"/>
    </row>
    <row r="410" spans="5:5" x14ac:dyDescent="0.2">
      <c r="E410" s="271"/>
    </row>
    <row r="411" spans="5:5" x14ac:dyDescent="0.2">
      <c r="E411" s="271"/>
    </row>
    <row r="412" spans="5:5" x14ac:dyDescent="0.2">
      <c r="E412" s="271"/>
    </row>
    <row r="413" spans="5:5" x14ac:dyDescent="0.2">
      <c r="E413" s="271"/>
    </row>
    <row r="414" spans="5:5" x14ac:dyDescent="0.2">
      <c r="E414" s="271"/>
    </row>
    <row r="415" spans="5:5" x14ac:dyDescent="0.2">
      <c r="E415" s="271"/>
    </row>
    <row r="416" spans="5:5" x14ac:dyDescent="0.2">
      <c r="E416" s="271"/>
    </row>
    <row r="417" spans="5:5" x14ac:dyDescent="0.2">
      <c r="E417" s="271"/>
    </row>
    <row r="418" spans="5:5" x14ac:dyDescent="0.2">
      <c r="E418" s="271"/>
    </row>
    <row r="419" spans="5:5" x14ac:dyDescent="0.2">
      <c r="E419" s="271"/>
    </row>
    <row r="420" spans="5:5" x14ac:dyDescent="0.2">
      <c r="E420" s="271"/>
    </row>
    <row r="421" spans="5:5" x14ac:dyDescent="0.2">
      <c r="E421" s="271"/>
    </row>
    <row r="422" spans="5:5" x14ac:dyDescent="0.2">
      <c r="E422" s="271"/>
    </row>
    <row r="423" spans="5:5" x14ac:dyDescent="0.2">
      <c r="E423" s="271"/>
    </row>
    <row r="424" spans="5:5" x14ac:dyDescent="0.2">
      <c r="E424" s="271"/>
    </row>
    <row r="425" spans="5:5" x14ac:dyDescent="0.2">
      <c r="E425" s="271"/>
    </row>
    <row r="426" spans="5:5" x14ac:dyDescent="0.2">
      <c r="E426" s="271"/>
    </row>
    <row r="427" spans="5:5" x14ac:dyDescent="0.2">
      <c r="E427" s="271"/>
    </row>
    <row r="428" spans="5:5" x14ac:dyDescent="0.2">
      <c r="E428" s="271"/>
    </row>
    <row r="429" spans="5:5" x14ac:dyDescent="0.2">
      <c r="E429" s="271"/>
    </row>
    <row r="430" spans="5:5" x14ac:dyDescent="0.2">
      <c r="E430" s="271"/>
    </row>
    <row r="431" spans="5:5" x14ac:dyDescent="0.2">
      <c r="E431" s="271"/>
    </row>
    <row r="432" spans="5:5" x14ac:dyDescent="0.2">
      <c r="E432" s="271"/>
    </row>
    <row r="433" spans="5:7" x14ac:dyDescent="0.2">
      <c r="E433" s="271"/>
    </row>
    <row r="434" spans="5:7" x14ac:dyDescent="0.2">
      <c r="E434" s="271"/>
    </row>
    <row r="435" spans="5:7" x14ac:dyDescent="0.2">
      <c r="E435" s="271"/>
    </row>
    <row r="436" spans="5:7" x14ac:dyDescent="0.2">
      <c r="E436" s="271"/>
    </row>
    <row r="437" spans="5:7" x14ac:dyDescent="0.2">
      <c r="E437" s="271"/>
    </row>
    <row r="438" spans="5:7" x14ac:dyDescent="0.2">
      <c r="E438" s="271"/>
    </row>
    <row r="439" spans="5:7" x14ac:dyDescent="0.2">
      <c r="E439" s="271"/>
    </row>
    <row r="440" spans="5:7" x14ac:dyDescent="0.2">
      <c r="E440" s="271"/>
    </row>
    <row r="441" spans="5:7" x14ac:dyDescent="0.2">
      <c r="E441" s="271"/>
    </row>
    <row r="442" spans="5:7" x14ac:dyDescent="0.2">
      <c r="E442" s="271"/>
    </row>
    <row r="443" spans="5:7" x14ac:dyDescent="0.2">
      <c r="E443" s="271"/>
    </row>
    <row r="444" spans="5:7" x14ac:dyDescent="0.2">
      <c r="E444" s="271"/>
    </row>
    <row r="445" spans="5:7" x14ac:dyDescent="0.2">
      <c r="E445" s="271"/>
    </row>
    <row r="446" spans="5:7" x14ac:dyDescent="0.2">
      <c r="E446" s="271"/>
      <c r="F446" s="271"/>
      <c r="G446" s="271"/>
    </row>
    <row r="447" spans="5:7" x14ac:dyDescent="0.2">
      <c r="E447" s="271"/>
      <c r="F447" s="271"/>
      <c r="G447" s="271"/>
    </row>
    <row r="448" spans="5:7" x14ac:dyDescent="0.2">
      <c r="E448" s="271"/>
      <c r="F448" s="271"/>
      <c r="G448" s="271"/>
    </row>
    <row r="449" spans="5:7" x14ac:dyDescent="0.2">
      <c r="E449" s="271"/>
      <c r="F449" s="271"/>
      <c r="G449" s="271"/>
    </row>
    <row r="450" spans="5:7" x14ac:dyDescent="0.2">
      <c r="E450" s="271"/>
      <c r="F450" s="271"/>
      <c r="G450" s="271"/>
    </row>
    <row r="451" spans="5:7" x14ac:dyDescent="0.2">
      <c r="E451" s="271"/>
      <c r="F451" s="271"/>
      <c r="G451" s="271"/>
    </row>
    <row r="452" spans="5:7" x14ac:dyDescent="0.2">
      <c r="E452" s="271"/>
      <c r="F452" s="271"/>
      <c r="G452" s="271"/>
    </row>
    <row r="453" spans="5:7" x14ac:dyDescent="0.2">
      <c r="E453" s="271"/>
      <c r="F453" s="271"/>
      <c r="G453" s="271"/>
    </row>
    <row r="454" spans="5:7" x14ac:dyDescent="0.2">
      <c r="E454" s="271"/>
      <c r="F454" s="271"/>
      <c r="G454" s="271"/>
    </row>
  </sheetData>
  <pageMargins left="0.28000000000000003" right="0.28000000000000003" top="0.52" bottom="0.5" header="0.5" footer="0.5"/>
  <pageSetup scale="52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B4" sqref="B4:S52"/>
    </sheetView>
  </sheetViews>
  <sheetFormatPr defaultRowHeight="12.75" x14ac:dyDescent="0.2"/>
  <cols>
    <col min="1" max="1" width="4" customWidth="1"/>
    <col min="2" max="2" width="12.28515625" customWidth="1"/>
    <col min="3" max="3" width="11.5703125" customWidth="1"/>
    <col min="4" max="6" width="12.28515625" customWidth="1"/>
    <col min="7" max="9" width="0" hidden="1" customWidth="1"/>
    <col min="11" max="14" width="10.28515625" customWidth="1"/>
    <col min="16" max="18" width="13.140625" customWidth="1"/>
    <col min="19" max="19" width="11.7109375" bestFit="1" customWidth="1"/>
  </cols>
  <sheetData>
    <row r="2" spans="2:20" ht="20.25" x14ac:dyDescent="0.2">
      <c r="B2" s="120" t="s">
        <v>164</v>
      </c>
    </row>
    <row r="5" spans="2:20" ht="15.75" x14ac:dyDescent="0.25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5" thickBot="1" x14ac:dyDescent="0.25">
      <c r="S6" s="198">
        <f ca="1">+IRR(S8:S38)</f>
        <v>0.12004542415174704</v>
      </c>
    </row>
    <row r="7" spans="2:20" ht="13.5" thickBot="1" x14ac:dyDescent="0.25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5" thickBot="1" x14ac:dyDescent="0.25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-72062.171616582244</v>
      </c>
    </row>
    <row r="9" spans="2:20" x14ac:dyDescent="0.2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480.41447744388165</v>
      </c>
      <c r="M9" s="133">
        <f ca="1">IF(SUMMARY!$D$21*12&gt;=K9,-PPMT(SUMMARY!$D$22/12,K9,SUMMARY!$D$21*12,SUMMARY!$D$20),0)</f>
        <v>122.34240054404847</v>
      </c>
      <c r="N9" s="160">
        <f t="shared" ref="N9:N72" ca="1" si="0">+M9+L9</f>
        <v>602.75687798793012</v>
      </c>
      <c r="P9" s="159">
        <v>1</v>
      </c>
      <c r="Q9" s="194">
        <f ca="1">IF(SUMMARY!$D$21&gt;=K9,(SUMMARY!$D$24+SUMMARY!$I$17)*12*SUMMARY!$D$6,0)</f>
        <v>11756.107472759213</v>
      </c>
      <c r="R9" s="194">
        <f>IF(SUMMARY!$D$21&gt;=K9,SUMMARY!$D$28*12*SUMMARY!$D$6,0)+IF(P9=SUMMARY!$D$21,SUMMARY!$D$29*SUMMARY!$D$15,0)</f>
        <v>20906.645759999996</v>
      </c>
      <c r="S9" s="195">
        <f t="shared" ref="S9:S38" ca="1" si="1">+R9-Q9</f>
        <v>9150.5382872407827</v>
      </c>
    </row>
    <row r="10" spans="2:20" x14ac:dyDescent="0.2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479.59886144025467</v>
      </c>
      <c r="M10" s="133">
        <f ca="1">IF(SUMMARY!$D$21*12&gt;=K10,-PPMT(SUMMARY!$D$22/12,K10,SUMMARY!$D$21*12,SUMMARY!$D$20),0)</f>
        <v>123.15801654767546</v>
      </c>
      <c r="N10" s="160">
        <f t="shared" ca="1" si="0"/>
        <v>602.75687798793012</v>
      </c>
      <c r="P10" s="159">
        <v>2</v>
      </c>
      <c r="Q10" s="194">
        <f ca="1">IF(SUMMARY!$D$21&gt;=K10,(SUMMARY!$D$24+SUMMARY!$I$17)*12*SUMMARY!$D$6,0)</f>
        <v>11756.107472759213</v>
      </c>
      <c r="R10" s="194">
        <f>IF(SUMMARY!$D$21&gt;=K10,SUMMARY!$D$28*12*SUMMARY!$D$6,0)+IF(P10=SUMMARY!$D$21,SUMMARY!$D$29*SUMMARY!$D$15,0)</f>
        <v>20906.645759999996</v>
      </c>
      <c r="S10" s="195">
        <f t="shared" ca="1" si="1"/>
        <v>9150.5382872407827</v>
      </c>
    </row>
    <row r="11" spans="2:20" ht="13.5" thickBot="1" x14ac:dyDescent="0.25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478.77780799660349</v>
      </c>
      <c r="M11" s="133">
        <f ca="1">IF(SUMMARY!$D$21*12&gt;=K11,-PPMT(SUMMARY!$D$22/12,K11,SUMMARY!$D$21*12,SUMMARY!$D$20),0)</f>
        <v>123.97906999132664</v>
      </c>
      <c r="N11" s="160">
        <f t="shared" ca="1" si="0"/>
        <v>602.75687798793012</v>
      </c>
      <c r="P11" s="159">
        <v>3</v>
      </c>
      <c r="Q11" s="194">
        <f ca="1">IF(SUMMARY!$D$21&gt;=K11,(SUMMARY!$D$24+SUMMARY!$I$17)*12*SUMMARY!$D$6,0)</f>
        <v>11756.107472759213</v>
      </c>
      <c r="R11" s="194">
        <f>IF(SUMMARY!$D$21&gt;=K11,SUMMARY!$D$28*12*SUMMARY!$D$6,0)+IF(P11=SUMMARY!$D$21,SUMMARY!$D$29*SUMMARY!$D$15,0)</f>
        <v>20906.645759999996</v>
      </c>
      <c r="S11" s="195">
        <f t="shared" ca="1" si="1"/>
        <v>9150.5382872407827</v>
      </c>
      <c r="T11" s="152"/>
    </row>
    <row r="12" spans="2:20" x14ac:dyDescent="0.2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477.95128086332795</v>
      </c>
      <c r="M12" s="133">
        <f ca="1">IF(SUMMARY!$D$21*12&gt;=K12,-PPMT(SUMMARY!$D$22/12,K12,SUMMARY!$D$21*12,SUMMARY!$D$20),0)</f>
        <v>124.80559712460217</v>
      </c>
      <c r="N12" s="160">
        <f t="shared" ca="1" si="0"/>
        <v>602.75687798793012</v>
      </c>
      <c r="P12" s="159">
        <v>4</v>
      </c>
      <c r="Q12" s="194">
        <f ca="1">IF(SUMMARY!$D$21&gt;=K12,(SUMMARY!$D$24+SUMMARY!$I$17)*12*SUMMARY!$D$6,0)</f>
        <v>11756.107472759213</v>
      </c>
      <c r="R12" s="194">
        <f>IF(SUMMARY!$D$21&gt;=K12,SUMMARY!$D$28*12*SUMMARY!$D$6,0)+IF(P12=SUMMARY!$D$21,SUMMARY!$D$29*SUMMARY!$D$15,0)</f>
        <v>20906.645759999996</v>
      </c>
      <c r="S12" s="195">
        <f t="shared" ca="1" si="1"/>
        <v>9150.5382872407827</v>
      </c>
    </row>
    <row r="13" spans="2:20" x14ac:dyDescent="0.2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85.966621861173635</v>
      </c>
      <c r="E13" s="181">
        <f ca="1">+D13+$F$7</f>
        <v>109.72478000587307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477.11924354916391</v>
      </c>
      <c r="M13" s="133">
        <f ca="1">IF(SUMMARY!$D$21*12&gt;=K13,-PPMT(SUMMARY!$D$22/12,K13,SUMMARY!$D$21*12,SUMMARY!$D$20),0)</f>
        <v>125.63763443876621</v>
      </c>
      <c r="N13" s="160">
        <f t="shared" ca="1" si="0"/>
        <v>602.75687798793012</v>
      </c>
      <c r="P13" s="159">
        <v>5</v>
      </c>
      <c r="Q13" s="194">
        <f ca="1">IF(SUMMARY!$D$21&gt;=K13,(SUMMARY!$D$24+SUMMARY!$I$17)*12*SUMMARY!$D$6,0)</f>
        <v>11756.107472759213</v>
      </c>
      <c r="R13" s="194">
        <f>IF(SUMMARY!$D$21&gt;=K13,SUMMARY!$D$28*12*SUMMARY!$D$6,0)+IF(P13=SUMMARY!$D$21,SUMMARY!$D$29*SUMMARY!$D$15,0)</f>
        <v>20906.645759999996</v>
      </c>
      <c r="S13" s="195">
        <f t="shared" ca="1" si="1"/>
        <v>9150.5382872407827</v>
      </c>
      <c r="T13" s="179"/>
    </row>
    <row r="14" spans="2:20" x14ac:dyDescent="0.2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71.638851550978018</v>
      </c>
      <c r="E14" s="181">
        <f t="shared" ref="E14:E28" ca="1" si="2">+D14+$F$7</f>
        <v>95.397009695677454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476.28165931957221</v>
      </c>
      <c r="M14" s="133">
        <f ca="1">IF(SUMMARY!$D$21*12&gt;=K14,-PPMT(SUMMARY!$D$22/12,K14,SUMMARY!$D$21*12,SUMMARY!$D$20),0)</f>
        <v>126.47521866835791</v>
      </c>
      <c r="N14" s="160">
        <f t="shared" ca="1" si="0"/>
        <v>602.75687798793012</v>
      </c>
      <c r="P14" s="159">
        <v>6</v>
      </c>
      <c r="Q14" s="194">
        <f ca="1">IF(SUMMARY!$D$21&gt;=K14,(SUMMARY!$D$24+SUMMARY!$I$17)*12*SUMMARY!$D$6,0)</f>
        <v>11756.107472759213</v>
      </c>
      <c r="R14" s="194">
        <f>IF(SUMMARY!$D$21&gt;=K14,SUMMARY!$D$28*12*SUMMARY!$D$6,0)+IF(P14=SUMMARY!$D$21,SUMMARY!$D$29*SUMMARY!$D$15,0)</f>
        <v>20906.645759999996</v>
      </c>
      <c r="S14" s="195">
        <f t="shared" ca="1" si="1"/>
        <v>9150.5382872407827</v>
      </c>
      <c r="T14" s="179"/>
    </row>
    <row r="15" spans="2:20" x14ac:dyDescent="0.2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61.404729900838312</v>
      </c>
      <c r="E15" s="181">
        <f t="shared" ca="1" si="2"/>
        <v>85.162888045537755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475.43849119511651</v>
      </c>
      <c r="M15" s="133">
        <f ca="1">IF(SUMMARY!$D$21*12&gt;=K15,-PPMT(SUMMARY!$D$22/12,K15,SUMMARY!$D$21*12,SUMMARY!$D$20),0)</f>
        <v>127.31838679281361</v>
      </c>
      <c r="N15" s="160">
        <f t="shared" ca="1" si="0"/>
        <v>602.75687798793012</v>
      </c>
      <c r="P15" s="159">
        <v>7</v>
      </c>
      <c r="Q15" s="194">
        <f ca="1">IF(SUMMARY!$D$21&gt;=K15,(SUMMARY!$D$24+SUMMARY!$I$17)*12*SUMMARY!$D$6,0)</f>
        <v>11756.107472759213</v>
      </c>
      <c r="R15" s="194">
        <f>IF(SUMMARY!$D$21&gt;=K15,SUMMARY!$D$28*12*SUMMARY!$D$6,0)+IF(P15=SUMMARY!$D$21,SUMMARY!$D$29*SUMMARY!$D$15,0)</f>
        <v>20906.645759999996</v>
      </c>
      <c r="S15" s="195">
        <f t="shared" ca="1" si="1"/>
        <v>9150.5382872407827</v>
      </c>
      <c r="T15" s="179"/>
    </row>
    <row r="16" spans="2:20" x14ac:dyDescent="0.2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53.72913866323352</v>
      </c>
      <c r="E16" s="181">
        <f t="shared" ca="1" si="2"/>
        <v>77.487296807932964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474.58970194983112</v>
      </c>
      <c r="M16" s="133">
        <f ca="1">IF(SUMMARY!$D$21*12&gt;=K16,-PPMT(SUMMARY!$D$22/12,K16,SUMMARY!$D$21*12,SUMMARY!$D$20),0)</f>
        <v>128.167176038099</v>
      </c>
      <c r="N16" s="160">
        <f t="shared" ca="1" si="0"/>
        <v>602.75687798793012</v>
      </c>
      <c r="P16" s="159">
        <v>8</v>
      </c>
      <c r="Q16" s="194">
        <f ca="1">IF(SUMMARY!$D$21&gt;=K16,(SUMMARY!$D$24+SUMMARY!$I$17)*12*SUMMARY!$D$6,0)</f>
        <v>11756.107472759213</v>
      </c>
      <c r="R16" s="194">
        <f>IF(SUMMARY!$D$21&gt;=K16,SUMMARY!$D$28*12*SUMMARY!$D$6,0)+IF(P16=SUMMARY!$D$21,SUMMARY!$D$29*SUMMARY!$D$15,0)</f>
        <v>20906.645759999996</v>
      </c>
      <c r="S16" s="195">
        <f t="shared" ca="1" si="1"/>
        <v>9150.5382872407827</v>
      </c>
      <c r="T16" s="179"/>
    </row>
    <row r="17" spans="2:20" x14ac:dyDescent="0.2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47.759234367318683</v>
      </c>
      <c r="E17" s="181">
        <f t="shared" ca="1" si="2"/>
        <v>71.51739251201812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473.73525410957717</v>
      </c>
      <c r="M17" s="133">
        <f ca="1">IF(SUMMARY!$D$21*12&gt;=K17,-PPMT(SUMMARY!$D$22/12,K17,SUMMARY!$D$21*12,SUMMARY!$D$20),0)</f>
        <v>129.02162387835295</v>
      </c>
      <c r="N17" s="160">
        <f t="shared" ca="1" si="0"/>
        <v>602.75687798793012</v>
      </c>
      <c r="P17" s="159">
        <v>9</v>
      </c>
      <c r="Q17" s="194">
        <f ca="1">IF(SUMMARY!$D$21&gt;=K17,(SUMMARY!$D$24+SUMMARY!$I$17)*12*SUMMARY!$D$6,0)</f>
        <v>11756.107472759213</v>
      </c>
      <c r="R17" s="194">
        <f>IF(SUMMARY!$D$21&gt;=K17,SUMMARY!$D$28*12*SUMMARY!$D$6,0)+IF(P17=SUMMARY!$D$21,SUMMARY!$D$29*SUMMARY!$D$15,0)</f>
        <v>20906.645759999996</v>
      </c>
      <c r="S17" s="195">
        <f t="shared" ca="1" si="1"/>
        <v>9150.5382872407827</v>
      </c>
      <c r="T17" s="179"/>
    </row>
    <row r="18" spans="2:20" x14ac:dyDescent="0.2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42.983310930586818</v>
      </c>
      <c r="E18" s="181">
        <f t="shared" ca="1" si="2"/>
        <v>66.741469075286261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472.87510995038809</v>
      </c>
      <c r="M18" s="133">
        <f ca="1">IF(SUMMARY!$D$21*12&gt;=K18,-PPMT(SUMMARY!$D$22/12,K18,SUMMARY!$D$21*12,SUMMARY!$D$20),0)</f>
        <v>129.88176803754203</v>
      </c>
      <c r="N18" s="160">
        <f t="shared" ca="1" si="0"/>
        <v>602.75687798793012</v>
      </c>
      <c r="P18" s="159">
        <v>10</v>
      </c>
      <c r="Q18" s="194">
        <f ca="1">IF(SUMMARY!$D$21&gt;=K18,(SUMMARY!$D$24+SUMMARY!$I$17)*12*SUMMARY!$D$6,0)</f>
        <v>11756.107472759213</v>
      </c>
      <c r="R18" s="194">
        <f>IF(SUMMARY!$D$21&gt;=K18,SUMMARY!$D$28*12*SUMMARY!$D$6,0)+IF(P18=SUMMARY!$D$21,SUMMARY!$D$29*SUMMARY!$D$15,0)</f>
        <v>20906.645759999996</v>
      </c>
      <c r="S18" s="195">
        <f t="shared" ca="1" si="1"/>
        <v>9150.5382872407827</v>
      </c>
      <c r="T18" s="179"/>
    </row>
    <row r="19" spans="2:20" x14ac:dyDescent="0.2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39.075737209624371</v>
      </c>
      <c r="E19" s="181">
        <f t="shared" ca="1" si="2"/>
        <v>62.833895354323815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472.00923149680449</v>
      </c>
      <c r="M19" s="133">
        <f ca="1">IF(SUMMARY!$D$21*12&gt;=K19,-PPMT(SUMMARY!$D$22/12,K19,SUMMARY!$D$21*12,SUMMARY!$D$20),0)</f>
        <v>130.74764649112564</v>
      </c>
      <c r="N19" s="160">
        <f t="shared" ca="1" si="0"/>
        <v>602.75687798793012</v>
      </c>
      <c r="P19" s="159">
        <v>11</v>
      </c>
      <c r="Q19" s="194">
        <f ca="1">IF(SUMMARY!$D$21&gt;=K19,(SUMMARY!$D$24+SUMMARY!$I$17)*12*SUMMARY!$D$6,0)</f>
        <v>11756.107472759213</v>
      </c>
      <c r="R19" s="194">
        <f>IF(SUMMARY!$D$21&gt;=K19,SUMMARY!$D$28*12*SUMMARY!$D$6,0)+IF(P19=SUMMARY!$D$21,SUMMARY!$D$29*SUMMARY!$D$15,0)</f>
        <v>20906.645759999996</v>
      </c>
      <c r="S19" s="195">
        <f t="shared" ca="1" si="1"/>
        <v>9150.5382872407827</v>
      </c>
      <c r="T19" s="179"/>
    </row>
    <row r="20" spans="2:20" x14ac:dyDescent="0.2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35.819425775489009</v>
      </c>
      <c r="E20" s="181">
        <f t="shared" ca="1" si="2"/>
        <v>59.577583920188445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471.13758052019699</v>
      </c>
      <c r="M20" s="133">
        <f ca="1">IF(SUMMARY!$D$21*12&gt;=K20,-PPMT(SUMMARY!$D$22/12,K20,SUMMARY!$D$21*12,SUMMARY!$D$20),0)</f>
        <v>131.61929746773313</v>
      </c>
      <c r="N20" s="160">
        <f t="shared" ca="1" si="0"/>
        <v>602.75687798793012</v>
      </c>
      <c r="P20" s="159">
        <v>12</v>
      </c>
      <c r="Q20" s="194">
        <f ca="1">IF(SUMMARY!$D$21&gt;=K20,(SUMMARY!$D$24+SUMMARY!$I$17)*12*SUMMARY!$D$6,0)</f>
        <v>11756.107472759213</v>
      </c>
      <c r="R20" s="194">
        <f>IF(SUMMARY!$D$21&gt;=K20,SUMMARY!$D$28*12*SUMMARY!$D$6,0)+IF(P20=SUMMARY!$D$21,SUMMARY!$D$29*SUMMARY!$D$15,0)</f>
        <v>20906.645759999996</v>
      </c>
      <c r="S20" s="195">
        <f t="shared" ca="1" si="1"/>
        <v>9150.5382872407827</v>
      </c>
      <c r="T20" s="179"/>
    </row>
    <row r="21" spans="2:20" x14ac:dyDescent="0.2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33.064085331220625</v>
      </c>
      <c r="E21" s="181">
        <f t="shared" ca="1" si="2"/>
        <v>56.822243475920061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470.26011853707882</v>
      </c>
      <c r="M21" s="133">
        <f ca="1">IF(SUMMARY!$D$21*12&gt;=K21,-PPMT(SUMMARY!$D$22/12,K21,SUMMARY!$D$21*12,SUMMARY!$D$20),0)</f>
        <v>132.4967594508513</v>
      </c>
      <c r="N21" s="160">
        <f t="shared" ca="1" si="0"/>
        <v>602.75687798793012</v>
      </c>
      <c r="P21" s="159">
        <v>13</v>
      </c>
      <c r="Q21" s="194">
        <f ca="1">IF(SUMMARY!$D$21&gt;=K21,(SUMMARY!$D$24+SUMMARY!$I$17)*12*SUMMARY!$D$6,0)</f>
        <v>11756.107472759213</v>
      </c>
      <c r="R21" s="194">
        <f>IF(SUMMARY!$D$21&gt;=K21,SUMMARY!$D$28*12*SUMMARY!$D$6,0)+IF(P21=SUMMARY!$D$21,SUMMARY!$D$29*SUMMARY!$D$15,0)</f>
        <v>20906.645759999996</v>
      </c>
      <c r="S21" s="195">
        <f t="shared" ca="1" si="1"/>
        <v>9150.5382872407827</v>
      </c>
      <c r="T21" s="179"/>
    </row>
    <row r="22" spans="2:20" x14ac:dyDescent="0.2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30.702364950419156</v>
      </c>
      <c r="E22" s="181">
        <f t="shared" ca="1" si="2"/>
        <v>54.460523095118596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469.37680680740647</v>
      </c>
      <c r="M22" s="133">
        <f ca="1">IF(SUMMARY!$D$21*12&gt;=K22,-PPMT(SUMMARY!$D$22/12,K22,SUMMARY!$D$21*12,SUMMARY!$D$20),0)</f>
        <v>133.38007118052366</v>
      </c>
      <c r="N22" s="160">
        <f t="shared" ca="1" si="0"/>
        <v>602.75687798793012</v>
      </c>
      <c r="P22" s="159">
        <v>14</v>
      </c>
      <c r="Q22" s="194">
        <f ca="1">IF(SUMMARY!$D$21&gt;=K22,(SUMMARY!$D$24+SUMMARY!$I$17)*12*SUMMARY!$D$6,0)</f>
        <v>11756.107472759213</v>
      </c>
      <c r="R22" s="194">
        <f>IF(SUMMARY!$D$21&gt;=K22,SUMMARY!$D$28*12*SUMMARY!$D$6,0)+IF(P22=SUMMARY!$D$21,SUMMARY!$D$29*SUMMARY!$D$15,0)</f>
        <v>20906.645759999996</v>
      </c>
      <c r="S22" s="195">
        <f t="shared" ca="1" si="1"/>
        <v>9150.5382872407827</v>
      </c>
      <c r="T22" s="179"/>
    </row>
    <row r="23" spans="2:20" x14ac:dyDescent="0.2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28.655540620391211</v>
      </c>
      <c r="E23" s="181">
        <f t="shared" ca="1" si="2"/>
        <v>52.413698765090651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468.48760633286963</v>
      </c>
      <c r="M23" s="133">
        <f ca="1">IF(SUMMARY!$D$21*12&gt;=K23,-PPMT(SUMMARY!$D$22/12,K23,SUMMARY!$D$21*12,SUMMARY!$D$20),0)</f>
        <v>134.26927165506049</v>
      </c>
      <c r="N23" s="160">
        <f t="shared" ca="1" si="0"/>
        <v>602.75687798793012</v>
      </c>
      <c r="P23" s="159">
        <v>15</v>
      </c>
      <c r="Q23" s="194">
        <f ca="1">IF(SUMMARY!$D$21&gt;=K23,(SUMMARY!$D$24+SUMMARY!$I$17)*12*SUMMARY!$D$6,0)</f>
        <v>11756.107472759213</v>
      </c>
      <c r="R23" s="194">
        <f>IF(SUMMARY!$D$21&gt;=K23,SUMMARY!$D$28*12*SUMMARY!$D$6,0)+IF(P23=SUMMARY!$D$21,SUMMARY!$D$29*SUMMARY!$D$15,0)</f>
        <v>20906.645759999996</v>
      </c>
      <c r="S23" s="195">
        <f t="shared" ca="1" si="1"/>
        <v>9150.5382872407827</v>
      </c>
      <c r="T23" s="179"/>
    </row>
    <row r="24" spans="2:20" x14ac:dyDescent="0.2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21.491655465293409</v>
      </c>
      <c r="E24" s="181">
        <f t="shared" ca="1" si="2"/>
        <v>45.249813609992849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467.59247785516919</v>
      </c>
      <c r="M24" s="133">
        <f ca="1">IF(SUMMARY!$D$21*12&gt;=K24,-PPMT(SUMMARY!$D$22/12,K24,SUMMARY!$D$21*12,SUMMARY!$D$20),0)</f>
        <v>135.16440013276093</v>
      </c>
      <c r="N24" s="160">
        <f t="shared" ca="1" si="0"/>
        <v>602.75687798793012</v>
      </c>
      <c r="P24" s="159">
        <v>16</v>
      </c>
      <c r="Q24" s="194">
        <f ca="1">IF(SUMMARY!$D$21&gt;=K24,(SUMMARY!$D$24+SUMMARY!$I$17)*12*SUMMARY!$D$6,0)</f>
        <v>11756.107472759213</v>
      </c>
      <c r="R24" s="194">
        <f>IF(SUMMARY!$D$21&gt;=K24,SUMMARY!$D$28*12*SUMMARY!$D$6,0)+IF(P24=SUMMARY!$D$21,SUMMARY!$D$29*SUMMARY!$D$15,0)</f>
        <v>20906.645759999996</v>
      </c>
      <c r="S24" s="195">
        <f t="shared" ca="1" si="1"/>
        <v>9150.5382872407827</v>
      </c>
      <c r="T24" s="179"/>
    </row>
    <row r="25" spans="2:20" x14ac:dyDescent="0.2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17.193324372234724</v>
      </c>
      <c r="E25" s="181">
        <f t="shared" ca="1" si="2"/>
        <v>40.951482516934163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466.6913818542842</v>
      </c>
      <c r="M25" s="133">
        <f ca="1">IF(SUMMARY!$D$21*12&gt;=K25,-PPMT(SUMMARY!$D$22/12,K25,SUMMARY!$D$21*12,SUMMARY!$D$20),0)</f>
        <v>136.06549613364592</v>
      </c>
      <c r="N25" s="160">
        <f t="shared" ca="1" si="0"/>
        <v>602.75687798793012</v>
      </c>
      <c r="P25" s="159">
        <v>17</v>
      </c>
      <c r="Q25" s="194">
        <f ca="1">IF(SUMMARY!$D$21&gt;=K25,(SUMMARY!$D$24+SUMMARY!$I$17)*12*SUMMARY!$D$6,0)</f>
        <v>11756.107472759213</v>
      </c>
      <c r="R25" s="194">
        <f>IF(SUMMARY!$D$21&gt;=K25,SUMMARY!$D$28*12*SUMMARY!$D$6,0)+IF(P25=SUMMARY!$D$21,SUMMARY!$D$29*SUMMARY!$D$15,0)</f>
        <v>20906.645759999996</v>
      </c>
      <c r="S25" s="195">
        <f t="shared" ca="1" si="1"/>
        <v>9150.5382872407827</v>
      </c>
      <c r="T25" s="179"/>
    </row>
    <row r="26" spans="2:20" x14ac:dyDescent="0.2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14.327770310195605</v>
      </c>
      <c r="E26" s="181">
        <f t="shared" ca="1" si="2"/>
        <v>38.085928454895047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465.78427854672657</v>
      </c>
      <c r="M26" s="133">
        <f ca="1">IF(SUMMARY!$D$21*12&gt;=K26,-PPMT(SUMMARY!$D$22/12,K26,SUMMARY!$D$21*12,SUMMARY!$D$20),0)</f>
        <v>136.97259944120356</v>
      </c>
      <c r="N26" s="160">
        <f t="shared" ca="1" si="0"/>
        <v>602.75687798793012</v>
      </c>
      <c r="P26" s="159">
        <v>18</v>
      </c>
      <c r="Q26" s="194">
        <f ca="1">IF(SUMMARY!$D$21&gt;=K26,(SUMMARY!$D$24+SUMMARY!$I$17)*12*SUMMARY!$D$6,0)</f>
        <v>11756.107472759213</v>
      </c>
      <c r="R26" s="194">
        <f>IF(SUMMARY!$D$21&gt;=K26,SUMMARY!$D$28*12*SUMMARY!$D$6,0)+IF(P26=SUMMARY!$D$21,SUMMARY!$D$29*SUMMARY!$D$15,0)</f>
        <v>20906.645759999996</v>
      </c>
      <c r="S26" s="195">
        <f t="shared" ca="1" si="1"/>
        <v>9150.5382872407827</v>
      </c>
      <c r="T26" s="179"/>
    </row>
    <row r="27" spans="2:20" x14ac:dyDescent="0.2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12.280945980167662</v>
      </c>
      <c r="E27" s="181">
        <f t="shared" ca="1" si="2"/>
        <v>36.039104124867102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464.87112788378516</v>
      </c>
      <c r="M27" s="133">
        <f ca="1">IF(SUMMARY!$D$21*12&gt;=K27,-PPMT(SUMMARY!$D$22/12,K27,SUMMARY!$D$21*12,SUMMARY!$D$20),0)</f>
        <v>137.88575010414496</v>
      </c>
      <c r="N27" s="160">
        <f t="shared" ca="1" si="0"/>
        <v>602.75687798793012</v>
      </c>
      <c r="P27" s="159">
        <v>19</v>
      </c>
      <c r="Q27" s="194">
        <f ca="1">IF(SUMMARY!$D$21&gt;=K27,(SUMMARY!$D$24+SUMMARY!$I$17)*12*SUMMARY!$D$6,0)</f>
        <v>11756.107472759213</v>
      </c>
      <c r="R27" s="194">
        <f>IF(SUMMARY!$D$21&gt;=K27,SUMMARY!$D$28*12*SUMMARY!$D$6,0)+IF(P27=SUMMARY!$D$21,SUMMARY!$D$29*SUMMARY!$D$15,0)</f>
        <v>20906.645759999996</v>
      </c>
      <c r="S27" s="195">
        <f t="shared" ca="1" si="1"/>
        <v>9150.5382872407827</v>
      </c>
      <c r="T27" s="179"/>
    </row>
    <row r="28" spans="2:20" ht="13.5" thickBot="1" x14ac:dyDescent="0.25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10.745827732646704</v>
      </c>
      <c r="E28" s="158">
        <f t="shared" ca="1" si="2"/>
        <v>34.503985877346146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463.95188954975748</v>
      </c>
      <c r="M28" s="133">
        <f ca="1">IF(SUMMARY!$D$21*12&gt;=K28,-PPMT(SUMMARY!$D$22/12,K28,SUMMARY!$D$21*12,SUMMARY!$D$20),0)</f>
        <v>138.80498843817264</v>
      </c>
      <c r="N28" s="160">
        <f t="shared" ca="1" si="0"/>
        <v>602.75687798793012</v>
      </c>
      <c r="P28" s="159">
        <v>20</v>
      </c>
      <c r="Q28" s="194">
        <f ca="1">IF(SUMMARY!$D$21&gt;=K28,(SUMMARY!$D$24+SUMMARY!$I$17)*12*SUMMARY!$D$6,0)</f>
        <v>11756.107472759213</v>
      </c>
      <c r="R28" s="194">
        <f ca="1">IF(SUMMARY!$D$21&gt;=K28,SUMMARY!$D$28*12*SUMMARY!$D$6,0)+IF(P28=SUMMARY!$D$21,SUMMARY!$D$29*SUMMARY!$D$15,0)</f>
        <v>56937.731568291114</v>
      </c>
      <c r="S28" s="195">
        <f t="shared" ca="1" si="1"/>
        <v>45181.624095531901</v>
      </c>
      <c r="T28" s="179"/>
    </row>
    <row r="29" spans="2:20" x14ac:dyDescent="0.2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463.02652296016976</v>
      </c>
      <c r="M29" s="133">
        <f ca="1">IF(SUMMARY!$D$21*12&gt;=K29,-PPMT(SUMMARY!$D$22/12,K29,SUMMARY!$D$21*12,SUMMARY!$D$20),0)</f>
        <v>139.73035502776037</v>
      </c>
      <c r="N29" s="160">
        <f t="shared" ca="1" si="0"/>
        <v>602.75687798793012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462.09498725998469</v>
      </c>
      <c r="M30" s="133">
        <f ca="1">IF(SUMMARY!$D$21*12&gt;=K30,-PPMT(SUMMARY!$D$22/12,K30,SUMMARY!$D$21*12,SUMMARY!$D$20),0)</f>
        <v>140.66189072794543</v>
      </c>
      <c r="N30" s="160">
        <f t="shared" ca="1" si="0"/>
        <v>602.75687798793012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461.15724132179838</v>
      </c>
      <c r="M31" s="133">
        <f ca="1">IF(SUMMARY!$D$21*12&gt;=K31,-PPMT(SUMMARY!$D$22/12,K31,SUMMARY!$D$21*12,SUMMARY!$D$20),0)</f>
        <v>141.59963666613174</v>
      </c>
      <c r="N31" s="160">
        <f t="shared" ca="1" si="0"/>
        <v>602.75687798793012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460.21324374402423</v>
      </c>
      <c r="M32" s="133">
        <f ca="1">IF(SUMMARY!$D$21*12&gt;=K32,-PPMT(SUMMARY!$D$22/12,K32,SUMMARY!$D$21*12,SUMMARY!$D$20),0)</f>
        <v>142.5436342439059</v>
      </c>
      <c r="N32" s="160">
        <f t="shared" ca="1" si="0"/>
        <v>602.75687798793012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459.26295284906485</v>
      </c>
      <c r="M33" s="133">
        <f ca="1">IF(SUMMARY!$D$21*12&gt;=K33,-PPMT(SUMMARY!$D$22/12,K33,SUMMARY!$D$21*12,SUMMARY!$D$20),0)</f>
        <v>143.49392513886528</v>
      </c>
      <c r="N33" s="160">
        <f t="shared" ca="1" si="0"/>
        <v>602.75687798793012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458.30632668147234</v>
      </c>
      <c r="M34" s="133">
        <f ca="1">IF(SUMMARY!$D$21*12&gt;=K34,-PPMT(SUMMARY!$D$22/12,K34,SUMMARY!$D$21*12,SUMMARY!$D$20),0)</f>
        <v>144.45055130645778</v>
      </c>
      <c r="N34" s="160">
        <f t="shared" ca="1" si="0"/>
        <v>602.75687798793012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457.343323006096</v>
      </c>
      <c r="M35" s="133">
        <f ca="1">IF(SUMMARY!$D$21*12&gt;=K35,-PPMT(SUMMARY!$D$22/12,K35,SUMMARY!$D$21*12,SUMMARY!$D$20),0)</f>
        <v>145.41355498183412</v>
      </c>
      <c r="N35" s="160">
        <f t="shared" ca="1" si="0"/>
        <v>602.75687798793012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456.37389930621714</v>
      </c>
      <c r="M36" s="133">
        <f ca="1">IF(SUMMARY!$D$21*12&gt;=K36,-PPMT(SUMMARY!$D$22/12,K36,SUMMARY!$D$21*12,SUMMARY!$D$20),0)</f>
        <v>146.38297868171298</v>
      </c>
      <c r="N36" s="160">
        <f t="shared" ca="1" si="0"/>
        <v>602.75687798793012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455.39801278167243</v>
      </c>
      <c r="M37" s="133">
        <f ca="1">IF(SUMMARY!$D$21*12&gt;=K37,-PPMT(SUMMARY!$D$22/12,K37,SUMMARY!$D$21*12,SUMMARY!$D$20),0)</f>
        <v>147.35886520625769</v>
      </c>
      <c r="N37" s="160">
        <f t="shared" ca="1" si="0"/>
        <v>602.75687798793012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5" thickBot="1" x14ac:dyDescent="0.25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454.41562034696403</v>
      </c>
      <c r="M38" s="133">
        <f ca="1">IF(SUMMARY!$D$21*12&gt;=K38,-PPMT(SUMMARY!$D$22/12,K38,SUMMARY!$D$21*12,SUMMARY!$D$20),0)</f>
        <v>148.34125764096609</v>
      </c>
      <c r="N38" s="160">
        <f t="shared" ca="1" si="0"/>
        <v>602.75687798793012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453.42667862935753</v>
      </c>
      <c r="M39" s="133">
        <f ca="1">IF(SUMMARY!$D$21*12&gt;=K39,-PPMT(SUMMARY!$D$22/12,K39,SUMMARY!$D$21*12,SUMMARY!$D$20),0)</f>
        <v>149.3301993585726</v>
      </c>
      <c r="N39" s="160">
        <f t="shared" ca="1" si="0"/>
        <v>602.75687798793012</v>
      </c>
      <c r="P39" s="199"/>
      <c r="Q39" s="200"/>
      <c r="R39" s="200"/>
      <c r="S39" s="200"/>
      <c r="T39" s="179"/>
    </row>
    <row r="40" spans="2:20" x14ac:dyDescent="0.2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452.43114396696717</v>
      </c>
      <c r="M40" s="133">
        <f ca="1">IF(SUMMARY!$D$21*12&gt;=K40,-PPMT(SUMMARY!$D$22/12,K40,SUMMARY!$D$21*12,SUMMARY!$D$20),0)</f>
        <v>150.32573402096295</v>
      </c>
      <c r="N40" s="160">
        <f t="shared" ca="1" si="0"/>
        <v>602.75687798793012</v>
      </c>
      <c r="P40" s="199"/>
      <c r="Q40" s="200"/>
      <c r="R40" s="200"/>
      <c r="S40" s="200"/>
      <c r="T40" s="179"/>
    </row>
    <row r="41" spans="2:20" x14ac:dyDescent="0.2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451.42897240682743</v>
      </c>
      <c r="M41" s="133">
        <f ca="1">IF(SUMMARY!$D$21*12&gt;=K41,-PPMT(SUMMARY!$D$22/12,K41,SUMMARY!$D$21*12,SUMMARY!$D$20),0)</f>
        <v>151.3279055811027</v>
      </c>
      <c r="N41" s="160">
        <f t="shared" ca="1" si="0"/>
        <v>602.75687798793012</v>
      </c>
      <c r="P41" s="199"/>
      <c r="Q41" s="200"/>
      <c r="R41" s="200"/>
      <c r="S41" s="200"/>
      <c r="T41" s="179"/>
    </row>
    <row r="42" spans="2:20" x14ac:dyDescent="0.2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450.4201197029534</v>
      </c>
      <c r="M42" s="133">
        <f ca="1">IF(SUMMARY!$D$21*12&gt;=K42,-PPMT(SUMMARY!$D$22/12,K42,SUMMARY!$D$21*12,SUMMARY!$D$20),0)</f>
        <v>152.33675828497672</v>
      </c>
      <c r="N42" s="160">
        <f t="shared" ca="1" si="0"/>
        <v>602.75687798793012</v>
      </c>
      <c r="P42" s="199"/>
      <c r="Q42" s="200"/>
      <c r="R42" s="200"/>
      <c r="S42" s="200"/>
      <c r="T42" s="179"/>
    </row>
    <row r="43" spans="2:20" x14ac:dyDescent="0.2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449.40454131438679</v>
      </c>
      <c r="M43" s="133">
        <f ca="1">IF(SUMMARY!$D$21*12&gt;=K43,-PPMT(SUMMARY!$D$22/12,K43,SUMMARY!$D$21*12,SUMMARY!$D$20),0)</f>
        <v>153.35233667354333</v>
      </c>
      <c r="N43" s="160">
        <f t="shared" ca="1" si="0"/>
        <v>602.75687798793012</v>
      </c>
      <c r="P43" s="199"/>
      <c r="Q43" s="200"/>
      <c r="R43" s="200"/>
      <c r="S43" s="200"/>
      <c r="T43" s="179"/>
    </row>
    <row r="44" spans="2:20" ht="13.5" thickBot="1" x14ac:dyDescent="0.25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448.38219240322991</v>
      </c>
      <c r="M44" s="133">
        <f ca="1">IF(SUMMARY!$D$21*12&gt;=K44,-PPMT(SUMMARY!$D$22/12,K44,SUMMARY!$D$21*12,SUMMARY!$D$20),0)</f>
        <v>154.37468558470022</v>
      </c>
      <c r="N44" s="160">
        <f t="shared" ca="1" si="0"/>
        <v>602.75687798793012</v>
      </c>
      <c r="P44" s="199"/>
      <c r="Q44" s="200"/>
      <c r="R44" s="200"/>
      <c r="S44" s="200"/>
      <c r="T44" s="179"/>
    </row>
    <row r="45" spans="2:20" x14ac:dyDescent="0.2">
      <c r="K45" s="159">
        <v>37</v>
      </c>
      <c r="L45" s="133">
        <f ca="1">-IF(SUMMARY!$D$21*12&gt;=K45,IPMT(SUMMARY!$D$22/12,K45,SUMMARY!$D$21*12,SUMMARY!$D$20),0)</f>
        <v>447.35302783266519</v>
      </c>
      <c r="M45" s="133">
        <f ca="1">IF(SUMMARY!$D$21*12&gt;=K45,-PPMT(SUMMARY!$D$22/12,K45,SUMMARY!$D$21*12,SUMMARY!$D$20),0)</f>
        <v>155.40385015526493</v>
      </c>
      <c r="N45" s="160">
        <f t="shared" ca="1" si="0"/>
        <v>602.75687798793012</v>
      </c>
      <c r="P45" s="199"/>
      <c r="Q45" s="200"/>
      <c r="R45" s="200"/>
      <c r="S45" s="200"/>
      <c r="T45" s="179"/>
    </row>
    <row r="46" spans="2:20" x14ac:dyDescent="0.2">
      <c r="K46" s="159">
        <v>38</v>
      </c>
      <c r="L46" s="133">
        <f ca="1">-IF(SUMMARY!$D$21*12&gt;=K46,IPMT(SUMMARY!$D$22/12,K46,SUMMARY!$D$21*12,SUMMARY!$D$20),0)</f>
        <v>446.31700216496347</v>
      </c>
      <c r="M46" s="133">
        <f ca="1">IF(SUMMARY!$D$21*12&gt;=K46,-PPMT(SUMMARY!$D$22/12,K46,SUMMARY!$D$21*12,SUMMARY!$D$20),0)</f>
        <v>156.43987582296666</v>
      </c>
      <c r="N46" s="160">
        <f t="shared" ca="1" si="0"/>
        <v>602.75687798793012</v>
      </c>
      <c r="P46" s="199"/>
      <c r="Q46" s="200"/>
      <c r="R46" s="200"/>
      <c r="S46" s="200"/>
      <c r="T46" s="179"/>
    </row>
    <row r="47" spans="2:20" x14ac:dyDescent="0.2">
      <c r="K47" s="159">
        <v>39</v>
      </c>
      <c r="L47" s="133">
        <f ca="1">-IF(SUMMARY!$D$21*12&gt;=K47,IPMT(SUMMARY!$D$22/12,K47,SUMMARY!$D$21*12,SUMMARY!$D$20),0)</f>
        <v>445.27406965947705</v>
      </c>
      <c r="M47" s="133">
        <f ca="1">IF(SUMMARY!$D$21*12&gt;=K47,-PPMT(SUMMARY!$D$22/12,K47,SUMMARY!$D$21*12,SUMMARY!$D$20),0)</f>
        <v>157.48280832845307</v>
      </c>
      <c r="N47" s="160">
        <f t="shared" ca="1" si="0"/>
        <v>602.75687798793012</v>
      </c>
      <c r="P47" s="199"/>
      <c r="Q47" s="200"/>
      <c r="R47" s="200"/>
      <c r="S47" s="200"/>
      <c r="T47" s="179"/>
    </row>
    <row r="48" spans="2:20" x14ac:dyDescent="0.2">
      <c r="K48" s="159">
        <v>40</v>
      </c>
      <c r="L48" s="133">
        <f ca="1">-IF(SUMMARY!$D$21*12&gt;=K48,IPMT(SUMMARY!$D$22/12,K48,SUMMARY!$D$21*12,SUMMARY!$D$20),0)</f>
        <v>444.2241842706207</v>
      </c>
      <c r="M48" s="133">
        <f ca="1">IF(SUMMARY!$D$21*12&gt;=K48,-PPMT(SUMMARY!$D$22/12,K48,SUMMARY!$D$21*12,SUMMARY!$D$20),0)</f>
        <v>158.53269371730943</v>
      </c>
      <c r="N48" s="160">
        <f t="shared" ca="1" si="0"/>
        <v>602.75687798793012</v>
      </c>
      <c r="P48" s="199"/>
      <c r="Q48" s="200"/>
      <c r="R48" s="200"/>
      <c r="S48" s="200"/>
      <c r="T48" s="179"/>
    </row>
    <row r="49" spans="11:20" x14ac:dyDescent="0.2">
      <c r="K49" s="159">
        <v>41</v>
      </c>
      <c r="L49" s="133">
        <f ca="1">-IF(SUMMARY!$D$21*12&gt;=K49,IPMT(SUMMARY!$D$22/12,K49,SUMMARY!$D$21*12,SUMMARY!$D$20),0)</f>
        <v>443.16729964583863</v>
      </c>
      <c r="M49" s="133">
        <f ca="1">IF(SUMMARY!$D$21*12&gt;=K49,-PPMT(SUMMARY!$D$22/12,K49,SUMMARY!$D$21*12,SUMMARY!$D$20),0)</f>
        <v>159.5895783420915</v>
      </c>
      <c r="N49" s="160">
        <f t="shared" ca="1" si="0"/>
        <v>602.75687798793012</v>
      </c>
      <c r="P49" s="199"/>
      <c r="Q49" s="200"/>
      <c r="R49" s="200"/>
      <c r="S49" s="200"/>
      <c r="T49" s="179"/>
    </row>
    <row r="50" spans="11:20" x14ac:dyDescent="0.2">
      <c r="K50" s="159">
        <v>42</v>
      </c>
      <c r="L50" s="133">
        <f ca="1">-IF(SUMMARY!$D$21*12&gt;=K50,IPMT(SUMMARY!$D$22/12,K50,SUMMARY!$D$21*12,SUMMARY!$D$20),0)</f>
        <v>442.10336912355808</v>
      </c>
      <c r="M50" s="133">
        <f ca="1">IF(SUMMARY!$D$21*12&gt;=K50,-PPMT(SUMMARY!$D$22/12,K50,SUMMARY!$D$21*12,SUMMARY!$D$20),0)</f>
        <v>160.65350886437204</v>
      </c>
      <c r="N50" s="160">
        <f t="shared" ca="1" si="0"/>
        <v>602.75687798793012</v>
      </c>
      <c r="P50" s="199"/>
      <c r="Q50" s="200"/>
      <c r="R50" s="200"/>
      <c r="S50" s="200"/>
      <c r="T50" s="179"/>
    </row>
    <row r="51" spans="11:20" x14ac:dyDescent="0.2">
      <c r="K51" s="159">
        <v>43</v>
      </c>
      <c r="L51" s="133">
        <f ca="1">-IF(SUMMARY!$D$21*12&gt;=K51,IPMT(SUMMARY!$D$22/12,K51,SUMMARY!$D$21*12,SUMMARY!$D$20),0)</f>
        <v>441.03234573112888</v>
      </c>
      <c r="M51" s="133">
        <f ca="1">IF(SUMMARY!$D$21*12&gt;=K51,-PPMT(SUMMARY!$D$22/12,K51,SUMMARY!$D$21*12,SUMMARY!$D$20),0)</f>
        <v>161.72453225680124</v>
      </c>
      <c r="N51" s="160">
        <f t="shared" ca="1" si="0"/>
        <v>602.75687798793012</v>
      </c>
      <c r="P51" s="199"/>
      <c r="Q51" s="200"/>
      <c r="R51" s="200"/>
      <c r="S51" s="200"/>
      <c r="T51" s="179"/>
    </row>
    <row r="52" spans="11:20" x14ac:dyDescent="0.2">
      <c r="K52" s="159">
        <v>44</v>
      </c>
      <c r="L52" s="133">
        <f ca="1">-IF(SUMMARY!$D$21*12&gt;=K52,IPMT(SUMMARY!$D$22/12,K52,SUMMARY!$D$21*12,SUMMARY!$D$20),0)</f>
        <v>439.95418218275023</v>
      </c>
      <c r="M52" s="133">
        <f ca="1">IF(SUMMARY!$D$21*12&gt;=K52,-PPMT(SUMMARY!$D$22/12,K52,SUMMARY!$D$21*12,SUMMARY!$D$20),0)</f>
        <v>162.80269580517989</v>
      </c>
      <c r="N52" s="160">
        <f t="shared" ca="1" si="0"/>
        <v>602.75687798793012</v>
      </c>
      <c r="P52" s="199"/>
      <c r="Q52" s="200"/>
      <c r="R52" s="200"/>
      <c r="S52" s="200"/>
      <c r="T52" s="179"/>
    </row>
    <row r="53" spans="11:20" x14ac:dyDescent="0.2">
      <c r="K53" s="159">
        <v>45</v>
      </c>
      <c r="L53" s="133">
        <f ca="1">-IF(SUMMARY!$D$21*12&gt;=K53,IPMT(SUMMARY!$D$22/12,K53,SUMMARY!$D$21*12,SUMMARY!$D$20),0)</f>
        <v>438.86883087738238</v>
      </c>
      <c r="M53" s="133">
        <f ca="1">IF(SUMMARY!$D$21*12&gt;=K53,-PPMT(SUMMARY!$D$22/12,K53,SUMMARY!$D$21*12,SUMMARY!$D$20),0)</f>
        <v>163.88804711054775</v>
      </c>
      <c r="N53" s="160">
        <f t="shared" ca="1" si="0"/>
        <v>602.75687798793012</v>
      </c>
      <c r="P53" s="199"/>
      <c r="Q53" s="200"/>
      <c r="R53" s="200"/>
      <c r="S53" s="200"/>
      <c r="T53" s="179"/>
    </row>
    <row r="54" spans="11:20" x14ac:dyDescent="0.2">
      <c r="K54" s="159">
        <v>46</v>
      </c>
      <c r="L54" s="133">
        <f ca="1">-IF(SUMMARY!$D$21*12&gt;=K54,IPMT(SUMMARY!$D$22/12,K54,SUMMARY!$D$21*12,SUMMARY!$D$20),0)</f>
        <v>437.77624389664533</v>
      </c>
      <c r="M54" s="133">
        <f ca="1">IF(SUMMARY!$D$21*12&gt;=K54,-PPMT(SUMMARY!$D$22/12,K54,SUMMARY!$D$21*12,SUMMARY!$D$20),0)</f>
        <v>164.9806340912848</v>
      </c>
      <c r="N54" s="160">
        <f t="shared" ca="1" si="0"/>
        <v>602.75687798793012</v>
      </c>
      <c r="P54" s="199"/>
      <c r="Q54" s="200"/>
      <c r="R54" s="200"/>
      <c r="S54" s="200"/>
      <c r="T54" s="179"/>
    </row>
    <row r="55" spans="11:20" x14ac:dyDescent="0.2">
      <c r="K55" s="159">
        <v>47</v>
      </c>
      <c r="L55" s="133">
        <f ca="1">-IF(SUMMARY!$D$21*12&gt;=K55,IPMT(SUMMARY!$D$22/12,K55,SUMMARY!$D$21*12,SUMMARY!$D$20),0)</f>
        <v>436.67637300270354</v>
      </c>
      <c r="M55" s="133">
        <f ca="1">IF(SUMMARY!$D$21*12&gt;=K55,-PPMT(SUMMARY!$D$22/12,K55,SUMMARY!$D$21*12,SUMMARY!$D$20),0)</f>
        <v>166.08050498522658</v>
      </c>
      <c r="N55" s="160">
        <f t="shared" ca="1" si="0"/>
        <v>602.75687798793012</v>
      </c>
      <c r="P55" s="199"/>
      <c r="Q55" s="200"/>
      <c r="R55" s="200"/>
      <c r="S55" s="200"/>
      <c r="T55" s="179"/>
    </row>
    <row r="56" spans="11:20" x14ac:dyDescent="0.2">
      <c r="K56" s="159">
        <v>48</v>
      </c>
      <c r="L56" s="133">
        <f ca="1">-IF(SUMMARY!$D$21*12&gt;=K56,IPMT(SUMMARY!$D$22/12,K56,SUMMARY!$D$21*12,SUMMARY!$D$20),0)</f>
        <v>435.56916963613537</v>
      </c>
      <c r="M56" s="133">
        <f ca="1">IF(SUMMARY!$D$21*12&gt;=K56,-PPMT(SUMMARY!$D$22/12,K56,SUMMARY!$D$21*12,SUMMARY!$D$20),0)</f>
        <v>167.18770835179475</v>
      </c>
      <c r="N56" s="160">
        <f t="shared" ca="1" si="0"/>
        <v>602.75687798793012</v>
      </c>
      <c r="P56" s="199"/>
      <c r="Q56" s="200"/>
      <c r="R56" s="200"/>
      <c r="S56" s="200"/>
      <c r="T56" s="179"/>
    </row>
    <row r="57" spans="11:20" x14ac:dyDescent="0.2">
      <c r="K57" s="159">
        <v>49</v>
      </c>
      <c r="L57" s="133">
        <f ca="1">-IF(SUMMARY!$D$21*12&gt;=K57,IPMT(SUMMARY!$D$22/12,K57,SUMMARY!$D$21*12,SUMMARY!$D$20),0)</f>
        <v>434.45458491379003</v>
      </c>
      <c r="M57" s="133">
        <f ca="1">IF(SUMMARY!$D$21*12&gt;=K57,-PPMT(SUMMARY!$D$22/12,K57,SUMMARY!$D$21*12,SUMMARY!$D$20),0)</f>
        <v>168.3022930741401</v>
      </c>
      <c r="N57" s="160">
        <f t="shared" ca="1" si="0"/>
        <v>602.75687798793012</v>
      </c>
      <c r="P57" s="199"/>
      <c r="Q57" s="200"/>
      <c r="R57" s="200"/>
      <c r="S57" s="200"/>
      <c r="T57" s="179"/>
    </row>
    <row r="58" spans="11:20" x14ac:dyDescent="0.2">
      <c r="K58" s="159">
        <v>50</v>
      </c>
      <c r="L58" s="133">
        <f ca="1">-IF(SUMMARY!$D$21*12&gt;=K58,IPMT(SUMMARY!$D$22/12,K58,SUMMARY!$D$21*12,SUMMARY!$D$20),0)</f>
        <v>433.33256962662915</v>
      </c>
      <c r="M58" s="133">
        <f ca="1">IF(SUMMARY!$D$21*12&gt;=K58,-PPMT(SUMMARY!$D$22/12,K58,SUMMARY!$D$21*12,SUMMARY!$D$20),0)</f>
        <v>169.42430836130097</v>
      </c>
      <c r="N58" s="160">
        <f t="shared" ca="1" si="0"/>
        <v>602.75687798793012</v>
      </c>
      <c r="P58" s="199"/>
      <c r="Q58" s="200"/>
      <c r="R58" s="200"/>
      <c r="S58" s="200"/>
      <c r="T58" s="179"/>
    </row>
    <row r="59" spans="11:20" x14ac:dyDescent="0.2">
      <c r="K59" s="159">
        <v>51</v>
      </c>
      <c r="L59" s="133">
        <f ca="1">-IF(SUMMARY!$D$21*12&gt;=K59,IPMT(SUMMARY!$D$22/12,K59,SUMMARY!$D$21*12,SUMMARY!$D$20),0)</f>
        <v>432.20307423755384</v>
      </c>
      <c r="M59" s="133">
        <f ca="1">IF(SUMMARY!$D$21*12&gt;=K59,-PPMT(SUMMARY!$D$22/12,K59,SUMMARY!$D$21*12,SUMMARY!$D$20),0)</f>
        <v>170.55380375037629</v>
      </c>
      <c r="N59" s="160">
        <f t="shared" ca="1" si="0"/>
        <v>602.75687798793012</v>
      </c>
      <c r="P59" s="199"/>
      <c r="Q59" s="200"/>
      <c r="R59" s="200"/>
      <c r="S59" s="200"/>
      <c r="T59" s="179"/>
    </row>
    <row r="60" spans="11:20" x14ac:dyDescent="0.2">
      <c r="K60" s="159">
        <v>52</v>
      </c>
      <c r="L60" s="133">
        <f ca="1">-IF(SUMMARY!$D$21*12&gt;=K60,IPMT(SUMMARY!$D$22/12,K60,SUMMARY!$D$21*12,SUMMARY!$D$20),0)</f>
        <v>431.06604887921799</v>
      </c>
      <c r="M60" s="133">
        <f ca="1">IF(SUMMARY!$D$21*12&gt;=K60,-PPMT(SUMMARY!$D$22/12,K60,SUMMARY!$D$21*12,SUMMARY!$D$20),0)</f>
        <v>171.69082910871214</v>
      </c>
      <c r="N60" s="160">
        <f t="shared" ca="1" si="0"/>
        <v>602.75687798793012</v>
      </c>
      <c r="P60" s="199"/>
      <c r="Q60" s="200"/>
      <c r="R60" s="200"/>
      <c r="S60" s="200"/>
    </row>
    <row r="61" spans="11:20" x14ac:dyDescent="0.2">
      <c r="K61" s="159">
        <v>53</v>
      </c>
      <c r="L61" s="133">
        <f ca="1">-IF(SUMMARY!$D$21*12&gt;=K61,IPMT(SUMMARY!$D$22/12,K61,SUMMARY!$D$21*12,SUMMARY!$D$20),0)</f>
        <v>429.92144335182655</v>
      </c>
      <c r="M61" s="133">
        <f ca="1">IF(SUMMARY!$D$21*12&gt;=K61,-PPMT(SUMMARY!$D$22/12,K61,SUMMARY!$D$21*12,SUMMARY!$D$20),0)</f>
        <v>172.83543463610357</v>
      </c>
      <c r="N61" s="160">
        <f t="shared" ca="1" si="0"/>
        <v>602.75687798793012</v>
      </c>
      <c r="P61" s="199"/>
      <c r="Q61" s="200"/>
      <c r="R61" s="200"/>
      <c r="S61" s="200"/>
    </row>
    <row r="62" spans="11:20" x14ac:dyDescent="0.2">
      <c r="K62" s="159">
        <v>54</v>
      </c>
      <c r="L62" s="133">
        <f ca="1">-IF(SUMMARY!$D$21*12&gt;=K62,IPMT(SUMMARY!$D$22/12,K62,SUMMARY!$D$21*12,SUMMARY!$D$20),0)</f>
        <v>428.76920712091925</v>
      </c>
      <c r="M62" s="133">
        <f ca="1">IF(SUMMARY!$D$21*12&gt;=K62,-PPMT(SUMMARY!$D$22/12,K62,SUMMARY!$D$21*12,SUMMARY!$D$20),0)</f>
        <v>173.98767086701088</v>
      </c>
      <c r="N62" s="160">
        <f t="shared" ca="1" si="0"/>
        <v>602.75687798793012</v>
      </c>
      <c r="P62" s="199"/>
      <c r="Q62" s="200"/>
      <c r="R62" s="200"/>
      <c r="S62" s="200"/>
    </row>
    <row r="63" spans="11:20" x14ac:dyDescent="0.2">
      <c r="K63" s="159">
        <v>55</v>
      </c>
      <c r="L63" s="133">
        <f ca="1">-IF(SUMMARY!$D$21*12&gt;=K63,IPMT(SUMMARY!$D$22/12,K63,SUMMARY!$D$21*12,SUMMARY!$D$20),0)</f>
        <v>427.60928931513922</v>
      </c>
      <c r="M63" s="133">
        <f ca="1">IF(SUMMARY!$D$21*12&gt;=K63,-PPMT(SUMMARY!$D$22/12,K63,SUMMARY!$D$21*12,SUMMARY!$D$20),0)</f>
        <v>175.1475886727909</v>
      </c>
      <c r="N63" s="160">
        <f t="shared" ca="1" si="0"/>
        <v>602.75687798793012</v>
      </c>
      <c r="P63" s="199"/>
      <c r="Q63" s="200"/>
      <c r="R63" s="200"/>
      <c r="S63" s="200"/>
    </row>
    <row r="64" spans="11:20" x14ac:dyDescent="0.2">
      <c r="K64" s="159">
        <v>56</v>
      </c>
      <c r="L64" s="133">
        <f ca="1">-IF(SUMMARY!$D$21*12&gt;=K64,IPMT(SUMMARY!$D$22/12,K64,SUMMARY!$D$21*12,SUMMARY!$D$20),0)</f>
        <v>426.44163872398718</v>
      </c>
      <c r="M64" s="133">
        <f ca="1">IF(SUMMARY!$D$21*12&gt;=K64,-PPMT(SUMMARY!$D$22/12,K64,SUMMARY!$D$21*12,SUMMARY!$D$20),0)</f>
        <v>176.31523926394294</v>
      </c>
      <c r="N64" s="160">
        <f t="shared" ca="1" si="0"/>
        <v>602.75687798793012</v>
      </c>
      <c r="P64" s="199"/>
      <c r="Q64" s="200"/>
      <c r="R64" s="200"/>
      <c r="S64" s="200"/>
    </row>
    <row r="65" spans="11:19" x14ac:dyDescent="0.2">
      <c r="K65" s="159">
        <v>57</v>
      </c>
      <c r="L65" s="133">
        <f ca="1">-IF(SUMMARY!$D$21*12&gt;=K65,IPMT(SUMMARY!$D$22/12,K65,SUMMARY!$D$21*12,SUMMARY!$D$20),0)</f>
        <v>425.2662037955609</v>
      </c>
      <c r="M65" s="133">
        <f ca="1">IF(SUMMARY!$D$21*12&gt;=K65,-PPMT(SUMMARY!$D$22/12,K65,SUMMARY!$D$21*12,SUMMARY!$D$20),0)</f>
        <v>177.49067419236923</v>
      </c>
      <c r="N65" s="160">
        <f t="shared" ca="1" si="0"/>
        <v>602.75687798793012</v>
      </c>
      <c r="P65" s="199"/>
      <c r="Q65" s="200"/>
      <c r="R65" s="200"/>
      <c r="S65" s="200"/>
    </row>
    <row r="66" spans="11:19" x14ac:dyDescent="0.2">
      <c r="K66" s="159">
        <v>58</v>
      </c>
      <c r="L66" s="133">
        <f ca="1">-IF(SUMMARY!$D$21*12&gt;=K66,IPMT(SUMMARY!$D$22/12,K66,SUMMARY!$D$21*12,SUMMARY!$D$20),0)</f>
        <v>424.08293263427856</v>
      </c>
      <c r="M66" s="133">
        <f ca="1">IF(SUMMARY!$D$21*12&gt;=K66,-PPMT(SUMMARY!$D$22/12,K66,SUMMARY!$D$21*12,SUMMARY!$D$20),0)</f>
        <v>178.67394535365156</v>
      </c>
      <c r="N66" s="160">
        <f t="shared" ca="1" si="0"/>
        <v>602.75687798793012</v>
      </c>
      <c r="P66" s="199"/>
      <c r="Q66" s="200"/>
      <c r="R66" s="200"/>
      <c r="S66" s="200"/>
    </row>
    <row r="67" spans="11:19" x14ac:dyDescent="0.2">
      <c r="K67" s="159">
        <v>59</v>
      </c>
      <c r="L67" s="133">
        <f ca="1">-IF(SUMMARY!$D$21*12&gt;=K67,IPMT(SUMMARY!$D$22/12,K67,SUMMARY!$D$21*12,SUMMARY!$D$20),0)</f>
        <v>422.89177299858756</v>
      </c>
      <c r="M67" s="133">
        <f ca="1">IF(SUMMARY!$D$21*12&gt;=K67,-PPMT(SUMMARY!$D$22/12,K67,SUMMARY!$D$21*12,SUMMARY!$D$20),0)</f>
        <v>179.86510498934257</v>
      </c>
      <c r="N67" s="160">
        <f t="shared" ca="1" si="0"/>
        <v>602.75687798793012</v>
      </c>
      <c r="P67" s="199"/>
      <c r="Q67" s="200"/>
      <c r="R67" s="200"/>
      <c r="S67" s="200"/>
    </row>
    <row r="68" spans="11:19" x14ac:dyDescent="0.2">
      <c r="K68" s="159">
        <v>60</v>
      </c>
      <c r="L68" s="133">
        <f ca="1">-IF(SUMMARY!$D$21*12&gt;=K68,IPMT(SUMMARY!$D$22/12,K68,SUMMARY!$D$21*12,SUMMARY!$D$20),0)</f>
        <v>421.69267229865858</v>
      </c>
      <c r="M68" s="133">
        <f ca="1">IF(SUMMARY!$D$21*12&gt;=K68,-PPMT(SUMMARY!$D$22/12,K68,SUMMARY!$D$21*12,SUMMARY!$D$20),0)</f>
        <v>181.06420568927155</v>
      </c>
      <c r="N68" s="160">
        <f t="shared" ca="1" si="0"/>
        <v>602.75687798793012</v>
      </c>
      <c r="P68" s="199"/>
      <c r="Q68" s="200"/>
      <c r="R68" s="200"/>
      <c r="S68" s="200"/>
    </row>
    <row r="69" spans="11:19" x14ac:dyDescent="0.2">
      <c r="K69" s="159">
        <v>61</v>
      </c>
      <c r="L69" s="133">
        <f ca="1">-IF(SUMMARY!$D$21*12&gt;=K69,IPMT(SUMMARY!$D$22/12,K69,SUMMARY!$D$21*12,SUMMARY!$D$20),0)</f>
        <v>420.48557759406339</v>
      </c>
      <c r="M69" s="133">
        <f ca="1">IF(SUMMARY!$D$21*12&gt;=K69,-PPMT(SUMMARY!$D$22/12,K69,SUMMARY!$D$21*12,SUMMARY!$D$20),0)</f>
        <v>182.27130039386674</v>
      </c>
      <c r="N69" s="160">
        <f t="shared" ca="1" si="0"/>
        <v>602.75687798793012</v>
      </c>
      <c r="P69" s="199"/>
      <c r="Q69" s="200"/>
      <c r="R69" s="200"/>
      <c r="S69" s="200"/>
    </row>
    <row r="70" spans="11:19" x14ac:dyDescent="0.2">
      <c r="K70" s="159">
        <v>62</v>
      </c>
      <c r="L70" s="133">
        <f ca="1">-IF(SUMMARY!$D$21*12&gt;=K70,IPMT(SUMMARY!$D$22/12,K70,SUMMARY!$D$21*12,SUMMARY!$D$20),0)</f>
        <v>419.27043559143766</v>
      </c>
      <c r="M70" s="133">
        <f ca="1">IF(SUMMARY!$D$21*12&gt;=K70,-PPMT(SUMMARY!$D$22/12,K70,SUMMARY!$D$21*12,SUMMARY!$D$20),0)</f>
        <v>183.48644239649246</v>
      </c>
      <c r="N70" s="160">
        <f t="shared" ca="1" si="0"/>
        <v>602.75687798793012</v>
      </c>
      <c r="P70" s="199"/>
      <c r="Q70" s="200"/>
      <c r="R70" s="200"/>
      <c r="S70" s="200"/>
    </row>
    <row r="71" spans="11:19" x14ac:dyDescent="0.2">
      <c r="K71" s="159">
        <v>63</v>
      </c>
      <c r="L71" s="133">
        <f ca="1">-IF(SUMMARY!$D$21*12&gt;=K71,IPMT(SUMMARY!$D$22/12,K71,SUMMARY!$D$21*12,SUMMARY!$D$20),0)</f>
        <v>418.0471926421277</v>
      </c>
      <c r="M71" s="133">
        <f ca="1">IF(SUMMARY!$D$21*12&gt;=K71,-PPMT(SUMMARY!$D$22/12,K71,SUMMARY!$D$21*12,SUMMARY!$D$20),0)</f>
        <v>184.70968534580243</v>
      </c>
      <c r="N71" s="160">
        <f t="shared" ca="1" si="0"/>
        <v>602.75687798793012</v>
      </c>
      <c r="P71" s="199"/>
      <c r="Q71" s="200"/>
      <c r="R71" s="200"/>
      <c r="S71" s="200"/>
    </row>
    <row r="72" spans="11:19" x14ac:dyDescent="0.2">
      <c r="K72" s="159">
        <v>64</v>
      </c>
      <c r="L72" s="133">
        <f ca="1">-IF(SUMMARY!$D$21*12&gt;=K72,IPMT(SUMMARY!$D$22/12,K72,SUMMARY!$D$21*12,SUMMARY!$D$20),0)</f>
        <v>416.81579473982237</v>
      </c>
      <c r="M72" s="133">
        <f ca="1">IF(SUMMARY!$D$21*12&gt;=K72,-PPMT(SUMMARY!$D$22/12,K72,SUMMARY!$D$21*12,SUMMARY!$D$20),0)</f>
        <v>185.94108324810776</v>
      </c>
      <c r="N72" s="160">
        <f t="shared" ca="1" si="0"/>
        <v>602.75687798793012</v>
      </c>
      <c r="P72" s="199"/>
      <c r="Q72" s="200"/>
      <c r="R72" s="200"/>
      <c r="S72" s="200"/>
    </row>
    <row r="73" spans="11:19" x14ac:dyDescent="0.2">
      <c r="K73" s="159">
        <v>65</v>
      </c>
      <c r="L73" s="133">
        <f ca="1">-IF(SUMMARY!$D$21*12&gt;=K73,IPMT(SUMMARY!$D$22/12,K73,SUMMARY!$D$21*12,SUMMARY!$D$20),0)</f>
        <v>415.57618751816835</v>
      </c>
      <c r="M73" s="133">
        <f ca="1">IF(SUMMARY!$D$21*12&gt;=K73,-PPMT(SUMMARY!$D$22/12,K73,SUMMARY!$D$21*12,SUMMARY!$D$20),0)</f>
        <v>187.18069046976177</v>
      </c>
      <c r="N73" s="160">
        <f t="shared" ref="N73:N136" ca="1" si="5">+M73+L73</f>
        <v>602.75687798793012</v>
      </c>
      <c r="P73" s="199"/>
      <c r="Q73" s="200"/>
      <c r="R73" s="200"/>
      <c r="S73" s="200"/>
    </row>
    <row r="74" spans="11:19" x14ac:dyDescent="0.2">
      <c r="K74" s="159">
        <v>66</v>
      </c>
      <c r="L74" s="133">
        <f ca="1">-IF(SUMMARY!$D$21*12&gt;=K74,IPMT(SUMMARY!$D$22/12,K74,SUMMARY!$D$21*12,SUMMARY!$D$20),0)</f>
        <v>414.32831624836996</v>
      </c>
      <c r="M74" s="133">
        <f ca="1">IF(SUMMARY!$D$21*12&gt;=K74,-PPMT(SUMMARY!$D$22/12,K74,SUMMARY!$D$21*12,SUMMARY!$D$20),0)</f>
        <v>188.42856173956017</v>
      </c>
      <c r="N74" s="160">
        <f t="shared" ca="1" si="5"/>
        <v>602.75687798793012</v>
      </c>
      <c r="P74" s="199"/>
      <c r="Q74" s="200"/>
      <c r="R74" s="200"/>
      <c r="S74" s="200"/>
    </row>
    <row r="75" spans="11:19" x14ac:dyDescent="0.2">
      <c r="K75" s="159">
        <v>67</v>
      </c>
      <c r="L75" s="133">
        <f ca="1">-IF(SUMMARY!$D$21*12&gt;=K75,IPMT(SUMMARY!$D$22/12,K75,SUMMARY!$D$21*12,SUMMARY!$D$20),0)</f>
        <v>413.0721258367729</v>
      </c>
      <c r="M75" s="133">
        <f ca="1">IF(SUMMARY!$D$21*12&gt;=K75,-PPMT(SUMMARY!$D$22/12,K75,SUMMARY!$D$21*12,SUMMARY!$D$20),0)</f>
        <v>189.68475215115723</v>
      </c>
      <c r="N75" s="160">
        <f t="shared" ca="1" si="5"/>
        <v>602.75687798793012</v>
      </c>
      <c r="P75" s="199"/>
      <c r="Q75" s="200"/>
      <c r="R75" s="200"/>
      <c r="S75" s="200"/>
    </row>
    <row r="76" spans="11:19" x14ac:dyDescent="0.2">
      <c r="K76" s="159">
        <v>68</v>
      </c>
      <c r="L76" s="133">
        <f ca="1">-IF(SUMMARY!$D$21*12&gt;=K76,IPMT(SUMMARY!$D$22/12,K76,SUMMARY!$D$21*12,SUMMARY!$D$20),0)</f>
        <v>411.80756082243187</v>
      </c>
      <c r="M76" s="133">
        <f ca="1">IF(SUMMARY!$D$21*12&gt;=K76,-PPMT(SUMMARY!$D$22/12,K76,SUMMARY!$D$21*12,SUMMARY!$D$20),0)</f>
        <v>190.94931716549826</v>
      </c>
      <c r="N76" s="160">
        <f t="shared" ca="1" si="5"/>
        <v>602.75687798793012</v>
      </c>
      <c r="P76" s="199"/>
      <c r="Q76" s="200"/>
      <c r="R76" s="200"/>
      <c r="S76" s="200"/>
    </row>
    <row r="77" spans="11:19" x14ac:dyDescent="0.2">
      <c r="K77" s="159">
        <v>69</v>
      </c>
      <c r="L77" s="133">
        <f ca="1">-IF(SUMMARY!$D$21*12&gt;=K77,IPMT(SUMMARY!$D$22/12,K77,SUMMARY!$D$21*12,SUMMARY!$D$20),0)</f>
        <v>410.53456537466184</v>
      </c>
      <c r="M77" s="133">
        <f ca="1">IF(SUMMARY!$D$21*12&gt;=K77,-PPMT(SUMMARY!$D$22/12,K77,SUMMARY!$D$21*12,SUMMARY!$D$20),0)</f>
        <v>192.22231261326829</v>
      </c>
      <c r="N77" s="160">
        <f t="shared" ca="1" si="5"/>
        <v>602.75687798793012</v>
      </c>
      <c r="P77" s="199"/>
      <c r="Q77" s="200"/>
      <c r="R77" s="200"/>
      <c r="S77" s="200"/>
    </row>
    <row r="78" spans="11:19" x14ac:dyDescent="0.2">
      <c r="K78" s="159">
        <v>70</v>
      </c>
      <c r="L78" s="133">
        <f ca="1">-IF(SUMMARY!$D$21*12&gt;=K78,IPMT(SUMMARY!$D$22/12,K78,SUMMARY!$D$21*12,SUMMARY!$D$20),0)</f>
        <v>409.2530832905735</v>
      </c>
      <c r="M78" s="133">
        <f ca="1">IF(SUMMARY!$D$21*12&gt;=K78,-PPMT(SUMMARY!$D$22/12,K78,SUMMARY!$D$21*12,SUMMARY!$D$20),0)</f>
        <v>193.50379469735662</v>
      </c>
      <c r="N78" s="160">
        <f t="shared" ca="1" si="5"/>
        <v>602.75687798793012</v>
      </c>
      <c r="P78" s="199"/>
      <c r="Q78" s="200"/>
      <c r="R78" s="200"/>
      <c r="S78" s="200"/>
    </row>
    <row r="79" spans="11:19" x14ac:dyDescent="0.2">
      <c r="K79" s="159">
        <v>71</v>
      </c>
      <c r="L79" s="133">
        <f ca="1">-IF(SUMMARY!$D$21*12&gt;=K79,IPMT(SUMMARY!$D$22/12,K79,SUMMARY!$D$21*12,SUMMARY!$D$20),0)</f>
        <v>407.96305799259096</v>
      </c>
      <c r="M79" s="133">
        <f ca="1">IF(SUMMARY!$D$21*12&gt;=K79,-PPMT(SUMMARY!$D$22/12,K79,SUMMARY!$D$21*12,SUMMARY!$D$20),0)</f>
        <v>194.79381999533916</v>
      </c>
      <c r="N79" s="160">
        <f t="shared" ca="1" si="5"/>
        <v>602.75687798793012</v>
      </c>
      <c r="P79" s="199"/>
      <c r="Q79" s="200"/>
      <c r="R79" s="200"/>
      <c r="S79" s="200"/>
    </row>
    <row r="80" spans="11:19" x14ac:dyDescent="0.2">
      <c r="K80" s="159">
        <v>72</v>
      </c>
      <c r="L80" s="133">
        <f ca="1">-IF(SUMMARY!$D$21*12&gt;=K80,IPMT(SUMMARY!$D$22/12,K80,SUMMARY!$D$21*12,SUMMARY!$D$20),0)</f>
        <v>406.66443252595548</v>
      </c>
      <c r="M80" s="133">
        <f ca="1">IF(SUMMARY!$D$21*12&gt;=K80,-PPMT(SUMMARY!$D$22/12,K80,SUMMARY!$D$21*12,SUMMARY!$D$20),0)</f>
        <v>196.09244546197465</v>
      </c>
      <c r="N80" s="160">
        <f t="shared" ca="1" si="5"/>
        <v>602.75687798793012</v>
      </c>
      <c r="P80" s="199"/>
      <c r="Q80" s="200"/>
      <c r="R80" s="200"/>
      <c r="S80" s="200"/>
    </row>
    <row r="81" spans="11:19" x14ac:dyDescent="0.2">
      <c r="K81" s="159">
        <v>73</v>
      </c>
      <c r="L81" s="133">
        <f ca="1">-IF(SUMMARY!$D$21*12&gt;=K81,IPMT(SUMMARY!$D$22/12,K81,SUMMARY!$D$21*12,SUMMARY!$D$20),0)</f>
        <v>405.35714955620898</v>
      </c>
      <c r="M81" s="133">
        <f ca="1">IF(SUMMARY!$D$21*12&gt;=K81,-PPMT(SUMMARY!$D$22/12,K81,SUMMARY!$D$21*12,SUMMARY!$D$20),0)</f>
        <v>197.39972843172114</v>
      </c>
      <c r="N81" s="160">
        <f t="shared" ca="1" si="5"/>
        <v>602.75687798793012</v>
      </c>
      <c r="P81" s="199"/>
      <c r="Q81" s="200"/>
      <c r="R81" s="200"/>
      <c r="S81" s="200"/>
    </row>
    <row r="82" spans="11:19" x14ac:dyDescent="0.2">
      <c r="K82" s="159">
        <v>74</v>
      </c>
      <c r="L82" s="133">
        <f ca="1">-IF(SUMMARY!$D$21*12&gt;=K82,IPMT(SUMMARY!$D$22/12,K82,SUMMARY!$D$21*12,SUMMARY!$D$20),0)</f>
        <v>404.04115136666422</v>
      </c>
      <c r="M82" s="133">
        <f ca="1">IF(SUMMARY!$D$21*12&gt;=K82,-PPMT(SUMMARY!$D$22/12,K82,SUMMARY!$D$21*12,SUMMARY!$D$20),0)</f>
        <v>198.7157266212659</v>
      </c>
      <c r="N82" s="160">
        <f t="shared" ca="1" si="5"/>
        <v>602.75687798793012</v>
      </c>
      <c r="P82" s="199"/>
      <c r="Q82" s="200"/>
      <c r="R82" s="200"/>
      <c r="S82" s="200"/>
    </row>
    <row r="83" spans="11:19" x14ac:dyDescent="0.2">
      <c r="K83" s="159">
        <v>75</v>
      </c>
      <c r="L83" s="133">
        <f ca="1">-IF(SUMMARY!$D$21*12&gt;=K83,IPMT(SUMMARY!$D$22/12,K83,SUMMARY!$D$21*12,SUMMARY!$D$20),0)</f>
        <v>402.71637985585579</v>
      </c>
      <c r="M83" s="133">
        <f ca="1">IF(SUMMARY!$D$21*12&gt;=K83,-PPMT(SUMMARY!$D$22/12,K83,SUMMARY!$D$21*12,SUMMARY!$D$20),0)</f>
        <v>200.04049813207433</v>
      </c>
      <c r="N83" s="160">
        <f t="shared" ca="1" si="5"/>
        <v>602.75687798793012</v>
      </c>
      <c r="P83" s="199"/>
      <c r="Q83" s="200"/>
      <c r="R83" s="200"/>
      <c r="S83" s="200"/>
    </row>
    <row r="84" spans="11:19" x14ac:dyDescent="0.2">
      <c r="K84" s="159">
        <v>76</v>
      </c>
      <c r="L84" s="133">
        <f ca="1">-IF(SUMMARY!$D$21*12&gt;=K84,IPMT(SUMMARY!$D$22/12,K84,SUMMARY!$D$21*12,SUMMARY!$D$20),0)</f>
        <v>401.38277653497528</v>
      </c>
      <c r="M84" s="133">
        <f ca="1">IF(SUMMARY!$D$21*12&gt;=K84,-PPMT(SUMMARY!$D$22/12,K84,SUMMARY!$D$21*12,SUMMARY!$D$20),0)</f>
        <v>201.37410145295485</v>
      </c>
      <c r="N84" s="160">
        <f t="shared" ca="1" si="5"/>
        <v>602.75687798793012</v>
      </c>
      <c r="P84" s="199"/>
      <c r="Q84" s="200"/>
      <c r="R84" s="200"/>
      <c r="S84" s="200"/>
    </row>
    <row r="85" spans="11:19" x14ac:dyDescent="0.2">
      <c r="K85" s="159">
        <v>77</v>
      </c>
      <c r="L85" s="133">
        <f ca="1">-IF(SUMMARY!$D$21*12&gt;=K85,IPMT(SUMMARY!$D$22/12,K85,SUMMARY!$D$21*12,SUMMARY!$D$20),0)</f>
        <v>400.04028252528889</v>
      </c>
      <c r="M85" s="133">
        <f ca="1">IF(SUMMARY!$D$21*12&gt;=K85,-PPMT(SUMMARY!$D$22/12,K85,SUMMARY!$D$21*12,SUMMARY!$D$20),0)</f>
        <v>202.71659546264124</v>
      </c>
      <c r="N85" s="160">
        <f t="shared" ca="1" si="5"/>
        <v>602.75687798793012</v>
      </c>
      <c r="P85" s="199"/>
      <c r="Q85" s="200"/>
      <c r="R85" s="200"/>
      <c r="S85" s="200"/>
    </row>
    <row r="86" spans="11:19" x14ac:dyDescent="0.2">
      <c r="K86" s="159">
        <v>78</v>
      </c>
      <c r="L86" s="133">
        <f ca="1">-IF(SUMMARY!$D$21*12&gt;=K86,IPMT(SUMMARY!$D$22/12,K86,SUMMARY!$D$21*12,SUMMARY!$D$20),0)</f>
        <v>398.68883855553804</v>
      </c>
      <c r="M86" s="133">
        <f ca="1">IF(SUMMARY!$D$21*12&gt;=K86,-PPMT(SUMMARY!$D$22/12,K86,SUMMARY!$D$21*12,SUMMARY!$D$20),0)</f>
        <v>204.06803943239208</v>
      </c>
      <c r="N86" s="160">
        <f t="shared" ca="1" si="5"/>
        <v>602.75687798793012</v>
      </c>
      <c r="P86" s="199"/>
      <c r="Q86" s="200"/>
      <c r="R86" s="200"/>
      <c r="S86" s="200"/>
    </row>
    <row r="87" spans="11:19" x14ac:dyDescent="0.2">
      <c r="K87" s="159">
        <v>79</v>
      </c>
      <c r="L87" s="133">
        <f ca="1">-IF(SUMMARY!$D$21*12&gt;=K87,IPMT(SUMMARY!$D$22/12,K87,SUMMARY!$D$21*12,SUMMARY!$D$20),0)</f>
        <v>397.32838495932208</v>
      </c>
      <c r="M87" s="133">
        <f ca="1">IF(SUMMARY!$D$21*12&gt;=K87,-PPMT(SUMMARY!$D$22/12,K87,SUMMARY!$D$21*12,SUMMARY!$D$20),0)</f>
        <v>205.42849302860805</v>
      </c>
      <c r="N87" s="160">
        <f t="shared" ca="1" si="5"/>
        <v>602.75687798793012</v>
      </c>
      <c r="P87" s="199"/>
      <c r="Q87" s="200"/>
      <c r="R87" s="200"/>
      <c r="S87" s="200"/>
    </row>
    <row r="88" spans="11:19" x14ac:dyDescent="0.2">
      <c r="K88" s="159">
        <v>80</v>
      </c>
      <c r="L88" s="133">
        <f ca="1">-IF(SUMMARY!$D$21*12&gt;=K88,IPMT(SUMMARY!$D$22/12,K88,SUMMARY!$D$21*12,SUMMARY!$D$20),0)</f>
        <v>395.95886167246471</v>
      </c>
      <c r="M88" s="133">
        <f ca="1">IF(SUMMARY!$D$21*12&gt;=K88,-PPMT(SUMMARY!$D$22/12,K88,SUMMARY!$D$21*12,SUMMARY!$D$20),0)</f>
        <v>206.79801631546542</v>
      </c>
      <c r="N88" s="160">
        <f t="shared" ca="1" si="5"/>
        <v>602.75687798793012</v>
      </c>
      <c r="P88" s="199"/>
      <c r="Q88" s="200"/>
      <c r="R88" s="200"/>
      <c r="S88" s="200"/>
    </row>
    <row r="89" spans="11:19" x14ac:dyDescent="0.2">
      <c r="K89" s="159">
        <v>81</v>
      </c>
      <c r="L89" s="133">
        <f ca="1">-IF(SUMMARY!$D$21*12&gt;=K89,IPMT(SUMMARY!$D$22/12,K89,SUMMARY!$D$21*12,SUMMARY!$D$20),0)</f>
        <v>394.58020823036151</v>
      </c>
      <c r="M89" s="133">
        <f ca="1">IF(SUMMARY!$D$21*12&gt;=K89,-PPMT(SUMMARY!$D$22/12,K89,SUMMARY!$D$21*12,SUMMARY!$D$20),0)</f>
        <v>208.17666975756862</v>
      </c>
      <c r="N89" s="160">
        <f t="shared" ca="1" si="5"/>
        <v>602.75687798793012</v>
      </c>
      <c r="P89" s="199"/>
      <c r="Q89" s="200"/>
      <c r="R89" s="200"/>
      <c r="S89" s="200"/>
    </row>
    <row r="90" spans="11:19" x14ac:dyDescent="0.2">
      <c r="K90" s="159">
        <v>82</v>
      </c>
      <c r="L90" s="133">
        <f ca="1">-IF(SUMMARY!$D$21*12&gt;=K90,IPMT(SUMMARY!$D$22/12,K90,SUMMARY!$D$21*12,SUMMARY!$D$20),0)</f>
        <v>393.19236376531114</v>
      </c>
      <c r="M90" s="133">
        <f ca="1">IF(SUMMARY!$D$21*12&gt;=K90,-PPMT(SUMMARY!$D$22/12,K90,SUMMARY!$D$21*12,SUMMARY!$D$20),0)</f>
        <v>209.56451422261898</v>
      </c>
      <c r="N90" s="160">
        <f t="shared" ca="1" si="5"/>
        <v>602.75687798793012</v>
      </c>
      <c r="P90" s="199"/>
      <c r="Q90" s="200"/>
      <c r="R90" s="200"/>
      <c r="S90" s="200"/>
    </row>
    <row r="91" spans="11:19" x14ac:dyDescent="0.2">
      <c r="K91" s="159">
        <v>83</v>
      </c>
      <c r="L91" s="133">
        <f ca="1">-IF(SUMMARY!$D$21*12&gt;=K91,IPMT(SUMMARY!$D$22/12,K91,SUMMARY!$D$21*12,SUMMARY!$D$20),0)</f>
        <v>391.79526700382701</v>
      </c>
      <c r="M91" s="133">
        <f ca="1">IF(SUMMARY!$D$21*12&gt;=K91,-PPMT(SUMMARY!$D$22/12,K91,SUMMARY!$D$21*12,SUMMARY!$D$20),0)</f>
        <v>210.96161098410312</v>
      </c>
      <c r="N91" s="160">
        <f t="shared" ca="1" si="5"/>
        <v>602.75687798793012</v>
      </c>
      <c r="P91" s="199"/>
      <c r="Q91" s="200"/>
      <c r="R91" s="200"/>
      <c r="S91" s="200"/>
    </row>
    <row r="92" spans="11:19" x14ac:dyDescent="0.2">
      <c r="K92" s="159">
        <v>84</v>
      </c>
      <c r="L92" s="133">
        <f ca="1">-IF(SUMMARY!$D$21*12&gt;=K92,IPMT(SUMMARY!$D$22/12,K92,SUMMARY!$D$21*12,SUMMARY!$D$20),0)</f>
        <v>390.38885626393295</v>
      </c>
      <c r="M92" s="133">
        <f ca="1">IF(SUMMARY!$D$21*12&gt;=K92,-PPMT(SUMMARY!$D$22/12,K92,SUMMARY!$D$21*12,SUMMARY!$D$20),0)</f>
        <v>212.36802172399717</v>
      </c>
      <c r="N92" s="160">
        <f t="shared" ca="1" si="5"/>
        <v>602.75687798793012</v>
      </c>
      <c r="P92" s="199"/>
      <c r="Q92" s="200"/>
      <c r="R92" s="200"/>
      <c r="S92" s="200"/>
    </row>
    <row r="93" spans="11:19" x14ac:dyDescent="0.2">
      <c r="K93" s="159">
        <v>85</v>
      </c>
      <c r="L93" s="133">
        <f ca="1">-IF(SUMMARY!$D$21*12&gt;=K93,IPMT(SUMMARY!$D$22/12,K93,SUMMARY!$D$21*12,SUMMARY!$D$20),0)</f>
        <v>388.9730694524398</v>
      </c>
      <c r="M93" s="133">
        <f ca="1">IF(SUMMARY!$D$21*12&gt;=K93,-PPMT(SUMMARY!$D$22/12,K93,SUMMARY!$D$21*12,SUMMARY!$D$20),0)</f>
        <v>213.78380853549032</v>
      </c>
      <c r="N93" s="160">
        <f t="shared" ca="1" si="5"/>
        <v>602.75687798793012</v>
      </c>
      <c r="P93" s="199"/>
      <c r="Q93" s="200"/>
      <c r="R93" s="200"/>
      <c r="S93" s="200"/>
    </row>
    <row r="94" spans="11:19" x14ac:dyDescent="0.2">
      <c r="K94" s="159">
        <v>86</v>
      </c>
      <c r="L94" s="133">
        <f ca="1">-IF(SUMMARY!$D$21*12&gt;=K94,IPMT(SUMMARY!$D$22/12,K94,SUMMARY!$D$21*12,SUMMARY!$D$20),0)</f>
        <v>387.54784406220313</v>
      </c>
      <c r="M94" s="133">
        <f ca="1">IF(SUMMARY!$D$21*12&gt;=K94,-PPMT(SUMMARY!$D$22/12,K94,SUMMARY!$D$21*12,SUMMARY!$D$20),0)</f>
        <v>215.209033925727</v>
      </c>
      <c r="N94" s="160">
        <f t="shared" ca="1" si="5"/>
        <v>602.75687798793012</v>
      </c>
      <c r="P94" s="199"/>
      <c r="Q94" s="200"/>
      <c r="R94" s="200"/>
      <c r="S94" s="200"/>
    </row>
    <row r="95" spans="11:19" x14ac:dyDescent="0.2">
      <c r="K95" s="159">
        <v>87</v>
      </c>
      <c r="L95" s="133">
        <f ca="1">-IF(SUMMARY!$D$21*12&gt;=K95,IPMT(SUMMARY!$D$22/12,K95,SUMMARY!$D$21*12,SUMMARY!$D$20),0)</f>
        <v>386.11311716936501</v>
      </c>
      <c r="M95" s="133">
        <f ca="1">IF(SUMMARY!$D$21*12&gt;=K95,-PPMT(SUMMARY!$D$22/12,K95,SUMMARY!$D$21*12,SUMMARY!$D$20),0)</f>
        <v>216.64376081856511</v>
      </c>
      <c r="N95" s="160">
        <f t="shared" ca="1" si="5"/>
        <v>602.75687798793012</v>
      </c>
      <c r="P95" s="199"/>
      <c r="Q95" s="200"/>
      <c r="R95" s="200"/>
      <c r="S95" s="200"/>
    </row>
    <row r="96" spans="11:19" x14ac:dyDescent="0.2">
      <c r="K96" s="159">
        <v>88</v>
      </c>
      <c r="L96" s="133">
        <f ca="1">-IF(SUMMARY!$D$21*12&gt;=K96,IPMT(SUMMARY!$D$22/12,K96,SUMMARY!$D$21*12,SUMMARY!$D$20),0)</f>
        <v>384.6688254305746</v>
      </c>
      <c r="M96" s="133">
        <f ca="1">IF(SUMMARY!$D$21*12&gt;=K96,-PPMT(SUMMARY!$D$22/12,K96,SUMMARY!$D$21*12,SUMMARY!$D$20),0)</f>
        <v>218.08805255735552</v>
      </c>
      <c r="N96" s="160">
        <f t="shared" ca="1" si="5"/>
        <v>602.75687798793012</v>
      </c>
      <c r="P96" s="199"/>
      <c r="Q96" s="200"/>
      <c r="R96" s="200"/>
      <c r="S96" s="200"/>
    </row>
    <row r="97" spans="11:19" x14ac:dyDescent="0.2">
      <c r="K97" s="159">
        <v>89</v>
      </c>
      <c r="L97" s="133">
        <f ca="1">-IF(SUMMARY!$D$21*12&gt;=K97,IPMT(SUMMARY!$D$22/12,K97,SUMMARY!$D$21*12,SUMMARY!$D$20),0)</f>
        <v>383.21490508019218</v>
      </c>
      <c r="M97" s="133">
        <f ca="1">IF(SUMMARY!$D$21*12&gt;=K97,-PPMT(SUMMARY!$D$22/12,K97,SUMMARY!$D$21*12,SUMMARY!$D$20),0)</f>
        <v>219.54197290773794</v>
      </c>
      <c r="N97" s="160">
        <f t="shared" ca="1" si="5"/>
        <v>602.75687798793012</v>
      </c>
      <c r="P97" s="199"/>
      <c r="Q97" s="200"/>
      <c r="R97" s="200"/>
      <c r="S97" s="200"/>
    </row>
    <row r="98" spans="11:19" x14ac:dyDescent="0.2">
      <c r="K98" s="159">
        <v>90</v>
      </c>
      <c r="L98" s="133">
        <f ca="1">-IF(SUMMARY!$D$21*12&gt;=K98,IPMT(SUMMARY!$D$22/12,K98,SUMMARY!$D$21*12,SUMMARY!$D$20),0)</f>
        <v>381.75129192747403</v>
      </c>
      <c r="M98" s="133">
        <f ca="1">IF(SUMMARY!$D$21*12&gt;=K98,-PPMT(SUMMARY!$D$22/12,K98,SUMMARY!$D$21*12,SUMMARY!$D$20),0)</f>
        <v>221.0055860604561</v>
      </c>
      <c r="N98" s="160">
        <f t="shared" ca="1" si="5"/>
        <v>602.75687798793012</v>
      </c>
      <c r="P98" s="199"/>
      <c r="Q98" s="200"/>
      <c r="R98" s="200"/>
      <c r="S98" s="200"/>
    </row>
    <row r="99" spans="11:19" x14ac:dyDescent="0.2">
      <c r="K99" s="159">
        <v>91</v>
      </c>
      <c r="L99" s="133">
        <f ca="1">-IF(SUMMARY!$D$21*12&gt;=K99,IPMT(SUMMARY!$D$22/12,K99,SUMMARY!$D$21*12,SUMMARY!$D$20),0)</f>
        <v>380.27792135373761</v>
      </c>
      <c r="M99" s="133">
        <f ca="1">IF(SUMMARY!$D$21*12&gt;=K99,-PPMT(SUMMARY!$D$22/12,K99,SUMMARY!$D$21*12,SUMMARY!$D$20),0)</f>
        <v>222.47895663419251</v>
      </c>
      <c r="N99" s="160">
        <f t="shared" ca="1" si="5"/>
        <v>602.75687798793012</v>
      </c>
      <c r="P99" s="199"/>
      <c r="Q99" s="200"/>
      <c r="R99" s="200"/>
      <c r="S99" s="200"/>
    </row>
    <row r="100" spans="11:19" x14ac:dyDescent="0.2">
      <c r="K100" s="159">
        <v>92</v>
      </c>
      <c r="L100" s="133">
        <f ca="1">-IF(SUMMARY!$D$21*12&gt;=K100,IPMT(SUMMARY!$D$22/12,K100,SUMMARY!$D$21*12,SUMMARY!$D$20),0)</f>
        <v>378.79472830950965</v>
      </c>
      <c r="M100" s="133">
        <f ca="1">IF(SUMMARY!$D$21*12&gt;=K100,-PPMT(SUMMARY!$D$22/12,K100,SUMMARY!$D$21*12,SUMMARY!$D$20),0)</f>
        <v>223.96214967842047</v>
      </c>
      <c r="N100" s="160">
        <f t="shared" ca="1" si="5"/>
        <v>602.75687798793012</v>
      </c>
      <c r="P100" s="199"/>
      <c r="Q100" s="200"/>
      <c r="R100" s="200"/>
      <c r="S100" s="200"/>
    </row>
    <row r="101" spans="11:19" x14ac:dyDescent="0.2">
      <c r="K101" s="159">
        <v>93</v>
      </c>
      <c r="L101" s="133">
        <f ca="1">-IF(SUMMARY!$D$21*12&gt;=K101,IPMT(SUMMARY!$D$22/12,K101,SUMMARY!$D$21*12,SUMMARY!$D$20),0)</f>
        <v>377.3016473116536</v>
      </c>
      <c r="M101" s="133">
        <f ca="1">IF(SUMMARY!$D$21*12&gt;=K101,-PPMT(SUMMARY!$D$22/12,K101,SUMMARY!$D$21*12,SUMMARY!$D$20),0)</f>
        <v>225.45523067627653</v>
      </c>
      <c r="N101" s="160">
        <f t="shared" ca="1" si="5"/>
        <v>602.75687798793012</v>
      </c>
      <c r="P101" s="199"/>
      <c r="Q101" s="200"/>
      <c r="R101" s="200"/>
      <c r="S101" s="200"/>
    </row>
    <row r="102" spans="11:19" x14ac:dyDescent="0.2">
      <c r="K102" s="159">
        <v>94</v>
      </c>
      <c r="L102" s="133">
        <f ca="1">-IF(SUMMARY!$D$21*12&gt;=K102,IPMT(SUMMARY!$D$22/12,K102,SUMMARY!$D$21*12,SUMMARY!$D$20),0)</f>
        <v>375.79861244047851</v>
      </c>
      <c r="M102" s="133">
        <f ca="1">IF(SUMMARY!$D$21*12&gt;=K102,-PPMT(SUMMARY!$D$22/12,K102,SUMMARY!$D$21*12,SUMMARY!$D$20),0)</f>
        <v>226.95826554745162</v>
      </c>
      <c r="N102" s="160">
        <f t="shared" ca="1" si="5"/>
        <v>602.75687798793012</v>
      </c>
      <c r="P102" s="199"/>
      <c r="Q102" s="200"/>
      <c r="R102" s="200"/>
      <c r="S102" s="200"/>
    </row>
    <row r="103" spans="11:19" x14ac:dyDescent="0.2">
      <c r="K103" s="159">
        <v>95</v>
      </c>
      <c r="L103" s="133">
        <f ca="1">-IF(SUMMARY!$D$21*12&gt;=K103,IPMT(SUMMARY!$D$22/12,K103,SUMMARY!$D$21*12,SUMMARY!$D$20),0)</f>
        <v>374.28555733682873</v>
      </c>
      <c r="M103" s="133">
        <f ca="1">IF(SUMMARY!$D$21*12&gt;=K103,-PPMT(SUMMARY!$D$22/12,K103,SUMMARY!$D$21*12,SUMMARY!$D$20),0)</f>
        <v>228.47132065110139</v>
      </c>
      <c r="N103" s="160">
        <f t="shared" ca="1" si="5"/>
        <v>602.75687798793012</v>
      </c>
      <c r="P103" s="199"/>
      <c r="Q103" s="200"/>
      <c r="R103" s="200"/>
      <c r="S103" s="200"/>
    </row>
    <row r="104" spans="11:19" x14ac:dyDescent="0.2">
      <c r="K104" s="159">
        <v>96</v>
      </c>
      <c r="L104" s="133">
        <f ca="1">-IF(SUMMARY!$D$21*12&gt;=K104,IPMT(SUMMARY!$D$22/12,K104,SUMMARY!$D$21*12,SUMMARY!$D$20),0)</f>
        <v>372.76241519915476</v>
      </c>
      <c r="M104" s="133">
        <f ca="1">IF(SUMMARY!$D$21*12&gt;=K104,-PPMT(SUMMARY!$D$22/12,K104,SUMMARY!$D$21*12,SUMMARY!$D$20),0)</f>
        <v>229.99446278877537</v>
      </c>
      <c r="N104" s="160">
        <f t="shared" ca="1" si="5"/>
        <v>602.75687798793012</v>
      </c>
      <c r="P104" s="199"/>
      <c r="Q104" s="200"/>
      <c r="R104" s="200"/>
      <c r="S104" s="200"/>
    </row>
    <row r="105" spans="11:19" x14ac:dyDescent="0.2">
      <c r="K105" s="159">
        <v>97</v>
      </c>
      <c r="L105" s="133">
        <f ca="1">-IF(SUMMARY!$D$21*12&gt;=K105,IPMT(SUMMARY!$D$22/12,K105,SUMMARY!$D$21*12,SUMMARY!$D$20),0)</f>
        <v>371.22911878056283</v>
      </c>
      <c r="M105" s="133">
        <f ca="1">IF(SUMMARY!$D$21*12&gt;=K105,-PPMT(SUMMARY!$D$22/12,K105,SUMMARY!$D$21*12,SUMMARY!$D$20),0)</f>
        <v>231.5277592073673</v>
      </c>
      <c r="N105" s="160">
        <f t="shared" ca="1" si="5"/>
        <v>602.75687798793012</v>
      </c>
      <c r="P105" s="199"/>
      <c r="Q105" s="200"/>
      <c r="R105" s="200"/>
      <c r="S105" s="200"/>
    </row>
    <row r="106" spans="11:19" x14ac:dyDescent="0.2">
      <c r="K106" s="159">
        <v>98</v>
      </c>
      <c r="L106" s="133">
        <f ca="1">-IF(SUMMARY!$D$21*12&gt;=K106,IPMT(SUMMARY!$D$22/12,K106,SUMMARY!$D$21*12,SUMMARY!$D$20),0)</f>
        <v>369.68560038584712</v>
      </c>
      <c r="M106" s="133">
        <f ca="1">IF(SUMMARY!$D$21*12&gt;=K106,-PPMT(SUMMARY!$D$22/12,K106,SUMMARY!$D$21*12,SUMMARY!$D$20),0)</f>
        <v>233.071277602083</v>
      </c>
      <c r="N106" s="160">
        <f t="shared" ca="1" si="5"/>
        <v>602.75687798793012</v>
      </c>
      <c r="P106" s="199"/>
      <c r="Q106" s="200"/>
      <c r="R106" s="200"/>
      <c r="S106" s="200"/>
    </row>
    <row r="107" spans="11:19" x14ac:dyDescent="0.2">
      <c r="K107" s="159">
        <v>99</v>
      </c>
      <c r="L107" s="133">
        <f ca="1">-IF(SUMMARY!$D$21*12&gt;=K107,IPMT(SUMMARY!$D$22/12,K107,SUMMARY!$D$21*12,SUMMARY!$D$20),0)</f>
        <v>368.13179186849993</v>
      </c>
      <c r="M107" s="133">
        <f ca="1">IF(SUMMARY!$D$21*12&gt;=K107,-PPMT(SUMMARY!$D$22/12,K107,SUMMARY!$D$21*12,SUMMARY!$D$20),0)</f>
        <v>234.62508611943019</v>
      </c>
      <c r="N107" s="160">
        <f t="shared" ca="1" si="5"/>
        <v>602.75687798793012</v>
      </c>
      <c r="P107" s="199"/>
      <c r="Q107" s="200"/>
      <c r="R107" s="200"/>
      <c r="S107" s="200"/>
    </row>
    <row r="108" spans="11:19" x14ac:dyDescent="0.2">
      <c r="K108" s="159">
        <v>100</v>
      </c>
      <c r="L108" s="133">
        <f ca="1">-IF(SUMMARY!$D$21*12&gt;=K108,IPMT(SUMMARY!$D$22/12,K108,SUMMARY!$D$21*12,SUMMARY!$D$20),0)</f>
        <v>366.56762462770376</v>
      </c>
      <c r="M108" s="133">
        <f ca="1">IF(SUMMARY!$D$21*12&gt;=K108,-PPMT(SUMMARY!$D$22/12,K108,SUMMARY!$D$21*12,SUMMARY!$D$20),0)</f>
        <v>236.18925336022636</v>
      </c>
      <c r="N108" s="160">
        <f t="shared" ca="1" si="5"/>
        <v>602.75687798793012</v>
      </c>
      <c r="P108" s="199"/>
      <c r="Q108" s="200"/>
      <c r="R108" s="200"/>
      <c r="S108" s="200"/>
    </row>
    <row r="109" spans="11:19" x14ac:dyDescent="0.2">
      <c r="K109" s="159">
        <v>101</v>
      </c>
      <c r="L109" s="133">
        <f ca="1">-IF(SUMMARY!$D$21*12&gt;=K109,IPMT(SUMMARY!$D$22/12,K109,SUMMARY!$D$21*12,SUMMARY!$D$20),0)</f>
        <v>364.99302960530207</v>
      </c>
      <c r="M109" s="133">
        <f ca="1">IF(SUMMARY!$D$21*12&gt;=K109,-PPMT(SUMMARY!$D$22/12,K109,SUMMARY!$D$21*12,SUMMARY!$D$20),0)</f>
        <v>237.76384838262805</v>
      </c>
      <c r="N109" s="160">
        <f t="shared" ca="1" si="5"/>
        <v>602.75687798793012</v>
      </c>
      <c r="P109" s="199"/>
      <c r="Q109" s="200"/>
      <c r="R109" s="200"/>
      <c r="S109" s="200"/>
    </row>
    <row r="110" spans="11:19" x14ac:dyDescent="0.2">
      <c r="K110" s="159">
        <v>102</v>
      </c>
      <c r="L110" s="133">
        <f ca="1">-IF(SUMMARY!$D$21*12&gt;=K110,IPMT(SUMMARY!$D$22/12,K110,SUMMARY!$D$21*12,SUMMARY!$D$20),0)</f>
        <v>363.40793728275139</v>
      </c>
      <c r="M110" s="133">
        <f ca="1">IF(SUMMARY!$D$21*12&gt;=K110,-PPMT(SUMMARY!$D$22/12,K110,SUMMARY!$D$21*12,SUMMARY!$D$20),0)</f>
        <v>239.34894070517873</v>
      </c>
      <c r="N110" s="160">
        <f t="shared" ca="1" si="5"/>
        <v>602.75687798793012</v>
      </c>
      <c r="P110" s="199"/>
      <c r="Q110" s="200"/>
      <c r="R110" s="200"/>
      <c r="S110" s="200"/>
    </row>
    <row r="111" spans="11:19" x14ac:dyDescent="0.2">
      <c r="K111" s="159">
        <v>103</v>
      </c>
      <c r="L111" s="133">
        <f ca="1">-IF(SUMMARY!$D$21*12&gt;=K111,IPMT(SUMMARY!$D$22/12,K111,SUMMARY!$D$21*12,SUMMARY!$D$20),0)</f>
        <v>361.81227767805018</v>
      </c>
      <c r="M111" s="133">
        <f ca="1">IF(SUMMARY!$D$21*12&gt;=K111,-PPMT(SUMMARY!$D$22/12,K111,SUMMARY!$D$21*12,SUMMARY!$D$20),0)</f>
        <v>240.94460030987995</v>
      </c>
      <c r="N111" s="160">
        <f t="shared" ca="1" si="5"/>
        <v>602.75687798793012</v>
      </c>
      <c r="P111" s="199"/>
      <c r="Q111" s="200"/>
      <c r="R111" s="200"/>
      <c r="S111" s="200"/>
    </row>
    <row r="112" spans="11:19" x14ac:dyDescent="0.2">
      <c r="K112" s="159">
        <v>104</v>
      </c>
      <c r="L112" s="133">
        <f ca="1">-IF(SUMMARY!$D$21*12&gt;=K112,IPMT(SUMMARY!$D$22/12,K112,SUMMARY!$D$21*12,SUMMARY!$D$20),0)</f>
        <v>360.20598034265106</v>
      </c>
      <c r="M112" s="133">
        <f ca="1">IF(SUMMARY!$D$21*12&gt;=K112,-PPMT(SUMMARY!$D$22/12,K112,SUMMARY!$D$21*12,SUMMARY!$D$20),0)</f>
        <v>242.55089764527906</v>
      </c>
      <c r="N112" s="160">
        <f t="shared" ca="1" si="5"/>
        <v>602.75687798793012</v>
      </c>
      <c r="P112" s="199"/>
      <c r="Q112" s="200"/>
      <c r="R112" s="200"/>
      <c r="S112" s="200"/>
    </row>
    <row r="113" spans="11:19" x14ac:dyDescent="0.2">
      <c r="K113" s="159">
        <v>105</v>
      </c>
      <c r="L113" s="133">
        <f ca="1">-IF(SUMMARY!$D$21*12&gt;=K113,IPMT(SUMMARY!$D$22/12,K113,SUMMARY!$D$21*12,SUMMARY!$D$20),0)</f>
        <v>358.58897435834916</v>
      </c>
      <c r="M113" s="133">
        <f ca="1">IF(SUMMARY!$D$21*12&gt;=K113,-PPMT(SUMMARY!$D$22/12,K113,SUMMARY!$D$21*12,SUMMARY!$D$20),0)</f>
        <v>244.16790362958096</v>
      </c>
      <c r="N113" s="160">
        <f t="shared" ca="1" si="5"/>
        <v>602.75687798793012</v>
      </c>
      <c r="P113" s="199"/>
      <c r="Q113" s="200"/>
      <c r="R113" s="200"/>
      <c r="S113" s="200"/>
    </row>
    <row r="114" spans="11:19" x14ac:dyDescent="0.2">
      <c r="K114" s="159">
        <v>106</v>
      </c>
      <c r="L114" s="133">
        <f ca="1">-IF(SUMMARY!$D$21*12&gt;=K114,IPMT(SUMMARY!$D$22/12,K114,SUMMARY!$D$21*12,SUMMARY!$D$20),0)</f>
        <v>356.96118833415193</v>
      </c>
      <c r="M114" s="133">
        <f ca="1">IF(SUMMARY!$D$21*12&gt;=K114,-PPMT(SUMMARY!$D$22/12,K114,SUMMARY!$D$21*12,SUMMARY!$D$20),0)</f>
        <v>245.7956896537782</v>
      </c>
      <c r="N114" s="160">
        <f t="shared" ca="1" si="5"/>
        <v>602.75687798793012</v>
      </c>
      <c r="P114" s="199"/>
      <c r="Q114" s="200"/>
      <c r="R114" s="200"/>
      <c r="S114" s="200"/>
    </row>
    <row r="115" spans="11:19" x14ac:dyDescent="0.2">
      <c r="K115" s="159">
        <v>107</v>
      </c>
      <c r="L115" s="133">
        <f ca="1">-IF(SUMMARY!$D$21*12&gt;=K115,IPMT(SUMMARY!$D$22/12,K115,SUMMARY!$D$21*12,SUMMARY!$D$20),0)</f>
        <v>355.32255040312674</v>
      </c>
      <c r="M115" s="133">
        <f ca="1">IF(SUMMARY!$D$21*12&gt;=K115,-PPMT(SUMMARY!$D$22/12,K115,SUMMARY!$D$21*12,SUMMARY!$D$20),0)</f>
        <v>247.43432758480338</v>
      </c>
      <c r="N115" s="160">
        <f t="shared" ca="1" si="5"/>
        <v>602.75687798793012</v>
      </c>
      <c r="P115" s="199"/>
      <c r="Q115" s="200"/>
      <c r="R115" s="200"/>
      <c r="S115" s="200"/>
    </row>
    <row r="116" spans="11:19" x14ac:dyDescent="0.2">
      <c r="K116" s="159">
        <v>108</v>
      </c>
      <c r="L116" s="133">
        <f ca="1">-IF(SUMMARY!$D$21*12&gt;=K116,IPMT(SUMMARY!$D$22/12,K116,SUMMARY!$D$21*12,SUMMARY!$D$20),0)</f>
        <v>353.6729882192281</v>
      </c>
      <c r="M116" s="133">
        <f ca="1">IF(SUMMARY!$D$21*12&gt;=K116,-PPMT(SUMMARY!$D$22/12,K116,SUMMARY!$D$21*12,SUMMARY!$D$20),0)</f>
        <v>249.08388976870202</v>
      </c>
      <c r="N116" s="160">
        <f t="shared" ca="1" si="5"/>
        <v>602.75687798793012</v>
      </c>
      <c r="P116" s="199"/>
      <c r="Q116" s="200"/>
      <c r="R116" s="200"/>
      <c r="S116" s="200"/>
    </row>
    <row r="117" spans="11:19" x14ac:dyDescent="0.2">
      <c r="K117" s="159">
        <v>109</v>
      </c>
      <c r="L117" s="133">
        <f ca="1">-IF(SUMMARY!$D$21*12&gt;=K117,IPMT(SUMMARY!$D$22/12,K117,SUMMARY!$D$21*12,SUMMARY!$D$20),0)</f>
        <v>352.01242895410348</v>
      </c>
      <c r="M117" s="133">
        <f ca="1">IF(SUMMARY!$D$21*12&gt;=K117,-PPMT(SUMMARY!$D$22/12,K117,SUMMARY!$D$21*12,SUMMARY!$D$20),0)</f>
        <v>250.74444903382664</v>
      </c>
      <c r="N117" s="160">
        <f t="shared" ca="1" si="5"/>
        <v>602.75687798793012</v>
      </c>
      <c r="P117" s="199"/>
      <c r="Q117" s="200"/>
      <c r="R117" s="200"/>
      <c r="S117" s="200"/>
    </row>
    <row r="118" spans="11:19" x14ac:dyDescent="0.2">
      <c r="K118" s="159">
        <v>110</v>
      </c>
      <c r="L118" s="133">
        <f ca="1">-IF(SUMMARY!$D$21*12&gt;=K118,IPMT(SUMMARY!$D$22/12,K118,SUMMARY!$D$21*12,SUMMARY!$D$20),0)</f>
        <v>350.34079929387781</v>
      </c>
      <c r="M118" s="133">
        <f ca="1">IF(SUMMARY!$D$21*12&gt;=K118,-PPMT(SUMMARY!$D$22/12,K118,SUMMARY!$D$21*12,SUMMARY!$D$20),0)</f>
        <v>252.41607869405232</v>
      </c>
      <c r="N118" s="160">
        <f t="shared" ca="1" si="5"/>
        <v>602.75687798793012</v>
      </c>
      <c r="P118" s="199"/>
      <c r="Q118" s="200"/>
      <c r="R118" s="200"/>
      <c r="S118" s="200"/>
    </row>
    <row r="119" spans="11:19" x14ac:dyDescent="0.2">
      <c r="K119" s="159">
        <v>111</v>
      </c>
      <c r="L119" s="133">
        <f ca="1">-IF(SUMMARY!$D$21*12&gt;=K119,IPMT(SUMMARY!$D$22/12,K119,SUMMARY!$D$21*12,SUMMARY!$D$20),0)</f>
        <v>348.65802543591769</v>
      </c>
      <c r="M119" s="133">
        <f ca="1">IF(SUMMARY!$D$21*12&gt;=K119,-PPMT(SUMMARY!$D$22/12,K119,SUMMARY!$D$21*12,SUMMARY!$D$20),0)</f>
        <v>254.09885255201243</v>
      </c>
      <c r="N119" s="160">
        <f t="shared" ca="1" si="5"/>
        <v>602.75687798793012</v>
      </c>
      <c r="P119" s="199"/>
      <c r="Q119" s="200"/>
      <c r="R119" s="200"/>
      <c r="S119" s="200"/>
    </row>
    <row r="120" spans="11:19" x14ac:dyDescent="0.2">
      <c r="K120" s="159">
        <v>112</v>
      </c>
      <c r="L120" s="133">
        <f ca="1">-IF(SUMMARY!$D$21*12&gt;=K120,IPMT(SUMMARY!$D$22/12,K120,SUMMARY!$D$21*12,SUMMARY!$D$20),0)</f>
        <v>346.96403308557109</v>
      </c>
      <c r="M120" s="133">
        <f ca="1">IF(SUMMARY!$D$21*12&gt;=K120,-PPMT(SUMMARY!$D$22/12,K120,SUMMARY!$D$21*12,SUMMARY!$D$20),0)</f>
        <v>255.79284490235904</v>
      </c>
      <c r="N120" s="160">
        <f t="shared" ca="1" si="5"/>
        <v>602.75687798793012</v>
      </c>
      <c r="P120" s="199"/>
      <c r="Q120" s="200"/>
      <c r="R120" s="200"/>
      <c r="S120" s="200"/>
    </row>
    <row r="121" spans="11:19" x14ac:dyDescent="0.2">
      <c r="K121" s="159">
        <v>113</v>
      </c>
      <c r="L121" s="133">
        <f ca="1">-IF(SUMMARY!$D$21*12&gt;=K121,IPMT(SUMMARY!$D$22/12,K121,SUMMARY!$D$21*12,SUMMARY!$D$20),0)</f>
        <v>345.25874745288837</v>
      </c>
      <c r="M121" s="133">
        <f ca="1">IF(SUMMARY!$D$21*12&gt;=K121,-PPMT(SUMMARY!$D$22/12,K121,SUMMARY!$D$21*12,SUMMARY!$D$20),0)</f>
        <v>257.49813053504175</v>
      </c>
      <c r="N121" s="160">
        <f t="shared" ca="1" si="5"/>
        <v>602.75687798793012</v>
      </c>
      <c r="P121" s="199"/>
      <c r="Q121" s="200"/>
      <c r="R121" s="200"/>
      <c r="S121" s="200"/>
    </row>
    <row r="122" spans="11:19" x14ac:dyDescent="0.2">
      <c r="K122" s="159">
        <v>114</v>
      </c>
      <c r="L122" s="133">
        <f ca="1">-IF(SUMMARY!$D$21*12&gt;=K122,IPMT(SUMMARY!$D$22/12,K122,SUMMARY!$D$21*12,SUMMARY!$D$20),0)</f>
        <v>343.54209324932157</v>
      </c>
      <c r="M122" s="133">
        <f ca="1">IF(SUMMARY!$D$21*12&gt;=K122,-PPMT(SUMMARY!$D$22/12,K122,SUMMARY!$D$21*12,SUMMARY!$D$20),0)</f>
        <v>259.21478473860856</v>
      </c>
      <c r="N122" s="160">
        <f t="shared" ca="1" si="5"/>
        <v>602.75687798793012</v>
      </c>
      <c r="P122" s="199"/>
      <c r="Q122" s="200"/>
      <c r="R122" s="200"/>
      <c r="S122" s="200"/>
    </row>
    <row r="123" spans="11:19" x14ac:dyDescent="0.2">
      <c r="K123" s="159">
        <v>115</v>
      </c>
      <c r="L123" s="133">
        <f ca="1">-IF(SUMMARY!$D$21*12&gt;=K123,IPMT(SUMMARY!$D$22/12,K123,SUMMARY!$D$21*12,SUMMARY!$D$20),0)</f>
        <v>341.81399468439741</v>
      </c>
      <c r="M123" s="133">
        <f ca="1">IF(SUMMARY!$D$21*12&gt;=K123,-PPMT(SUMMARY!$D$22/12,K123,SUMMARY!$D$21*12,SUMMARY!$D$20),0)</f>
        <v>260.94288330353271</v>
      </c>
      <c r="N123" s="160">
        <f t="shared" ca="1" si="5"/>
        <v>602.75687798793012</v>
      </c>
      <c r="P123" s="199"/>
      <c r="Q123" s="200"/>
      <c r="R123" s="200"/>
      <c r="S123" s="200"/>
    </row>
    <row r="124" spans="11:19" x14ac:dyDescent="0.2">
      <c r="K124" s="159">
        <v>116</v>
      </c>
      <c r="L124" s="133">
        <f ca="1">-IF(SUMMARY!$D$21*12&gt;=K124,IPMT(SUMMARY!$D$22/12,K124,SUMMARY!$D$21*12,SUMMARY!$D$20),0)</f>
        <v>340.07437546237384</v>
      </c>
      <c r="M124" s="133">
        <f ca="1">IF(SUMMARY!$D$21*12&gt;=K124,-PPMT(SUMMARY!$D$22/12,K124,SUMMARY!$D$21*12,SUMMARY!$D$20),0)</f>
        <v>262.68250252555629</v>
      </c>
      <c r="N124" s="160">
        <f t="shared" ca="1" si="5"/>
        <v>602.75687798793012</v>
      </c>
      <c r="P124" s="199"/>
      <c r="Q124" s="200"/>
      <c r="R124" s="200"/>
      <c r="S124" s="200"/>
    </row>
    <row r="125" spans="11:19" x14ac:dyDescent="0.2">
      <c r="K125" s="159">
        <v>117</v>
      </c>
      <c r="L125" s="133">
        <f ca="1">-IF(SUMMARY!$D$21*12&gt;=K125,IPMT(SUMMARY!$D$22/12,K125,SUMMARY!$D$21*12,SUMMARY!$D$20),0)</f>
        <v>338.32315877887027</v>
      </c>
      <c r="M125" s="133">
        <f ca="1">IF(SUMMARY!$D$21*12&gt;=K125,-PPMT(SUMMARY!$D$22/12,K125,SUMMARY!$D$21*12,SUMMARY!$D$20),0)</f>
        <v>264.43371920905986</v>
      </c>
      <c r="N125" s="160">
        <f t="shared" ca="1" si="5"/>
        <v>602.75687798793012</v>
      </c>
      <c r="P125" s="199"/>
      <c r="Q125" s="200"/>
      <c r="R125" s="200"/>
      <c r="S125" s="200"/>
    </row>
    <row r="126" spans="11:19" x14ac:dyDescent="0.2">
      <c r="K126" s="159">
        <v>118</v>
      </c>
      <c r="L126" s="133">
        <f ca="1">-IF(SUMMARY!$D$21*12&gt;=K126,IPMT(SUMMARY!$D$22/12,K126,SUMMARY!$D$21*12,SUMMARY!$D$20),0)</f>
        <v>336.56026731747659</v>
      </c>
      <c r="M126" s="133">
        <f ca="1">IF(SUMMARY!$D$21*12&gt;=K126,-PPMT(SUMMARY!$D$22/12,K126,SUMMARY!$D$21*12,SUMMARY!$D$20),0)</f>
        <v>266.19661067045354</v>
      </c>
      <c r="N126" s="160">
        <f t="shared" ca="1" si="5"/>
        <v>602.75687798793012</v>
      </c>
      <c r="P126" s="199"/>
      <c r="Q126" s="200"/>
      <c r="R126" s="200"/>
      <c r="S126" s="200"/>
    </row>
    <row r="127" spans="11:19" x14ac:dyDescent="0.2">
      <c r="K127" s="159">
        <v>119</v>
      </c>
      <c r="L127" s="133">
        <f ca="1">-IF(SUMMARY!$D$21*12&gt;=K127,IPMT(SUMMARY!$D$22/12,K127,SUMMARY!$D$21*12,SUMMARY!$D$20),0)</f>
        <v>334.78562324634021</v>
      </c>
      <c r="M127" s="133">
        <f ca="1">IF(SUMMARY!$D$21*12&gt;=K127,-PPMT(SUMMARY!$D$22/12,K127,SUMMARY!$D$21*12,SUMMARY!$D$20),0)</f>
        <v>267.97125474158992</v>
      </c>
      <c r="N127" s="160">
        <f t="shared" ca="1" si="5"/>
        <v>602.75687798793012</v>
      </c>
      <c r="P127" s="199"/>
      <c r="Q127" s="200"/>
      <c r="R127" s="200"/>
      <c r="S127" s="200"/>
    </row>
    <row r="128" spans="11:19" x14ac:dyDescent="0.2">
      <c r="K128" s="159">
        <v>120</v>
      </c>
      <c r="L128" s="133">
        <f ca="1">-IF(SUMMARY!$D$21*12&gt;=K128,IPMT(SUMMARY!$D$22/12,K128,SUMMARY!$D$21*12,SUMMARY!$D$20),0)</f>
        <v>332.9991482147297</v>
      </c>
      <c r="M128" s="133">
        <f ca="1">IF(SUMMARY!$D$21*12&gt;=K128,-PPMT(SUMMARY!$D$22/12,K128,SUMMARY!$D$21*12,SUMMARY!$D$20),0)</f>
        <v>269.75772977320042</v>
      </c>
      <c r="N128" s="160">
        <f t="shared" ca="1" si="5"/>
        <v>602.75687798793012</v>
      </c>
      <c r="P128" s="199"/>
      <c r="Q128" s="200"/>
      <c r="R128" s="200"/>
      <c r="S128" s="200"/>
    </row>
    <row r="129" spans="11:19" x14ac:dyDescent="0.2">
      <c r="K129" s="159">
        <v>121</v>
      </c>
      <c r="L129" s="133">
        <f ca="1">-IF(SUMMARY!$D$21*12&gt;=K129,IPMT(SUMMARY!$D$22/12,K129,SUMMARY!$D$21*12,SUMMARY!$D$20),0)</f>
        <v>331.20076334957503</v>
      </c>
      <c r="M129" s="133">
        <f ca="1">IF(SUMMARY!$D$21*12&gt;=K129,-PPMT(SUMMARY!$D$22/12,K129,SUMMARY!$D$21*12,SUMMARY!$D$20),0)</f>
        <v>271.5561146383551</v>
      </c>
      <c r="N129" s="160">
        <f t="shared" ca="1" si="5"/>
        <v>602.75687798793012</v>
      </c>
      <c r="P129" s="199"/>
      <c r="Q129" s="200"/>
      <c r="R129" s="200"/>
      <c r="S129" s="200"/>
    </row>
    <row r="130" spans="11:19" x14ac:dyDescent="0.2">
      <c r="K130" s="159">
        <v>122</v>
      </c>
      <c r="L130" s="133">
        <f ca="1">-IF(SUMMARY!$D$21*12&gt;=K130,IPMT(SUMMARY!$D$22/12,K130,SUMMARY!$D$21*12,SUMMARY!$D$20),0)</f>
        <v>329.39038925198599</v>
      </c>
      <c r="M130" s="133">
        <f ca="1">IF(SUMMARY!$D$21*12&gt;=K130,-PPMT(SUMMARY!$D$22/12,K130,SUMMARY!$D$21*12,SUMMARY!$D$20),0)</f>
        <v>273.36648873594413</v>
      </c>
      <c r="N130" s="160">
        <f t="shared" ca="1" si="5"/>
        <v>602.75687798793012</v>
      </c>
      <c r="P130" s="199"/>
      <c r="Q130" s="200"/>
      <c r="R130" s="200"/>
      <c r="S130" s="200"/>
    </row>
    <row r="131" spans="11:19" x14ac:dyDescent="0.2">
      <c r="K131" s="159">
        <v>123</v>
      </c>
      <c r="L131" s="133">
        <f ca="1">-IF(SUMMARY!$D$21*12&gt;=K131,IPMT(SUMMARY!$D$22/12,K131,SUMMARY!$D$21*12,SUMMARY!$D$20),0)</f>
        <v>327.56794599374621</v>
      </c>
      <c r="M131" s="133">
        <f ca="1">IF(SUMMARY!$D$21*12&gt;=K131,-PPMT(SUMMARY!$D$22/12,K131,SUMMARY!$D$21*12,SUMMARY!$D$20),0)</f>
        <v>275.18893199418392</v>
      </c>
      <c r="N131" s="160">
        <f t="shared" ca="1" si="5"/>
        <v>602.75687798793012</v>
      </c>
      <c r="P131" s="199"/>
      <c r="Q131" s="200"/>
      <c r="R131" s="200"/>
      <c r="S131" s="200"/>
    </row>
    <row r="132" spans="11:19" x14ac:dyDescent="0.2">
      <c r="K132" s="159">
        <v>124</v>
      </c>
      <c r="L132" s="133">
        <f ca="1">-IF(SUMMARY!$D$21*12&gt;=K132,IPMT(SUMMARY!$D$22/12,K132,SUMMARY!$D$21*12,SUMMARY!$D$20),0)</f>
        <v>325.7333531137852</v>
      </c>
      <c r="M132" s="133">
        <f ca="1">IF(SUMMARY!$D$21*12&gt;=K132,-PPMT(SUMMARY!$D$22/12,K132,SUMMARY!$D$21*12,SUMMARY!$D$20),0)</f>
        <v>277.02352487414493</v>
      </c>
      <c r="N132" s="160">
        <f t="shared" ca="1" si="5"/>
        <v>602.75687798793012</v>
      </c>
      <c r="P132" s="199"/>
      <c r="Q132" s="200"/>
      <c r="R132" s="200"/>
      <c r="S132" s="200"/>
    </row>
    <row r="133" spans="11:19" x14ac:dyDescent="0.2">
      <c r="K133" s="159">
        <v>125</v>
      </c>
      <c r="L133" s="133">
        <f ca="1">-IF(SUMMARY!$D$21*12&gt;=K133,IPMT(SUMMARY!$D$22/12,K133,SUMMARY!$D$21*12,SUMMARY!$D$20),0)</f>
        <v>323.88652961462418</v>
      </c>
      <c r="M133" s="133">
        <f ca="1">IF(SUMMARY!$D$21*12&gt;=K133,-PPMT(SUMMARY!$D$22/12,K133,SUMMARY!$D$21*12,SUMMARY!$D$20),0)</f>
        <v>278.87034837330594</v>
      </c>
      <c r="N133" s="160">
        <f t="shared" ca="1" si="5"/>
        <v>602.75687798793012</v>
      </c>
      <c r="P133" s="199"/>
      <c r="Q133" s="200"/>
      <c r="R133" s="200"/>
      <c r="S133" s="200"/>
    </row>
    <row r="134" spans="11:19" x14ac:dyDescent="0.2">
      <c r="K134" s="159">
        <v>126</v>
      </c>
      <c r="L134" s="133">
        <f ca="1">-IF(SUMMARY!$D$21*12&gt;=K134,IPMT(SUMMARY!$D$22/12,K134,SUMMARY!$D$21*12,SUMMARY!$D$20),0)</f>
        <v>322.02739395880212</v>
      </c>
      <c r="M134" s="133">
        <f ca="1">IF(SUMMARY!$D$21*12&gt;=K134,-PPMT(SUMMARY!$D$22/12,K134,SUMMARY!$D$21*12,SUMMARY!$D$20),0)</f>
        <v>280.729484029128</v>
      </c>
      <c r="N134" s="160">
        <f t="shared" ca="1" si="5"/>
        <v>602.75687798793012</v>
      </c>
      <c r="P134" s="199"/>
      <c r="Q134" s="200"/>
      <c r="R134" s="200"/>
      <c r="S134" s="200"/>
    </row>
    <row r="135" spans="11:19" x14ac:dyDescent="0.2">
      <c r="K135" s="159">
        <v>127</v>
      </c>
      <c r="L135" s="133">
        <f ca="1">-IF(SUMMARY!$D$21*12&gt;=K135,IPMT(SUMMARY!$D$22/12,K135,SUMMARY!$D$21*12,SUMMARY!$D$20),0)</f>
        <v>320.15586406527456</v>
      </c>
      <c r="M135" s="133">
        <f ca="1">IF(SUMMARY!$D$21*12&gt;=K135,-PPMT(SUMMARY!$D$22/12,K135,SUMMARY!$D$21*12,SUMMARY!$D$20),0)</f>
        <v>282.60101392265557</v>
      </c>
      <c r="N135" s="160">
        <f t="shared" ca="1" si="5"/>
        <v>602.75687798793012</v>
      </c>
      <c r="P135" s="199"/>
      <c r="Q135" s="200"/>
      <c r="R135" s="200"/>
      <c r="S135" s="200"/>
    </row>
    <row r="136" spans="11:19" x14ac:dyDescent="0.2">
      <c r="K136" s="159">
        <v>128</v>
      </c>
      <c r="L136" s="133">
        <f ca="1">-IF(SUMMARY!$D$21*12&gt;=K136,IPMT(SUMMARY!$D$22/12,K136,SUMMARY!$D$21*12,SUMMARY!$D$20),0)</f>
        <v>318.27185730579032</v>
      </c>
      <c r="M136" s="133">
        <f ca="1">IF(SUMMARY!$D$21*12&gt;=K136,-PPMT(SUMMARY!$D$22/12,K136,SUMMARY!$D$21*12,SUMMARY!$D$20),0)</f>
        <v>284.4850206821398</v>
      </c>
      <c r="N136" s="160">
        <f t="shared" ca="1" si="5"/>
        <v>602.75687798793012</v>
      </c>
      <c r="P136" s="199"/>
      <c r="Q136" s="200"/>
      <c r="R136" s="200"/>
      <c r="S136" s="200"/>
    </row>
    <row r="137" spans="11:19" x14ac:dyDescent="0.2">
      <c r="K137" s="159">
        <v>129</v>
      </c>
      <c r="L137" s="133">
        <f ca="1">-IF(SUMMARY!$D$21*12&gt;=K137,IPMT(SUMMARY!$D$22/12,K137,SUMMARY!$D$21*12,SUMMARY!$D$20),0)</f>
        <v>316.37529050124277</v>
      </c>
      <c r="M137" s="133">
        <f ca="1">IF(SUMMARY!$D$21*12&gt;=K137,-PPMT(SUMMARY!$D$22/12,K137,SUMMARY!$D$21*12,SUMMARY!$D$20),0)</f>
        <v>286.38158748668735</v>
      </c>
      <c r="N137" s="160">
        <f t="shared" ref="N137:N200" ca="1" si="6">+M137+L137</f>
        <v>602.75687798793012</v>
      </c>
      <c r="P137" s="199"/>
      <c r="Q137" s="200"/>
      <c r="R137" s="200"/>
      <c r="S137" s="200"/>
    </row>
    <row r="138" spans="11:19" x14ac:dyDescent="0.2">
      <c r="K138" s="159">
        <v>130</v>
      </c>
      <c r="L138" s="133">
        <f ca="1">-IF(SUMMARY!$D$21*12&gt;=K138,IPMT(SUMMARY!$D$22/12,K138,SUMMARY!$D$21*12,SUMMARY!$D$20),0)</f>
        <v>314.46607991799829</v>
      </c>
      <c r="M138" s="133">
        <f ca="1">IF(SUMMARY!$D$21*12&gt;=K138,-PPMT(SUMMARY!$D$22/12,K138,SUMMARY!$D$21*12,SUMMARY!$D$20),0)</f>
        <v>288.29079806993184</v>
      </c>
      <c r="N138" s="160">
        <f t="shared" ca="1" si="6"/>
        <v>602.75687798793012</v>
      </c>
      <c r="P138" s="199"/>
      <c r="Q138" s="200"/>
      <c r="R138" s="200"/>
      <c r="S138" s="200"/>
    </row>
    <row r="139" spans="11:19" x14ac:dyDescent="0.2">
      <c r="K139" s="159">
        <v>131</v>
      </c>
      <c r="L139" s="133">
        <f ca="1">-IF(SUMMARY!$D$21*12&gt;=K139,IPMT(SUMMARY!$D$22/12,K139,SUMMARY!$D$21*12,SUMMARY!$D$20),0)</f>
        <v>312.54414126419863</v>
      </c>
      <c r="M139" s="133">
        <f ca="1">IF(SUMMARY!$D$21*12&gt;=K139,-PPMT(SUMMARY!$D$22/12,K139,SUMMARY!$D$21*12,SUMMARY!$D$20),0)</f>
        <v>290.2127367237315</v>
      </c>
      <c r="N139" s="160">
        <f t="shared" ca="1" si="6"/>
        <v>602.75687798793012</v>
      </c>
      <c r="P139" s="199"/>
      <c r="Q139" s="200"/>
      <c r="R139" s="200"/>
      <c r="S139" s="200"/>
    </row>
    <row r="140" spans="11:19" x14ac:dyDescent="0.2">
      <c r="K140" s="159">
        <v>132</v>
      </c>
      <c r="L140" s="133">
        <f ca="1">-IF(SUMMARY!$D$21*12&gt;=K140,IPMT(SUMMARY!$D$22/12,K140,SUMMARY!$D$21*12,SUMMARY!$D$20),0)</f>
        <v>310.60938968604046</v>
      </c>
      <c r="M140" s="133">
        <f ca="1">IF(SUMMARY!$D$21*12&gt;=K140,-PPMT(SUMMARY!$D$22/12,K140,SUMMARY!$D$21*12,SUMMARY!$D$20),0)</f>
        <v>292.14748830188967</v>
      </c>
      <c r="N140" s="160">
        <f t="shared" ca="1" si="6"/>
        <v>602.75687798793012</v>
      </c>
      <c r="P140" s="199"/>
      <c r="Q140" s="200"/>
      <c r="R140" s="200"/>
      <c r="S140" s="200"/>
    </row>
    <row r="141" spans="11:19" x14ac:dyDescent="0.2">
      <c r="K141" s="159">
        <v>133</v>
      </c>
      <c r="L141" s="133">
        <f ca="1">-IF(SUMMARY!$D$21*12&gt;=K141,IPMT(SUMMARY!$D$22/12,K141,SUMMARY!$D$21*12,SUMMARY!$D$20),0)</f>
        <v>308.6617397640278</v>
      </c>
      <c r="M141" s="133">
        <f ca="1">IF(SUMMARY!$D$21*12&gt;=K141,-PPMT(SUMMARY!$D$22/12,K141,SUMMARY!$D$21*12,SUMMARY!$D$20),0)</f>
        <v>294.09513822390232</v>
      </c>
      <c r="N141" s="160">
        <f t="shared" ca="1" si="6"/>
        <v>602.75687798793012</v>
      </c>
      <c r="P141" s="199"/>
      <c r="Q141" s="200"/>
      <c r="R141" s="200"/>
      <c r="S141" s="200"/>
    </row>
    <row r="142" spans="11:19" x14ac:dyDescent="0.2">
      <c r="K142" s="159">
        <v>134</v>
      </c>
      <c r="L142" s="133">
        <f ca="1">-IF(SUMMARY!$D$21*12&gt;=K142,IPMT(SUMMARY!$D$22/12,K142,SUMMARY!$D$21*12,SUMMARY!$D$20),0)</f>
        <v>306.70110550920191</v>
      </c>
      <c r="M142" s="133">
        <f ca="1">IF(SUMMARY!$D$21*12&gt;=K142,-PPMT(SUMMARY!$D$22/12,K142,SUMMARY!$D$21*12,SUMMARY!$D$20),0)</f>
        <v>296.05577247872822</v>
      </c>
      <c r="N142" s="160">
        <f t="shared" ca="1" si="6"/>
        <v>602.75687798793012</v>
      </c>
      <c r="P142" s="199"/>
      <c r="Q142" s="200"/>
      <c r="R142" s="200"/>
      <c r="S142" s="200"/>
    </row>
    <row r="143" spans="11:19" x14ac:dyDescent="0.2">
      <c r="K143" s="159">
        <v>135</v>
      </c>
      <c r="L143" s="133">
        <f ca="1">-IF(SUMMARY!$D$21*12&gt;=K143,IPMT(SUMMARY!$D$22/12,K143,SUMMARY!$D$21*12,SUMMARY!$D$20),0)</f>
        <v>304.72740035934368</v>
      </c>
      <c r="M143" s="133">
        <f ca="1">IF(SUMMARY!$D$21*12&gt;=K143,-PPMT(SUMMARY!$D$22/12,K143,SUMMARY!$D$21*12,SUMMARY!$D$20),0)</f>
        <v>298.02947762858645</v>
      </c>
      <c r="N143" s="160">
        <f t="shared" ca="1" si="6"/>
        <v>602.75687798793012</v>
      </c>
      <c r="P143" s="199"/>
      <c r="Q143" s="200"/>
      <c r="R143" s="200"/>
      <c r="S143" s="200"/>
    </row>
    <row r="144" spans="11:19" x14ac:dyDescent="0.2">
      <c r="K144" s="159">
        <v>136</v>
      </c>
      <c r="L144" s="133">
        <f ca="1">-IF(SUMMARY!$D$21*12&gt;=K144,IPMT(SUMMARY!$D$22/12,K144,SUMMARY!$D$21*12,SUMMARY!$D$20),0)</f>
        <v>302.74053717515295</v>
      </c>
      <c r="M144" s="133">
        <f ca="1">IF(SUMMARY!$D$21*12&gt;=K144,-PPMT(SUMMARY!$D$22/12,K144,SUMMARY!$D$21*12,SUMMARY!$D$20),0)</f>
        <v>300.01634081277717</v>
      </c>
      <c r="N144" s="160">
        <f t="shared" ca="1" si="6"/>
        <v>602.75687798793012</v>
      </c>
      <c r="P144" s="199"/>
      <c r="Q144" s="200"/>
      <c r="R144" s="200"/>
      <c r="S144" s="200"/>
    </row>
    <row r="145" spans="11:19" x14ac:dyDescent="0.2">
      <c r="K145" s="159">
        <v>137</v>
      </c>
      <c r="L145" s="133">
        <f ca="1">-IF(SUMMARY!$D$21*12&gt;=K145,IPMT(SUMMARY!$D$22/12,K145,SUMMARY!$D$21*12,SUMMARY!$D$20),0)</f>
        <v>300.74042823640127</v>
      </c>
      <c r="M145" s="133">
        <f ca="1">IF(SUMMARY!$D$21*12&gt;=K145,-PPMT(SUMMARY!$D$22/12,K145,SUMMARY!$D$21*12,SUMMARY!$D$20),0)</f>
        <v>302.01644975152885</v>
      </c>
      <c r="N145" s="160">
        <f t="shared" ca="1" si="6"/>
        <v>602.75687798793012</v>
      </c>
      <c r="P145" s="199"/>
      <c r="Q145" s="200"/>
      <c r="R145" s="200"/>
      <c r="S145" s="200"/>
    </row>
    <row r="146" spans="11:19" x14ac:dyDescent="0.2">
      <c r="K146" s="159">
        <v>138</v>
      </c>
      <c r="L146" s="133">
        <f ca="1">-IF(SUMMARY!$D$21*12&gt;=K146,IPMT(SUMMARY!$D$22/12,K146,SUMMARY!$D$21*12,SUMMARY!$D$20),0)</f>
        <v>298.72698523805769</v>
      </c>
      <c r="M146" s="133">
        <f ca="1">IF(SUMMARY!$D$21*12&gt;=K146,-PPMT(SUMMARY!$D$22/12,K146,SUMMARY!$D$21*12,SUMMARY!$D$20),0)</f>
        <v>304.02989274987243</v>
      </c>
      <c r="N146" s="160">
        <f t="shared" ca="1" si="6"/>
        <v>602.75687798793012</v>
      </c>
      <c r="P146" s="199"/>
      <c r="Q146" s="200"/>
      <c r="R146" s="200"/>
      <c r="S146" s="200"/>
    </row>
    <row r="147" spans="11:19" x14ac:dyDescent="0.2">
      <c r="K147" s="159">
        <v>139</v>
      </c>
      <c r="L147" s="133">
        <f ca="1">-IF(SUMMARY!$D$21*12&gt;=K147,IPMT(SUMMARY!$D$22/12,K147,SUMMARY!$D$21*12,SUMMARY!$D$20),0)</f>
        <v>296.70011928639224</v>
      </c>
      <c r="M147" s="133">
        <f ca="1">IF(SUMMARY!$D$21*12&gt;=K147,-PPMT(SUMMARY!$D$22/12,K147,SUMMARY!$D$21*12,SUMMARY!$D$20),0)</f>
        <v>306.05675870153789</v>
      </c>
      <c r="N147" s="160">
        <f t="shared" ca="1" si="6"/>
        <v>602.75687798793012</v>
      </c>
      <c r="P147" s="199"/>
      <c r="Q147" s="200"/>
      <c r="R147" s="200"/>
      <c r="S147" s="200"/>
    </row>
    <row r="148" spans="11:19" x14ac:dyDescent="0.2">
      <c r="K148" s="159">
        <v>140</v>
      </c>
      <c r="L148" s="133">
        <f ca="1">-IF(SUMMARY!$D$21*12&gt;=K148,IPMT(SUMMARY!$D$22/12,K148,SUMMARY!$D$21*12,SUMMARY!$D$20),0)</f>
        <v>294.65974089504863</v>
      </c>
      <c r="M148" s="133">
        <f ca="1">IF(SUMMARY!$D$21*12&gt;=K148,-PPMT(SUMMARY!$D$22/12,K148,SUMMARY!$D$21*12,SUMMARY!$D$20),0)</f>
        <v>308.0971370928815</v>
      </c>
      <c r="N148" s="160">
        <f t="shared" ca="1" si="6"/>
        <v>602.75687798793012</v>
      </c>
      <c r="P148" s="199"/>
      <c r="Q148" s="200"/>
      <c r="R148" s="200"/>
      <c r="S148" s="200"/>
    </row>
    <row r="149" spans="11:19" x14ac:dyDescent="0.2">
      <c r="K149" s="159">
        <v>141</v>
      </c>
      <c r="L149" s="133">
        <f ca="1">-IF(SUMMARY!$D$21*12&gt;=K149,IPMT(SUMMARY!$D$22/12,K149,SUMMARY!$D$21*12,SUMMARY!$D$20),0)</f>
        <v>292.60575998109613</v>
      </c>
      <c r="M149" s="133">
        <f ca="1">IF(SUMMARY!$D$21*12&gt;=K149,-PPMT(SUMMARY!$D$22/12,K149,SUMMARY!$D$21*12,SUMMARY!$D$20),0)</f>
        <v>310.151118006834</v>
      </c>
      <c r="N149" s="160">
        <f t="shared" ca="1" si="6"/>
        <v>602.75687798793012</v>
      </c>
      <c r="P149" s="199"/>
      <c r="Q149" s="200"/>
      <c r="R149" s="200"/>
      <c r="S149" s="200"/>
    </row>
    <row r="150" spans="11:19" x14ac:dyDescent="0.2">
      <c r="K150" s="159">
        <v>142</v>
      </c>
      <c r="L150" s="133">
        <f ca="1">-IF(SUMMARY!$D$21*12&gt;=K150,IPMT(SUMMARY!$D$22/12,K150,SUMMARY!$D$21*12,SUMMARY!$D$20),0)</f>
        <v>290.53808586105026</v>
      </c>
      <c r="M150" s="133">
        <f ca="1">IF(SUMMARY!$D$21*12&gt;=K150,-PPMT(SUMMARY!$D$22/12,K150,SUMMARY!$D$21*12,SUMMARY!$D$20),0)</f>
        <v>312.21879212687986</v>
      </c>
      <c r="N150" s="160">
        <f t="shared" ca="1" si="6"/>
        <v>602.75687798793012</v>
      </c>
      <c r="P150" s="199"/>
      <c r="Q150" s="200"/>
      <c r="R150" s="200"/>
      <c r="S150" s="200"/>
    </row>
    <row r="151" spans="11:19" x14ac:dyDescent="0.2">
      <c r="K151" s="159">
        <v>143</v>
      </c>
      <c r="L151" s="133">
        <f ca="1">-IF(SUMMARY!$D$21*12&gt;=K151,IPMT(SUMMARY!$D$22/12,K151,SUMMARY!$D$21*12,SUMMARY!$D$20),0)</f>
        <v>288.45662724687116</v>
      </c>
      <c r="M151" s="133">
        <f ca="1">IF(SUMMARY!$D$21*12&gt;=K151,-PPMT(SUMMARY!$D$22/12,K151,SUMMARY!$D$21*12,SUMMARY!$D$20),0)</f>
        <v>314.30025074105896</v>
      </c>
      <c r="N151" s="160">
        <f t="shared" ca="1" si="6"/>
        <v>602.75687798793012</v>
      </c>
      <c r="P151" s="199"/>
      <c r="Q151" s="200"/>
      <c r="R151" s="200"/>
      <c r="S151" s="200"/>
    </row>
    <row r="152" spans="11:19" x14ac:dyDescent="0.2">
      <c r="K152" s="159">
        <v>144</v>
      </c>
      <c r="L152" s="133">
        <f ca="1">-IF(SUMMARY!$D$21*12&gt;=K152,IPMT(SUMMARY!$D$22/12,K152,SUMMARY!$D$21*12,SUMMARY!$D$20),0)</f>
        <v>286.36129224193093</v>
      </c>
      <c r="M152" s="133">
        <f ca="1">IF(SUMMARY!$D$21*12&gt;=K152,-PPMT(SUMMARY!$D$22/12,K152,SUMMARY!$D$21*12,SUMMARY!$D$20),0)</f>
        <v>316.3955857459992</v>
      </c>
      <c r="N152" s="160">
        <f t="shared" ca="1" si="6"/>
        <v>602.75687798793012</v>
      </c>
      <c r="P152" s="199"/>
      <c r="Q152" s="200"/>
      <c r="R152" s="200"/>
      <c r="S152" s="200"/>
    </row>
    <row r="153" spans="11:19" x14ac:dyDescent="0.2">
      <c r="K153" s="159">
        <v>145</v>
      </c>
      <c r="L153" s="133">
        <f ca="1">-IF(SUMMARY!$D$21*12&gt;=K153,IPMT(SUMMARY!$D$22/12,K153,SUMMARY!$D$21*12,SUMMARY!$D$20),0)</f>
        <v>284.25198833695748</v>
      </c>
      <c r="M153" s="133">
        <f ca="1">IF(SUMMARY!$D$21*12&gt;=K153,-PPMT(SUMMARY!$D$22/12,K153,SUMMARY!$D$21*12,SUMMARY!$D$20),0)</f>
        <v>318.50488965097264</v>
      </c>
      <c r="N153" s="160">
        <f t="shared" ca="1" si="6"/>
        <v>602.75687798793012</v>
      </c>
      <c r="P153" s="199"/>
      <c r="Q153" s="200"/>
      <c r="R153" s="200"/>
      <c r="S153" s="200"/>
    </row>
    <row r="154" spans="11:19" x14ac:dyDescent="0.2">
      <c r="K154" s="159">
        <v>146</v>
      </c>
      <c r="L154" s="133">
        <f ca="1">-IF(SUMMARY!$D$21*12&gt;=K154,IPMT(SUMMARY!$D$22/12,K154,SUMMARY!$D$21*12,SUMMARY!$D$20),0)</f>
        <v>282.12862240595086</v>
      </c>
      <c r="M154" s="133">
        <f ca="1">IF(SUMMARY!$D$21*12&gt;=K154,-PPMT(SUMMARY!$D$22/12,K154,SUMMARY!$D$21*12,SUMMARY!$D$20),0)</f>
        <v>320.62825558197926</v>
      </c>
      <c r="N154" s="160">
        <f t="shared" ca="1" si="6"/>
        <v>602.75687798793012</v>
      </c>
      <c r="P154" s="199"/>
      <c r="Q154" s="200"/>
      <c r="R154" s="200"/>
      <c r="S154" s="200"/>
    </row>
    <row r="155" spans="11:19" x14ac:dyDescent="0.2">
      <c r="K155" s="159">
        <v>147</v>
      </c>
      <c r="L155" s="133">
        <f ca="1">-IF(SUMMARY!$D$21*12&gt;=K155,IPMT(SUMMARY!$D$22/12,K155,SUMMARY!$D$21*12,SUMMARY!$D$20),0)</f>
        <v>279.99110070207138</v>
      </c>
      <c r="M155" s="133">
        <f ca="1">IF(SUMMARY!$D$21*12&gt;=K155,-PPMT(SUMMARY!$D$22/12,K155,SUMMARY!$D$21*12,SUMMARY!$D$20),0)</f>
        <v>322.76577728585875</v>
      </c>
      <c r="N155" s="160">
        <f t="shared" ca="1" si="6"/>
        <v>602.75687798793012</v>
      </c>
      <c r="P155" s="199"/>
      <c r="Q155" s="200"/>
      <c r="R155" s="200"/>
      <c r="S155" s="200"/>
    </row>
    <row r="156" spans="11:19" x14ac:dyDescent="0.2">
      <c r="K156" s="159">
        <v>148</v>
      </c>
      <c r="L156" s="133">
        <f ca="1">-IF(SUMMARY!$D$21*12&gt;=K156,IPMT(SUMMARY!$D$22/12,K156,SUMMARY!$D$21*12,SUMMARY!$D$20),0)</f>
        <v>277.83932885349867</v>
      </c>
      <c r="M156" s="133">
        <f ca="1">IF(SUMMARY!$D$21*12&gt;=K156,-PPMT(SUMMARY!$D$22/12,K156,SUMMARY!$D$21*12,SUMMARY!$D$20),0)</f>
        <v>324.91754913443145</v>
      </c>
      <c r="N156" s="160">
        <f t="shared" ca="1" si="6"/>
        <v>602.75687798793012</v>
      </c>
      <c r="P156" s="199"/>
      <c r="Q156" s="200"/>
      <c r="R156" s="200"/>
      <c r="S156" s="200"/>
    </row>
    <row r="157" spans="11:19" x14ac:dyDescent="0.2">
      <c r="K157" s="159">
        <v>149</v>
      </c>
      <c r="L157" s="133">
        <f ca="1">-IF(SUMMARY!$D$21*12&gt;=K157,IPMT(SUMMARY!$D$22/12,K157,SUMMARY!$D$21*12,SUMMARY!$D$20),0)</f>
        <v>275.67321185926949</v>
      </c>
      <c r="M157" s="133">
        <f ca="1">IF(SUMMARY!$D$21*12&gt;=K157,-PPMT(SUMMARY!$D$22/12,K157,SUMMARY!$D$21*12,SUMMARY!$D$20),0)</f>
        <v>327.08366612866064</v>
      </c>
      <c r="N157" s="160">
        <f t="shared" ca="1" si="6"/>
        <v>602.75687798793012</v>
      </c>
      <c r="P157" s="199"/>
      <c r="Q157" s="200"/>
      <c r="R157" s="200"/>
      <c r="S157" s="200"/>
    </row>
    <row r="158" spans="11:19" x14ac:dyDescent="0.2">
      <c r="K158" s="159">
        <v>150</v>
      </c>
      <c r="L158" s="133">
        <f ca="1">-IF(SUMMARY!$D$21*12&gt;=K158,IPMT(SUMMARY!$D$22/12,K158,SUMMARY!$D$21*12,SUMMARY!$D$20),0)</f>
        <v>273.49265408507824</v>
      </c>
      <c r="M158" s="133">
        <f ca="1">IF(SUMMARY!$D$21*12&gt;=K158,-PPMT(SUMMARY!$D$22/12,K158,SUMMARY!$D$21*12,SUMMARY!$D$20),0)</f>
        <v>329.26422390285188</v>
      </c>
      <c r="N158" s="160">
        <f t="shared" ca="1" si="6"/>
        <v>602.75687798793012</v>
      </c>
      <c r="P158" s="199"/>
      <c r="Q158" s="200"/>
      <c r="R158" s="200"/>
      <c r="S158" s="200"/>
    </row>
    <row r="159" spans="11:19" x14ac:dyDescent="0.2">
      <c r="K159" s="159">
        <v>151</v>
      </c>
      <c r="L159" s="133">
        <f ca="1">-IF(SUMMARY!$D$21*12&gt;=K159,IPMT(SUMMARY!$D$22/12,K159,SUMMARY!$D$21*12,SUMMARY!$D$20),0)</f>
        <v>271.29755925905914</v>
      </c>
      <c r="M159" s="133">
        <f ca="1">IF(SUMMARY!$D$21*12&gt;=K159,-PPMT(SUMMARY!$D$22/12,K159,SUMMARY!$D$21*12,SUMMARY!$D$20),0)</f>
        <v>331.45931872887098</v>
      </c>
      <c r="N159" s="160">
        <f t="shared" ca="1" si="6"/>
        <v>602.75687798793012</v>
      </c>
      <c r="P159" s="199"/>
      <c r="Q159" s="200"/>
      <c r="R159" s="200"/>
      <c r="S159" s="200"/>
    </row>
    <row r="160" spans="11:19" x14ac:dyDescent="0.2">
      <c r="K160" s="159">
        <v>152</v>
      </c>
      <c r="L160" s="133">
        <f ca="1">-IF(SUMMARY!$D$21*12&gt;=K160,IPMT(SUMMARY!$D$22/12,K160,SUMMARY!$D$21*12,SUMMARY!$D$20),0)</f>
        <v>269.08783046753359</v>
      </c>
      <c r="M160" s="133">
        <f ca="1">IF(SUMMARY!$D$21*12&gt;=K160,-PPMT(SUMMARY!$D$22/12,K160,SUMMARY!$D$21*12,SUMMARY!$D$20),0)</f>
        <v>333.66904752039653</v>
      </c>
      <c r="N160" s="160">
        <f t="shared" ca="1" si="6"/>
        <v>602.75687798793012</v>
      </c>
      <c r="P160" s="199"/>
      <c r="Q160" s="200"/>
      <c r="R160" s="200"/>
      <c r="S160" s="200"/>
    </row>
    <row r="161" spans="11:19" x14ac:dyDescent="0.2">
      <c r="K161" s="159">
        <v>153</v>
      </c>
      <c r="L161" s="133">
        <f ca="1">-IF(SUMMARY!$D$21*12&gt;=K161,IPMT(SUMMARY!$D$22/12,K161,SUMMARY!$D$21*12,SUMMARY!$D$20),0)</f>
        <v>266.86337015073087</v>
      </c>
      <c r="M161" s="133">
        <f ca="1">IF(SUMMARY!$D$21*12&gt;=K161,-PPMT(SUMMARY!$D$22/12,K161,SUMMARY!$D$21*12,SUMMARY!$D$20),0)</f>
        <v>335.89350783719925</v>
      </c>
      <c r="N161" s="160">
        <f t="shared" ca="1" si="6"/>
        <v>602.75687798793012</v>
      </c>
      <c r="P161" s="199"/>
      <c r="Q161" s="200"/>
      <c r="R161" s="200"/>
      <c r="S161" s="200"/>
    </row>
    <row r="162" spans="11:19" x14ac:dyDescent="0.2">
      <c r="K162" s="159">
        <v>154</v>
      </c>
      <c r="L162" s="133">
        <f ca="1">-IF(SUMMARY!$D$21*12&gt;=K162,IPMT(SUMMARY!$D$22/12,K162,SUMMARY!$D$21*12,SUMMARY!$D$20),0)</f>
        <v>264.62408009848286</v>
      </c>
      <c r="M162" s="133">
        <f ca="1">IF(SUMMARY!$D$21*12&gt;=K162,-PPMT(SUMMARY!$D$22/12,K162,SUMMARY!$D$21*12,SUMMARY!$D$20),0)</f>
        <v>338.13279788944726</v>
      </c>
      <c r="N162" s="160">
        <f t="shared" ca="1" si="6"/>
        <v>602.75687798793012</v>
      </c>
      <c r="P162" s="199"/>
      <c r="Q162" s="200"/>
      <c r="R162" s="200"/>
      <c r="S162" s="200"/>
    </row>
    <row r="163" spans="11:19" x14ac:dyDescent="0.2">
      <c r="K163" s="159">
        <v>155</v>
      </c>
      <c r="L163" s="133">
        <f ca="1">-IF(SUMMARY!$D$21*12&gt;=K163,IPMT(SUMMARY!$D$22/12,K163,SUMMARY!$D$21*12,SUMMARY!$D$20),0)</f>
        <v>262.36986144588661</v>
      </c>
      <c r="M163" s="133">
        <f ca="1">IF(SUMMARY!$D$21*12&gt;=K163,-PPMT(SUMMARY!$D$22/12,K163,SUMMARY!$D$21*12,SUMMARY!$D$20),0)</f>
        <v>340.38701654204351</v>
      </c>
      <c r="N163" s="160">
        <f t="shared" ca="1" si="6"/>
        <v>602.75687798793012</v>
      </c>
      <c r="P163" s="199"/>
      <c r="Q163" s="200"/>
      <c r="R163" s="200"/>
      <c r="S163" s="200"/>
    </row>
    <row r="164" spans="11:19" x14ac:dyDescent="0.2">
      <c r="K164" s="159">
        <v>156</v>
      </c>
      <c r="L164" s="133">
        <f ca="1">-IF(SUMMARY!$D$21*12&gt;=K164,IPMT(SUMMARY!$D$22/12,K164,SUMMARY!$D$21*12,SUMMARY!$D$20),0)</f>
        <v>260.10061466893978</v>
      </c>
      <c r="M164" s="133">
        <f ca="1">IF(SUMMARY!$D$21*12&gt;=K164,-PPMT(SUMMARY!$D$22/12,K164,SUMMARY!$D$21*12,SUMMARY!$D$20),0)</f>
        <v>342.65626331899034</v>
      </c>
      <c r="N164" s="160">
        <f t="shared" ca="1" si="6"/>
        <v>602.75687798793012</v>
      </c>
      <c r="P164" s="199"/>
      <c r="Q164" s="200"/>
      <c r="R164" s="200"/>
      <c r="S164" s="200"/>
    </row>
    <row r="165" spans="11:19" x14ac:dyDescent="0.2">
      <c r="K165" s="159">
        <v>157</v>
      </c>
      <c r="L165" s="133">
        <f ca="1">-IF(SUMMARY!$D$21*12&gt;=K165,IPMT(SUMMARY!$D$22/12,K165,SUMMARY!$D$21*12,SUMMARY!$D$20),0)</f>
        <v>257.81623958014632</v>
      </c>
      <c r="M165" s="133">
        <f ca="1">IF(SUMMARY!$D$21*12&gt;=K165,-PPMT(SUMMARY!$D$22/12,K165,SUMMARY!$D$21*12,SUMMARY!$D$20),0)</f>
        <v>344.94063840778381</v>
      </c>
      <c r="N165" s="160">
        <f t="shared" ca="1" si="6"/>
        <v>602.75687798793012</v>
      </c>
      <c r="P165" s="199"/>
      <c r="Q165" s="200"/>
      <c r="R165" s="200"/>
      <c r="S165" s="200"/>
    </row>
    <row r="166" spans="11:19" x14ac:dyDescent="0.2">
      <c r="K166" s="159">
        <v>158</v>
      </c>
      <c r="L166" s="133">
        <f ca="1">-IF(SUMMARY!$D$21*12&gt;=K166,IPMT(SUMMARY!$D$22/12,K166,SUMMARY!$D$21*12,SUMMARY!$D$20),0)</f>
        <v>255.51663532409449</v>
      </c>
      <c r="M166" s="133">
        <f ca="1">IF(SUMMARY!$D$21*12&gt;=K166,-PPMT(SUMMARY!$D$22/12,K166,SUMMARY!$D$21*12,SUMMARY!$D$20),0)</f>
        <v>347.2402426638356</v>
      </c>
      <c r="N166" s="160">
        <f t="shared" ca="1" si="6"/>
        <v>602.75687798793012</v>
      </c>
      <c r="P166" s="199"/>
      <c r="Q166" s="200"/>
      <c r="R166" s="200"/>
      <c r="S166" s="200"/>
    </row>
    <row r="167" spans="11:19" x14ac:dyDescent="0.2">
      <c r="K167" s="159">
        <v>159</v>
      </c>
      <c r="L167" s="133">
        <f ca="1">-IF(SUMMARY!$D$21*12&gt;=K167,IPMT(SUMMARY!$D$22/12,K167,SUMMARY!$D$21*12,SUMMARY!$D$20),0)</f>
        <v>253.2017003730023</v>
      </c>
      <c r="M167" s="133">
        <f ca="1">IF(SUMMARY!$D$21*12&gt;=K167,-PPMT(SUMMARY!$D$22/12,K167,SUMMARY!$D$21*12,SUMMARY!$D$20),0)</f>
        <v>349.55517761492786</v>
      </c>
      <c r="N167" s="160">
        <f t="shared" ca="1" si="6"/>
        <v>602.75687798793012</v>
      </c>
      <c r="P167" s="199"/>
      <c r="Q167" s="200"/>
      <c r="R167" s="200"/>
      <c r="S167" s="200"/>
    </row>
    <row r="168" spans="11:19" x14ac:dyDescent="0.2">
      <c r="K168" s="159">
        <v>160</v>
      </c>
      <c r="L168" s="133">
        <f ca="1">-IF(SUMMARY!$D$21*12&gt;=K168,IPMT(SUMMARY!$D$22/12,K168,SUMMARY!$D$21*12,SUMMARY!$D$20),0)</f>
        <v>250.87133252223606</v>
      </c>
      <c r="M168" s="133">
        <f ca="1">IF(SUMMARY!$D$21*12&gt;=K168,-PPMT(SUMMARY!$D$22/12,K168,SUMMARY!$D$21*12,SUMMARY!$D$20),0)</f>
        <v>351.88554546569407</v>
      </c>
      <c r="N168" s="160">
        <f t="shared" ca="1" si="6"/>
        <v>602.75687798793012</v>
      </c>
      <c r="P168" s="199"/>
      <c r="Q168" s="200"/>
      <c r="R168" s="200"/>
      <c r="S168" s="200"/>
    </row>
    <row r="169" spans="11:19" x14ac:dyDescent="0.2">
      <c r="K169" s="159">
        <v>161</v>
      </c>
      <c r="L169" s="133">
        <f ca="1">-IF(SUMMARY!$D$21*12&gt;=K169,IPMT(SUMMARY!$D$22/12,K169,SUMMARY!$D$21*12,SUMMARY!$D$20),0)</f>
        <v>248.52542888579833</v>
      </c>
      <c r="M169" s="133">
        <f ca="1">IF(SUMMARY!$D$21*12&gt;=K169,-PPMT(SUMMARY!$D$22/12,K169,SUMMARY!$D$21*12,SUMMARY!$D$20),0)</f>
        <v>354.23144910213182</v>
      </c>
      <c r="N169" s="160">
        <f t="shared" ca="1" si="6"/>
        <v>602.75687798793012</v>
      </c>
      <c r="P169" s="199"/>
      <c r="Q169" s="200"/>
      <c r="R169" s="200"/>
      <c r="S169" s="200"/>
    </row>
    <row r="170" spans="11:19" x14ac:dyDescent="0.2">
      <c r="K170" s="159">
        <v>162</v>
      </c>
      <c r="L170" s="133">
        <f ca="1">-IF(SUMMARY!$D$21*12&gt;=K170,IPMT(SUMMARY!$D$22/12,K170,SUMMARY!$D$21*12,SUMMARY!$D$20),0)</f>
        <v>246.16388589178388</v>
      </c>
      <c r="M170" s="133">
        <f ca="1">IF(SUMMARY!$D$21*12&gt;=K170,-PPMT(SUMMARY!$D$22/12,K170,SUMMARY!$D$21*12,SUMMARY!$D$20),0)</f>
        <v>356.59299209614625</v>
      </c>
      <c r="N170" s="160">
        <f t="shared" ca="1" si="6"/>
        <v>602.75687798793012</v>
      </c>
      <c r="P170" s="199"/>
      <c r="Q170" s="200"/>
      <c r="R170" s="200"/>
      <c r="S170" s="200"/>
    </row>
    <row r="171" spans="11:19" x14ac:dyDescent="0.2">
      <c r="K171" s="159">
        <v>163</v>
      </c>
      <c r="L171" s="133">
        <f ca="1">-IF(SUMMARY!$D$21*12&gt;=K171,IPMT(SUMMARY!$D$22/12,K171,SUMMARY!$D$21*12,SUMMARY!$D$20),0)</f>
        <v>243.78659927780976</v>
      </c>
      <c r="M171" s="133">
        <f ca="1">IF(SUMMARY!$D$21*12&gt;=K171,-PPMT(SUMMARY!$D$22/12,K171,SUMMARY!$D$21*12,SUMMARY!$D$20),0)</f>
        <v>358.9702787101204</v>
      </c>
      <c r="N171" s="160">
        <f t="shared" ca="1" si="6"/>
        <v>602.75687798793012</v>
      </c>
      <c r="P171" s="199"/>
      <c r="Q171" s="200"/>
      <c r="R171" s="200"/>
      <c r="S171" s="200"/>
    </row>
    <row r="172" spans="11:19" x14ac:dyDescent="0.2">
      <c r="K172" s="159">
        <v>164</v>
      </c>
      <c r="L172" s="133">
        <f ca="1">-IF(SUMMARY!$D$21*12&gt;=K172,IPMT(SUMMARY!$D$22/12,K172,SUMMARY!$D$21*12,SUMMARY!$D$20),0)</f>
        <v>241.3934640864091</v>
      </c>
      <c r="M172" s="133">
        <f ca="1">IF(SUMMARY!$D$21*12&gt;=K172,-PPMT(SUMMARY!$D$22/12,K172,SUMMARY!$D$21*12,SUMMARY!$D$20),0)</f>
        <v>361.36341390152103</v>
      </c>
      <c r="N172" s="160">
        <f t="shared" ca="1" si="6"/>
        <v>602.75687798793012</v>
      </c>
      <c r="P172" s="199"/>
      <c r="Q172" s="200"/>
      <c r="R172" s="200"/>
      <c r="S172" s="200"/>
    </row>
    <row r="173" spans="11:19" x14ac:dyDescent="0.2">
      <c r="K173" s="159">
        <v>165</v>
      </c>
      <c r="L173" s="133">
        <f ca="1">-IF(SUMMARY!$D$21*12&gt;=K173,IPMT(SUMMARY!$D$22/12,K173,SUMMARY!$D$21*12,SUMMARY!$D$20),0)</f>
        <v>238.98437466039886</v>
      </c>
      <c r="M173" s="133">
        <f ca="1">IF(SUMMARY!$D$21*12&gt;=K173,-PPMT(SUMMARY!$D$22/12,K173,SUMMARY!$D$21*12,SUMMARY!$D$20),0)</f>
        <v>363.77250332753124</v>
      </c>
      <c r="N173" s="160">
        <f t="shared" ca="1" si="6"/>
        <v>602.75687798793012</v>
      </c>
      <c r="P173" s="199"/>
      <c r="Q173" s="200"/>
      <c r="R173" s="200"/>
      <c r="S173" s="200"/>
    </row>
    <row r="174" spans="11:19" x14ac:dyDescent="0.2">
      <c r="K174" s="159">
        <v>166</v>
      </c>
      <c r="L174" s="133">
        <f ca="1">-IF(SUMMARY!$D$21*12&gt;=K174,IPMT(SUMMARY!$D$22/12,K174,SUMMARY!$D$21*12,SUMMARY!$D$20),0)</f>
        <v>236.5592246382154</v>
      </c>
      <c r="M174" s="133">
        <f ca="1">IF(SUMMARY!$D$21*12&gt;=K174,-PPMT(SUMMARY!$D$22/12,K174,SUMMARY!$D$21*12,SUMMARY!$D$20),0)</f>
        <v>366.19765334971476</v>
      </c>
      <c r="N174" s="160">
        <f t="shared" ca="1" si="6"/>
        <v>602.75687798793012</v>
      </c>
      <c r="P174" s="199"/>
      <c r="Q174" s="200"/>
      <c r="R174" s="200"/>
      <c r="S174" s="200"/>
    </row>
    <row r="175" spans="11:19" x14ac:dyDescent="0.2">
      <c r="K175" s="159">
        <v>167</v>
      </c>
      <c r="L175" s="133">
        <f ca="1">-IF(SUMMARY!$D$21*12&gt;=K175,IPMT(SUMMARY!$D$22/12,K175,SUMMARY!$D$21*12,SUMMARY!$D$20),0)</f>
        <v>234.11790694921726</v>
      </c>
      <c r="M175" s="133">
        <f ca="1">IF(SUMMARY!$D$21*12&gt;=K175,-PPMT(SUMMARY!$D$22/12,K175,SUMMARY!$D$21*12,SUMMARY!$D$20),0)</f>
        <v>368.63897103871284</v>
      </c>
      <c r="N175" s="160">
        <f t="shared" ca="1" si="6"/>
        <v>602.75687798793012</v>
      </c>
      <c r="P175" s="199"/>
      <c r="Q175" s="200"/>
      <c r="R175" s="200"/>
      <c r="S175" s="200"/>
    </row>
    <row r="176" spans="11:19" x14ac:dyDescent="0.2">
      <c r="K176" s="159">
        <v>168</v>
      </c>
      <c r="L176" s="133">
        <f ca="1">-IF(SUMMARY!$D$21*12&gt;=K176,IPMT(SUMMARY!$D$22/12,K176,SUMMARY!$D$21*12,SUMMARY!$D$20),0)</f>
        <v>231.66031380895916</v>
      </c>
      <c r="M176" s="133">
        <f ca="1">IF(SUMMARY!$D$21*12&gt;=K176,-PPMT(SUMMARY!$D$22/12,K176,SUMMARY!$D$21*12,SUMMARY!$D$20),0)</f>
        <v>371.09656417897099</v>
      </c>
      <c r="N176" s="160">
        <f t="shared" ca="1" si="6"/>
        <v>602.75687798793012</v>
      </c>
      <c r="P176" s="199"/>
      <c r="Q176" s="200"/>
      <c r="R176" s="200"/>
      <c r="S176" s="200"/>
    </row>
    <row r="177" spans="11:19" x14ac:dyDescent="0.2">
      <c r="K177" s="159">
        <v>169</v>
      </c>
      <c r="L177" s="133">
        <f ca="1">-IF(SUMMARY!$D$21*12&gt;=K177,IPMT(SUMMARY!$D$22/12,K177,SUMMARY!$D$21*12,SUMMARY!$D$20),0)</f>
        <v>229.18633671443271</v>
      </c>
      <c r="M177" s="133">
        <f ca="1">IF(SUMMARY!$D$21*12&gt;=K177,-PPMT(SUMMARY!$D$22/12,K177,SUMMARY!$D$21*12,SUMMARY!$D$20),0)</f>
        <v>373.57054127349738</v>
      </c>
      <c r="N177" s="160">
        <f t="shared" ca="1" si="6"/>
        <v>602.75687798793012</v>
      </c>
      <c r="P177" s="199"/>
      <c r="Q177" s="200"/>
      <c r="R177" s="200"/>
      <c r="S177" s="200"/>
    </row>
    <row r="178" spans="11:19" x14ac:dyDescent="0.2">
      <c r="K178" s="159">
        <v>170</v>
      </c>
      <c r="L178" s="133">
        <f ca="1">-IF(SUMMARY!$D$21*12&gt;=K178,IPMT(SUMMARY!$D$22/12,K178,SUMMARY!$D$21*12,SUMMARY!$D$20),0)</f>
        <v>226.69586643927616</v>
      </c>
      <c r="M178" s="133">
        <f ca="1">IF(SUMMARY!$D$21*12&gt;=K178,-PPMT(SUMMARY!$D$22/12,K178,SUMMARY!$D$21*12,SUMMARY!$D$20),0)</f>
        <v>376.06101154865394</v>
      </c>
      <c r="N178" s="160">
        <f t="shared" ca="1" si="6"/>
        <v>602.75687798793012</v>
      </c>
      <c r="P178" s="199"/>
      <c r="Q178" s="200"/>
      <c r="R178" s="200"/>
      <c r="S178" s="200"/>
    </row>
    <row r="179" spans="11:19" x14ac:dyDescent="0.2">
      <c r="K179" s="159">
        <v>171</v>
      </c>
      <c r="L179" s="133">
        <f ca="1">-IF(SUMMARY!$D$21*12&gt;=K179,IPMT(SUMMARY!$D$22/12,K179,SUMMARY!$D$21*12,SUMMARY!$D$20),0)</f>
        <v>224.18879302895164</v>
      </c>
      <c r="M179" s="133">
        <f ca="1">IF(SUMMARY!$D$21*12&gt;=K179,-PPMT(SUMMARY!$D$22/12,K179,SUMMARY!$D$21*12,SUMMARY!$D$20),0)</f>
        <v>378.56808495897849</v>
      </c>
      <c r="N179" s="160">
        <f t="shared" ca="1" si="6"/>
        <v>602.75687798793012</v>
      </c>
      <c r="P179" s="199"/>
      <c r="Q179" s="200"/>
      <c r="R179" s="200"/>
      <c r="S179" s="200"/>
    </row>
    <row r="180" spans="11:19" x14ac:dyDescent="0.2">
      <c r="K180" s="159">
        <v>172</v>
      </c>
      <c r="L180" s="133">
        <f ca="1">-IF(SUMMARY!$D$21*12&gt;=K180,IPMT(SUMMARY!$D$22/12,K180,SUMMARY!$D$21*12,SUMMARY!$D$20),0)</f>
        <v>221.66500579589203</v>
      </c>
      <c r="M180" s="133">
        <f ca="1">IF(SUMMARY!$D$21*12&gt;=K180,-PPMT(SUMMARY!$D$22/12,K180,SUMMARY!$D$21*12,SUMMARY!$D$20),0)</f>
        <v>381.09187219203807</v>
      </c>
      <c r="N180" s="160">
        <f t="shared" ca="1" si="6"/>
        <v>602.75687798793012</v>
      </c>
      <c r="P180" s="199"/>
      <c r="Q180" s="200"/>
      <c r="R180" s="200"/>
      <c r="S180" s="200"/>
    </row>
    <row r="181" spans="11:19" x14ac:dyDescent="0.2">
      <c r="K181" s="159">
        <v>173</v>
      </c>
      <c r="L181" s="133">
        <f ca="1">-IF(SUMMARY!$D$21*12&gt;=K181,IPMT(SUMMARY!$D$22/12,K181,SUMMARY!$D$21*12,SUMMARY!$D$20),0)</f>
        <v>219.12439331461152</v>
      </c>
      <c r="M181" s="133">
        <f ca="1">IF(SUMMARY!$D$21*12&gt;=K181,-PPMT(SUMMARY!$D$22/12,K181,SUMMARY!$D$21*12,SUMMARY!$D$20),0)</f>
        <v>383.63248467331857</v>
      </c>
      <c r="N181" s="160">
        <f t="shared" ca="1" si="6"/>
        <v>602.75687798793012</v>
      </c>
      <c r="P181" s="199"/>
      <c r="Q181" s="200"/>
      <c r="R181" s="200"/>
      <c r="S181" s="200"/>
    </row>
    <row r="182" spans="11:19" x14ac:dyDescent="0.2">
      <c r="K182" s="159">
        <v>174</v>
      </c>
      <c r="L182" s="133">
        <f ca="1">-IF(SUMMARY!$D$21*12&gt;=K182,IPMT(SUMMARY!$D$22/12,K182,SUMMARY!$D$21*12,SUMMARY!$D$20),0)</f>
        <v>216.5668434167896</v>
      </c>
      <c r="M182" s="133">
        <f ca="1">IF(SUMMARY!$D$21*12&gt;=K182,-PPMT(SUMMARY!$D$22/12,K182,SUMMARY!$D$21*12,SUMMARY!$D$20),0)</f>
        <v>386.19003457114053</v>
      </c>
      <c r="N182" s="160">
        <f t="shared" ca="1" si="6"/>
        <v>602.75687798793012</v>
      </c>
      <c r="P182" s="199"/>
      <c r="Q182" s="200"/>
      <c r="R182" s="200"/>
      <c r="S182" s="200"/>
    </row>
    <row r="183" spans="11:19" x14ac:dyDescent="0.2">
      <c r="K183" s="159">
        <v>175</v>
      </c>
      <c r="L183" s="133">
        <f ca="1">-IF(SUMMARY!$D$21*12&gt;=K183,IPMT(SUMMARY!$D$22/12,K183,SUMMARY!$D$21*12,SUMMARY!$D$20),0)</f>
        <v>213.99224318631539</v>
      </c>
      <c r="M183" s="133">
        <f ca="1">IF(SUMMARY!$D$21*12&gt;=K183,-PPMT(SUMMARY!$D$22/12,K183,SUMMARY!$D$21*12,SUMMARY!$D$20),0)</f>
        <v>388.76463480161476</v>
      </c>
      <c r="N183" s="160">
        <f t="shared" ca="1" si="6"/>
        <v>602.75687798793012</v>
      </c>
      <c r="P183" s="199"/>
      <c r="Q183" s="200"/>
      <c r="R183" s="200"/>
      <c r="S183" s="200"/>
    </row>
    <row r="184" spans="11:19" x14ac:dyDescent="0.2">
      <c r="K184" s="159">
        <v>176</v>
      </c>
      <c r="L184" s="133">
        <f ca="1">-IF(SUMMARY!$D$21*12&gt;=K184,IPMT(SUMMARY!$D$22/12,K184,SUMMARY!$D$21*12,SUMMARY!$D$20),0)</f>
        <v>211.40047895430453</v>
      </c>
      <c r="M184" s="133">
        <f ca="1">IF(SUMMARY!$D$21*12&gt;=K184,-PPMT(SUMMARY!$D$22/12,K184,SUMMARY!$D$21*12,SUMMARY!$D$20),0)</f>
        <v>391.35639903362562</v>
      </c>
      <c r="N184" s="160">
        <f t="shared" ca="1" si="6"/>
        <v>602.75687798793012</v>
      </c>
      <c r="P184" s="199"/>
      <c r="Q184" s="200"/>
      <c r="R184" s="200"/>
      <c r="S184" s="200"/>
    </row>
    <row r="185" spans="11:19" x14ac:dyDescent="0.2">
      <c r="K185" s="159">
        <v>177</v>
      </c>
      <c r="L185" s="133">
        <f ca="1">-IF(SUMMARY!$D$21*12&gt;=K185,IPMT(SUMMARY!$D$22/12,K185,SUMMARY!$D$21*12,SUMMARY!$D$20),0)</f>
        <v>208.79143629408017</v>
      </c>
      <c r="M185" s="133">
        <f ca="1">IF(SUMMARY!$D$21*12&gt;=K185,-PPMT(SUMMARY!$D$22/12,K185,SUMMARY!$D$21*12,SUMMARY!$D$20),0)</f>
        <v>393.96544169384993</v>
      </c>
      <c r="N185" s="160">
        <f t="shared" ca="1" si="6"/>
        <v>602.75687798793012</v>
      </c>
      <c r="P185" s="199"/>
      <c r="Q185" s="200"/>
      <c r="R185" s="200"/>
      <c r="S185" s="200"/>
    </row>
    <row r="186" spans="11:19" x14ac:dyDescent="0.2">
      <c r="K186" s="159">
        <v>178</v>
      </c>
      <c r="L186" s="133">
        <f ca="1">-IF(SUMMARY!$D$21*12&gt;=K186,IPMT(SUMMARY!$D$22/12,K186,SUMMARY!$D$21*12,SUMMARY!$D$20),0)</f>
        <v>206.16500001612141</v>
      </c>
      <c r="M186" s="133">
        <f ca="1">IF(SUMMARY!$D$21*12&gt;=K186,-PPMT(SUMMARY!$D$22/12,K186,SUMMARY!$D$21*12,SUMMARY!$D$20),0)</f>
        <v>396.59187797180869</v>
      </c>
      <c r="N186" s="160">
        <f t="shared" ca="1" si="6"/>
        <v>602.75687798793012</v>
      </c>
      <c r="P186" s="199"/>
      <c r="Q186" s="200"/>
      <c r="R186" s="200"/>
      <c r="S186" s="200"/>
    </row>
    <row r="187" spans="11:19" x14ac:dyDescent="0.2">
      <c r="K187" s="159">
        <v>179</v>
      </c>
      <c r="L187" s="133">
        <f ca="1">-IF(SUMMARY!$D$21*12&gt;=K187,IPMT(SUMMARY!$D$22/12,K187,SUMMARY!$D$21*12,SUMMARY!$D$20),0)</f>
        <v>203.52105416297604</v>
      </c>
      <c r="M187" s="133">
        <f ca="1">IF(SUMMARY!$D$21*12&gt;=K187,-PPMT(SUMMARY!$D$22/12,K187,SUMMARY!$D$21*12,SUMMARY!$D$20),0)</f>
        <v>399.23582382495408</v>
      </c>
      <c r="N187" s="160">
        <f t="shared" ca="1" si="6"/>
        <v>602.75687798793012</v>
      </c>
      <c r="P187" s="199"/>
      <c r="Q187" s="200"/>
      <c r="R187" s="200"/>
      <c r="S187" s="200"/>
    </row>
    <row r="188" spans="11:19" x14ac:dyDescent="0.2">
      <c r="K188" s="159">
        <v>180</v>
      </c>
      <c r="L188" s="133">
        <f ca="1">-IF(SUMMARY!$D$21*12&gt;=K188,IPMT(SUMMARY!$D$22/12,K188,SUMMARY!$D$21*12,SUMMARY!$D$20),0)</f>
        <v>200.85948200414288</v>
      </c>
      <c r="M188" s="133">
        <f ca="1">IF(SUMMARY!$D$21*12&gt;=K188,-PPMT(SUMMARY!$D$22/12,K188,SUMMARY!$D$21*12,SUMMARY!$D$20),0)</f>
        <v>401.89739598378725</v>
      </c>
      <c r="N188" s="160">
        <f t="shared" ca="1" si="6"/>
        <v>602.75687798793012</v>
      </c>
      <c r="P188" s="199"/>
      <c r="Q188" s="200"/>
      <c r="R188" s="200"/>
      <c r="S188" s="200"/>
    </row>
    <row r="189" spans="11:19" x14ac:dyDescent="0.2">
      <c r="K189" s="159">
        <v>181</v>
      </c>
      <c r="L189" s="133">
        <f ca="1">-IF(SUMMARY!$D$21*12&gt;=K189,IPMT(SUMMARY!$D$22/12,K189,SUMMARY!$D$21*12,SUMMARY!$D$20),0)</f>
        <v>198.18016603091772</v>
      </c>
      <c r="M189" s="133">
        <f ca="1">IF(SUMMARY!$D$21*12&gt;=K189,-PPMT(SUMMARY!$D$22/12,K189,SUMMARY!$D$21*12,SUMMARY!$D$20),0)</f>
        <v>404.57671195701244</v>
      </c>
      <c r="N189" s="160">
        <f t="shared" ca="1" si="6"/>
        <v>602.75687798793012</v>
      </c>
      <c r="P189" s="199"/>
      <c r="Q189" s="200"/>
      <c r="R189" s="200"/>
      <c r="S189" s="200"/>
    </row>
    <row r="190" spans="11:19" x14ac:dyDescent="0.2">
      <c r="K190" s="159">
        <v>182</v>
      </c>
      <c r="L190" s="133">
        <f ca="1">-IF(SUMMARY!$D$21*12&gt;=K190,IPMT(SUMMARY!$D$22/12,K190,SUMMARY!$D$21*12,SUMMARY!$D$20),0)</f>
        <v>195.48298795120442</v>
      </c>
      <c r="M190" s="133">
        <f ca="1">IF(SUMMARY!$D$21*12&gt;=K190,-PPMT(SUMMARY!$D$22/12,K190,SUMMARY!$D$21*12,SUMMARY!$D$20),0)</f>
        <v>407.27389003672567</v>
      </c>
      <c r="N190" s="160">
        <f t="shared" ca="1" si="6"/>
        <v>602.75687798793012</v>
      </c>
      <c r="P190" s="199"/>
      <c r="Q190" s="200"/>
      <c r="R190" s="200"/>
      <c r="S190" s="200"/>
    </row>
    <row r="191" spans="11:19" x14ac:dyDescent="0.2">
      <c r="K191" s="159">
        <v>183</v>
      </c>
      <c r="L191" s="133">
        <f ca="1">-IF(SUMMARY!$D$21*12&gt;=K191,IPMT(SUMMARY!$D$22/12,K191,SUMMARY!$D$21*12,SUMMARY!$D$20),0)</f>
        <v>192.76782868429282</v>
      </c>
      <c r="M191" s="133">
        <f ca="1">IF(SUMMARY!$D$21*12&gt;=K191,-PPMT(SUMMARY!$D$22/12,K191,SUMMARY!$D$21*12,SUMMARY!$D$20),0)</f>
        <v>409.98904930363733</v>
      </c>
      <c r="N191" s="160">
        <f t="shared" ca="1" si="6"/>
        <v>602.75687798793012</v>
      </c>
      <c r="P191" s="199"/>
      <c r="Q191" s="200"/>
      <c r="R191" s="200"/>
      <c r="S191" s="200"/>
    </row>
    <row r="192" spans="11:19" x14ac:dyDescent="0.2">
      <c r="K192" s="159">
        <v>184</v>
      </c>
      <c r="L192" s="133">
        <f ca="1">-IF(SUMMARY!$D$21*12&gt;=K192,IPMT(SUMMARY!$D$22/12,K192,SUMMARY!$D$21*12,SUMMARY!$D$20),0)</f>
        <v>190.03456835560192</v>
      </c>
      <c r="M192" s="133">
        <f ca="1">IF(SUMMARY!$D$21*12&gt;=K192,-PPMT(SUMMARY!$D$22/12,K192,SUMMARY!$D$21*12,SUMMARY!$D$20),0)</f>
        <v>412.72230963232823</v>
      </c>
      <c r="N192" s="160">
        <f t="shared" ca="1" si="6"/>
        <v>602.75687798793012</v>
      </c>
      <c r="P192" s="199"/>
      <c r="Q192" s="200"/>
      <c r="R192" s="200"/>
      <c r="S192" s="200"/>
    </row>
    <row r="193" spans="11:19" x14ac:dyDescent="0.2">
      <c r="K193" s="159">
        <v>185</v>
      </c>
      <c r="L193" s="133">
        <f ca="1">-IF(SUMMARY!$D$21*12&gt;=K193,IPMT(SUMMARY!$D$22/12,K193,SUMMARY!$D$21*12,SUMMARY!$D$20),0)</f>
        <v>187.2830862913865</v>
      </c>
      <c r="M193" s="133">
        <f ca="1">IF(SUMMARY!$D$21*12&gt;=K193,-PPMT(SUMMARY!$D$22/12,K193,SUMMARY!$D$21*12,SUMMARY!$D$20),0)</f>
        <v>415.47379169654363</v>
      </c>
      <c r="N193" s="160">
        <f t="shared" ca="1" si="6"/>
        <v>602.75687798793012</v>
      </c>
      <c r="P193" s="199"/>
      <c r="Q193" s="200"/>
      <c r="R193" s="200"/>
      <c r="S193" s="200"/>
    </row>
    <row r="194" spans="11:19" x14ac:dyDescent="0.2">
      <c r="K194" s="159">
        <v>186</v>
      </c>
      <c r="L194" s="133">
        <f ca="1">-IF(SUMMARY!$D$21*12&gt;=K194,IPMT(SUMMARY!$D$22/12,K194,SUMMARY!$D$21*12,SUMMARY!$D$20),0)</f>
        <v>184.51326101340956</v>
      </c>
      <c r="M194" s="133">
        <f ca="1">IF(SUMMARY!$D$21*12&gt;=K194,-PPMT(SUMMARY!$D$22/12,K194,SUMMARY!$D$21*12,SUMMARY!$D$20),0)</f>
        <v>418.24361697452059</v>
      </c>
      <c r="N194" s="160">
        <f t="shared" ca="1" si="6"/>
        <v>602.75687798793012</v>
      </c>
      <c r="P194" s="199"/>
      <c r="Q194" s="200"/>
      <c r="R194" s="200"/>
      <c r="S194" s="200"/>
    </row>
    <row r="195" spans="11:19" x14ac:dyDescent="0.2">
      <c r="K195" s="159">
        <v>187</v>
      </c>
      <c r="L195" s="133">
        <f ca="1">-IF(SUMMARY!$D$21*12&gt;=K195,IPMT(SUMMARY!$D$22/12,K195,SUMMARY!$D$21*12,SUMMARY!$D$20),0)</f>
        <v>181.72497023357954</v>
      </c>
      <c r="M195" s="133">
        <f ca="1">IF(SUMMARY!$D$21*12&gt;=K195,-PPMT(SUMMARY!$D$22/12,K195,SUMMARY!$D$21*12,SUMMARY!$D$20),0)</f>
        <v>421.03190775435058</v>
      </c>
      <c r="N195" s="160">
        <f t="shared" ca="1" si="6"/>
        <v>602.75687798793012</v>
      </c>
      <c r="P195" s="199"/>
      <c r="Q195" s="200"/>
      <c r="R195" s="200"/>
      <c r="S195" s="200"/>
    </row>
    <row r="196" spans="11:19" x14ac:dyDescent="0.2">
      <c r="K196" s="159">
        <v>188</v>
      </c>
      <c r="L196" s="133">
        <f ca="1">-IF(SUMMARY!$D$21*12&gt;=K196,IPMT(SUMMARY!$D$22/12,K196,SUMMARY!$D$21*12,SUMMARY!$D$20),0)</f>
        <v>178.91809084855061</v>
      </c>
      <c r="M196" s="133">
        <f ca="1">IF(SUMMARY!$D$21*12&gt;=K196,-PPMT(SUMMARY!$D$22/12,K196,SUMMARY!$D$21*12,SUMMARY!$D$20),0)</f>
        <v>423.83878713937952</v>
      </c>
      <c r="N196" s="160">
        <f t="shared" ca="1" si="6"/>
        <v>602.75687798793012</v>
      </c>
      <c r="P196" s="199"/>
      <c r="Q196" s="200"/>
      <c r="R196" s="200"/>
      <c r="S196" s="200"/>
    </row>
    <row r="197" spans="11:19" x14ac:dyDescent="0.2">
      <c r="K197" s="159">
        <v>189</v>
      </c>
      <c r="L197" s="133">
        <f ca="1">-IF(SUMMARY!$D$21*12&gt;=K197,IPMT(SUMMARY!$D$22/12,K197,SUMMARY!$D$21*12,SUMMARY!$D$20),0)</f>
        <v>176.09249893428816</v>
      </c>
      <c r="M197" s="133">
        <f ca="1">IF(SUMMARY!$D$21*12&gt;=K197,-PPMT(SUMMARY!$D$22/12,K197,SUMMARY!$D$21*12,SUMMARY!$D$20),0)</f>
        <v>426.66437905364194</v>
      </c>
      <c r="N197" s="160">
        <f t="shared" ca="1" si="6"/>
        <v>602.75687798793012</v>
      </c>
      <c r="P197" s="199"/>
      <c r="Q197" s="200"/>
      <c r="R197" s="200"/>
      <c r="S197" s="200"/>
    </row>
    <row r="198" spans="11:19" x14ac:dyDescent="0.2">
      <c r="K198" s="159">
        <v>190</v>
      </c>
      <c r="L198" s="133">
        <f ca="1">-IF(SUMMARY!$D$21*12&gt;=K198,IPMT(SUMMARY!$D$22/12,K198,SUMMARY!$D$21*12,SUMMARY!$D$20),0)</f>
        <v>173.24806974059689</v>
      </c>
      <c r="M198" s="133">
        <f ca="1">IF(SUMMARY!$D$21*12&gt;=K198,-PPMT(SUMMARY!$D$22/12,K198,SUMMARY!$D$21*12,SUMMARY!$D$20),0)</f>
        <v>429.50880824733326</v>
      </c>
      <c r="N198" s="160">
        <f t="shared" ca="1" si="6"/>
        <v>602.75687798793012</v>
      </c>
      <c r="P198" s="199"/>
      <c r="Q198" s="200"/>
      <c r="R198" s="200"/>
      <c r="S198" s="200"/>
    </row>
    <row r="199" spans="11:19" x14ac:dyDescent="0.2">
      <c r="K199" s="159">
        <v>191</v>
      </c>
      <c r="L199" s="133">
        <f ca="1">-IF(SUMMARY!$D$21*12&gt;=K199,IPMT(SUMMARY!$D$22/12,K199,SUMMARY!$D$21*12,SUMMARY!$D$20),0)</f>
        <v>170.38467768561503</v>
      </c>
      <c r="M199" s="133">
        <f ca="1">IF(SUMMARY!$D$21*12&gt;=K199,-PPMT(SUMMARY!$D$22/12,K199,SUMMARY!$D$21*12,SUMMARY!$D$20),0)</f>
        <v>432.37220030231509</v>
      </c>
      <c r="N199" s="160">
        <f t="shared" ca="1" si="6"/>
        <v>602.75687798793012</v>
      </c>
      <c r="P199" s="199"/>
      <c r="Q199" s="200"/>
      <c r="R199" s="200"/>
      <c r="S199" s="200"/>
    </row>
    <row r="200" spans="11:19" x14ac:dyDescent="0.2">
      <c r="K200" s="159">
        <v>192</v>
      </c>
      <c r="L200" s="133">
        <f ca="1">-IF(SUMMARY!$D$21*12&gt;=K200,IPMT(SUMMARY!$D$22/12,K200,SUMMARY!$D$21*12,SUMMARY!$D$20),0)</f>
        <v>167.50219635026608</v>
      </c>
      <c r="M200" s="133">
        <f ca="1">IF(SUMMARY!$D$21*12&gt;=K200,-PPMT(SUMMARY!$D$22/12,K200,SUMMARY!$D$21*12,SUMMARY!$D$20),0)</f>
        <v>435.25468163766402</v>
      </c>
      <c r="N200" s="160">
        <f t="shared" ca="1" si="6"/>
        <v>602.75687798793012</v>
      </c>
      <c r="P200" s="199"/>
      <c r="Q200" s="200"/>
      <c r="R200" s="200"/>
      <c r="S200" s="200"/>
    </row>
    <row r="201" spans="11:19" x14ac:dyDescent="0.2">
      <c r="K201" s="159">
        <v>193</v>
      </c>
      <c r="L201" s="133">
        <f ca="1">-IF(SUMMARY!$D$21*12&gt;=K201,IPMT(SUMMARY!$D$22/12,K201,SUMMARY!$D$21*12,SUMMARY!$D$20),0)</f>
        <v>164.60049847268169</v>
      </c>
      <c r="M201" s="133">
        <f ca="1">IF(SUMMARY!$D$21*12&gt;=K201,-PPMT(SUMMARY!$D$22/12,K201,SUMMARY!$D$21*12,SUMMARY!$D$20),0)</f>
        <v>438.15637951524843</v>
      </c>
      <c r="N201" s="160">
        <f t="shared" ref="N201:N264" ca="1" si="7">+M201+L201</f>
        <v>602.75687798793012</v>
      </c>
      <c r="P201" s="199"/>
      <c r="Q201" s="200"/>
      <c r="R201" s="200"/>
      <c r="S201" s="200"/>
    </row>
    <row r="202" spans="11:19" x14ac:dyDescent="0.2">
      <c r="K202" s="159">
        <v>194</v>
      </c>
      <c r="L202" s="133">
        <f ca="1">-IF(SUMMARY!$D$21*12&gt;=K202,IPMT(SUMMARY!$D$22/12,K202,SUMMARY!$D$21*12,SUMMARY!$D$20),0)</f>
        <v>161.67945594258026</v>
      </c>
      <c r="M202" s="133">
        <f ca="1">IF(SUMMARY!$D$21*12&gt;=K202,-PPMT(SUMMARY!$D$22/12,K202,SUMMARY!$D$21*12,SUMMARY!$D$20),0)</f>
        <v>441.07742204534986</v>
      </c>
      <c r="N202" s="160">
        <f t="shared" ca="1" si="7"/>
        <v>602.75687798793012</v>
      </c>
      <c r="P202" s="199"/>
      <c r="Q202" s="200"/>
      <c r="R202" s="200"/>
      <c r="S202" s="200"/>
    </row>
    <row r="203" spans="11:19" x14ac:dyDescent="0.2">
      <c r="K203" s="159">
        <v>195</v>
      </c>
      <c r="L203" s="133">
        <f ca="1">-IF(SUMMARY!$D$21*12&gt;=K203,IPMT(SUMMARY!$D$22/12,K203,SUMMARY!$D$21*12,SUMMARY!$D$20),0)</f>
        <v>158.73893979561109</v>
      </c>
      <c r="M203" s="133">
        <f ca="1">IF(SUMMARY!$D$21*12&gt;=K203,-PPMT(SUMMARY!$D$22/12,K203,SUMMARY!$D$21*12,SUMMARY!$D$20),0)</f>
        <v>444.01793819231904</v>
      </c>
      <c r="N203" s="160">
        <f t="shared" ca="1" si="7"/>
        <v>602.75687798793012</v>
      </c>
      <c r="P203" s="199"/>
      <c r="Q203" s="200"/>
      <c r="R203" s="200"/>
      <c r="S203" s="200"/>
    </row>
    <row r="204" spans="11:19" x14ac:dyDescent="0.2">
      <c r="K204" s="159">
        <v>196</v>
      </c>
      <c r="L204" s="133">
        <f ca="1">-IF(SUMMARY!$D$21*12&gt;=K204,IPMT(SUMMARY!$D$22/12,K204,SUMMARY!$D$21*12,SUMMARY!$D$20),0)</f>
        <v>155.77882020766228</v>
      </c>
      <c r="M204" s="133">
        <f ca="1">IF(SUMMARY!$D$21*12&gt;=K204,-PPMT(SUMMARY!$D$22/12,K204,SUMMARY!$D$21*12,SUMMARY!$D$20),0)</f>
        <v>446.97805778026782</v>
      </c>
      <c r="N204" s="160">
        <f t="shared" ca="1" si="7"/>
        <v>602.75687798793012</v>
      </c>
      <c r="P204" s="199"/>
      <c r="Q204" s="200"/>
      <c r="R204" s="200"/>
      <c r="S204" s="200"/>
    </row>
    <row r="205" spans="11:19" x14ac:dyDescent="0.2">
      <c r="K205" s="159">
        <v>197</v>
      </c>
      <c r="L205" s="133">
        <f ca="1">-IF(SUMMARY!$D$21*12&gt;=K205,IPMT(SUMMARY!$D$22/12,K205,SUMMARY!$D$21*12,SUMMARY!$D$20),0)</f>
        <v>152.79896648912751</v>
      </c>
      <c r="M205" s="133">
        <f ca="1">IF(SUMMARY!$D$21*12&gt;=K205,-PPMT(SUMMARY!$D$22/12,K205,SUMMARY!$D$21*12,SUMMARY!$D$20),0)</f>
        <v>449.95791149880262</v>
      </c>
      <c r="N205" s="160">
        <f t="shared" ca="1" si="7"/>
        <v>602.75687798793012</v>
      </c>
      <c r="P205" s="199"/>
      <c r="Q205" s="200"/>
      <c r="R205" s="200"/>
      <c r="S205" s="200"/>
    </row>
    <row r="206" spans="11:19" x14ac:dyDescent="0.2">
      <c r="K206" s="159">
        <v>198</v>
      </c>
      <c r="L206" s="133">
        <f ca="1">-IF(SUMMARY!$D$21*12&gt;=K206,IPMT(SUMMARY!$D$22/12,K206,SUMMARY!$D$21*12,SUMMARY!$D$20),0)</f>
        <v>149.7992470791356</v>
      </c>
      <c r="M206" s="133">
        <f ca="1">IF(SUMMARY!$D$21*12&gt;=K206,-PPMT(SUMMARY!$D$22/12,K206,SUMMARY!$D$21*12,SUMMARY!$D$20),0)</f>
        <v>452.9576309087945</v>
      </c>
      <c r="N206" s="160">
        <f t="shared" ca="1" si="7"/>
        <v>602.75687798793012</v>
      </c>
      <c r="P206" s="199"/>
      <c r="Q206" s="200"/>
      <c r="R206" s="200"/>
      <c r="S206" s="200"/>
    </row>
    <row r="207" spans="11:19" x14ac:dyDescent="0.2">
      <c r="K207" s="159">
        <v>199</v>
      </c>
      <c r="L207" s="133">
        <f ca="1">-IF(SUMMARY!$D$21*12&gt;=K207,IPMT(SUMMARY!$D$22/12,K207,SUMMARY!$D$21*12,SUMMARY!$D$20),0)</f>
        <v>146.77952953974329</v>
      </c>
      <c r="M207" s="133">
        <f ca="1">IF(SUMMARY!$D$21*12&gt;=K207,-PPMT(SUMMARY!$D$22/12,K207,SUMMARY!$D$21*12,SUMMARY!$D$20),0)</f>
        <v>455.97734844818683</v>
      </c>
      <c r="N207" s="160">
        <f t="shared" ca="1" si="7"/>
        <v>602.75687798793012</v>
      </c>
      <c r="P207" s="199"/>
      <c r="Q207" s="200"/>
      <c r="R207" s="200"/>
      <c r="S207" s="200"/>
    </row>
    <row r="208" spans="11:19" x14ac:dyDescent="0.2">
      <c r="K208" s="159">
        <v>200</v>
      </c>
      <c r="L208" s="133">
        <f ca="1">-IF(SUMMARY!$D$21*12&gt;=K208,IPMT(SUMMARY!$D$22/12,K208,SUMMARY!$D$21*12,SUMMARY!$D$20),0)</f>
        <v>143.73968055008874</v>
      </c>
      <c r="M208" s="133">
        <f ca="1">IF(SUMMARY!$D$21*12&gt;=K208,-PPMT(SUMMARY!$D$22/12,K208,SUMMARY!$D$21*12,SUMMARY!$D$20),0)</f>
        <v>459.01719743784139</v>
      </c>
      <c r="N208" s="160">
        <f t="shared" ca="1" si="7"/>
        <v>602.75687798793012</v>
      </c>
      <c r="P208" s="199"/>
      <c r="Q208" s="200"/>
      <c r="R208" s="200"/>
      <c r="S208" s="200"/>
    </row>
    <row r="209" spans="11:19" x14ac:dyDescent="0.2">
      <c r="K209" s="159">
        <v>201</v>
      </c>
      <c r="L209" s="133">
        <f ca="1">-IF(SUMMARY!$D$21*12&gt;=K209,IPMT(SUMMARY!$D$22/12,K209,SUMMARY!$D$21*12,SUMMARY!$D$20),0)</f>
        <v>140.67956590050329</v>
      </c>
      <c r="M209" s="133">
        <f ca="1">IF(SUMMARY!$D$21*12&gt;=K209,-PPMT(SUMMARY!$D$22/12,K209,SUMMARY!$D$21*12,SUMMARY!$D$20),0)</f>
        <v>462.07731208742683</v>
      </c>
      <c r="N209" s="160">
        <f t="shared" ca="1" si="7"/>
        <v>602.75687798793012</v>
      </c>
      <c r="P209" s="199"/>
      <c r="Q209" s="200"/>
      <c r="R209" s="200"/>
      <c r="S209" s="200"/>
    </row>
    <row r="210" spans="11:19" x14ac:dyDescent="0.2">
      <c r="K210" s="159">
        <v>202</v>
      </c>
      <c r="L210" s="133">
        <f ca="1">-IF(SUMMARY!$D$21*12&gt;=K210,IPMT(SUMMARY!$D$22/12,K210,SUMMARY!$D$21*12,SUMMARY!$D$20),0)</f>
        <v>137.59905048658723</v>
      </c>
      <c r="M210" s="133">
        <f ca="1">IF(SUMMARY!$D$21*12&gt;=K210,-PPMT(SUMMARY!$D$22/12,K210,SUMMARY!$D$21*12,SUMMARY!$D$20),0)</f>
        <v>465.15782750134292</v>
      </c>
      <c r="N210" s="160">
        <f t="shared" ca="1" si="7"/>
        <v>602.75687798793012</v>
      </c>
      <c r="P210" s="199"/>
      <c r="Q210" s="200"/>
      <c r="R210" s="200"/>
      <c r="S210" s="200"/>
    </row>
    <row r="211" spans="11:19" x14ac:dyDescent="0.2">
      <c r="K211" s="159">
        <v>203</v>
      </c>
      <c r="L211" s="133">
        <f ca="1">-IF(SUMMARY!$D$21*12&gt;=K211,IPMT(SUMMARY!$D$22/12,K211,SUMMARY!$D$21*12,SUMMARY!$D$20),0)</f>
        <v>134.49799830324463</v>
      </c>
      <c r="M211" s="133">
        <f ca="1">IF(SUMMARY!$D$21*12&gt;=K211,-PPMT(SUMMARY!$D$22/12,K211,SUMMARY!$D$21*12,SUMMARY!$D$20),0)</f>
        <v>468.2588796846855</v>
      </c>
      <c r="N211" s="160">
        <f t="shared" ca="1" si="7"/>
        <v>602.75687798793012</v>
      </c>
      <c r="P211" s="199"/>
      <c r="Q211" s="200"/>
      <c r="R211" s="200"/>
      <c r="S211" s="200"/>
    </row>
    <row r="212" spans="11:19" x14ac:dyDescent="0.2">
      <c r="K212" s="159">
        <v>204</v>
      </c>
      <c r="L212" s="133">
        <f ca="1">-IF(SUMMARY!$D$21*12&gt;=K212,IPMT(SUMMARY!$D$22/12,K212,SUMMARY!$D$21*12,SUMMARY!$D$20),0)</f>
        <v>131.37627243868056</v>
      </c>
      <c r="M212" s="133">
        <f ca="1">IF(SUMMARY!$D$21*12&gt;=K212,-PPMT(SUMMARY!$D$22/12,K212,SUMMARY!$D$21*12,SUMMARY!$D$20),0)</f>
        <v>471.38060554924959</v>
      </c>
      <c r="N212" s="160">
        <f t="shared" ca="1" si="7"/>
        <v>602.75687798793012</v>
      </c>
      <c r="P212" s="199"/>
      <c r="Q212" s="200"/>
      <c r="R212" s="200"/>
      <c r="S212" s="200"/>
    </row>
    <row r="213" spans="11:19" x14ac:dyDescent="0.2">
      <c r="K213" s="159">
        <v>205</v>
      </c>
      <c r="L213" s="133">
        <f ca="1">-IF(SUMMARY!$D$21*12&gt;=K213,IPMT(SUMMARY!$D$22/12,K213,SUMMARY!$D$21*12,SUMMARY!$D$20),0)</f>
        <v>128.23373506835196</v>
      </c>
      <c r="M213" s="133">
        <f ca="1">IF(SUMMARY!$D$21*12&gt;=K213,-PPMT(SUMMARY!$D$22/12,K213,SUMMARY!$D$21*12,SUMMARY!$D$20),0)</f>
        <v>474.52314291957816</v>
      </c>
      <c r="N213" s="160">
        <f t="shared" ca="1" si="7"/>
        <v>602.75687798793012</v>
      </c>
      <c r="P213" s="199"/>
      <c r="Q213" s="200"/>
      <c r="R213" s="200"/>
      <c r="S213" s="200"/>
    </row>
    <row r="214" spans="11:19" x14ac:dyDescent="0.2">
      <c r="K214" s="159">
        <v>206</v>
      </c>
      <c r="L214" s="133">
        <f ca="1">-IF(SUMMARY!$D$21*12&gt;=K214,IPMT(SUMMARY!$D$22/12,K214,SUMMARY!$D$21*12,SUMMARY!$D$20),0)</f>
        <v>125.07024744888807</v>
      </c>
      <c r="M214" s="133">
        <f ca="1">IF(SUMMARY!$D$21*12&gt;=K214,-PPMT(SUMMARY!$D$22/12,K214,SUMMARY!$D$21*12,SUMMARY!$D$20),0)</f>
        <v>477.68663053904208</v>
      </c>
      <c r="N214" s="160">
        <f t="shared" ca="1" si="7"/>
        <v>602.75687798793012</v>
      </c>
      <c r="P214" s="199"/>
      <c r="Q214" s="200"/>
      <c r="R214" s="200"/>
      <c r="S214" s="200"/>
    </row>
    <row r="215" spans="11:19" x14ac:dyDescent="0.2">
      <c r="K215" s="159">
        <v>207</v>
      </c>
      <c r="L215" s="133">
        <f ca="1">-IF(SUMMARY!$D$21*12&gt;=K215,IPMT(SUMMARY!$D$22/12,K215,SUMMARY!$D$21*12,SUMMARY!$D$20),0)</f>
        <v>121.88566991196132</v>
      </c>
      <c r="M215" s="133">
        <f ca="1">IF(SUMMARY!$D$21*12&gt;=K215,-PPMT(SUMMARY!$D$22/12,K215,SUMMARY!$D$21*12,SUMMARY!$D$20),0)</f>
        <v>480.87120807596881</v>
      </c>
      <c r="N215" s="160">
        <f t="shared" ca="1" si="7"/>
        <v>602.75687798793012</v>
      </c>
      <c r="P215" s="199"/>
      <c r="Q215" s="200"/>
      <c r="R215" s="200"/>
      <c r="S215" s="200"/>
    </row>
    <row r="216" spans="11:19" x14ac:dyDescent="0.2">
      <c r="K216" s="159">
        <v>208</v>
      </c>
      <c r="L216" s="133">
        <f ca="1">-IF(SUMMARY!$D$21*12&gt;=K216,IPMT(SUMMARY!$D$22/12,K216,SUMMARY!$D$21*12,SUMMARY!$D$20),0)</f>
        <v>118.6798618581212</v>
      </c>
      <c r="M216" s="133">
        <f ca="1">IF(SUMMARY!$D$21*12&gt;=K216,-PPMT(SUMMARY!$D$22/12,K216,SUMMARY!$D$21*12,SUMMARY!$D$20),0)</f>
        <v>484.07701612980895</v>
      </c>
      <c r="N216" s="160">
        <f t="shared" ca="1" si="7"/>
        <v>602.75687798793012</v>
      </c>
      <c r="P216" s="199"/>
      <c r="Q216" s="200"/>
      <c r="R216" s="200"/>
      <c r="S216" s="200"/>
    </row>
    <row r="217" spans="11:19" x14ac:dyDescent="0.2">
      <c r="K217" s="159">
        <v>209</v>
      </c>
      <c r="L217" s="133">
        <f ca="1">-IF(SUMMARY!$D$21*12&gt;=K217,IPMT(SUMMARY!$D$22/12,K217,SUMMARY!$D$21*12,SUMMARY!$D$20),0)</f>
        <v>115.45268175058921</v>
      </c>
      <c r="M217" s="133">
        <f ca="1">IF(SUMMARY!$D$21*12&gt;=K217,-PPMT(SUMMARY!$D$22/12,K217,SUMMARY!$D$21*12,SUMMARY!$D$20),0)</f>
        <v>487.30419623734093</v>
      </c>
      <c r="N217" s="160">
        <f t="shared" ca="1" si="7"/>
        <v>602.75687798793012</v>
      </c>
      <c r="P217" s="199"/>
      <c r="Q217" s="200"/>
      <c r="R217" s="200"/>
      <c r="S217" s="200"/>
    </row>
    <row r="218" spans="11:19" x14ac:dyDescent="0.2">
      <c r="K218" s="159">
        <v>210</v>
      </c>
      <c r="L218" s="133">
        <f ca="1">-IF(SUMMARY!$D$21*12&gt;=K218,IPMT(SUMMARY!$D$22/12,K218,SUMMARY!$D$21*12,SUMMARY!$D$20),0)</f>
        <v>112.20398710900724</v>
      </c>
      <c r="M218" s="133">
        <f ca="1">IF(SUMMARY!$D$21*12&gt;=K218,-PPMT(SUMMARY!$D$22/12,K218,SUMMARY!$D$21*12,SUMMARY!$D$20),0)</f>
        <v>490.55289087892288</v>
      </c>
      <c r="N218" s="160">
        <f t="shared" ca="1" si="7"/>
        <v>602.75687798793012</v>
      </c>
      <c r="P218" s="199"/>
      <c r="Q218" s="200"/>
      <c r="R218" s="200"/>
      <c r="S218" s="200"/>
    </row>
    <row r="219" spans="11:19" x14ac:dyDescent="0.2">
      <c r="K219" s="159">
        <v>211</v>
      </c>
      <c r="L219" s="133">
        <f ca="1">-IF(SUMMARY!$D$21*12&gt;=K219,IPMT(SUMMARY!$D$22/12,K219,SUMMARY!$D$21*12,SUMMARY!$D$20),0)</f>
        <v>108.93363450314773</v>
      </c>
      <c r="M219" s="133">
        <f ca="1">IF(SUMMARY!$D$21*12&gt;=K219,-PPMT(SUMMARY!$D$22/12,K219,SUMMARY!$D$21*12,SUMMARY!$D$20),0)</f>
        <v>493.82324348478238</v>
      </c>
      <c r="N219" s="160">
        <f t="shared" ca="1" si="7"/>
        <v>602.75687798793012</v>
      </c>
      <c r="P219" s="199"/>
      <c r="Q219" s="200"/>
      <c r="R219" s="200"/>
      <c r="S219" s="200"/>
    </row>
    <row r="220" spans="11:19" x14ac:dyDescent="0.2">
      <c r="K220" s="159">
        <v>212</v>
      </c>
      <c r="L220" s="133">
        <f ca="1">-IF(SUMMARY!$D$21*12&gt;=K220,IPMT(SUMMARY!$D$22/12,K220,SUMMARY!$D$21*12,SUMMARY!$D$20),0)</f>
        <v>105.64147954658256</v>
      </c>
      <c r="M220" s="133">
        <f ca="1">IF(SUMMARY!$D$21*12&gt;=K220,-PPMT(SUMMARY!$D$22/12,K220,SUMMARY!$D$21*12,SUMMARY!$D$20),0)</f>
        <v>497.11539844134757</v>
      </c>
      <c r="N220" s="160">
        <f t="shared" ca="1" si="7"/>
        <v>602.75687798793012</v>
      </c>
      <c r="P220" s="199"/>
      <c r="Q220" s="200"/>
      <c r="R220" s="200"/>
      <c r="S220" s="200"/>
    </row>
    <row r="221" spans="11:19" x14ac:dyDescent="0.2">
      <c r="K221" s="159">
        <v>213</v>
      </c>
      <c r="L221" s="133">
        <f ca="1">-IF(SUMMARY!$D$21*12&gt;=K221,IPMT(SUMMARY!$D$22/12,K221,SUMMARY!$D$21*12,SUMMARY!$D$20),0)</f>
        <v>102.32737689030668</v>
      </c>
      <c r="M221" s="133">
        <f ca="1">IF(SUMMARY!$D$21*12&gt;=K221,-PPMT(SUMMARY!$D$22/12,K221,SUMMARY!$D$21*12,SUMMARY!$D$20),0)</f>
        <v>500.42950109762342</v>
      </c>
      <c r="N221" s="160">
        <f t="shared" ca="1" si="7"/>
        <v>602.75687798793012</v>
      </c>
      <c r="P221" s="199"/>
      <c r="Q221" s="200"/>
      <c r="R221" s="200"/>
      <c r="S221" s="200"/>
    </row>
    <row r="222" spans="11:19" x14ac:dyDescent="0.2">
      <c r="K222" s="159">
        <v>214</v>
      </c>
      <c r="L222" s="133">
        <f ca="1">-IF(SUMMARY!$D$21*12&gt;=K222,IPMT(SUMMARY!$D$22/12,K222,SUMMARY!$D$21*12,SUMMARY!$D$20),0)</f>
        <v>98.991180216322732</v>
      </c>
      <c r="M222" s="133">
        <f ca="1">IF(SUMMARY!$D$21*12&gt;=K222,-PPMT(SUMMARY!$D$22/12,K222,SUMMARY!$D$21*12,SUMMARY!$D$20),0)</f>
        <v>503.76569777160739</v>
      </c>
      <c r="N222" s="160">
        <f t="shared" ca="1" si="7"/>
        <v>602.75687798793012</v>
      </c>
      <c r="P222" s="199"/>
      <c r="Q222" s="200"/>
      <c r="R222" s="200"/>
      <c r="S222" s="200"/>
    </row>
    <row r="223" spans="11:19" x14ac:dyDescent="0.2">
      <c r="K223" s="159">
        <v>215</v>
      </c>
      <c r="L223" s="133">
        <f ca="1">-IF(SUMMARY!$D$21*12&gt;=K223,IPMT(SUMMARY!$D$22/12,K223,SUMMARY!$D$21*12,SUMMARY!$D$20),0)</f>
        <v>95.632742231178568</v>
      </c>
      <c r="M223" s="133">
        <f ca="1">IF(SUMMARY!$D$21*12&gt;=K223,-PPMT(SUMMARY!$D$22/12,K223,SUMMARY!$D$21*12,SUMMARY!$D$20),0)</f>
        <v>507.12413575675157</v>
      </c>
      <c r="N223" s="160">
        <f t="shared" ca="1" si="7"/>
        <v>602.75687798793012</v>
      </c>
      <c r="P223" s="199"/>
      <c r="Q223" s="200"/>
      <c r="R223" s="200"/>
      <c r="S223" s="200"/>
    </row>
    <row r="224" spans="11:19" x14ac:dyDescent="0.2">
      <c r="K224" s="159">
        <v>216</v>
      </c>
      <c r="L224" s="133">
        <f ca="1">-IF(SUMMARY!$D$21*12&gt;=K224,IPMT(SUMMARY!$D$22/12,K224,SUMMARY!$D$21*12,SUMMARY!$D$20),0)</f>
        <v>92.251914659467303</v>
      </c>
      <c r="M224" s="133">
        <f ca="1">IF(SUMMARY!$D$21*12&gt;=K224,-PPMT(SUMMARY!$D$22/12,K224,SUMMARY!$D$21*12,SUMMARY!$D$20),0)</f>
        <v>510.50496332846285</v>
      </c>
      <c r="N224" s="160">
        <f t="shared" ca="1" si="7"/>
        <v>602.75687798793012</v>
      </c>
      <c r="P224" s="199"/>
      <c r="Q224" s="200"/>
      <c r="R224" s="200"/>
      <c r="S224" s="200"/>
    </row>
    <row r="225" spans="11:19" x14ac:dyDescent="0.2">
      <c r="K225" s="159">
        <v>217</v>
      </c>
      <c r="L225" s="133">
        <f ca="1">-IF(SUMMARY!$D$21*12&gt;=K225,IPMT(SUMMARY!$D$22/12,K225,SUMMARY!$D$21*12,SUMMARY!$D$20),0)</f>
        <v>88.848548237277427</v>
      </c>
      <c r="M225" s="133">
        <f ca="1">IF(SUMMARY!$D$21*12&gt;=K225,-PPMT(SUMMARY!$D$22/12,K225,SUMMARY!$D$21*12,SUMMARY!$D$20),0)</f>
        <v>513.90832975065268</v>
      </c>
      <c r="N225" s="160">
        <f t="shared" ca="1" si="7"/>
        <v>602.75687798793012</v>
      </c>
      <c r="P225" s="199"/>
      <c r="Q225" s="200"/>
      <c r="R225" s="200"/>
      <c r="S225" s="200"/>
    </row>
    <row r="226" spans="11:19" x14ac:dyDescent="0.2">
      <c r="K226" s="159">
        <v>218</v>
      </c>
      <c r="L226" s="133">
        <f ca="1">-IF(SUMMARY!$D$21*12&gt;=K226,IPMT(SUMMARY!$D$22/12,K226,SUMMARY!$D$21*12,SUMMARY!$D$20),0)</f>
        <v>85.422492705606473</v>
      </c>
      <c r="M226" s="133">
        <f ca="1">IF(SUMMARY!$D$21*12&gt;=K226,-PPMT(SUMMARY!$D$22/12,K226,SUMMARY!$D$21*12,SUMMARY!$D$20),0)</f>
        <v>517.33438528232364</v>
      </c>
      <c r="N226" s="160">
        <f t="shared" ca="1" si="7"/>
        <v>602.75687798793012</v>
      </c>
      <c r="P226" s="199"/>
      <c r="Q226" s="200"/>
      <c r="R226" s="200"/>
      <c r="S226" s="200"/>
    </row>
    <row r="227" spans="11:19" x14ac:dyDescent="0.2">
      <c r="K227" s="159">
        <v>219</v>
      </c>
      <c r="L227" s="133">
        <f ca="1">-IF(SUMMARY!$D$21*12&gt;=K227,IPMT(SUMMARY!$D$22/12,K227,SUMMARY!$D$21*12,SUMMARY!$D$20),0)</f>
        <v>81.973596803724078</v>
      </c>
      <c r="M227" s="133">
        <f ca="1">IF(SUMMARY!$D$21*12&gt;=K227,-PPMT(SUMMARY!$D$22/12,K227,SUMMARY!$D$21*12,SUMMARY!$D$20),0)</f>
        <v>520.78328118420609</v>
      </c>
      <c r="N227" s="160">
        <f t="shared" ca="1" si="7"/>
        <v>602.75687798793012</v>
      </c>
      <c r="P227" s="199"/>
      <c r="Q227" s="200"/>
      <c r="R227" s="200"/>
      <c r="S227" s="200"/>
    </row>
    <row r="228" spans="11:19" x14ac:dyDescent="0.2">
      <c r="K228" s="159">
        <v>220</v>
      </c>
      <c r="L228" s="133">
        <f ca="1">-IF(SUMMARY!$D$21*12&gt;=K228,IPMT(SUMMARY!$D$22/12,K228,SUMMARY!$D$21*12,SUMMARY!$D$20),0)</f>
        <v>78.50170826249601</v>
      </c>
      <c r="M228" s="133">
        <f ca="1">IF(SUMMARY!$D$21*12&gt;=K228,-PPMT(SUMMARY!$D$22/12,K228,SUMMARY!$D$21*12,SUMMARY!$D$20),0)</f>
        <v>524.25516972543414</v>
      </c>
      <c r="N228" s="160">
        <f t="shared" ca="1" si="7"/>
        <v>602.75687798793012</v>
      </c>
      <c r="P228" s="199"/>
      <c r="Q228" s="200"/>
      <c r="R228" s="200"/>
      <c r="S228" s="200"/>
    </row>
    <row r="229" spans="11:19" x14ac:dyDescent="0.2">
      <c r="K229" s="159">
        <v>221</v>
      </c>
      <c r="L229" s="133">
        <f ca="1">-IF(SUMMARY!$D$21*12&gt;=K229,IPMT(SUMMARY!$D$22/12,K229,SUMMARY!$D$21*12,SUMMARY!$D$20),0)</f>
        <v>75.006673797660042</v>
      </c>
      <c r="M229" s="133">
        <f ca="1">IF(SUMMARY!$D$21*12&gt;=K229,-PPMT(SUMMARY!$D$22/12,K229,SUMMARY!$D$21*12,SUMMARY!$D$20),0)</f>
        <v>527.7502041902701</v>
      </c>
      <c r="N229" s="160">
        <f t="shared" ca="1" si="7"/>
        <v>602.75687798793012</v>
      </c>
      <c r="P229" s="199"/>
      <c r="Q229" s="200"/>
      <c r="R229" s="200"/>
      <c r="S229" s="200"/>
    </row>
    <row r="230" spans="11:19" x14ac:dyDescent="0.2">
      <c r="K230" s="159">
        <v>222</v>
      </c>
      <c r="L230" s="133">
        <f ca="1">-IF(SUMMARY!$D$21*12&gt;=K230,IPMT(SUMMARY!$D$22/12,K230,SUMMARY!$D$21*12,SUMMARY!$D$20),0)</f>
        <v>71.488339103058294</v>
      </c>
      <c r="M230" s="133">
        <f ca="1">IF(SUMMARY!$D$21*12&gt;=K230,-PPMT(SUMMARY!$D$22/12,K230,SUMMARY!$D$21*12,SUMMARY!$D$20),0)</f>
        <v>531.26853888487187</v>
      </c>
      <c r="N230" s="160">
        <f t="shared" ca="1" si="7"/>
        <v>602.75687798793012</v>
      </c>
      <c r="P230" s="199"/>
      <c r="Q230" s="200"/>
      <c r="R230" s="200"/>
      <c r="S230" s="200"/>
    </row>
    <row r="231" spans="11:19" x14ac:dyDescent="0.2">
      <c r="K231" s="159">
        <v>223</v>
      </c>
      <c r="L231" s="133">
        <f ca="1">-IF(SUMMARY!$D$21*12&gt;=K231,IPMT(SUMMARY!$D$22/12,K231,SUMMARY!$D$21*12,SUMMARY!$D$20),0)</f>
        <v>67.946548843825781</v>
      </c>
      <c r="M231" s="133">
        <f ca="1">IF(SUMMARY!$D$21*12&gt;=K231,-PPMT(SUMMARY!$D$22/12,K231,SUMMARY!$D$21*12,SUMMARY!$D$20),0)</f>
        <v>534.81032914410434</v>
      </c>
      <c r="N231" s="160">
        <f t="shared" ca="1" si="7"/>
        <v>602.75687798793012</v>
      </c>
      <c r="P231" s="199"/>
      <c r="Q231" s="200"/>
      <c r="R231" s="200"/>
      <c r="S231" s="200"/>
    </row>
    <row r="232" spans="11:19" x14ac:dyDescent="0.2">
      <c r="K232" s="159">
        <v>224</v>
      </c>
      <c r="L232" s="133">
        <f ca="1">-IF(SUMMARY!$D$21*12&gt;=K232,IPMT(SUMMARY!$D$22/12,K232,SUMMARY!$D$21*12,SUMMARY!$D$20),0)</f>
        <v>64.381146649532027</v>
      </c>
      <c r="M232" s="133">
        <f ca="1">IF(SUMMARY!$D$21*12&gt;=K232,-PPMT(SUMMARY!$D$22/12,K232,SUMMARY!$D$21*12,SUMMARY!$D$20),0)</f>
        <v>538.37573133839805</v>
      </c>
      <c r="N232" s="160">
        <f t="shared" ca="1" si="7"/>
        <v>602.75687798793012</v>
      </c>
      <c r="P232" s="199"/>
      <c r="Q232" s="200"/>
      <c r="R232" s="200"/>
      <c r="S232" s="200"/>
    </row>
    <row r="233" spans="11:19" x14ac:dyDescent="0.2">
      <c r="K233" s="159">
        <v>225</v>
      </c>
      <c r="L233" s="133">
        <f ca="1">-IF(SUMMARY!$D$21*12&gt;=K233,IPMT(SUMMARY!$D$22/12,K233,SUMMARY!$D$21*12,SUMMARY!$D$20),0)</f>
        <v>60.791975107275654</v>
      </c>
      <c r="M233" s="133">
        <f ca="1">IF(SUMMARY!$D$21*12&gt;=K233,-PPMT(SUMMARY!$D$22/12,K233,SUMMARY!$D$21*12,SUMMARY!$D$20),0)</f>
        <v>541.96490288065445</v>
      </c>
      <c r="N233" s="160">
        <f t="shared" ca="1" si="7"/>
        <v>602.75687798793012</v>
      </c>
      <c r="P233" s="199"/>
      <c r="Q233" s="200"/>
      <c r="R233" s="200"/>
      <c r="S233" s="200"/>
    </row>
    <row r="234" spans="11:19" x14ac:dyDescent="0.2">
      <c r="K234" s="159">
        <v>226</v>
      </c>
      <c r="L234" s="133">
        <f ca="1">-IF(SUMMARY!$D$21*12&gt;=K234,IPMT(SUMMARY!$D$22/12,K234,SUMMARY!$D$21*12,SUMMARY!$D$20),0)</f>
        <v>57.178875754738307</v>
      </c>
      <c r="M234" s="133">
        <f ca="1">IF(SUMMARY!$D$21*12&gt;=K234,-PPMT(SUMMARY!$D$22/12,K234,SUMMARY!$D$21*12,SUMMARY!$D$20),0)</f>
        <v>545.5780022331918</v>
      </c>
      <c r="N234" s="160">
        <f t="shared" ca="1" si="7"/>
        <v>602.75687798793012</v>
      </c>
      <c r="P234" s="199"/>
      <c r="Q234" s="200"/>
      <c r="R234" s="200"/>
      <c r="S234" s="200"/>
    </row>
    <row r="235" spans="11:19" x14ac:dyDescent="0.2">
      <c r="K235" s="159">
        <v>227</v>
      </c>
      <c r="L235" s="133">
        <f ca="1">-IF(SUMMARY!$D$21*12&gt;=K235,IPMT(SUMMARY!$D$22/12,K235,SUMMARY!$D$21*12,SUMMARY!$D$20),0)</f>
        <v>53.54168907318342</v>
      </c>
      <c r="M235" s="133">
        <f ca="1">IF(SUMMARY!$D$21*12&gt;=K235,-PPMT(SUMMARY!$D$22/12,K235,SUMMARY!$D$21*12,SUMMARY!$D$20),0)</f>
        <v>549.2151889147467</v>
      </c>
      <c r="N235" s="160">
        <f t="shared" ca="1" si="7"/>
        <v>602.75687798793012</v>
      </c>
      <c r="P235" s="199"/>
      <c r="Q235" s="200"/>
      <c r="R235" s="200"/>
      <c r="S235" s="200"/>
    </row>
    <row r="236" spans="11:19" x14ac:dyDescent="0.2">
      <c r="K236" s="159">
        <v>228</v>
      </c>
      <c r="L236" s="133">
        <f ca="1">-IF(SUMMARY!$D$21*12&gt;=K236,IPMT(SUMMARY!$D$22/12,K236,SUMMARY!$D$21*12,SUMMARY!$D$20),0)</f>
        <v>49.880254480418905</v>
      </c>
      <c r="M236" s="133">
        <f ca="1">IF(SUMMARY!$D$21*12&gt;=K236,-PPMT(SUMMARY!$D$22/12,K236,SUMMARY!$D$21*12,SUMMARY!$D$20),0)</f>
        <v>552.87662350751123</v>
      </c>
      <c r="N236" s="160">
        <f t="shared" ca="1" si="7"/>
        <v>602.75687798793012</v>
      </c>
      <c r="P236" s="199"/>
      <c r="Q236" s="200"/>
      <c r="R236" s="200"/>
      <c r="S236" s="200"/>
    </row>
    <row r="237" spans="11:19" x14ac:dyDescent="0.2">
      <c r="K237" s="159">
        <v>229</v>
      </c>
      <c r="L237" s="133">
        <f ca="1">-IF(SUMMARY!$D$21*12&gt;=K237,IPMT(SUMMARY!$D$22/12,K237,SUMMARY!$D$21*12,SUMMARY!$D$20),0)</f>
        <v>46.194410323702037</v>
      </c>
      <c r="M237" s="133">
        <f ca="1">IF(SUMMARY!$D$21*12&gt;=K237,-PPMT(SUMMARY!$D$22/12,K237,SUMMARY!$D$21*12,SUMMARY!$D$20),0)</f>
        <v>556.56246766422805</v>
      </c>
      <c r="N237" s="160">
        <f t="shared" ca="1" si="7"/>
        <v>602.75687798793012</v>
      </c>
      <c r="P237" s="199"/>
      <c r="Q237" s="200"/>
      <c r="R237" s="200"/>
      <c r="S237" s="200"/>
    </row>
    <row r="238" spans="11:19" x14ac:dyDescent="0.2">
      <c r="K238" s="159">
        <v>230</v>
      </c>
      <c r="L238" s="133">
        <f ca="1">-IF(SUMMARY!$D$21*12&gt;=K238,IPMT(SUMMARY!$D$22/12,K238,SUMMARY!$D$21*12,SUMMARY!$D$20),0)</f>
        <v>42.483993872607051</v>
      </c>
      <c r="M238" s="133">
        <f ca="1">IF(SUMMARY!$D$21*12&gt;=K238,-PPMT(SUMMARY!$D$22/12,K238,SUMMARY!$D$21*12,SUMMARY!$D$20),0)</f>
        <v>560.27288411532311</v>
      </c>
      <c r="N238" s="160">
        <f t="shared" ca="1" si="7"/>
        <v>602.75687798793012</v>
      </c>
      <c r="P238" s="199"/>
      <c r="Q238" s="200"/>
      <c r="R238" s="200"/>
      <c r="S238" s="200"/>
    </row>
    <row r="239" spans="11:19" x14ac:dyDescent="0.2">
      <c r="K239" s="159">
        <v>231</v>
      </c>
      <c r="L239" s="133">
        <f ca="1">-IF(SUMMARY!$D$21*12&gt;=K239,IPMT(SUMMARY!$D$22/12,K239,SUMMARY!$D$21*12,SUMMARY!$D$20),0)</f>
        <v>38.748841311838092</v>
      </c>
      <c r="M239" s="133">
        <f ca="1">IF(SUMMARY!$D$21*12&gt;=K239,-PPMT(SUMMARY!$D$22/12,K239,SUMMARY!$D$21*12,SUMMARY!$D$20),0)</f>
        <v>564.00803667609205</v>
      </c>
      <c r="N239" s="160">
        <f t="shared" ca="1" si="7"/>
        <v>602.75687798793012</v>
      </c>
      <c r="P239" s="199"/>
      <c r="Q239" s="200"/>
      <c r="R239" s="200"/>
      <c r="S239" s="200"/>
    </row>
    <row r="240" spans="11:19" x14ac:dyDescent="0.2">
      <c r="K240" s="159">
        <v>232</v>
      </c>
      <c r="L240" s="133">
        <f ca="1">-IF(SUMMARY!$D$21*12&gt;=K240,IPMT(SUMMARY!$D$22/12,K240,SUMMARY!$D$21*12,SUMMARY!$D$20),0)</f>
        <v>34.988787733997839</v>
      </c>
      <c r="M240" s="133">
        <f ca="1">IF(SUMMARY!$D$21*12&gt;=K240,-PPMT(SUMMARY!$D$22/12,K240,SUMMARY!$D$21*12,SUMMARY!$D$20),0)</f>
        <v>567.76809025393231</v>
      </c>
      <c r="N240" s="160">
        <f t="shared" ca="1" si="7"/>
        <v>602.75687798793012</v>
      </c>
      <c r="P240" s="199"/>
      <c r="Q240" s="200"/>
      <c r="R240" s="200"/>
      <c r="S240" s="200"/>
    </row>
    <row r="241" spans="11:19" x14ac:dyDescent="0.2">
      <c r="K241" s="159">
        <v>233</v>
      </c>
      <c r="L241" s="133">
        <f ca="1">-IF(SUMMARY!$D$21*12&gt;=K241,IPMT(SUMMARY!$D$22/12,K241,SUMMARY!$D$21*12,SUMMARY!$D$20),0)</f>
        <v>31.203667132305373</v>
      </c>
      <c r="M241" s="133">
        <f ca="1">IF(SUMMARY!$D$21*12&gt;=K241,-PPMT(SUMMARY!$D$22/12,K241,SUMMARY!$D$21*12,SUMMARY!$D$20),0)</f>
        <v>571.5532108556248</v>
      </c>
      <c r="N241" s="160">
        <f t="shared" ca="1" si="7"/>
        <v>602.75687798793012</v>
      </c>
      <c r="P241" s="199"/>
      <c r="Q241" s="200"/>
      <c r="R241" s="200"/>
      <c r="S241" s="200"/>
    </row>
    <row r="242" spans="11:19" x14ac:dyDescent="0.2">
      <c r="K242" s="159">
        <v>234</v>
      </c>
      <c r="L242" s="133">
        <f ca="1">-IF(SUMMARY!$D$21*12&gt;=K242,IPMT(SUMMARY!$D$22/12,K242,SUMMARY!$D$21*12,SUMMARY!$D$20),0)</f>
        <v>27.393312393267408</v>
      </c>
      <c r="M242" s="133">
        <f ca="1">IF(SUMMARY!$D$21*12&gt;=K242,-PPMT(SUMMARY!$D$22/12,K242,SUMMARY!$D$21*12,SUMMARY!$D$20),0)</f>
        <v>575.36356559466276</v>
      </c>
      <c r="N242" s="160">
        <f t="shared" ca="1" si="7"/>
        <v>602.75687798793012</v>
      </c>
      <c r="P242" s="199"/>
      <c r="Q242" s="200"/>
      <c r="R242" s="200"/>
      <c r="S242" s="200"/>
    </row>
    <row r="243" spans="11:19" x14ac:dyDescent="0.2">
      <c r="K243" s="159">
        <v>235</v>
      </c>
      <c r="L243" s="133">
        <f ca="1">-IF(SUMMARY!$D$21*12&gt;=K243,IPMT(SUMMARY!$D$22/12,K243,SUMMARY!$D$21*12,SUMMARY!$D$20),0)</f>
        <v>23.557555289303419</v>
      </c>
      <c r="M243" s="133">
        <f ca="1">IF(SUMMARY!$D$21*12&gt;=K243,-PPMT(SUMMARY!$D$22/12,K243,SUMMARY!$D$21*12,SUMMARY!$D$20),0)</f>
        <v>579.1993226986267</v>
      </c>
      <c r="N243" s="160">
        <f t="shared" ca="1" si="7"/>
        <v>602.75687798793012</v>
      </c>
      <c r="P243" s="199"/>
      <c r="Q243" s="200"/>
      <c r="R243" s="200"/>
      <c r="S243" s="200"/>
    </row>
    <row r="244" spans="11:19" x14ac:dyDescent="0.2">
      <c r="K244" s="159">
        <v>236</v>
      </c>
      <c r="L244" s="133">
        <f ca="1">-IF(SUMMARY!$D$21*12&gt;=K244,IPMT(SUMMARY!$D$22/12,K244,SUMMARY!$D$21*12,SUMMARY!$D$20),0)</f>
        <v>19.696226471312112</v>
      </c>
      <c r="M244" s="133">
        <f ca="1">IF(SUMMARY!$D$21*12&gt;=K244,-PPMT(SUMMARY!$D$22/12,K244,SUMMARY!$D$21*12,SUMMARY!$D$20),0)</f>
        <v>583.06065151661801</v>
      </c>
      <c r="N244" s="160">
        <f t="shared" ca="1" si="7"/>
        <v>602.75687798793012</v>
      </c>
      <c r="P244" s="199"/>
      <c r="Q244" s="200"/>
      <c r="R244" s="200"/>
      <c r="S244" s="200"/>
    </row>
    <row r="245" spans="11:19" x14ac:dyDescent="0.2">
      <c r="K245" s="159">
        <v>237</v>
      </c>
      <c r="L245" s="133">
        <f ca="1">-IF(SUMMARY!$D$21*12&gt;=K245,IPMT(SUMMARY!$D$22/12,K245,SUMMARY!$D$21*12,SUMMARY!$D$20),0)</f>
        <v>15.809155461201833</v>
      </c>
      <c r="M245" s="133">
        <f ca="1">IF(SUMMARY!$D$21*12&gt;=K245,-PPMT(SUMMARY!$D$22/12,K245,SUMMARY!$D$21*12,SUMMARY!$D$20),0)</f>
        <v>586.94772252672828</v>
      </c>
      <c r="N245" s="160">
        <f t="shared" ca="1" si="7"/>
        <v>602.75687798793012</v>
      </c>
      <c r="P245" s="199"/>
      <c r="Q245" s="200"/>
      <c r="R245" s="200"/>
      <c r="S245" s="200"/>
    </row>
    <row r="246" spans="11:19" x14ac:dyDescent="0.2">
      <c r="K246" s="159">
        <v>238</v>
      </c>
      <c r="L246" s="133">
        <f ca="1">-IF(SUMMARY!$D$21*12&gt;=K246,IPMT(SUMMARY!$D$22/12,K246,SUMMARY!$D$21*12,SUMMARY!$D$20),0)</f>
        <v>11.896170644356559</v>
      </c>
      <c r="M246" s="133">
        <f ca="1">IF(SUMMARY!$D$21*12&gt;=K246,-PPMT(SUMMARY!$D$22/12,K246,SUMMARY!$D$21*12,SUMMARY!$D$20),0)</f>
        <v>590.86070734357361</v>
      </c>
      <c r="N246" s="160">
        <f t="shared" ca="1" si="7"/>
        <v>602.75687798793012</v>
      </c>
      <c r="P246" s="199"/>
      <c r="Q246" s="200"/>
      <c r="R246" s="200"/>
      <c r="S246" s="200"/>
    </row>
    <row r="247" spans="11:19" x14ac:dyDescent="0.2">
      <c r="K247" s="159">
        <v>239</v>
      </c>
      <c r="L247" s="133">
        <f ca="1">-IF(SUMMARY!$D$21*12&gt;=K247,IPMT(SUMMARY!$D$22/12,K247,SUMMARY!$D$21*12,SUMMARY!$D$20),0)</f>
        <v>7.957099262066186</v>
      </c>
      <c r="M247" s="133">
        <f ca="1">IF(SUMMARY!$D$21*12&gt;=K247,-PPMT(SUMMARY!$D$22/12,K247,SUMMARY!$D$21*12,SUMMARY!$D$20),0)</f>
        <v>594.79977872586392</v>
      </c>
      <c r="N247" s="160">
        <f t="shared" ca="1" si="7"/>
        <v>602.75687798793012</v>
      </c>
      <c r="P247" s="199"/>
      <c r="Q247" s="200"/>
      <c r="R247" s="200"/>
      <c r="S247" s="200"/>
    </row>
    <row r="248" spans="11:19" x14ac:dyDescent="0.2">
      <c r="K248" s="159">
        <v>240</v>
      </c>
      <c r="L248" s="133">
        <f ca="1">-IF(SUMMARY!$D$21*12&gt;=K248,IPMT(SUMMARY!$D$22/12,K248,SUMMARY!$D$21*12,SUMMARY!$D$20),0)</f>
        <v>3.9917674038935611</v>
      </c>
      <c r="M248" s="133">
        <f ca="1">IF(SUMMARY!$D$21*12&gt;=K248,-PPMT(SUMMARY!$D$22/12,K248,SUMMARY!$D$21*12,SUMMARY!$D$20),0)</f>
        <v>598.76511058403662</v>
      </c>
      <c r="N248" s="160">
        <f t="shared" ca="1" si="7"/>
        <v>602.75687798793012</v>
      </c>
      <c r="P248" s="199"/>
      <c r="Q248" s="200"/>
      <c r="R248" s="200"/>
      <c r="S248" s="200"/>
    </row>
    <row r="249" spans="11:19" x14ac:dyDescent="0.2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5" thickBot="1" x14ac:dyDescent="0.25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2.75" x14ac:dyDescent="0.2"/>
  <cols>
    <col min="1" max="1" width="30.5703125" customWidth="1"/>
    <col min="2" max="3" width="15.85546875" customWidth="1"/>
    <col min="4" max="4" width="18.42578125" customWidth="1"/>
    <col min="5" max="5" width="17.140625" bestFit="1" customWidth="1"/>
    <col min="6" max="6" width="16.85546875" customWidth="1"/>
  </cols>
  <sheetData>
    <row r="2" spans="2:7" ht="20.25" x14ac:dyDescent="0.2">
      <c r="B2" s="366" t="s">
        <v>144</v>
      </c>
      <c r="C2" s="366"/>
      <c r="D2" s="366"/>
      <c r="E2" s="366"/>
    </row>
    <row r="5" spans="2:7" x14ac:dyDescent="0.2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5" thickBot="1" x14ac:dyDescent="0.25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5" thickBot="1" x14ac:dyDescent="0.25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5" thickBot="1" x14ac:dyDescent="0.25"/>
    <row r="19" spans="2:6" x14ac:dyDescent="0.2">
      <c r="D19" s="5" t="s">
        <v>338</v>
      </c>
      <c r="E19" s="308">
        <v>13500000</v>
      </c>
    </row>
    <row r="20" spans="2:6" x14ac:dyDescent="0.2">
      <c r="D20" s="6" t="s">
        <v>339</v>
      </c>
      <c r="E20" s="309">
        <v>450000</v>
      </c>
    </row>
    <row r="21" spans="2:6" ht="13.5" thickBot="1" x14ac:dyDescent="0.25">
      <c r="D21" s="8" t="s">
        <v>340</v>
      </c>
      <c r="E21" s="310">
        <v>62000</v>
      </c>
      <c r="F21" s="1"/>
    </row>
    <row r="22" spans="2:6" ht="13.5" thickBot="1" x14ac:dyDescent="0.25">
      <c r="D22" s="236" t="s">
        <v>341</v>
      </c>
      <c r="E22" s="310">
        <f>+SUM(E19:E21)</f>
        <v>14012000</v>
      </c>
      <c r="F22" s="1"/>
    </row>
    <row r="23" spans="2:6" x14ac:dyDescent="0.2">
      <c r="D23" s="1"/>
      <c r="E23" s="1"/>
      <c r="F23" s="1"/>
    </row>
    <row r="24" spans="2:6" x14ac:dyDescent="0.2"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tabSelected="1" zoomScale="75" zoomScaleNormal="80" workbookViewId="0">
      <selection activeCell="I20" sqref="I20"/>
    </sheetView>
  </sheetViews>
  <sheetFormatPr defaultRowHeight="12.75" x14ac:dyDescent="0.2"/>
  <cols>
    <col min="1" max="1" width="18.28515625" customWidth="1"/>
    <col min="2" max="4" width="11.28515625" bestFit="1" customWidth="1"/>
    <col min="5" max="8" width="10.28515625" bestFit="1" customWidth="1"/>
    <col min="9" max="11" width="11.28515625" bestFit="1" customWidth="1"/>
    <col min="13" max="13" width="3" customWidth="1"/>
    <col min="14" max="14" width="20.85546875" customWidth="1"/>
    <col min="16" max="16" width="10.85546875" bestFit="1" customWidth="1"/>
  </cols>
  <sheetData>
    <row r="1" spans="1:17" ht="20.25" x14ac:dyDescent="0.2">
      <c r="A1" s="120" t="s">
        <v>186</v>
      </c>
    </row>
    <row r="2" spans="1:17" ht="13.5" thickBot="1" x14ac:dyDescent="0.25"/>
    <row r="3" spans="1:17" x14ac:dyDescent="0.2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5" thickBot="1" x14ac:dyDescent="0.25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5" thickBot="1" x14ac:dyDescent="0.25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5" thickBot="1" x14ac:dyDescent="0.25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">
      <c r="A10" s="92"/>
      <c r="B10" s="58"/>
      <c r="C10" s="58"/>
      <c r="D10" s="58"/>
      <c r="E10" s="58"/>
    </row>
    <row r="11" spans="1:17" ht="13.5" hidden="1" thickBot="1" x14ac:dyDescent="0.25">
      <c r="A11" s="92"/>
      <c r="B11" s="58"/>
      <c r="C11" s="57"/>
      <c r="D11" s="57"/>
      <c r="E11" s="57"/>
      <c r="F11" s="57"/>
      <c r="G11" s="57"/>
      <c r="H11" s="57"/>
    </row>
    <row r="12" spans="1:17" x14ac:dyDescent="0.2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5" thickBot="1" x14ac:dyDescent="0.25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">
      <c r="A26" s="90"/>
      <c r="B26" s="1"/>
      <c r="C26" s="1"/>
      <c r="D26" s="1"/>
      <c r="E26" s="1"/>
      <c r="F26" s="1"/>
      <c r="G26" s="1"/>
      <c r="H26" s="1"/>
    </row>
    <row r="27" spans="1:16" hidden="1" x14ac:dyDescent="0.2">
      <c r="A27" s="90"/>
      <c r="B27" s="1"/>
      <c r="C27" s="1"/>
      <c r="D27" s="1"/>
      <c r="E27" s="1"/>
      <c r="F27" s="1"/>
      <c r="G27" s="1"/>
      <c r="H27" s="1"/>
    </row>
    <row r="28" spans="1:16" hidden="1" x14ac:dyDescent="0.2">
      <c r="A28" s="92"/>
    </row>
    <row r="29" spans="1:16" hidden="1" x14ac:dyDescent="0.2">
      <c r="A29" s="90"/>
    </row>
    <row r="30" spans="1:16" x14ac:dyDescent="0.2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5" thickBot="1" x14ac:dyDescent="0.25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">
      <c r="A32" s="90"/>
    </row>
    <row r="33" spans="1:17" x14ac:dyDescent="0.2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5" thickBot="1" x14ac:dyDescent="0.25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">
      <c r="A35" s="90"/>
    </row>
    <row r="36" spans="1:17" ht="13.5" thickBot="1" x14ac:dyDescent="0.25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">
      <c r="A37" s="90"/>
    </row>
    <row r="38" spans="1:17" ht="13.5" thickBot="1" x14ac:dyDescent="0.25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">
      <c r="A39" s="90"/>
    </row>
    <row r="40" spans="1:17" x14ac:dyDescent="0.2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5" thickBot="1" x14ac:dyDescent="0.25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5" hidden="1" thickBot="1" x14ac:dyDescent="0.25">
      <c r="A46" s="90"/>
      <c r="N46" s="223"/>
      <c r="O46" s="224"/>
      <c r="P46" s="227"/>
    </row>
    <row r="47" spans="1:17" x14ac:dyDescent="0.2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5" thickBot="1" x14ac:dyDescent="0.25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">
      <c r="A49" s="90"/>
    </row>
    <row r="50" spans="1:17" x14ac:dyDescent="0.2">
      <c r="A50" s="90"/>
      <c r="N50" s="219" t="s">
        <v>227</v>
      </c>
      <c r="P50" s="237">
        <v>0.6</v>
      </c>
    </row>
    <row r="51" spans="1:17" x14ac:dyDescent="0.2">
      <c r="A51" s="90"/>
      <c r="N51" s="219" t="s">
        <v>231</v>
      </c>
      <c r="P51" s="238">
        <v>1.1000000000000001</v>
      </c>
    </row>
    <row r="52" spans="1:17" ht="13.5" thickBot="1" x14ac:dyDescent="0.25">
      <c r="A52" s="90"/>
    </row>
    <row r="53" spans="1:17" x14ac:dyDescent="0.2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5" thickBot="1" x14ac:dyDescent="0.25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5" thickBot="1" x14ac:dyDescent="0.25">
      <c r="A55" s="90"/>
    </row>
    <row r="56" spans="1:17" x14ac:dyDescent="0.2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5" thickBot="1" x14ac:dyDescent="0.25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5" thickBot="1" x14ac:dyDescent="0.25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5" thickBot="1" x14ac:dyDescent="0.25"/>
    <row r="64" spans="1:17" x14ac:dyDescent="0.2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">
      <c r="A65" s="6"/>
      <c r="B65" s="224" t="s">
        <v>257</v>
      </c>
      <c r="C65" s="224" t="s">
        <v>258</v>
      </c>
      <c r="D65" s="265">
        <v>3.5</v>
      </c>
    </row>
    <row r="66" spans="1:7" x14ac:dyDescent="0.2">
      <c r="A66" s="6"/>
      <c r="B66" s="7"/>
      <c r="C66" s="224" t="s">
        <v>259</v>
      </c>
      <c r="D66" s="265">
        <f>D65/(1000/D64)</f>
        <v>0.26808510638297872</v>
      </c>
    </row>
    <row r="67" spans="1:7" x14ac:dyDescent="0.2">
      <c r="A67" s="6"/>
      <c r="B67" s="7"/>
      <c r="C67" s="7"/>
      <c r="D67" s="81"/>
    </row>
    <row r="68" spans="1:7" x14ac:dyDescent="0.2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">
      <c r="A69" s="223"/>
      <c r="B69" s="224" t="s">
        <v>257</v>
      </c>
      <c r="C69" s="224" t="s">
        <v>258</v>
      </c>
      <c r="D69" s="265">
        <v>1.6</v>
      </c>
    </row>
    <row r="70" spans="1:7" x14ac:dyDescent="0.2">
      <c r="A70" s="6"/>
      <c r="B70" s="7"/>
      <c r="C70" s="224" t="s">
        <v>259</v>
      </c>
      <c r="D70" s="265">
        <f>D69/(1000/D68)</f>
        <v>0.26961702127659576</v>
      </c>
    </row>
    <row r="71" spans="1:7" x14ac:dyDescent="0.2">
      <c r="A71" s="6"/>
      <c r="B71" s="7"/>
      <c r="C71" s="7"/>
      <c r="D71" s="81"/>
    </row>
    <row r="72" spans="1:7" ht="13.5" thickBot="1" x14ac:dyDescent="0.25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5" thickBot="1" x14ac:dyDescent="0.25"/>
    <row r="74" spans="1:7" x14ac:dyDescent="0.2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5" thickBot="1" x14ac:dyDescent="0.25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59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sqref="A1:C51"/>
    </sheetView>
  </sheetViews>
  <sheetFormatPr defaultRowHeight="12.75" x14ac:dyDescent="0.2"/>
  <cols>
    <col min="2" max="2" width="6" customWidth="1"/>
    <col min="3" max="3" width="107" customWidth="1"/>
    <col min="4" max="4" width="9.85546875" customWidth="1"/>
  </cols>
  <sheetData>
    <row r="3" spans="1:3" x14ac:dyDescent="0.2">
      <c r="A3" s="57" t="s">
        <v>282</v>
      </c>
    </row>
    <row r="4" spans="1:3" x14ac:dyDescent="0.2">
      <c r="A4">
        <v>1</v>
      </c>
      <c r="B4" t="s">
        <v>300</v>
      </c>
    </row>
    <row r="5" spans="1:3" x14ac:dyDescent="0.2">
      <c r="A5">
        <f>A4+1</f>
        <v>2</v>
      </c>
      <c r="B5" t="s">
        <v>283</v>
      </c>
    </row>
    <row r="6" spans="1:3" x14ac:dyDescent="0.2">
      <c r="A6">
        <f>A5+1</f>
        <v>3</v>
      </c>
      <c r="B6" t="s">
        <v>284</v>
      </c>
    </row>
    <row r="7" spans="1:3" x14ac:dyDescent="0.2">
      <c r="A7">
        <f>A6+1</f>
        <v>4</v>
      </c>
      <c r="B7" t="s">
        <v>285</v>
      </c>
    </row>
    <row r="8" spans="1:3" x14ac:dyDescent="0.2">
      <c r="A8">
        <f>A7+1</f>
        <v>5</v>
      </c>
      <c r="B8" t="s">
        <v>286</v>
      </c>
    </row>
    <row r="9" spans="1:3" x14ac:dyDescent="0.2">
      <c r="A9">
        <f>A8+1</f>
        <v>6</v>
      </c>
      <c r="B9" t="s">
        <v>287</v>
      </c>
    </row>
    <row r="10" spans="1:3" x14ac:dyDescent="0.2">
      <c r="C10" t="s">
        <v>288</v>
      </c>
    </row>
    <row r="11" spans="1:3" x14ac:dyDescent="0.2">
      <c r="C11" t="s">
        <v>289</v>
      </c>
    </row>
    <row r="12" spans="1:3" x14ac:dyDescent="0.2">
      <c r="C12" t="s">
        <v>290</v>
      </c>
    </row>
    <row r="15" spans="1:3" x14ac:dyDescent="0.2">
      <c r="A15">
        <f>A9+1</f>
        <v>7</v>
      </c>
      <c r="B15" t="s">
        <v>291</v>
      </c>
    </row>
    <row r="16" spans="1:3" x14ac:dyDescent="0.2">
      <c r="C16" t="s">
        <v>292</v>
      </c>
    </row>
    <row r="17" spans="1:3" x14ac:dyDescent="0.2">
      <c r="C17" t="s">
        <v>293</v>
      </c>
    </row>
    <row r="18" spans="1:3" x14ac:dyDescent="0.2">
      <c r="C18" t="s">
        <v>294</v>
      </c>
    </row>
    <row r="19" spans="1:3" x14ac:dyDescent="0.2">
      <c r="C19" t="s">
        <v>295</v>
      </c>
    </row>
    <row r="21" spans="1:3" x14ac:dyDescent="0.2">
      <c r="A21">
        <f>A15+1</f>
        <v>8</v>
      </c>
      <c r="B21" t="s">
        <v>296</v>
      </c>
    </row>
    <row r="22" spans="1:3" x14ac:dyDescent="0.2">
      <c r="A22">
        <f>A21+1</f>
        <v>9</v>
      </c>
      <c r="B22" t="s">
        <v>301</v>
      </c>
    </row>
    <row r="23" spans="1:3" x14ac:dyDescent="0.2">
      <c r="A23">
        <f>A22+1</f>
        <v>10</v>
      </c>
    </row>
    <row r="24" spans="1:3" x14ac:dyDescent="0.2">
      <c r="A24">
        <f>A23+1</f>
        <v>11</v>
      </c>
    </row>
    <row r="25" spans="1:3" x14ac:dyDescent="0.2">
      <c r="A25">
        <f>A24+1</f>
        <v>12</v>
      </c>
    </row>
    <row r="27" spans="1:3" x14ac:dyDescent="0.2">
      <c r="A27" s="57" t="s">
        <v>302</v>
      </c>
    </row>
    <row r="28" spans="1:3" x14ac:dyDescent="0.2">
      <c r="A28">
        <v>1</v>
      </c>
      <c r="B28" t="s">
        <v>303</v>
      </c>
    </row>
    <row r="29" spans="1:3" x14ac:dyDescent="0.2">
      <c r="A29">
        <f>A28+1</f>
        <v>2</v>
      </c>
      <c r="B29" t="s">
        <v>304</v>
      </c>
    </row>
    <row r="30" spans="1:3" x14ac:dyDescent="0.2">
      <c r="A30">
        <f t="shared" ref="A30:A50" si="0">A29+1</f>
        <v>3</v>
      </c>
      <c r="B30" t="s">
        <v>305</v>
      </c>
    </row>
    <row r="31" spans="1:3" x14ac:dyDescent="0.2">
      <c r="A31">
        <f t="shared" si="0"/>
        <v>4</v>
      </c>
      <c r="B31" t="s">
        <v>306</v>
      </c>
    </row>
    <row r="32" spans="1:3" x14ac:dyDescent="0.2">
      <c r="A32">
        <f t="shared" si="0"/>
        <v>5</v>
      </c>
      <c r="B32" t="s">
        <v>307</v>
      </c>
    </row>
    <row r="33" spans="1:2" x14ac:dyDescent="0.2">
      <c r="A33">
        <f t="shared" si="0"/>
        <v>6</v>
      </c>
      <c r="B33" t="s">
        <v>308</v>
      </c>
    </row>
    <row r="34" spans="1:2" x14ac:dyDescent="0.2">
      <c r="A34">
        <f t="shared" si="0"/>
        <v>7</v>
      </c>
      <c r="B34" t="s">
        <v>309</v>
      </c>
    </row>
    <row r="35" spans="1:2" x14ac:dyDescent="0.2">
      <c r="A35">
        <f t="shared" si="0"/>
        <v>8</v>
      </c>
      <c r="B35" t="s">
        <v>319</v>
      </c>
    </row>
    <row r="36" spans="1:2" x14ac:dyDescent="0.2">
      <c r="A36">
        <f t="shared" si="0"/>
        <v>9</v>
      </c>
      <c r="B36" t="s">
        <v>310</v>
      </c>
    </row>
    <row r="37" spans="1:2" x14ac:dyDescent="0.2">
      <c r="A37">
        <f t="shared" si="0"/>
        <v>10</v>
      </c>
      <c r="B37" t="s">
        <v>311</v>
      </c>
    </row>
    <row r="38" spans="1:2" x14ac:dyDescent="0.2">
      <c r="A38">
        <f t="shared" si="0"/>
        <v>11</v>
      </c>
      <c r="B38" t="s">
        <v>312</v>
      </c>
    </row>
    <row r="39" spans="1:2" x14ac:dyDescent="0.2">
      <c r="A39">
        <f t="shared" si="0"/>
        <v>12</v>
      </c>
      <c r="B39" t="s">
        <v>313</v>
      </c>
    </row>
    <row r="40" spans="1:2" x14ac:dyDescent="0.2">
      <c r="A40">
        <f t="shared" si="0"/>
        <v>13</v>
      </c>
      <c r="B40" t="s">
        <v>314</v>
      </c>
    </row>
    <row r="41" spans="1:2" x14ac:dyDescent="0.2">
      <c r="A41">
        <f t="shared" si="0"/>
        <v>14</v>
      </c>
      <c r="B41" t="s">
        <v>315</v>
      </c>
    </row>
    <row r="42" spans="1:2" x14ac:dyDescent="0.2">
      <c r="A42">
        <f t="shared" si="0"/>
        <v>15</v>
      </c>
      <c r="B42" t="s">
        <v>316</v>
      </c>
    </row>
    <row r="43" spans="1:2" x14ac:dyDescent="0.2">
      <c r="A43">
        <f t="shared" si="0"/>
        <v>16</v>
      </c>
      <c r="B43" t="s">
        <v>317</v>
      </c>
    </row>
    <row r="44" spans="1:2" x14ac:dyDescent="0.2">
      <c r="A44">
        <f t="shared" si="0"/>
        <v>17</v>
      </c>
      <c r="B44" t="s">
        <v>318</v>
      </c>
    </row>
    <row r="45" spans="1:2" x14ac:dyDescent="0.2">
      <c r="A45">
        <f t="shared" si="0"/>
        <v>18</v>
      </c>
      <c r="B45" t="s">
        <v>320</v>
      </c>
    </row>
    <row r="46" spans="1:2" x14ac:dyDescent="0.2">
      <c r="A46">
        <f t="shared" si="0"/>
        <v>19</v>
      </c>
      <c r="B46" t="s">
        <v>321</v>
      </c>
    </row>
    <row r="47" spans="1:2" x14ac:dyDescent="0.2">
      <c r="A47">
        <f t="shared" si="0"/>
        <v>20</v>
      </c>
      <c r="B47" t="s">
        <v>322</v>
      </c>
    </row>
    <row r="48" spans="1:2" x14ac:dyDescent="0.2">
      <c r="A48">
        <f t="shared" si="0"/>
        <v>21</v>
      </c>
      <c r="B48" t="s">
        <v>323</v>
      </c>
    </row>
    <row r="49" spans="1:2" x14ac:dyDescent="0.2">
      <c r="A49">
        <f t="shared" si="0"/>
        <v>22</v>
      </c>
      <c r="B49" t="s">
        <v>324</v>
      </c>
    </row>
    <row r="50" spans="1:2" x14ac:dyDescent="0.2">
      <c r="A50">
        <f t="shared" si="0"/>
        <v>23</v>
      </c>
      <c r="B50" t="s">
        <v>325</v>
      </c>
    </row>
    <row r="51" spans="1:2" x14ac:dyDescent="0.2">
      <c r="A51">
        <f>A50+1</f>
        <v>24</v>
      </c>
      <c r="B51" t="s">
        <v>337</v>
      </c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CLARIFICATIONS!Print_Area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Jan Havlíček</cp:lastModifiedBy>
  <cp:lastPrinted>2000-01-19T15:05:46Z</cp:lastPrinted>
  <dcterms:created xsi:type="dcterms:W3CDTF">1999-11-18T00:03:45Z</dcterms:created>
  <dcterms:modified xsi:type="dcterms:W3CDTF">2023-09-13T22:15:30Z</dcterms:modified>
</cp:coreProperties>
</file>