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C1FCE1-BD2A-4501-9787-3505805EC15A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Preset Scenarios" sheetId="1" state="hidden" r:id="rId1"/>
    <sheet name="Assumptions" sheetId="2" r:id="rId2"/>
    <sheet name="Power Price Assumption" sheetId="3" r:id="rId3"/>
    <sheet name="IS" sheetId="4" r:id="rId4"/>
    <sheet name="CF" sheetId="5" r:id="rId5"/>
    <sheet name="Debt" sheetId="6" r:id="rId6"/>
    <sheet name="Depreciation" sheetId="7" r:id="rId7"/>
    <sheet name="Tax" sheetId="8" r:id="rId8"/>
    <sheet name="EGC Start Charge Matrix" sheetId="15" r:id="rId9"/>
  </sheets>
  <externalReferences>
    <externalReference r:id="rId10"/>
    <externalReference r:id="rId11"/>
  </externalReferences>
  <definedNames>
    <definedName name="AnnualHours">Assumptions!$G$15</definedName>
    <definedName name="Deg_Rate">Assumptions!$F$12</definedName>
    <definedName name="ISO_MW">Assumptions!$I$10</definedName>
    <definedName name="Main_Table">'[2]Maintenance Reserves'!$D$22:$I$45</definedName>
    <definedName name="Maint_Accrual">Assumptions!$N$17</definedName>
    <definedName name="NetMW">Assumptions!$I$11</definedName>
    <definedName name="_xlnm.Print_Area" localSheetId="1">Assumptions!$A$3:$I$142</definedName>
    <definedName name="_xlnm.Print_Area" localSheetId="4">CF!$A$2:$Y$45</definedName>
    <definedName name="_xlnm.Print_Area" localSheetId="5">Debt!$A$13:$V$97</definedName>
    <definedName name="_xlnm.Print_Area" localSheetId="6">Depreciation!$A$2:$Z$45</definedName>
    <definedName name="_xlnm.Print_Area" localSheetId="8">'EGC Start Charge Matrix'!$A$2:$AM$37</definedName>
    <definedName name="_xlnm.Print_Area" localSheetId="3">IS!$A$2:$Z$66</definedName>
    <definedName name="_xlnm.Print_Area" localSheetId="0">'Preset Scenarios'!$A$2:$M$30</definedName>
    <definedName name="_xlnm.Print_Area" localSheetId="7">Tax!$A$2:$Y$50</definedName>
    <definedName name="_xlnm.Print_Titles" localSheetId="4">CF!$A:$B</definedName>
    <definedName name="_xlnm.Print_Titles" localSheetId="5">Debt!$A:$A</definedName>
    <definedName name="_xlnm.Print_Titles" localSheetId="6">Depreciation!$A:$A</definedName>
    <definedName name="_xlnm.Print_Titles" localSheetId="3">IS!$A:$A</definedName>
    <definedName name="_xlnm.Print_Titles" localSheetId="7">Tax!$A:$C</definedName>
    <definedName name="Variable">Assumptions!$L$12</definedName>
    <definedName name="WaterTreatmentVar">Assumptions!$L$10</definedName>
  </definedNames>
  <calcPr calcId="0" calcMode="manual" fullCalcOnLoad="1" iterate="1"/>
</workbook>
</file>

<file path=xl/calcChain.xml><?xml version="1.0" encoding="utf-8"?>
<calcChain xmlns="http://schemas.openxmlformats.org/spreadsheetml/2006/main">
  <c r="D11" i="2" l="1"/>
  <c r="D12" i="2"/>
  <c r="E12" i="2"/>
  <c r="D14" i="2"/>
  <c r="E14" i="2"/>
  <c r="D20" i="2"/>
  <c r="D21" i="2"/>
  <c r="D22" i="2"/>
  <c r="D23" i="2"/>
  <c r="D24" i="2"/>
  <c r="I24" i="2"/>
  <c r="D25" i="2"/>
  <c r="D26" i="2"/>
  <c r="D27" i="2"/>
  <c r="D28" i="2"/>
  <c r="D29" i="2"/>
  <c r="D30" i="2"/>
  <c r="D31" i="2"/>
  <c r="E31" i="2"/>
  <c r="D34" i="2"/>
  <c r="D35" i="2"/>
  <c r="D36" i="2"/>
  <c r="D37" i="2"/>
  <c r="E37" i="2"/>
  <c r="I37" i="2"/>
  <c r="D39" i="2"/>
  <c r="I39" i="2"/>
  <c r="D40" i="2"/>
  <c r="I40" i="2"/>
  <c r="D41" i="2"/>
  <c r="D43" i="2"/>
  <c r="E43" i="2"/>
  <c r="I43" i="2"/>
  <c r="I44" i="2"/>
  <c r="I47" i="2"/>
  <c r="I49" i="2"/>
  <c r="I50" i="2"/>
  <c r="E51" i="2"/>
  <c r="I53" i="2"/>
  <c r="B54" i="2"/>
  <c r="C54" i="2"/>
  <c r="D54" i="2"/>
  <c r="I54" i="2"/>
  <c r="E57" i="2"/>
  <c r="E58" i="2"/>
  <c r="B59" i="2"/>
  <c r="C59" i="2"/>
  <c r="D59" i="2"/>
  <c r="E59" i="2"/>
  <c r="B61" i="2"/>
  <c r="C68" i="2"/>
  <c r="B69" i="2"/>
  <c r="C69" i="2"/>
  <c r="B75" i="2"/>
  <c r="B76" i="2"/>
  <c r="B79" i="2"/>
  <c r="B80" i="2"/>
  <c r="C86" i="2"/>
  <c r="D86" i="2"/>
  <c r="C88" i="2"/>
  <c r="I89" i="2"/>
  <c r="I90" i="2"/>
  <c r="C91" i="2"/>
  <c r="C92" i="2"/>
  <c r="I92" i="2"/>
  <c r="I93" i="2"/>
  <c r="I94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A2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C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D42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D47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Y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D53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Y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D59" i="5"/>
  <c r="F5" i="6"/>
  <c r="L5" i="6"/>
  <c r="R5" i="6"/>
  <c r="F6" i="6"/>
  <c r="L6" i="6"/>
  <c r="R6" i="6"/>
  <c r="F7" i="6"/>
  <c r="L7" i="6"/>
  <c r="R7" i="6"/>
  <c r="F8" i="6"/>
  <c r="L8" i="6"/>
  <c r="R8" i="6"/>
  <c r="F9" i="6"/>
  <c r="L9" i="6"/>
  <c r="R9" i="6"/>
  <c r="F10" i="6"/>
  <c r="L10" i="6"/>
  <c r="R10" i="6"/>
  <c r="A14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A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A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A27" i="6"/>
  <c r="A29" i="6"/>
  <c r="A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A46" i="6"/>
  <c r="A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A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A63" i="6"/>
  <c r="A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A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B96" i="6"/>
  <c r="B97" i="6"/>
  <c r="W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W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W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B123" i="6"/>
  <c r="B124" i="6"/>
  <c r="B125" i="6"/>
  <c r="A2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E8" i="7"/>
  <c r="B13" i="7"/>
  <c r="B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B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B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B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B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B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B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B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B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B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B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B37" i="7"/>
  <c r="C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B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B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B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B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B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2" i="15"/>
  <c r="G12" i="15"/>
  <c r="H12" i="15"/>
  <c r="I12" i="15"/>
  <c r="J12" i="15"/>
  <c r="K12" i="15"/>
  <c r="L12" i="15"/>
  <c r="N12" i="15"/>
  <c r="O12" i="15"/>
  <c r="P12" i="15"/>
  <c r="Q12" i="15"/>
  <c r="R12" i="15"/>
  <c r="S12" i="15"/>
  <c r="AA12" i="15"/>
  <c r="AB12" i="15"/>
  <c r="AC12" i="15"/>
  <c r="AD12" i="15"/>
  <c r="AE12" i="15"/>
  <c r="AF12" i="15"/>
  <c r="AH12" i="15"/>
  <c r="AI12" i="15"/>
  <c r="AJ12" i="15"/>
  <c r="AK12" i="15"/>
  <c r="AL12" i="15"/>
  <c r="AM12" i="15"/>
  <c r="G13" i="15"/>
  <c r="H13" i="15"/>
  <c r="I13" i="15"/>
  <c r="J13" i="15"/>
  <c r="K13" i="15"/>
  <c r="L13" i="15"/>
  <c r="N13" i="15"/>
  <c r="O13" i="15"/>
  <c r="P13" i="15"/>
  <c r="Q13" i="15"/>
  <c r="R13" i="15"/>
  <c r="S13" i="15"/>
  <c r="AA13" i="15"/>
  <c r="AB13" i="15"/>
  <c r="AC13" i="15"/>
  <c r="AD13" i="15"/>
  <c r="AE13" i="15"/>
  <c r="AF13" i="15"/>
  <c r="AH13" i="15"/>
  <c r="AI13" i="15"/>
  <c r="AJ13" i="15"/>
  <c r="AK13" i="15"/>
  <c r="AL13" i="15"/>
  <c r="AM13" i="15"/>
  <c r="A14" i="15"/>
  <c r="G14" i="15"/>
  <c r="H14" i="15"/>
  <c r="I14" i="15"/>
  <c r="J14" i="15"/>
  <c r="K14" i="15"/>
  <c r="L14" i="15"/>
  <c r="N14" i="15"/>
  <c r="O14" i="15"/>
  <c r="P14" i="15"/>
  <c r="Q14" i="15"/>
  <c r="R14" i="15"/>
  <c r="S14" i="15"/>
  <c r="U14" i="15"/>
  <c r="AA14" i="15"/>
  <c r="AB14" i="15"/>
  <c r="AC14" i="15"/>
  <c r="AD14" i="15"/>
  <c r="AE14" i="15"/>
  <c r="AF14" i="15"/>
  <c r="AH14" i="15"/>
  <c r="AI14" i="15"/>
  <c r="AJ14" i="15"/>
  <c r="AK14" i="15"/>
  <c r="AL14" i="15"/>
  <c r="AM14" i="15"/>
  <c r="A15" i="15"/>
  <c r="G15" i="15"/>
  <c r="H15" i="15"/>
  <c r="I15" i="15"/>
  <c r="J15" i="15"/>
  <c r="K15" i="15"/>
  <c r="L15" i="15"/>
  <c r="N15" i="15"/>
  <c r="O15" i="15"/>
  <c r="P15" i="15"/>
  <c r="Q15" i="15"/>
  <c r="R15" i="15"/>
  <c r="S15" i="15"/>
  <c r="U15" i="15"/>
  <c r="AA15" i="15"/>
  <c r="AB15" i="15"/>
  <c r="AC15" i="15"/>
  <c r="AD15" i="15"/>
  <c r="AE15" i="15"/>
  <c r="AF15" i="15"/>
  <c r="AH15" i="15"/>
  <c r="AI15" i="15"/>
  <c r="AJ15" i="15"/>
  <c r="AK15" i="15"/>
  <c r="AL15" i="15"/>
  <c r="AM15" i="15"/>
  <c r="A16" i="15"/>
  <c r="G16" i="15"/>
  <c r="H16" i="15"/>
  <c r="I16" i="15"/>
  <c r="J16" i="15"/>
  <c r="K16" i="15"/>
  <c r="L16" i="15"/>
  <c r="N16" i="15"/>
  <c r="O16" i="15"/>
  <c r="P16" i="15"/>
  <c r="Q16" i="15"/>
  <c r="R16" i="15"/>
  <c r="S16" i="15"/>
  <c r="U16" i="15"/>
  <c r="AA16" i="15"/>
  <c r="AB16" i="15"/>
  <c r="AC16" i="15"/>
  <c r="AD16" i="15"/>
  <c r="AE16" i="15"/>
  <c r="AF16" i="15"/>
  <c r="AH16" i="15"/>
  <c r="AI16" i="15"/>
  <c r="AJ16" i="15"/>
  <c r="AK16" i="15"/>
  <c r="AL16" i="15"/>
  <c r="AM16" i="15"/>
  <c r="A17" i="15"/>
  <c r="G17" i="15"/>
  <c r="H17" i="15"/>
  <c r="I17" i="15"/>
  <c r="J17" i="15"/>
  <c r="K17" i="15"/>
  <c r="L17" i="15"/>
  <c r="N17" i="15"/>
  <c r="O17" i="15"/>
  <c r="P17" i="15"/>
  <c r="Q17" i="15"/>
  <c r="R17" i="15"/>
  <c r="S17" i="15"/>
  <c r="U17" i="15"/>
  <c r="AA17" i="15"/>
  <c r="AB17" i="15"/>
  <c r="AC17" i="15"/>
  <c r="AD17" i="15"/>
  <c r="AE17" i="15"/>
  <c r="AF17" i="15"/>
  <c r="AH17" i="15"/>
  <c r="AI17" i="15"/>
  <c r="AJ17" i="15"/>
  <c r="AK17" i="15"/>
  <c r="AL17" i="15"/>
  <c r="AM17" i="15"/>
  <c r="A18" i="15"/>
  <c r="G18" i="15"/>
  <c r="H18" i="15"/>
  <c r="I18" i="15"/>
  <c r="J18" i="15"/>
  <c r="K18" i="15"/>
  <c r="L18" i="15"/>
  <c r="N18" i="15"/>
  <c r="O18" i="15"/>
  <c r="P18" i="15"/>
  <c r="Q18" i="15"/>
  <c r="R18" i="15"/>
  <c r="S18" i="15"/>
  <c r="U18" i="15"/>
  <c r="AA18" i="15"/>
  <c r="AB18" i="15"/>
  <c r="AC18" i="15"/>
  <c r="AD18" i="15"/>
  <c r="AE18" i="15"/>
  <c r="AF18" i="15"/>
  <c r="AH18" i="15"/>
  <c r="AI18" i="15"/>
  <c r="AJ18" i="15"/>
  <c r="AK18" i="15"/>
  <c r="AL18" i="15"/>
  <c r="AM18" i="15"/>
  <c r="A19" i="15"/>
  <c r="G19" i="15"/>
  <c r="H19" i="15"/>
  <c r="I19" i="15"/>
  <c r="J19" i="15"/>
  <c r="K19" i="15"/>
  <c r="L19" i="15"/>
  <c r="N19" i="15"/>
  <c r="O19" i="15"/>
  <c r="P19" i="15"/>
  <c r="Q19" i="15"/>
  <c r="R19" i="15"/>
  <c r="S19" i="15"/>
  <c r="U19" i="15"/>
  <c r="AA19" i="15"/>
  <c r="AB19" i="15"/>
  <c r="AC19" i="15"/>
  <c r="AD19" i="15"/>
  <c r="AE19" i="15"/>
  <c r="AF19" i="15"/>
  <c r="AH19" i="15"/>
  <c r="AI19" i="15"/>
  <c r="AJ19" i="15"/>
  <c r="AK19" i="15"/>
  <c r="AL19" i="15"/>
  <c r="AM19" i="15"/>
  <c r="A20" i="15"/>
  <c r="G20" i="15"/>
  <c r="H20" i="15"/>
  <c r="I20" i="15"/>
  <c r="J20" i="15"/>
  <c r="K20" i="15"/>
  <c r="L20" i="15"/>
  <c r="N20" i="15"/>
  <c r="O20" i="15"/>
  <c r="P20" i="15"/>
  <c r="Q20" i="15"/>
  <c r="R20" i="15"/>
  <c r="S20" i="15"/>
  <c r="U20" i="15"/>
  <c r="AA20" i="15"/>
  <c r="AB20" i="15"/>
  <c r="AC20" i="15"/>
  <c r="AD20" i="15"/>
  <c r="AE20" i="15"/>
  <c r="AF20" i="15"/>
  <c r="AH20" i="15"/>
  <c r="AI20" i="15"/>
  <c r="AJ20" i="15"/>
  <c r="AK20" i="15"/>
  <c r="AL20" i="15"/>
  <c r="AM20" i="15"/>
  <c r="A21" i="15"/>
  <c r="G21" i="15"/>
  <c r="H21" i="15"/>
  <c r="I21" i="15"/>
  <c r="J21" i="15"/>
  <c r="K21" i="15"/>
  <c r="L21" i="15"/>
  <c r="N21" i="15"/>
  <c r="O21" i="15"/>
  <c r="P21" i="15"/>
  <c r="Q21" i="15"/>
  <c r="R21" i="15"/>
  <c r="S21" i="15"/>
  <c r="U21" i="15"/>
  <c r="AA21" i="15"/>
  <c r="AB21" i="15"/>
  <c r="AC21" i="15"/>
  <c r="AD21" i="15"/>
  <c r="AE21" i="15"/>
  <c r="AF21" i="15"/>
  <c r="AH21" i="15"/>
  <c r="AI21" i="15"/>
  <c r="AJ21" i="15"/>
  <c r="AK21" i="15"/>
  <c r="AL21" i="15"/>
  <c r="AM21" i="15"/>
  <c r="A22" i="15"/>
  <c r="G22" i="15"/>
  <c r="H22" i="15"/>
  <c r="I22" i="15"/>
  <c r="J22" i="15"/>
  <c r="K22" i="15"/>
  <c r="L22" i="15"/>
  <c r="N22" i="15"/>
  <c r="O22" i="15"/>
  <c r="P22" i="15"/>
  <c r="Q22" i="15"/>
  <c r="R22" i="15"/>
  <c r="S22" i="15"/>
  <c r="U22" i="15"/>
  <c r="AA22" i="15"/>
  <c r="AB22" i="15"/>
  <c r="AC22" i="15"/>
  <c r="AD22" i="15"/>
  <c r="AE22" i="15"/>
  <c r="AF22" i="15"/>
  <c r="AH22" i="15"/>
  <c r="AI22" i="15"/>
  <c r="AJ22" i="15"/>
  <c r="AK22" i="15"/>
  <c r="AL22" i="15"/>
  <c r="AM22" i="15"/>
  <c r="A23" i="15"/>
  <c r="G23" i="15"/>
  <c r="H23" i="15"/>
  <c r="I23" i="15"/>
  <c r="J23" i="15"/>
  <c r="K23" i="15"/>
  <c r="L23" i="15"/>
  <c r="N23" i="15"/>
  <c r="O23" i="15"/>
  <c r="P23" i="15"/>
  <c r="Q23" i="15"/>
  <c r="R23" i="15"/>
  <c r="S23" i="15"/>
  <c r="U23" i="15"/>
  <c r="AA23" i="15"/>
  <c r="AB23" i="15"/>
  <c r="AC23" i="15"/>
  <c r="AD23" i="15"/>
  <c r="AE23" i="15"/>
  <c r="AF23" i="15"/>
  <c r="AH23" i="15"/>
  <c r="AI23" i="15"/>
  <c r="AJ23" i="15"/>
  <c r="AK23" i="15"/>
  <c r="AL23" i="15"/>
  <c r="AM23" i="15"/>
  <c r="A24" i="15"/>
  <c r="G24" i="15"/>
  <c r="H24" i="15"/>
  <c r="I24" i="15"/>
  <c r="J24" i="15"/>
  <c r="K24" i="15"/>
  <c r="L24" i="15"/>
  <c r="N24" i="15"/>
  <c r="O24" i="15"/>
  <c r="P24" i="15"/>
  <c r="Q24" i="15"/>
  <c r="R24" i="15"/>
  <c r="S24" i="15"/>
  <c r="U24" i="15"/>
  <c r="AA24" i="15"/>
  <c r="AB24" i="15"/>
  <c r="AC24" i="15"/>
  <c r="AD24" i="15"/>
  <c r="AE24" i="15"/>
  <c r="AF24" i="15"/>
  <c r="AH24" i="15"/>
  <c r="AI24" i="15"/>
  <c r="AJ24" i="15"/>
  <c r="AK24" i="15"/>
  <c r="AL24" i="15"/>
  <c r="AM24" i="15"/>
  <c r="A25" i="15"/>
  <c r="G25" i="15"/>
  <c r="H25" i="15"/>
  <c r="I25" i="15"/>
  <c r="J25" i="15"/>
  <c r="K25" i="15"/>
  <c r="L25" i="15"/>
  <c r="N25" i="15"/>
  <c r="O25" i="15"/>
  <c r="P25" i="15"/>
  <c r="Q25" i="15"/>
  <c r="R25" i="15"/>
  <c r="S25" i="15"/>
  <c r="U25" i="15"/>
  <c r="AA25" i="15"/>
  <c r="AB25" i="15"/>
  <c r="AC25" i="15"/>
  <c r="AD25" i="15"/>
  <c r="AE25" i="15"/>
  <c r="AF25" i="15"/>
  <c r="AH25" i="15"/>
  <c r="AI25" i="15"/>
  <c r="AJ25" i="15"/>
  <c r="AK25" i="15"/>
  <c r="AL25" i="15"/>
  <c r="AM25" i="15"/>
  <c r="A26" i="15"/>
  <c r="G26" i="15"/>
  <c r="H26" i="15"/>
  <c r="I26" i="15"/>
  <c r="J26" i="15"/>
  <c r="K26" i="15"/>
  <c r="L26" i="15"/>
  <c r="N26" i="15"/>
  <c r="O26" i="15"/>
  <c r="P26" i="15"/>
  <c r="Q26" i="15"/>
  <c r="R26" i="15"/>
  <c r="S26" i="15"/>
  <c r="U26" i="15"/>
  <c r="AA26" i="15"/>
  <c r="AB26" i="15"/>
  <c r="AC26" i="15"/>
  <c r="AD26" i="15"/>
  <c r="AE26" i="15"/>
  <c r="AF26" i="15"/>
  <c r="AH26" i="15"/>
  <c r="AI26" i="15"/>
  <c r="AJ26" i="15"/>
  <c r="AK26" i="15"/>
  <c r="AL26" i="15"/>
  <c r="AM26" i="15"/>
  <c r="A27" i="15"/>
  <c r="G27" i="15"/>
  <c r="H27" i="15"/>
  <c r="I27" i="15"/>
  <c r="J27" i="15"/>
  <c r="K27" i="15"/>
  <c r="L27" i="15"/>
  <c r="N27" i="15"/>
  <c r="O27" i="15"/>
  <c r="P27" i="15"/>
  <c r="Q27" i="15"/>
  <c r="R27" i="15"/>
  <c r="S27" i="15"/>
  <c r="U27" i="15"/>
  <c r="AA27" i="15"/>
  <c r="AB27" i="15"/>
  <c r="AC27" i="15"/>
  <c r="AD27" i="15"/>
  <c r="AE27" i="15"/>
  <c r="AF27" i="15"/>
  <c r="AH27" i="15"/>
  <c r="AI27" i="15"/>
  <c r="AJ27" i="15"/>
  <c r="AK27" i="15"/>
  <c r="AL27" i="15"/>
  <c r="AM27" i="15"/>
  <c r="A28" i="15"/>
  <c r="G28" i="15"/>
  <c r="H28" i="15"/>
  <c r="I28" i="15"/>
  <c r="J28" i="15"/>
  <c r="K28" i="15"/>
  <c r="L28" i="15"/>
  <c r="N28" i="15"/>
  <c r="O28" i="15"/>
  <c r="P28" i="15"/>
  <c r="Q28" i="15"/>
  <c r="R28" i="15"/>
  <c r="S28" i="15"/>
  <c r="U28" i="15"/>
  <c r="AA28" i="15"/>
  <c r="AB28" i="15"/>
  <c r="AC28" i="15"/>
  <c r="AD28" i="15"/>
  <c r="AE28" i="15"/>
  <c r="AF28" i="15"/>
  <c r="AH28" i="15"/>
  <c r="AI28" i="15"/>
  <c r="AJ28" i="15"/>
  <c r="AK28" i="15"/>
  <c r="AL28" i="15"/>
  <c r="AM28" i="15"/>
  <c r="A29" i="15"/>
  <c r="G29" i="15"/>
  <c r="H29" i="15"/>
  <c r="I29" i="15"/>
  <c r="J29" i="15"/>
  <c r="K29" i="15"/>
  <c r="L29" i="15"/>
  <c r="N29" i="15"/>
  <c r="O29" i="15"/>
  <c r="P29" i="15"/>
  <c r="Q29" i="15"/>
  <c r="R29" i="15"/>
  <c r="S29" i="15"/>
  <c r="U29" i="15"/>
  <c r="AA29" i="15"/>
  <c r="AB29" i="15"/>
  <c r="AC29" i="15"/>
  <c r="AD29" i="15"/>
  <c r="AE29" i="15"/>
  <c r="AF29" i="15"/>
  <c r="AH29" i="15"/>
  <c r="AI29" i="15"/>
  <c r="AJ29" i="15"/>
  <c r="AK29" i="15"/>
  <c r="AL29" i="15"/>
  <c r="AM29" i="15"/>
  <c r="A30" i="15"/>
  <c r="G30" i="15"/>
  <c r="H30" i="15"/>
  <c r="I30" i="15"/>
  <c r="J30" i="15"/>
  <c r="K30" i="15"/>
  <c r="L30" i="15"/>
  <c r="N30" i="15"/>
  <c r="O30" i="15"/>
  <c r="P30" i="15"/>
  <c r="Q30" i="15"/>
  <c r="R30" i="15"/>
  <c r="S30" i="15"/>
  <c r="U30" i="15"/>
  <c r="AA30" i="15"/>
  <c r="AB30" i="15"/>
  <c r="AC30" i="15"/>
  <c r="AD30" i="15"/>
  <c r="AE30" i="15"/>
  <c r="AF30" i="15"/>
  <c r="AH30" i="15"/>
  <c r="AI30" i="15"/>
  <c r="AJ30" i="15"/>
  <c r="AK30" i="15"/>
  <c r="AL30" i="15"/>
  <c r="AM30" i="15"/>
  <c r="A31" i="15"/>
  <c r="G31" i="15"/>
  <c r="H31" i="15"/>
  <c r="I31" i="15"/>
  <c r="J31" i="15"/>
  <c r="K31" i="15"/>
  <c r="L31" i="15"/>
  <c r="N31" i="15"/>
  <c r="O31" i="15"/>
  <c r="P31" i="15"/>
  <c r="Q31" i="15"/>
  <c r="R31" i="15"/>
  <c r="S31" i="15"/>
  <c r="U31" i="15"/>
  <c r="AA31" i="15"/>
  <c r="AB31" i="15"/>
  <c r="AC31" i="15"/>
  <c r="AD31" i="15"/>
  <c r="AE31" i="15"/>
  <c r="AF31" i="15"/>
  <c r="AH31" i="15"/>
  <c r="AI31" i="15"/>
  <c r="AJ31" i="15"/>
  <c r="AK31" i="15"/>
  <c r="AL31" i="15"/>
  <c r="AM31" i="15"/>
  <c r="A32" i="15"/>
  <c r="G32" i="15"/>
  <c r="H32" i="15"/>
  <c r="I32" i="15"/>
  <c r="J32" i="15"/>
  <c r="K32" i="15"/>
  <c r="L32" i="15"/>
  <c r="N32" i="15"/>
  <c r="O32" i="15"/>
  <c r="P32" i="15"/>
  <c r="Q32" i="15"/>
  <c r="R32" i="15"/>
  <c r="S32" i="15"/>
  <c r="U32" i="15"/>
  <c r="AA32" i="15"/>
  <c r="AB32" i="15"/>
  <c r="AC32" i="15"/>
  <c r="AD32" i="15"/>
  <c r="AE32" i="15"/>
  <c r="AF32" i="15"/>
  <c r="AH32" i="15"/>
  <c r="AI32" i="15"/>
  <c r="AJ32" i="15"/>
  <c r="AK32" i="15"/>
  <c r="AL32" i="15"/>
  <c r="AM32" i="15"/>
  <c r="A33" i="15"/>
  <c r="G33" i="15"/>
  <c r="H33" i="15"/>
  <c r="I33" i="15"/>
  <c r="J33" i="15"/>
  <c r="K33" i="15"/>
  <c r="L33" i="15"/>
  <c r="N33" i="15"/>
  <c r="O33" i="15"/>
  <c r="P33" i="15"/>
  <c r="Q33" i="15"/>
  <c r="R33" i="15"/>
  <c r="S33" i="15"/>
  <c r="U33" i="15"/>
  <c r="AA33" i="15"/>
  <c r="AB33" i="15"/>
  <c r="AC33" i="15"/>
  <c r="AD33" i="15"/>
  <c r="AE33" i="15"/>
  <c r="AF33" i="15"/>
  <c r="AH33" i="15"/>
  <c r="AI33" i="15"/>
  <c r="AJ33" i="15"/>
  <c r="AK33" i="15"/>
  <c r="AL33" i="15"/>
  <c r="AM33" i="15"/>
  <c r="A34" i="15"/>
  <c r="G34" i="15"/>
  <c r="H34" i="15"/>
  <c r="I34" i="15"/>
  <c r="J34" i="15"/>
  <c r="K34" i="15"/>
  <c r="L34" i="15"/>
  <c r="N34" i="15"/>
  <c r="O34" i="15"/>
  <c r="P34" i="15"/>
  <c r="Q34" i="15"/>
  <c r="R34" i="15"/>
  <c r="S34" i="15"/>
  <c r="U34" i="15"/>
  <c r="AA34" i="15"/>
  <c r="AB34" i="15"/>
  <c r="AC34" i="15"/>
  <c r="AD34" i="15"/>
  <c r="AE34" i="15"/>
  <c r="AF34" i="15"/>
  <c r="AH34" i="15"/>
  <c r="AI34" i="15"/>
  <c r="AJ34" i="15"/>
  <c r="AK34" i="15"/>
  <c r="AL34" i="15"/>
  <c r="AM34" i="15"/>
  <c r="A35" i="15"/>
  <c r="G35" i="15"/>
  <c r="H35" i="15"/>
  <c r="I35" i="15"/>
  <c r="J35" i="15"/>
  <c r="K35" i="15"/>
  <c r="L35" i="15"/>
  <c r="N35" i="15"/>
  <c r="O35" i="15"/>
  <c r="P35" i="15"/>
  <c r="Q35" i="15"/>
  <c r="R35" i="15"/>
  <c r="S35" i="15"/>
  <c r="U35" i="15"/>
  <c r="AA35" i="15"/>
  <c r="AB35" i="15"/>
  <c r="AC35" i="15"/>
  <c r="AD35" i="15"/>
  <c r="AE35" i="15"/>
  <c r="AF35" i="15"/>
  <c r="AH35" i="15"/>
  <c r="AI35" i="15"/>
  <c r="AJ35" i="15"/>
  <c r="AK35" i="15"/>
  <c r="AL35" i="15"/>
  <c r="AM35" i="15"/>
  <c r="A36" i="15"/>
  <c r="G36" i="15"/>
  <c r="H36" i="15"/>
  <c r="I36" i="15"/>
  <c r="J36" i="15"/>
  <c r="K36" i="15"/>
  <c r="L36" i="15"/>
  <c r="N36" i="15"/>
  <c r="O36" i="15"/>
  <c r="P36" i="15"/>
  <c r="Q36" i="15"/>
  <c r="R36" i="15"/>
  <c r="S36" i="15"/>
  <c r="U36" i="15"/>
  <c r="AA36" i="15"/>
  <c r="AB36" i="15"/>
  <c r="AC36" i="15"/>
  <c r="AD36" i="15"/>
  <c r="AE36" i="15"/>
  <c r="AF36" i="15"/>
  <c r="AH36" i="15"/>
  <c r="AI36" i="15"/>
  <c r="AJ36" i="15"/>
  <c r="AK36" i="15"/>
  <c r="AL36" i="15"/>
  <c r="AM36" i="15"/>
  <c r="A37" i="15"/>
  <c r="G37" i="15"/>
  <c r="H37" i="15"/>
  <c r="I37" i="15"/>
  <c r="J37" i="15"/>
  <c r="K37" i="15"/>
  <c r="L37" i="15"/>
  <c r="N37" i="15"/>
  <c r="O37" i="15"/>
  <c r="P37" i="15"/>
  <c r="Q37" i="15"/>
  <c r="R37" i="15"/>
  <c r="S37" i="15"/>
  <c r="U37" i="15"/>
  <c r="AA37" i="15"/>
  <c r="AB37" i="15"/>
  <c r="AC37" i="15"/>
  <c r="AD37" i="15"/>
  <c r="AE37" i="15"/>
  <c r="AF37" i="15"/>
  <c r="AH37" i="15"/>
  <c r="AI37" i="15"/>
  <c r="AJ37" i="15"/>
  <c r="AK37" i="15"/>
  <c r="AL37" i="15"/>
  <c r="AM37" i="15"/>
  <c r="A2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B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B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A2" i="3"/>
  <c r="C7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B23" i="1"/>
  <c r="C23" i="1"/>
  <c r="D23" i="1"/>
  <c r="E23" i="1"/>
  <c r="C28" i="1"/>
  <c r="D28" i="1"/>
  <c r="E28" i="1"/>
  <c r="A2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W22" i="8"/>
  <c r="X22" i="8"/>
  <c r="Y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X24" i="8"/>
  <c r="Y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G9" authorId="0" shapeId="0">
      <text>
        <r>
          <rPr>
            <sz val="8"/>
            <color indexed="81"/>
            <rFont val="Tahoma"/>
          </rPr>
          <t>ect:
Average cost per turbine used due to different turbine types</t>
        </r>
      </text>
    </comment>
    <comment ref="AA9" authorId="0" shapeId="0">
      <text>
        <r>
          <rPr>
            <sz val="8"/>
            <color indexed="81"/>
            <rFont val="Tahoma"/>
          </rPr>
          <t>ect:
Average cost per turbine used due to different turbine types</t>
        </r>
      </text>
    </comment>
  </commentList>
</comments>
</file>

<file path=xl/sharedStrings.xml><?xml version="1.0" encoding="utf-8"?>
<sst xmlns="http://schemas.openxmlformats.org/spreadsheetml/2006/main" count="472" uniqueCount="334">
  <si>
    <t>PRESET SCENARIOS</t>
  </si>
  <si>
    <t xml:space="preserve">Annual Escalator </t>
  </si>
  <si>
    <t>(include costs, revenues, and capacity prices)</t>
  </si>
  <si>
    <t>Operating Expenses</t>
  </si>
  <si>
    <t>Dispatch</t>
  </si>
  <si>
    <t>Kaiser Capacity Price Estimates</t>
  </si>
  <si>
    <t>DSCR</t>
  </si>
  <si>
    <t>IRR</t>
  </si>
  <si>
    <t>MIN</t>
  </si>
  <si>
    <t>AVG</t>
  </si>
  <si>
    <t>Sensitivity Selections:</t>
  </si>
  <si>
    <t>Choices</t>
  </si>
  <si>
    <t>Annual Escalator (%)</t>
  </si>
  <si>
    <t>Kaiser Price Options</t>
  </si>
  <si>
    <t>Base</t>
  </si>
  <si>
    <t>Low</t>
  </si>
  <si>
    <t>Customize</t>
  </si>
  <si>
    <t>Chosen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</si>
  <si>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</si>
  <si>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</si>
  <si>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</si>
  <si>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</si>
  <si>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</si>
  <si>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</si>
  <si>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</si>
  <si>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Brownsville</t>
  </si>
  <si>
    <t>Caledonia</t>
  </si>
  <si>
    <t>New Albany</t>
  </si>
  <si>
    <t>Calvert</t>
  </si>
  <si>
    <t>Wheatland</t>
  </si>
  <si>
    <t>Wilton</t>
  </si>
  <si>
    <t>Total Sources</t>
  </si>
  <si>
    <t>Number of Turbines</t>
  </si>
  <si>
    <t>Equity Partner's Share</t>
  </si>
  <si>
    <t>Enron's Share</t>
  </si>
  <si>
    <t>Annual Operating Hours</t>
  </si>
  <si>
    <t>Initial Spare Parts (000$)</t>
  </si>
  <si>
    <t>Tranche 1</t>
  </si>
  <si>
    <t>Tranche 2</t>
  </si>
  <si>
    <t>Tranche 3</t>
  </si>
  <si>
    <t>Total</t>
  </si>
  <si>
    <t>Number of Starts per year</t>
  </si>
  <si>
    <t>Summary</t>
  </si>
  <si>
    <t>Amount ('000 $)</t>
  </si>
  <si>
    <t>Term (yrs)</t>
  </si>
  <si>
    <t>Final Maturity</t>
  </si>
  <si>
    <t>Average Life (yrs)</t>
  </si>
  <si>
    <t>Energy Charge ($/MWh)</t>
  </si>
  <si>
    <t>Treasury Rate (%)</t>
  </si>
  <si>
    <t>Block Charge ($/start/turbine)</t>
  </si>
  <si>
    <t>Spread (%)</t>
  </si>
  <si>
    <t>All In Coupon Rate (%)</t>
  </si>
  <si>
    <t>Debt Service Reserve LOC Fee</t>
  </si>
  <si>
    <t>Interest Income Rate</t>
  </si>
  <si>
    <t>DEPRECIATION ASSUMPTIONS:</t>
  </si>
  <si>
    <t>Market Period Energy Margin ($/MWh)</t>
  </si>
  <si>
    <t>Initial Basis (000 $)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</si>
  <si>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</si>
  <si>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</si>
  <si>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</si>
  <si>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</si>
  <si>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</si>
  <si>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</si>
  <si>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</si>
  <si>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</si>
  <si>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TAX ASSUMPTIONS:</t>
  </si>
  <si>
    <t>Book Depreciation</t>
  </si>
  <si>
    <t>Federal Income Tax Rate</t>
  </si>
  <si>
    <t>State Income Tax Rate</t>
  </si>
  <si>
    <t>Franchise Tax Rate</t>
  </si>
  <si>
    <t>Gross Receipt Tax Rate</t>
  </si>
  <si>
    <t>SUMMARY OUTPUT:</t>
  </si>
  <si>
    <t>OPERATING COSTS ASSUMPTIONS:</t>
  </si>
  <si>
    <t>Variable O&amp;M ($/MWh)</t>
  </si>
  <si>
    <t>Min</t>
  </si>
  <si>
    <t>Avg.</t>
  </si>
  <si>
    <t>CPI Escalator</t>
  </si>
  <si>
    <t>Fixed O&amp;M</t>
  </si>
  <si>
    <t>Variable O&amp;M</t>
  </si>
  <si>
    <t>Major Maintenance &amp; Ongoing Capex</t>
  </si>
  <si>
    <t>Total Cost per MW (000 $)</t>
  </si>
  <si>
    <t>Insurance</t>
  </si>
  <si>
    <t xml:space="preserve">SG&amp;A </t>
  </si>
  <si>
    <t>Utilities, Start Power</t>
  </si>
  <si>
    <t>Admin Fees</t>
  </si>
  <si>
    <t>O&amp;M Fees</t>
  </si>
  <si>
    <t>Custom</t>
  </si>
  <si>
    <t>('000 $)</t>
  </si>
  <si>
    <t>Revenue</t>
  </si>
  <si>
    <t>Energy Margin</t>
  </si>
  <si>
    <t>Total Revenue</t>
  </si>
  <si>
    <t>Expense</t>
  </si>
  <si>
    <t xml:space="preserve">Fuel </t>
  </si>
  <si>
    <t xml:space="preserve">Variable O&amp;M </t>
  </si>
  <si>
    <t>Utility Start Power</t>
  </si>
  <si>
    <r>
      <t xml:space="preserve">Property, Other Tax </t>
    </r>
    <r>
      <rPr>
        <vertAlign val="superscript"/>
        <sz val="10"/>
        <rFont val="Times New Roman"/>
        <family val="1"/>
      </rPr>
      <t>(1)</t>
    </r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</si>
  <si>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</si>
  <si>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</si>
  <si>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</si>
  <si>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</si>
  <si>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</si>
  <si>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</si>
  <si>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</si>
  <si>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EBT</t>
  </si>
  <si>
    <t>Book State Tax Benefit / (Expense)</t>
  </si>
  <si>
    <t>Shareholder Fed. Tax Benefit / (Expense)</t>
  </si>
  <si>
    <t>Net Income</t>
  </si>
  <si>
    <t>Pre Tax Cash Flow</t>
  </si>
  <si>
    <t xml:space="preserve">  EGC's State Tax Benefit / (Expense)</t>
  </si>
  <si>
    <t xml:space="preserve">  EGC's Federal Tax Benefit / (Expense)</t>
  </si>
  <si>
    <t>After Tax Cash Flow</t>
  </si>
  <si>
    <t>Equity Partner Net Income</t>
  </si>
  <si>
    <t>Equity Partner Distributable Cash</t>
  </si>
  <si>
    <t>EQUITY PARTNER'S CASHFLOW</t>
  </si>
  <si>
    <t xml:space="preserve"> Equity Partner's State Taxes Benefit (Expense)</t>
  </si>
  <si>
    <t xml:space="preserve"> Equity Partner's Federal Taxes Benefit (Expense)</t>
  </si>
  <si>
    <t>Equity Contributions from Equity Partner</t>
  </si>
  <si>
    <t>Equity Partner's Cashflow with 5x EBITDA Residual Value</t>
  </si>
  <si>
    <t>CF</t>
  </si>
  <si>
    <t>5x EBITDA Terminal Value</t>
  </si>
  <si>
    <t>Net CF</t>
  </si>
  <si>
    <t>Equity Partner's After-Tax IRR w/ 5x EBITDA Residual (20 yr.)</t>
  </si>
  <si>
    <t>Equity Partner's Cashflow with 50% Project Price Residual Value</t>
  </si>
  <si>
    <t>50% Total Cost Terminal Value</t>
  </si>
  <si>
    <t xml:space="preserve">Equity Partner's After-Tax IRR w/ 50% Total Cost Residual (20 yrs) </t>
  </si>
  <si>
    <t>Spread</t>
  </si>
  <si>
    <t xml:space="preserve">Spread </t>
  </si>
  <si>
    <t>All In Coupon Rate</t>
  </si>
  <si>
    <t>Maturity Tranche 1</t>
  </si>
  <si>
    <t>Maturity Tranche 2</t>
  </si>
  <si>
    <t>Average Life Tranche 1</t>
  </si>
  <si>
    <t>Average Life Tranche 2</t>
  </si>
  <si>
    <t>Total amount ($ '000)</t>
  </si>
  <si>
    <t>Annual Amortization Tranche 1</t>
  </si>
  <si>
    <t>Annual Amortization Tranche 2</t>
  </si>
  <si>
    <t>Annual Amortization Tranche 3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</si>
  <si>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</si>
  <si>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</si>
  <si>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</si>
  <si>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</si>
  <si>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</si>
  <si>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DSCR Fixed Price PPA Period</t>
  </si>
  <si>
    <t>US FEDERAL TAX DEPRECIATION &amp; AMORTIZATION</t>
  </si>
  <si>
    <t>Years</t>
  </si>
  <si>
    <t>Total Hard Costs, Capitalized Interests, and Contingency- MACRS</t>
  </si>
  <si>
    <t>Transaction Costs</t>
  </si>
  <si>
    <t>Total Hard Costs and Capitalized Interests (Land not included)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</si>
  <si>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</si>
  <si>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</si>
  <si>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</si>
  <si>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</si>
  <si>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</si>
  <si>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Total Hard Costs, Capitalized Interests, and Contingency- SL</t>
  </si>
  <si>
    <t>Ending Book Value of Assets</t>
  </si>
  <si>
    <t>STATE TAXES</t>
  </si>
  <si>
    <t>State Income Taxes</t>
  </si>
  <si>
    <t xml:space="preserve">   Pretax Book Income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</si>
  <si>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</si>
  <si>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</si>
  <si>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</si>
  <si>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</si>
  <si>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</si>
  <si>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</si>
  <si>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Expired NOL's</t>
  </si>
  <si>
    <t xml:space="preserve">   NOL Utilization</t>
  </si>
  <si>
    <t xml:space="preserve">   Ending NOL's</t>
  </si>
  <si>
    <t>TOTAL STATE TAXES</t>
  </si>
  <si>
    <t xml:space="preserve">        Total State Taxes Utilizing NOLs</t>
  </si>
  <si>
    <t>FEDERAL TAXES</t>
  </si>
  <si>
    <t xml:space="preserve">   Less: Federal Tax Depreciation</t>
  </si>
  <si>
    <t xml:space="preserve">   Less: State Taxes</t>
  </si>
  <si>
    <t xml:space="preserve">   Taxable Income</t>
  </si>
  <si>
    <t xml:space="preserve">   Federal Tax Rate</t>
  </si>
  <si>
    <t xml:space="preserve">   Federal Tax Expense/ (Benefit)</t>
  </si>
  <si>
    <t xml:space="preserve">   NOL Carryforward</t>
  </si>
  <si>
    <t xml:space="preserve">   Total Federal Cash Taxes Payable/(Benefit)</t>
  </si>
  <si>
    <t>EGC START COST MATRIX</t>
  </si>
  <si>
    <t xml:space="preserve">Start Charge Matrix </t>
  </si>
  <si>
    <t>Starts/ yr</t>
  </si>
  <si>
    <t>Unit Cost per Start (1999 $)</t>
  </si>
  <si>
    <t>Major Maintenance Charge per Turbine per Start ($)</t>
  </si>
  <si>
    <t>Major Maintenance Charge ($000)</t>
  </si>
  <si>
    <t>Unit Cost per Start ($)</t>
  </si>
  <si>
    <t>Major Maintenance Cost per Turbine per Start ($)</t>
  </si>
  <si>
    <t>Total Major Maintenance Cost (1999 $)</t>
  </si>
  <si>
    <t>501D5A</t>
  </si>
  <si>
    <t>GE7EA,GE7B</t>
  </si>
  <si>
    <t>501D5</t>
  </si>
  <si>
    <t>501F, 501FD</t>
  </si>
  <si>
    <t>Less Interest Payments</t>
  </si>
  <si>
    <t>Less Principal Payments</t>
  </si>
  <si>
    <t>Cash Interest Expense</t>
  </si>
  <si>
    <t>Accrued Interest Expense</t>
  </si>
  <si>
    <t>Average Life</t>
  </si>
  <si>
    <t>Total Cash Interest Expense</t>
  </si>
  <si>
    <t>Total Accrued Interest Expense</t>
  </si>
  <si>
    <t>Tranche 1 Cash Debt Service</t>
  </si>
  <si>
    <t>Tranche 2  Cash Debt Service</t>
  </si>
  <si>
    <t>Tranche 3 Cash Debt Service</t>
  </si>
  <si>
    <t>Cash Principal Payments</t>
  </si>
  <si>
    <t>Plus Capitalized Interest</t>
  </si>
  <si>
    <t>Current (Annual)</t>
  </si>
  <si>
    <t>Unhide Sub Debt, 1999 Columns</t>
  </si>
  <si>
    <t xml:space="preserve">Debt Issued </t>
  </si>
  <si>
    <r>
      <t xml:space="preserve">Interest Expense </t>
    </r>
    <r>
      <rPr>
        <vertAlign val="superscript"/>
        <sz val="10"/>
        <rFont val="Times New Roman"/>
        <family val="1"/>
      </rPr>
      <t>(2)</t>
    </r>
  </si>
  <si>
    <t xml:space="preserve">     Less Capitalized Interest</t>
  </si>
  <si>
    <t>ANNUAL CASH FLOW AND IRR</t>
  </si>
  <si>
    <t>3 year Treasury (as of April 26)</t>
  </si>
  <si>
    <t>8 year Treasury (as of April 26)</t>
  </si>
  <si>
    <t>30 year Treasury (as of April 26)</t>
  </si>
  <si>
    <t>Equity Closed</t>
  </si>
  <si>
    <t>Operating Months in the 1st yr.*</t>
  </si>
  <si>
    <t>Average Life Tranche 3</t>
  </si>
  <si>
    <t>Maximum DSR Amount (12mths) (000 $)</t>
  </si>
  <si>
    <t>Debt Issuance</t>
  </si>
  <si>
    <t>Maximum DSR Amount (12mths) (kW/mo.)</t>
  </si>
  <si>
    <t>Increase in Op Exp (%)</t>
  </si>
  <si>
    <t>EQUITY PARTNER'S</t>
  </si>
  <si>
    <t>CHANGES</t>
  </si>
  <si>
    <t>DATE</t>
  </si>
  <si>
    <t>Equity Returns</t>
  </si>
  <si>
    <t>Key Stats</t>
  </si>
  <si>
    <t xml:space="preserve">Average DSCR </t>
  </si>
  <si>
    <t>Minimum DSCR</t>
  </si>
  <si>
    <t>Marketing Fee ($/kW-mo)</t>
  </si>
  <si>
    <t>Escalated Costs:</t>
  </si>
  <si>
    <t>Non-Escalated Costs:</t>
  </si>
  <si>
    <t xml:space="preserve">Property Taxes &amp; Other </t>
  </si>
  <si>
    <t>Evaporative Cooler (MW)</t>
  </si>
  <si>
    <t>Consultant Capacity Price Escalator</t>
  </si>
  <si>
    <t>Consultant Real $</t>
  </si>
  <si>
    <t>Consultant Nominal $</t>
  </si>
  <si>
    <t>Base ($/kw-year )</t>
  </si>
  <si>
    <t>Low ($/kw-year)</t>
  </si>
  <si>
    <t>Base ($/kw-year)</t>
  </si>
  <si>
    <t>Base ($/kW-month)</t>
  </si>
  <si>
    <t>Low ($/kW-month)</t>
  </si>
  <si>
    <t>PLEASE TRACK</t>
  </si>
  <si>
    <t>Power Desk</t>
  </si>
  <si>
    <t>(Months)</t>
  </si>
  <si>
    <t>PROJECT DESCRIPTION:</t>
  </si>
  <si>
    <t>Turbine Rating</t>
  </si>
  <si>
    <t>Heat Rate (HHV)</t>
  </si>
  <si>
    <t>Percentage of Peak Run Time</t>
  </si>
  <si>
    <t>First Fiscal Year</t>
  </si>
  <si>
    <t>Cost per Start</t>
  </si>
  <si>
    <t>Variable O&amp;M excluding delim Water ($/MWh)</t>
  </si>
  <si>
    <t>Annual Property Tax Rate</t>
  </si>
  <si>
    <t>Assessd Value Based on SL Depreciation - yrs</t>
  </si>
  <si>
    <t>Salvage Value</t>
  </si>
  <si>
    <t>Assessd Value Multiplier</t>
  </si>
  <si>
    <t>Milage Rate for School Tax</t>
  </si>
  <si>
    <t>Years of School Tax Abatement</t>
  </si>
  <si>
    <t>Milage rate for County Tax</t>
  </si>
  <si>
    <t>Years of County Tax Abatement</t>
  </si>
  <si>
    <t>Milage rate for City Tax</t>
  </si>
  <si>
    <t>Years of City Tax Abatement</t>
  </si>
  <si>
    <t>Demand Charge ($/kW-mo)</t>
  </si>
  <si>
    <t>PPA ASSUMPTIONS:</t>
  </si>
  <si>
    <t>PPA Start Date</t>
  </si>
  <si>
    <t>PPA Temination</t>
  </si>
  <si>
    <t>Fuel Cost ($/MMBtu)</t>
  </si>
  <si>
    <t>CAPACITY PRICE ASSUMPTIONS</t>
  </si>
  <si>
    <t>INCOME STATEMENT</t>
  </si>
  <si>
    <t>DEBT ISSUANCE</t>
  </si>
  <si>
    <t>DEPRECIATION SCHEDULE</t>
  </si>
  <si>
    <t>TAXES</t>
  </si>
  <si>
    <t>BLOCK CHARGE MATRIX</t>
  </si>
  <si>
    <t>PROJECT NAME:</t>
  </si>
  <si>
    <t>Straight Line</t>
  </si>
  <si>
    <t>Principal Repayments</t>
  </si>
  <si>
    <t>Amortization Option</t>
  </si>
  <si>
    <t>Time Factor</t>
  </si>
  <si>
    <t xml:space="preserve">   State Income Tax Rate</t>
  </si>
  <si>
    <t>Plus: Supplemental Tax</t>
  </si>
  <si>
    <t>PROJECT CASH FLOW</t>
  </si>
  <si>
    <t>Equity Partner's Cashflow with No Residual</t>
  </si>
  <si>
    <t>20 Yrs After-Tax Cashflow &amp; w/o Residual Value</t>
  </si>
  <si>
    <t>EBITDA (000 $)</t>
  </si>
  <si>
    <t>Net Income (000 $)</t>
  </si>
  <si>
    <t>Pre-Tax Cashflow (000 $)</t>
  </si>
  <si>
    <t>After-Tax Cashflow (000 $)</t>
  </si>
  <si>
    <t>Financing Costs:</t>
  </si>
  <si>
    <t xml:space="preserve">  Financing Fee</t>
  </si>
  <si>
    <t xml:space="preserve">  Debt Reserves</t>
  </si>
  <si>
    <t xml:space="preserve">  Contingency</t>
  </si>
  <si>
    <t>Total Uses</t>
  </si>
  <si>
    <t>Uses of Funds</t>
  </si>
  <si>
    <t xml:space="preserve">  Legal Fees</t>
  </si>
  <si>
    <t xml:space="preserve">  Capitalized Interests</t>
  </si>
  <si>
    <t>EPC:</t>
  </si>
  <si>
    <t>Type of Turbine</t>
  </si>
  <si>
    <t>Project Life (Years)</t>
  </si>
  <si>
    <t>Start of Commercial Operation</t>
  </si>
  <si>
    <t>End of Commercial Operation</t>
  </si>
  <si>
    <t xml:space="preserve">  Land</t>
  </si>
  <si>
    <t>Sub Total</t>
  </si>
  <si>
    <t xml:space="preserve">  Turbine</t>
  </si>
  <si>
    <t xml:space="preserve">  BOP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</si>
  <si>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</si>
  <si>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</si>
  <si>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</si>
  <si>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</si>
  <si>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</si>
  <si>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Gas Compression to 700 PSI</t>
  </si>
  <si>
    <t xml:space="preserve">  Demineralized Water Facility</t>
  </si>
  <si>
    <t xml:space="preserve">  Chillers</t>
  </si>
  <si>
    <t xml:space="preserve">  Spare Parts</t>
  </si>
  <si>
    <t>DEBT</t>
  </si>
  <si>
    <t>EQUITY</t>
  </si>
  <si>
    <t>20 Yrs After-Tax Cashflow &amp; w Residual Value</t>
  </si>
  <si>
    <t>FINANCING ASSUMPTIONS:</t>
  </si>
  <si>
    <t>Fixed Price Period</t>
  </si>
  <si>
    <t>No. of Years</t>
  </si>
  <si>
    <t>Market Price Period</t>
  </si>
  <si>
    <t xml:space="preserve">  Fixed Price Period</t>
  </si>
  <si>
    <t xml:space="preserve">  Market Price Period</t>
  </si>
  <si>
    <t>LM6000</t>
  </si>
  <si>
    <t>Block Payment</t>
  </si>
  <si>
    <t>Market Period:</t>
  </si>
  <si>
    <t>Fixed Price Period:</t>
  </si>
  <si>
    <t>Capacity Revenue</t>
  </si>
  <si>
    <t>Energy Revenue</t>
  </si>
  <si>
    <t>Variable Energy Revenue</t>
  </si>
  <si>
    <t>Ancillary Services</t>
  </si>
  <si>
    <t>Fees</t>
  </si>
  <si>
    <t>Market Price Scenario</t>
  </si>
  <si>
    <t>Capacity Factor (%)</t>
  </si>
  <si>
    <t>Degradation Factor (%)</t>
  </si>
  <si>
    <t>Net Capacity (MW)</t>
  </si>
  <si>
    <t>Net Generation (MW)</t>
  </si>
  <si>
    <t>Net Project Capacity (MW)</t>
  </si>
  <si>
    <t>Contractual  Capacity (MW)</t>
  </si>
  <si>
    <t>Contractual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</si>
</sst>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3" formatCode="0.000%"/>
    <numFmt numFmtId="179" formatCode="0.00\x_);\(0.00\x\)"/>
    <numFmt numFmtId="187" formatCode="0.0"/>
    <numFmt numFmtId="194" formatCode="_(* #,##0.0000_);_(* \(#,##0.0000\);_(* &quot;-&quot;??_);_(@_)"/>
    <numFmt numFmtId="204" formatCode="#,##0.0_);[Red]\(#,##0.0\)"/>
    <numFmt numFmtId="212" formatCode="0.00\x"/>
    <numFmt numFmtId="221" formatCode="#,##0.0"/>
    <numFmt numFmtId="250" formatCode="0.0%;\-0.0%;\ &quot;-&quot;_%;@_%"/>
    <numFmt numFmtId="251" formatCode="_(* #,##0.00000_);_(* \(#,##0.00000\);_(* &quot;-&quot;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313" formatCode="mmmm\ d\,\ yyyy"/>
    <numFmt numFmtId="321" formatCode="mm/dd/yy"/>
  </numFmts>
  <fonts count="63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b/>
      <i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u/>
      <sz val="12"/>
      <color indexed="8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i/>
      <sz val="10"/>
      <color indexed="10"/>
      <name val="Times New Roman"/>
      <family val="1"/>
    </font>
    <font>
      <i/>
      <u/>
      <sz val="10"/>
      <name val="Times New Roman"/>
      <family val="1"/>
    </font>
    <font>
      <u/>
      <sz val="10"/>
      <name val="Arial"/>
      <family val="2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2"/>
      <color indexed="12"/>
      <name val="Times New Roman"/>
      <family val="1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u/>
      <sz val="8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sz val="12"/>
      <color indexed="8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i/>
      <u/>
      <sz val="12"/>
      <name val="Times New Roman"/>
      <family val="1"/>
    </font>
    <font>
      <b/>
      <sz val="10"/>
      <color indexed="20"/>
      <name val="Arial"/>
      <family val="2"/>
    </font>
    <font>
      <vertAlign val="superscript"/>
      <sz val="10"/>
      <name val="Times New Roman"/>
      <family val="1"/>
    </font>
    <font>
      <sz val="12"/>
      <name val="Times New Roman"/>
    </font>
    <font>
      <b/>
      <sz val="12"/>
      <color indexed="8"/>
      <name val="Times New Roman"/>
      <family val="1"/>
    </font>
    <font>
      <sz val="8"/>
      <color indexed="81"/>
      <name val="Tahoma"/>
    </font>
    <font>
      <b/>
      <sz val="18"/>
      <color indexed="10"/>
      <name val="Times New Roman"/>
      <family val="1"/>
    </font>
    <font>
      <b/>
      <u/>
      <sz val="12"/>
      <color indexed="12"/>
      <name val="Times New Roman"/>
      <family val="1"/>
    </font>
    <font>
      <b/>
      <sz val="14"/>
      <name val="Arial"/>
      <family val="2"/>
    </font>
    <font>
      <b/>
      <sz val="10"/>
      <color indexed="12"/>
      <name val="Times New Roman"/>
      <family val="1"/>
    </font>
    <font>
      <i/>
      <sz val="12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7" fillId="0" borderId="0" applyBorder="0" applyAlignment="0" applyProtection="0">
      <alignment horizontal="center"/>
    </xf>
    <xf numFmtId="9" fontId="1" fillId="0" borderId="0" applyFont="0" applyFill="0" applyBorder="0" applyAlignment="0" applyProtection="0"/>
  </cellStyleXfs>
  <cellXfs count="542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43" fontId="2" fillId="0" borderId="0" xfId="1" applyFont="1" applyFill="1" applyAlignment="1">
      <alignment horizontal="left"/>
    </xf>
    <xf numFmtId="43" fontId="3" fillId="0" borderId="0" xfId="1" applyFont="1" applyFill="1" applyAlignment="1">
      <alignment horizontal="left"/>
    </xf>
    <xf numFmtId="43" fontId="2" fillId="0" borderId="0" xfId="1" applyFont="1" applyFill="1"/>
    <xf numFmtId="168" fontId="2" fillId="0" borderId="0" xfId="1" applyNumberFormat="1" applyFont="1" applyFill="1"/>
    <xf numFmtId="0" fontId="1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1" fillId="0" borderId="0" xfId="4" applyFont="1" applyAlignment="1"/>
    <xf numFmtId="14" fontId="12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2" applyNumberFormat="1" applyFont="1" applyBorder="1" applyProtection="1"/>
    <xf numFmtId="165" fontId="3" fillId="0" borderId="0" xfId="2" applyNumberFormat="1" applyFont="1" applyProtection="1"/>
    <xf numFmtId="0" fontId="3" fillId="0" borderId="0" xfId="0" applyFont="1" applyBorder="1" applyProtection="1"/>
    <xf numFmtId="166" fontId="3" fillId="0" borderId="0" xfId="1" applyNumberFormat="1" applyFont="1"/>
    <xf numFmtId="166" fontId="3" fillId="0" borderId="0" xfId="1" applyNumberFormat="1" applyFont="1" applyBorder="1" applyProtection="1"/>
    <xf numFmtId="166" fontId="11" fillId="0" borderId="0" xfId="1" applyNumberFormat="1" applyFont="1"/>
    <xf numFmtId="37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13" fillId="0" borderId="0" xfId="0" applyFont="1" applyBorder="1" applyAlignment="1" applyProtection="1">
      <alignment horizontal="left"/>
    </xf>
    <xf numFmtId="166" fontId="3" fillId="0" borderId="0" xfId="1" applyNumberFormat="1" applyFont="1" applyBorder="1"/>
    <xf numFmtId="0" fontId="16" fillId="0" borderId="0" xfId="0" applyFont="1" applyBorder="1" applyProtection="1">
      <protection locked="0"/>
    </xf>
    <xf numFmtId="0" fontId="18" fillId="0" borderId="0" xfId="0" applyFont="1"/>
    <xf numFmtId="0" fontId="20" fillId="0" borderId="0" xfId="0" applyFont="1"/>
    <xf numFmtId="37" fontId="20" fillId="0" borderId="0" xfId="4" applyFont="1" applyAlignment="1"/>
    <xf numFmtId="169" fontId="20" fillId="0" borderId="0" xfId="0" applyNumberFormat="1" applyFont="1" applyProtection="1"/>
    <xf numFmtId="0" fontId="10" fillId="0" borderId="0" xfId="0" applyFont="1"/>
    <xf numFmtId="0" fontId="2" fillId="0" borderId="0" xfId="0" applyFont="1" applyAlignment="1" applyProtection="1">
      <alignment horizontal="left"/>
      <protection locked="0"/>
    </xf>
    <xf numFmtId="169" fontId="21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8" fillId="0" borderId="0" xfId="0" applyNumberFormat="1" applyFont="1" applyProtection="1"/>
    <xf numFmtId="10" fontId="3" fillId="0" borderId="0" xfId="5" applyNumberFormat="1" applyFont="1" applyProtection="1"/>
    <xf numFmtId="171" fontId="3" fillId="0" borderId="0" xfId="0" applyNumberFormat="1" applyFont="1" applyProtection="1"/>
    <xf numFmtId="165" fontId="18" fillId="0" borderId="0" xfId="2" applyNumberFormat="1" applyFont="1" applyProtection="1"/>
    <xf numFmtId="165" fontId="3" fillId="0" borderId="0" xfId="0" applyNumberFormat="1" applyFont="1"/>
    <xf numFmtId="165" fontId="18" fillId="0" borderId="0" xfId="2" applyNumberFormat="1" applyFont="1"/>
    <xf numFmtId="10" fontId="3" fillId="0" borderId="0" xfId="0" applyNumberFormat="1" applyFont="1"/>
    <xf numFmtId="0" fontId="18" fillId="0" borderId="0" xfId="0" applyFont="1" applyAlignment="1">
      <alignment horizontal="center"/>
    </xf>
    <xf numFmtId="9" fontId="18" fillId="3" borderId="0" xfId="5" applyFont="1" applyFill="1" applyProtection="1"/>
    <xf numFmtId="0" fontId="22" fillId="4" borderId="0" xfId="3" applyFont="1" applyFill="1" applyBorder="1"/>
    <xf numFmtId="0" fontId="3" fillId="4" borderId="0" xfId="0" applyFont="1" applyFill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3" fillId="0" borderId="0" xfId="0" applyNumberFormat="1" applyFont="1"/>
    <xf numFmtId="0" fontId="3" fillId="0" borderId="1" xfId="0" applyFont="1" applyBorder="1"/>
    <xf numFmtId="0" fontId="2" fillId="0" borderId="0" xfId="0" applyFont="1" applyBorder="1"/>
    <xf numFmtId="166" fontId="2" fillId="0" borderId="0" xfId="1" applyNumberFormat="1" applyFont="1"/>
    <xf numFmtId="166" fontId="2" fillId="0" borderId="0" xfId="1" applyNumberFormat="1" applyFont="1" applyBorder="1" applyProtection="1"/>
    <xf numFmtId="0" fontId="3" fillId="0" borderId="0" xfId="0" applyFont="1" applyAlignment="1">
      <alignment horizontal="left"/>
    </xf>
    <xf numFmtId="0" fontId="28" fillId="0" borderId="0" xfId="0" applyFont="1"/>
    <xf numFmtId="0" fontId="29" fillId="0" borderId="0" xfId="0" applyFont="1" applyBorder="1"/>
    <xf numFmtId="0" fontId="30" fillId="0" borderId="0" xfId="0" applyFont="1"/>
    <xf numFmtId="0" fontId="3" fillId="0" borderId="0" xfId="0" applyFont="1" applyFill="1" applyAlignment="1">
      <alignment horizontal="center"/>
    </xf>
    <xf numFmtId="10" fontId="31" fillId="0" borderId="0" xfId="0" applyNumberFormat="1" applyFont="1"/>
    <xf numFmtId="10" fontId="12" fillId="0" borderId="0" xfId="0" applyNumberFormat="1" applyFont="1" applyAlignment="1">
      <alignment horizontal="center"/>
    </xf>
    <xf numFmtId="3" fontId="18" fillId="0" borderId="0" xfId="0" applyNumberFormat="1" applyFont="1"/>
    <xf numFmtId="0" fontId="12" fillId="0" borderId="0" xfId="0" applyFont="1"/>
    <xf numFmtId="3" fontId="3" fillId="0" borderId="0" xfId="0" applyNumberFormat="1" applyFont="1"/>
    <xf numFmtId="3" fontId="30" fillId="0" borderId="0" xfId="0" applyNumberFormat="1" applyFont="1"/>
    <xf numFmtId="3" fontId="2" fillId="0" borderId="0" xfId="0" applyNumberFormat="1" applyFont="1"/>
    <xf numFmtId="0" fontId="19" fillId="0" borderId="0" xfId="0" applyFont="1"/>
    <xf numFmtId="0" fontId="19" fillId="0" borderId="0" xfId="0" applyFont="1" applyBorder="1"/>
    <xf numFmtId="179" fontId="19" fillId="0" borderId="0" xfId="0" applyNumberFormat="1" applyFont="1" applyBorder="1" applyAlignment="1">
      <alignment horizontal="center"/>
    </xf>
    <xf numFmtId="0" fontId="19" fillId="0" borderId="6" xfId="0" applyFont="1" applyBorder="1"/>
    <xf numFmtId="179" fontId="19" fillId="0" borderId="7" xfId="0" applyNumberFormat="1" applyFont="1" applyBorder="1"/>
    <xf numFmtId="6" fontId="19" fillId="0" borderId="0" xfId="0" applyNumberFormat="1" applyFont="1"/>
    <xf numFmtId="0" fontId="15" fillId="0" borderId="0" xfId="0" applyFont="1"/>
    <xf numFmtId="2" fontId="19" fillId="0" borderId="7" xfId="0" applyNumberFormat="1" applyFont="1" applyBorder="1" applyAlignment="1">
      <alignment horizontal="center"/>
    </xf>
    <xf numFmtId="0" fontId="28" fillId="0" borderId="8" xfId="0" applyFont="1" applyBorder="1"/>
    <xf numFmtId="0" fontId="19" fillId="0" borderId="9" xfId="0" applyFont="1" applyBorder="1"/>
    <xf numFmtId="4" fontId="2" fillId="0" borderId="10" xfId="0" applyNumberFormat="1" applyFont="1" applyBorder="1" applyAlignment="1">
      <alignment horizontal="center"/>
    </xf>
    <xf numFmtId="0" fontId="28" fillId="0" borderId="11" xfId="0" applyFont="1" applyBorder="1"/>
    <xf numFmtId="0" fontId="2" fillId="0" borderId="0" xfId="0" applyFont="1" applyFill="1" applyAlignment="1"/>
    <xf numFmtId="37" fontId="2" fillId="0" borderId="0" xfId="0" applyNumberFormat="1" applyFont="1" applyFill="1"/>
    <xf numFmtId="0" fontId="10" fillId="0" borderId="0" xfId="0" applyFont="1" applyFill="1"/>
    <xf numFmtId="0" fontId="34" fillId="0" borderId="0" xfId="0" applyFont="1"/>
    <xf numFmtId="0" fontId="10" fillId="0" borderId="6" xfId="0" applyFont="1" applyBorder="1" applyAlignment="1">
      <alignment horizontal="centerContinuous"/>
    </xf>
    <xf numFmtId="0" fontId="10" fillId="0" borderId="8" xfId="0" applyFont="1" applyBorder="1" applyAlignment="1">
      <alignment horizontal="centerContinuous"/>
    </xf>
    <xf numFmtId="0" fontId="10" fillId="0" borderId="7" xfId="0" applyFont="1" applyBorder="1" applyAlignment="1">
      <alignment horizontal="centerContinuous"/>
    </xf>
    <xf numFmtId="0" fontId="3" fillId="0" borderId="1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73" fontId="2" fillId="0" borderId="10" xfId="0" applyNumberFormat="1" applyFont="1" applyBorder="1" applyAlignment="1">
      <alignment horizontal="center"/>
    </xf>
    <xf numFmtId="0" fontId="3" fillId="0" borderId="8" xfId="0" applyFont="1" applyBorder="1"/>
    <xf numFmtId="0" fontId="2" fillId="0" borderId="8" xfId="0" applyFont="1" applyFill="1" applyBorder="1"/>
    <xf numFmtId="0" fontId="3" fillId="0" borderId="11" xfId="0" applyFont="1" applyBorder="1"/>
    <xf numFmtId="179" fontId="19" fillId="0" borderId="10" xfId="0" applyNumberFormat="1" applyFont="1" applyBorder="1"/>
    <xf numFmtId="166" fontId="17" fillId="0" borderId="0" xfId="1" applyNumberFormat="1" applyFont="1"/>
    <xf numFmtId="38" fontId="3" fillId="0" borderId="0" xfId="1" applyNumberFormat="1" applyFont="1"/>
    <xf numFmtId="0" fontId="8" fillId="4" borderId="0" xfId="0" applyFont="1" applyFill="1"/>
    <xf numFmtId="0" fontId="9" fillId="4" borderId="0" xfId="3" applyFont="1" applyFill="1" applyBorder="1"/>
    <xf numFmtId="0" fontId="2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0" xfId="0" applyFont="1" applyFill="1"/>
    <xf numFmtId="166" fontId="3" fillId="0" borderId="0" xfId="1" applyNumberFormat="1" applyFont="1" applyFill="1"/>
    <xf numFmtId="0" fontId="2" fillId="0" borderId="0" xfId="0" applyFont="1" applyFill="1" applyBorder="1"/>
    <xf numFmtId="166" fontId="3" fillId="0" borderId="0" xfId="1" applyNumberFormat="1" applyFont="1" applyFill="1" applyBorder="1"/>
    <xf numFmtId="0" fontId="3" fillId="0" borderId="0" xfId="0" applyFont="1" applyFill="1" applyBorder="1" applyAlignment="1">
      <alignment horizontal="center"/>
    </xf>
    <xf numFmtId="10" fontId="15" fillId="5" borderId="0" xfId="5" applyNumberFormat="1" applyFont="1" applyFill="1" applyAlignment="1">
      <alignment horizontal="center"/>
    </xf>
    <xf numFmtId="168" fontId="3" fillId="0" borderId="0" xfId="1" applyNumberFormat="1" applyFont="1" applyFill="1"/>
    <xf numFmtId="0" fontId="30" fillId="0" borderId="0" xfId="0" applyFont="1" applyFill="1" applyBorder="1" applyAlignment="1">
      <alignment horizontal="center"/>
    </xf>
    <xf numFmtId="38" fontId="3" fillId="0" borderId="0" xfId="0" applyNumberFormat="1" applyFont="1" applyFill="1" applyBorder="1"/>
    <xf numFmtId="166" fontId="3" fillId="0" borderId="0" xfId="0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8" fillId="0" borderId="0" xfId="0" applyFont="1" applyFill="1"/>
    <xf numFmtId="171" fontId="3" fillId="0" borderId="0" xfId="0" applyNumberFormat="1" applyFont="1" applyFill="1" applyProtection="1"/>
    <xf numFmtId="10" fontId="18" fillId="0" borderId="0" xfId="0" applyNumberFormat="1" applyFont="1" applyFill="1" applyProtection="1"/>
    <xf numFmtId="10" fontId="3" fillId="0" borderId="0" xfId="5" applyNumberFormat="1" applyFont="1" applyFill="1" applyProtection="1"/>
    <xf numFmtId="0" fontId="11" fillId="0" borderId="0" xfId="0" applyFont="1" applyFill="1"/>
    <xf numFmtId="38" fontId="0" fillId="0" borderId="0" xfId="0" applyNumberFormat="1"/>
    <xf numFmtId="38" fontId="26" fillId="0" borderId="0" xfId="0" applyNumberFormat="1" applyFont="1"/>
    <xf numFmtId="38" fontId="33" fillId="0" borderId="0" xfId="0" applyNumberFormat="1" applyFont="1"/>
    <xf numFmtId="38" fontId="6" fillId="0" borderId="0" xfId="0" applyNumberFormat="1" applyFont="1"/>
    <xf numFmtId="38" fontId="27" fillId="0" borderId="0" xfId="0" applyNumberFormat="1" applyFont="1"/>
    <xf numFmtId="38" fontId="3" fillId="0" borderId="0" xfId="2" applyNumberFormat="1" applyFont="1" applyFill="1"/>
    <xf numFmtId="38" fontId="18" fillId="0" borderId="0" xfId="2" applyNumberFormat="1" applyFont="1" applyProtection="1"/>
    <xf numFmtId="38" fontId="3" fillId="0" borderId="0" xfId="2" applyNumberFormat="1" applyFont="1"/>
    <xf numFmtId="38" fontId="14" fillId="0" borderId="0" xfId="2" applyNumberFormat="1" applyFont="1" applyFill="1" applyProtection="1"/>
    <xf numFmtId="38" fontId="14" fillId="0" borderId="0" xfId="2" applyNumberFormat="1" applyFont="1" applyProtection="1"/>
    <xf numFmtId="38" fontId="3" fillId="0" borderId="0" xfId="0" applyNumberFormat="1" applyFont="1" applyFill="1"/>
    <xf numFmtId="38" fontId="3" fillId="0" borderId="11" xfId="1" applyNumberFormat="1" applyFont="1" applyFill="1" applyBorder="1"/>
    <xf numFmtId="38" fontId="3" fillId="0" borderId="0" xfId="1" applyNumberFormat="1" applyFont="1" applyFill="1" applyBorder="1"/>
    <xf numFmtId="37" fontId="11" fillId="0" borderId="0" xfId="4" applyFont="1" applyAlignment="1">
      <alignment horizontal="right"/>
    </xf>
    <xf numFmtId="166" fontId="11" fillId="0" borderId="0" xfId="1" applyNumberFormat="1" applyFont="1" applyProtection="1"/>
    <xf numFmtId="0" fontId="11" fillId="0" borderId="0" xfId="0" applyFont="1" applyFill="1" applyBorder="1"/>
    <xf numFmtId="37" fontId="11" fillId="0" borderId="0" xfId="4" applyFont="1" applyFill="1" applyBorder="1" applyAlignment="1"/>
    <xf numFmtId="166" fontId="3" fillId="0" borderId="4" xfId="1" applyNumberFormat="1" applyFont="1" applyFill="1" applyBorder="1"/>
    <xf numFmtId="0" fontId="42" fillId="0" borderId="0" xfId="0" applyFont="1"/>
    <xf numFmtId="0" fontId="3" fillId="0" borderId="15" xfId="0" applyFont="1" applyBorder="1"/>
    <xf numFmtId="10" fontId="3" fillId="0" borderId="0" xfId="5" applyNumberFormat="1" applyFont="1"/>
    <xf numFmtId="164" fontId="3" fillId="0" borderId="0" xfId="0" applyNumberFormat="1" applyFont="1"/>
    <xf numFmtId="166" fontId="43" fillId="0" borderId="0" xfId="1" applyNumberFormat="1" applyFont="1"/>
    <xf numFmtId="0" fontId="30" fillId="0" borderId="0" xfId="0" applyFont="1" applyFill="1" applyBorder="1"/>
    <xf numFmtId="38" fontId="3" fillId="0" borderId="0" xfId="0" applyNumberFormat="1" applyFont="1" applyBorder="1"/>
    <xf numFmtId="0" fontId="44" fillId="0" borderId="0" xfId="0" applyFont="1"/>
    <xf numFmtId="0" fontId="12" fillId="0" borderId="5" xfId="0" applyFont="1" applyBorder="1"/>
    <xf numFmtId="38" fontId="3" fillId="0" borderId="11" xfId="0" applyNumberFormat="1" applyFont="1" applyBorder="1"/>
    <xf numFmtId="43" fontId="3" fillId="0" borderId="0" xfId="1" applyFont="1" applyBorder="1"/>
    <xf numFmtId="0" fontId="2" fillId="0" borderId="2" xfId="0" applyFont="1" applyBorder="1"/>
    <xf numFmtId="40" fontId="3" fillId="0" borderId="0" xfId="0" applyNumberFormat="1" applyFont="1" applyBorder="1"/>
    <xf numFmtId="43" fontId="3" fillId="0" borderId="0" xfId="1" applyFont="1"/>
    <xf numFmtId="0" fontId="8" fillId="0" borderId="0" xfId="0" applyFont="1"/>
    <xf numFmtId="38" fontId="0" fillId="0" borderId="0" xfId="0" applyNumberFormat="1" applyFill="1"/>
    <xf numFmtId="0" fontId="0" fillId="0" borderId="0" xfId="0" applyFill="1" applyBorder="1"/>
    <xf numFmtId="38" fontId="0" fillId="0" borderId="0" xfId="0" applyNumberFormat="1" applyFill="1" applyBorder="1"/>
    <xf numFmtId="38" fontId="26" fillId="0" borderId="0" xfId="0" applyNumberFormat="1" applyFont="1" applyFill="1" applyBorder="1"/>
    <xf numFmtId="38" fontId="33" fillId="0" borderId="0" xfId="0" applyNumberFormat="1" applyFont="1" applyFill="1" applyBorder="1"/>
    <xf numFmtId="38" fontId="44" fillId="0" borderId="0" xfId="0" applyNumberFormat="1" applyFont="1" applyFill="1" applyBorder="1"/>
    <xf numFmtId="38" fontId="6" fillId="0" borderId="0" xfId="0" applyNumberFormat="1" applyFont="1" applyFill="1" applyBorder="1"/>
    <xf numFmtId="38" fontId="27" fillId="0" borderId="0" xfId="0" applyNumberFormat="1" applyFont="1" applyFill="1" applyBorder="1"/>
    <xf numFmtId="14" fontId="30" fillId="0" borderId="0" xfId="0" applyNumberFormat="1" applyFont="1" applyFill="1" applyBorder="1" applyAlignment="1">
      <alignment horizontal="center"/>
    </xf>
    <xf numFmtId="166" fontId="17" fillId="0" borderId="0" xfId="1" applyNumberFormat="1" applyFont="1" applyFill="1" applyBorder="1"/>
    <xf numFmtId="166" fontId="2" fillId="0" borderId="0" xfId="0" applyNumberFormat="1" applyFont="1" applyFill="1" applyBorder="1"/>
    <xf numFmtId="10" fontId="3" fillId="0" borderId="0" xfId="0" applyNumberFormat="1" applyFont="1" applyFill="1" applyBorder="1" applyAlignment="1">
      <alignment horizontal="center"/>
    </xf>
    <xf numFmtId="10" fontId="3" fillId="0" borderId="0" xfId="5" applyNumberFormat="1" applyFont="1" applyFill="1" applyBorder="1" applyAlignment="1">
      <alignment horizontal="center"/>
    </xf>
    <xf numFmtId="3" fontId="3" fillId="0" borderId="0" xfId="0" applyNumberFormat="1" applyFont="1" applyFill="1" applyBorder="1"/>
    <xf numFmtId="40" fontId="30" fillId="0" borderId="0" xfId="0" applyNumberFormat="1" applyFont="1" applyFill="1" applyBorder="1"/>
    <xf numFmtId="3" fontId="30" fillId="0" borderId="0" xfId="0" applyNumberFormat="1" applyFont="1" applyFill="1" applyBorder="1"/>
    <xf numFmtId="3" fontId="2" fillId="0" borderId="0" xfId="0" applyNumberFormat="1" applyFont="1" applyFill="1" applyBorder="1"/>
    <xf numFmtId="0" fontId="19" fillId="0" borderId="0" xfId="0" applyFont="1" applyFill="1" applyBorder="1"/>
    <xf numFmtId="166" fontId="11" fillId="0" borderId="0" xfId="1" applyNumberFormat="1" applyFont="1" applyFill="1" applyBorder="1"/>
    <xf numFmtId="37" fontId="11" fillId="0" borderId="0" xfId="4" applyFont="1" applyFill="1" applyAlignment="1"/>
    <xf numFmtId="37" fontId="11" fillId="0" borderId="0" xfId="4" applyFont="1" applyFill="1" applyAlignment="1">
      <alignment horizontal="right"/>
    </xf>
    <xf numFmtId="166" fontId="11" fillId="0" borderId="0" xfId="1" applyNumberFormat="1" applyFont="1" applyFill="1" applyBorder="1" applyProtection="1"/>
    <xf numFmtId="166" fontId="25" fillId="0" borderId="0" xfId="1" applyNumberFormat="1" applyFont="1" applyFill="1" applyBorder="1" applyProtection="1"/>
    <xf numFmtId="166" fontId="40" fillId="0" borderId="0" xfId="1" applyNumberFormat="1" applyFont="1" applyFill="1" applyBorder="1"/>
    <xf numFmtId="166" fontId="41" fillId="0" borderId="0" xfId="1" applyNumberFormat="1" applyFont="1" applyFill="1" applyBorder="1"/>
    <xf numFmtId="10" fontId="40" fillId="0" borderId="0" xfId="1" applyNumberFormat="1" applyFont="1" applyFill="1" applyBorder="1"/>
    <xf numFmtId="166" fontId="40" fillId="0" borderId="0" xfId="1" applyNumberFormat="1" applyFont="1" applyFill="1" applyBorder="1" applyProtection="1"/>
    <xf numFmtId="166" fontId="41" fillId="0" borderId="0" xfId="1" applyNumberFormat="1" applyFont="1" applyFill="1" applyBorder="1" applyProtection="1"/>
    <xf numFmtId="9" fontId="11" fillId="0" borderId="0" xfId="1" applyNumberFormat="1" applyFont="1" applyFill="1" applyBorder="1"/>
    <xf numFmtId="166" fontId="25" fillId="0" borderId="0" xfId="1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23" fillId="0" borderId="16" xfId="0" applyFont="1" applyFill="1" applyBorder="1"/>
    <xf numFmtId="0" fontId="23" fillId="0" borderId="16" xfId="0" applyFont="1" applyFill="1" applyBorder="1" applyAlignment="1" applyProtection="1">
      <alignment horizontal="left"/>
    </xf>
    <xf numFmtId="0" fontId="24" fillId="0" borderId="16" xfId="0" applyFont="1" applyFill="1" applyBorder="1" applyAlignment="1" applyProtection="1">
      <alignment horizontal="left"/>
    </xf>
    <xf numFmtId="0" fontId="5" fillId="0" borderId="2" xfId="0" applyFont="1" applyFill="1" applyBorder="1"/>
    <xf numFmtId="4" fontId="0" fillId="0" borderId="0" xfId="0" applyNumberFormat="1" applyFill="1" applyBorder="1"/>
    <xf numFmtId="221" fontId="0" fillId="0" borderId="0" xfId="0" applyNumberFormat="1" applyFill="1" applyBorder="1"/>
    <xf numFmtId="0" fontId="45" fillId="0" borderId="5" xfId="0" applyFont="1" applyBorder="1" applyAlignment="1" applyProtection="1">
      <alignment horizontal="left"/>
    </xf>
    <xf numFmtId="0" fontId="45" fillId="0" borderId="0" xfId="0" applyFont="1" applyBorder="1" applyAlignment="1">
      <alignment horizontal="center"/>
    </xf>
    <xf numFmtId="0" fontId="28" fillId="0" borderId="0" xfId="0" applyFont="1" applyBorder="1"/>
    <xf numFmtId="0" fontId="28" fillId="0" borderId="5" xfId="0" applyFont="1" applyBorder="1" applyAlignment="1" applyProtection="1">
      <alignment horizontal="left"/>
    </xf>
    <xf numFmtId="10" fontId="46" fillId="0" borderId="0" xfId="0" applyNumberFormat="1" applyFont="1" applyBorder="1" applyAlignment="1" applyProtection="1">
      <alignment horizontal="center"/>
    </xf>
    <xf numFmtId="10" fontId="28" fillId="0" borderId="5" xfId="0" applyNumberFormat="1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8" fillId="0" borderId="5" xfId="0" applyFont="1" applyBorder="1"/>
    <xf numFmtId="0" fontId="28" fillId="0" borderId="4" xfId="0" applyFont="1" applyBorder="1"/>
    <xf numFmtId="0" fontId="28" fillId="0" borderId="17" xfId="0" applyFont="1" applyBorder="1"/>
    <xf numFmtId="0" fontId="28" fillId="0" borderId="1" xfId="0" applyFont="1" applyBorder="1"/>
    <xf numFmtId="0" fontId="45" fillId="0" borderId="5" xfId="0" applyFont="1" applyBorder="1"/>
    <xf numFmtId="0" fontId="28" fillId="0" borderId="5" xfId="0" applyFont="1" applyBorder="1" applyAlignment="1">
      <alignment horizontal="left"/>
    </xf>
    <xf numFmtId="37" fontId="28" fillId="0" borderId="0" xfId="0" applyNumberFormat="1" applyFont="1" applyFill="1" applyBorder="1" applyAlignment="1">
      <alignment horizontal="center"/>
    </xf>
    <xf numFmtId="0" fontId="48" fillId="0" borderId="5" xfId="0" applyFont="1" applyBorder="1"/>
    <xf numFmtId="173" fontId="28" fillId="0" borderId="0" xfId="0" applyNumberFormat="1" applyFont="1" applyBorder="1" applyAlignment="1">
      <alignment horizontal="center"/>
    </xf>
    <xf numFmtId="0" fontId="45" fillId="0" borderId="0" xfId="0" applyFont="1" applyBorder="1"/>
    <xf numFmtId="212" fontId="28" fillId="0" borderId="0" xfId="1" applyNumberFormat="1" applyFont="1" applyBorder="1" applyAlignment="1">
      <alignment horizontal="center"/>
    </xf>
    <xf numFmtId="38" fontId="28" fillId="0" borderId="0" xfId="0" applyNumberFormat="1" applyFont="1" applyBorder="1"/>
    <xf numFmtId="38" fontId="28" fillId="0" borderId="0" xfId="0" applyNumberFormat="1" applyFont="1" applyBorder="1" applyAlignment="1">
      <alignment horizontal="center"/>
    </xf>
    <xf numFmtId="38" fontId="28" fillId="0" borderId="1" xfId="0" applyNumberFormat="1" applyFont="1" applyBorder="1" applyAlignment="1">
      <alignment horizontal="center"/>
    </xf>
    <xf numFmtId="0" fontId="28" fillId="0" borderId="2" xfId="0" applyFont="1" applyFill="1" applyBorder="1"/>
    <xf numFmtId="0" fontId="23" fillId="0" borderId="2" xfId="0" applyFont="1" applyFill="1" applyBorder="1" applyAlignment="1">
      <alignment horizontal="centerContinuous"/>
    </xf>
    <xf numFmtId="0" fontId="45" fillId="0" borderId="5" xfId="0" applyFont="1" applyFill="1" applyBorder="1"/>
    <xf numFmtId="10" fontId="47" fillId="0" borderId="0" xfId="0" applyNumberFormat="1" applyFont="1" applyFill="1" applyBorder="1"/>
    <xf numFmtId="0" fontId="28" fillId="0" borderId="5" xfId="0" applyFont="1" applyFill="1" applyBorder="1"/>
    <xf numFmtId="10" fontId="10" fillId="0" borderId="0" xfId="5" applyNumberFormat="1" applyFont="1" applyFill="1" applyBorder="1" applyAlignment="1">
      <alignment horizontal="center"/>
    </xf>
    <xf numFmtId="10" fontId="47" fillId="0" borderId="0" xfId="5" applyNumberFormat="1" applyFont="1" applyFill="1" applyBorder="1" applyAlignment="1">
      <alignment horizontal="center"/>
    </xf>
    <xf numFmtId="0" fontId="28" fillId="0" borderId="17" xfId="0" applyFont="1" applyFill="1" applyBorder="1"/>
    <xf numFmtId="0" fontId="10" fillId="0" borderId="5" xfId="0" applyFont="1" applyBorder="1"/>
    <xf numFmtId="0" fontId="28" fillId="0" borderId="2" xfId="0" applyFont="1" applyBorder="1"/>
    <xf numFmtId="0" fontId="28" fillId="0" borderId="3" xfId="0" applyFont="1" applyBorder="1"/>
    <xf numFmtId="0" fontId="39" fillId="4" borderId="0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28" fillId="0" borderId="0" xfId="0" applyFont="1" applyAlignment="1">
      <alignment horizontal="centerContinuous"/>
    </xf>
    <xf numFmtId="0" fontId="28" fillId="0" borderId="18" xfId="0" applyFont="1" applyBorder="1" applyAlignment="1">
      <alignment horizontal="center"/>
    </xf>
    <xf numFmtId="0" fontId="28" fillId="0" borderId="19" xfId="0" applyFont="1" applyBorder="1" applyAlignment="1">
      <alignment horizontal="centerContinuous"/>
    </xf>
    <xf numFmtId="0" fontId="28" fillId="0" borderId="20" xfId="0" applyFont="1" applyBorder="1" applyAlignment="1">
      <alignment horizontal="centerContinuous"/>
    </xf>
    <xf numFmtId="0" fontId="10" fillId="0" borderId="16" xfId="0" applyFont="1" applyBorder="1" applyAlignment="1">
      <alignment horizontal="centerContinuous"/>
    </xf>
    <xf numFmtId="0" fontId="28" fillId="0" borderId="2" xfId="0" applyFont="1" applyBorder="1" applyAlignment="1">
      <alignment horizontal="centerContinuous"/>
    </xf>
    <xf numFmtId="0" fontId="28" fillId="0" borderId="3" xfId="0" applyFont="1" applyBorder="1" applyAlignment="1">
      <alignment horizontal="centerContinuous"/>
    </xf>
    <xf numFmtId="0" fontId="10" fillId="0" borderId="21" xfId="0" applyFont="1" applyBorder="1" applyAlignment="1">
      <alignment horizontal="centerContinuous"/>
    </xf>
    <xf numFmtId="0" fontId="28" fillId="0" borderId="22" xfId="0" applyFont="1" applyBorder="1"/>
    <xf numFmtId="0" fontId="28" fillId="0" borderId="23" xfId="0" applyFont="1" applyBorder="1" applyAlignment="1">
      <alignment horizontal="centerContinuous"/>
    </xf>
    <xf numFmtId="0" fontId="28" fillId="0" borderId="24" xfId="0" applyFont="1" applyBorder="1" applyAlignment="1">
      <alignment horizontal="centerContinuous"/>
    </xf>
    <xf numFmtId="0" fontId="28" fillId="0" borderId="25" xfId="0" applyFont="1" applyBorder="1" applyAlignment="1">
      <alignment horizontal="centerContinuous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3" fontId="28" fillId="0" borderId="5" xfId="0" applyNumberFormat="1" applyFont="1" applyBorder="1"/>
    <xf numFmtId="3" fontId="28" fillId="0" borderId="0" xfId="0" applyNumberFormat="1" applyFont="1" applyBorder="1"/>
    <xf numFmtId="3" fontId="28" fillId="0" borderId="4" xfId="0" applyNumberFormat="1" applyFont="1" applyBorder="1"/>
    <xf numFmtId="3" fontId="28" fillId="0" borderId="17" xfId="0" applyNumberFormat="1" applyFont="1" applyBorder="1"/>
    <xf numFmtId="3" fontId="28" fillId="0" borderId="1" xfId="0" applyNumberFormat="1" applyFont="1" applyBorder="1"/>
    <xf numFmtId="3" fontId="28" fillId="0" borderId="15" xfId="0" applyNumberFormat="1" applyFont="1" applyBorder="1"/>
    <xf numFmtId="4" fontId="28" fillId="0" borderId="0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left"/>
    </xf>
    <xf numFmtId="9" fontId="47" fillId="3" borderId="0" xfId="0" applyNumberFormat="1" applyFont="1" applyFill="1" applyBorder="1" applyAlignment="1">
      <alignment horizontal="center"/>
    </xf>
    <xf numFmtId="166" fontId="12" fillId="0" borderId="0" xfId="1" applyNumberFormat="1" applyFont="1" applyFill="1" applyBorder="1"/>
    <xf numFmtId="38" fontId="2" fillId="0" borderId="0" xfId="0" applyNumberFormat="1" applyFont="1"/>
    <xf numFmtId="38" fontId="3" fillId="0" borderId="11" xfId="1" applyNumberFormat="1" applyFont="1" applyBorder="1"/>
    <xf numFmtId="3" fontId="28" fillId="0" borderId="5" xfId="0" applyNumberFormat="1" applyFont="1" applyFill="1" applyBorder="1"/>
    <xf numFmtId="3" fontId="28" fillId="0" borderId="0" xfId="0" applyNumberFormat="1" applyFont="1" applyFill="1" applyBorder="1"/>
    <xf numFmtId="3" fontId="28" fillId="0" borderId="4" xfId="0" applyNumberFormat="1" applyFont="1" applyFill="1" applyBorder="1"/>
    <xf numFmtId="3" fontId="28" fillId="0" borderId="17" xfId="0" applyNumberFormat="1" applyFont="1" applyFill="1" applyBorder="1"/>
    <xf numFmtId="3" fontId="28" fillId="0" borderId="1" xfId="0" applyNumberFormat="1" applyFont="1" applyFill="1" applyBorder="1"/>
    <xf numFmtId="3" fontId="28" fillId="0" borderId="15" xfId="0" applyNumberFormat="1" applyFont="1" applyFill="1" applyBorder="1"/>
    <xf numFmtId="0" fontId="45" fillId="0" borderId="4" xfId="0" quotePrefix="1" applyFont="1" applyBorder="1" applyAlignment="1">
      <alignment horizontal="center"/>
    </xf>
    <xf numFmtId="0" fontId="49" fillId="0" borderId="0" xfId="0" applyFont="1"/>
    <xf numFmtId="0" fontId="50" fillId="0" borderId="0" xfId="0" applyFont="1"/>
    <xf numFmtId="0" fontId="28" fillId="0" borderId="21" xfId="0" applyFont="1" applyBorder="1" applyAlignment="1">
      <alignment horizontal="center"/>
    </xf>
    <xf numFmtId="0" fontId="28" fillId="0" borderId="19" xfId="0" applyFont="1" applyBorder="1" applyAlignment="1">
      <alignment horizontal="center"/>
    </xf>
    <xf numFmtId="0" fontId="28" fillId="0" borderId="20" xfId="0" applyFont="1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8" fillId="0" borderId="31" xfId="0" applyFont="1" applyBorder="1" applyAlignment="1">
      <alignment horizontal="center"/>
    </xf>
    <xf numFmtId="10" fontId="47" fillId="3" borderId="0" xfId="0" applyNumberFormat="1" applyFont="1" applyFill="1" applyBorder="1" applyAlignment="1">
      <alignment horizontal="center"/>
    </xf>
    <xf numFmtId="7" fontId="28" fillId="0" borderId="0" xfId="1" applyNumberFormat="1" applyFont="1" applyBorder="1"/>
    <xf numFmtId="44" fontId="28" fillId="0" borderId="0" xfId="2" applyFont="1" applyFill="1" applyBorder="1"/>
    <xf numFmtId="0" fontId="28" fillId="4" borderId="0" xfId="0" applyFont="1" applyFill="1"/>
    <xf numFmtId="0" fontId="37" fillId="0" borderId="0" xfId="0" applyFont="1" applyBorder="1"/>
    <xf numFmtId="2" fontId="28" fillId="0" borderId="0" xfId="0" applyNumberFormat="1" applyFont="1" applyBorder="1"/>
    <xf numFmtId="43" fontId="28" fillId="0" borderId="0" xfId="0" applyNumberFormat="1" applyFont="1" applyBorder="1"/>
    <xf numFmtId="0" fontId="28" fillId="0" borderId="0" xfId="0" applyFont="1" applyBorder="1" applyAlignment="1">
      <alignment horizontal="right"/>
    </xf>
    <xf numFmtId="0" fontId="23" fillId="0" borderId="0" xfId="1" applyNumberFormat="1" applyFont="1" applyBorder="1" applyAlignment="1">
      <alignment horizontal="right"/>
    </xf>
    <xf numFmtId="2" fontId="47" fillId="0" borderId="0" xfId="1" applyNumberFormat="1" applyFont="1" applyFill="1" applyBorder="1" applyAlignment="1">
      <alignment horizontal="right"/>
    </xf>
    <xf numFmtId="43" fontId="28" fillId="0" borderId="0" xfId="1" applyNumberFormat="1" applyFont="1" applyBorder="1" applyAlignment="1">
      <alignment horizontal="right"/>
    </xf>
    <xf numFmtId="44" fontId="28" fillId="0" borderId="0" xfId="2" applyFont="1" applyBorder="1" applyAlignment="1">
      <alignment horizontal="right"/>
    </xf>
    <xf numFmtId="9" fontId="47" fillId="0" borderId="0" xfId="0" applyNumberFormat="1" applyFont="1" applyBorder="1"/>
    <xf numFmtId="40" fontId="28" fillId="0" borderId="0" xfId="1" applyNumberFormat="1" applyFont="1" applyFill="1" applyBorder="1" applyAlignment="1">
      <alignment horizontal="right"/>
    </xf>
    <xf numFmtId="0" fontId="10" fillId="0" borderId="0" xfId="0" applyFont="1" applyBorder="1"/>
    <xf numFmtId="1" fontId="47" fillId="0" borderId="0" xfId="1" applyNumberFormat="1" applyFont="1" applyFill="1" applyBorder="1" applyAlignment="1">
      <alignment horizontal="right"/>
    </xf>
    <xf numFmtId="43" fontId="45" fillId="0" borderId="0" xfId="1" applyNumberFormat="1" applyFont="1" applyBorder="1" applyAlignment="1">
      <alignment horizontal="right"/>
    </xf>
    <xf numFmtId="7" fontId="28" fillId="0" borderId="0" xfId="1" applyNumberFormat="1" applyFont="1" applyBorder="1" applyAlignment="1">
      <alignment horizontal="right"/>
    </xf>
    <xf numFmtId="7" fontId="28" fillId="0" borderId="0" xfId="0" applyNumberFormat="1" applyFont="1" applyBorder="1"/>
    <xf numFmtId="7" fontId="45" fillId="0" borderId="0" xfId="2" applyNumberFormat="1" applyFont="1" applyBorder="1"/>
    <xf numFmtId="166" fontId="25" fillId="0" borderId="0" xfId="1" applyNumberFormat="1" applyFont="1" applyFill="1" applyBorder="1"/>
    <xf numFmtId="38" fontId="3" fillId="0" borderId="0" xfId="2" applyNumberFormat="1" applyFont="1" applyFill="1" applyBorder="1" applyProtection="1"/>
    <xf numFmtId="9" fontId="18" fillId="0" borderId="0" xfId="5" applyFont="1" applyFill="1" applyProtection="1"/>
    <xf numFmtId="0" fontId="28" fillId="0" borderId="29" xfId="0" applyFont="1" applyBorder="1" applyAlignment="1">
      <alignment horizontal="right"/>
    </xf>
    <xf numFmtId="0" fontId="28" fillId="0" borderId="30" xfId="0" applyFont="1" applyBorder="1" applyAlignment="1">
      <alignment horizontal="right"/>
    </xf>
    <xf numFmtId="0" fontId="28" fillId="0" borderId="31" xfId="0" applyFont="1" applyBorder="1" applyAlignment="1">
      <alignment horizontal="right"/>
    </xf>
    <xf numFmtId="0" fontId="28" fillId="0" borderId="5" xfId="0" applyFont="1" applyBorder="1" applyAlignment="1">
      <alignment horizontal="center"/>
    </xf>
    <xf numFmtId="3" fontId="28" fillId="0" borderId="5" xfId="0" applyNumberFormat="1" applyFont="1" applyBorder="1" applyAlignment="1">
      <alignment horizontal="center"/>
    </xf>
    <xf numFmtId="3" fontId="28" fillId="0" borderId="5" xfId="0" applyNumberFormat="1" applyFont="1" applyFill="1" applyBorder="1" applyAlignment="1">
      <alignment horizontal="center"/>
    </xf>
    <xf numFmtId="3" fontId="28" fillId="0" borderId="1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Continuous"/>
    </xf>
    <xf numFmtId="0" fontId="2" fillId="0" borderId="0" xfId="0" applyNumberFormat="1" applyFont="1" applyFill="1" applyBorder="1" applyAlignment="1">
      <alignment horizontal="left"/>
    </xf>
    <xf numFmtId="9" fontId="47" fillId="0" borderId="0" xfId="5" applyFont="1" applyFill="1" applyBorder="1" applyAlignment="1">
      <alignment horizontal="right"/>
    </xf>
    <xf numFmtId="37" fontId="3" fillId="0" borderId="0" xfId="4" applyFont="1" applyBorder="1" applyAlignment="1"/>
    <xf numFmtId="37" fontId="2" fillId="0" borderId="0" xfId="4" applyFont="1" applyBorder="1" applyAlignment="1"/>
    <xf numFmtId="0" fontId="1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5" fontId="3" fillId="0" borderId="0" xfId="2" applyNumberFormat="1" applyFont="1" applyBorder="1"/>
    <xf numFmtId="166" fontId="14" fillId="0" borderId="0" xfId="1" applyNumberFormat="1" applyFont="1" applyBorder="1"/>
    <xf numFmtId="10" fontId="17" fillId="0" borderId="0" xfId="1" applyNumberFormat="1" applyFont="1" applyBorder="1"/>
    <xf numFmtId="165" fontId="3" fillId="0" borderId="0" xfId="2" applyNumberFormat="1" applyFont="1" applyBorder="1" applyAlignment="1" applyProtection="1">
      <alignment horizontal="center"/>
    </xf>
    <xf numFmtId="166" fontId="16" fillId="0" borderId="0" xfId="1" applyNumberFormat="1" applyFont="1" applyBorder="1" applyProtection="1"/>
    <xf numFmtId="166" fontId="17" fillId="0" borderId="0" xfId="1" applyNumberFormat="1" applyFont="1" applyBorder="1" applyProtection="1"/>
    <xf numFmtId="166" fontId="2" fillId="0" borderId="0" xfId="1" applyNumberFormat="1" applyFont="1" applyBorder="1"/>
    <xf numFmtId="166" fontId="14" fillId="0" borderId="0" xfId="1" applyNumberFormat="1" applyFont="1" applyBorder="1" applyProtection="1"/>
    <xf numFmtId="9" fontId="3" fillId="0" borderId="0" xfId="1" applyNumberFormat="1" applyFont="1" applyBorder="1"/>
    <xf numFmtId="166" fontId="2" fillId="0" borderId="0" xfId="1" quotePrefix="1" applyNumberFormat="1" applyFont="1" applyBorder="1" applyProtection="1"/>
    <xf numFmtId="0" fontId="23" fillId="0" borderId="0" xfId="0" applyFont="1" applyBorder="1"/>
    <xf numFmtId="0" fontId="23" fillId="0" borderId="0" xfId="0" applyFont="1" applyBorder="1" applyAlignment="1" applyProtection="1">
      <alignment horizontal="left"/>
    </xf>
    <xf numFmtId="0" fontId="51" fillId="0" borderId="0" xfId="0" applyFont="1" applyBorder="1"/>
    <xf numFmtId="1" fontId="47" fillId="3" borderId="32" xfId="1" applyNumberFormat="1" applyFont="1" applyFill="1" applyBorder="1" applyAlignment="1">
      <alignment horizontal="right"/>
    </xf>
    <xf numFmtId="10" fontId="30" fillId="0" borderId="0" xfId="5" applyNumberFormat="1" applyFont="1"/>
    <xf numFmtId="0" fontId="17" fillId="0" borderId="0" xfId="0" applyFont="1"/>
    <xf numFmtId="38" fontId="52" fillId="0" borderId="0" xfId="0" applyNumberFormat="1" applyFont="1"/>
    <xf numFmtId="166" fontId="3" fillId="0" borderId="0" xfId="1" applyNumberFormat="1" applyFont="1" applyFill="1" applyBorder="1" applyProtection="1"/>
    <xf numFmtId="166" fontId="2" fillId="0" borderId="13" xfId="1" applyNumberFormat="1" applyFont="1" applyBorder="1"/>
    <xf numFmtId="166" fontId="2" fillId="0" borderId="14" xfId="1" applyNumberFormat="1" applyFont="1" applyBorder="1"/>
    <xf numFmtId="166" fontId="2" fillId="0" borderId="33" xfId="1" applyNumberFormat="1" applyFont="1" applyBorder="1"/>
    <xf numFmtId="166" fontId="3" fillId="0" borderId="14" xfId="1" applyNumberFormat="1" applyFont="1" applyBorder="1" applyProtection="1"/>
    <xf numFmtId="166" fontId="3" fillId="0" borderId="33" xfId="1" applyNumberFormat="1" applyFont="1" applyBorder="1" applyProtection="1"/>
    <xf numFmtId="166" fontId="3" fillId="0" borderId="13" xfId="1" applyNumberFormat="1" applyFont="1" applyBorder="1" applyProtection="1"/>
    <xf numFmtId="0" fontId="15" fillId="0" borderId="0" xfId="0" applyFont="1" applyBorder="1"/>
    <xf numFmtId="0" fontId="30" fillId="0" borderId="0" xfId="0" applyFont="1" applyBorder="1"/>
    <xf numFmtId="0" fontId="2" fillId="0" borderId="0" xfId="0" applyFont="1" applyBorder="1" applyAlignment="1">
      <alignment horizontal="center"/>
    </xf>
    <xf numFmtId="0" fontId="20" fillId="0" borderId="1" xfId="0" applyFont="1" applyBorder="1"/>
    <xf numFmtId="0" fontId="20" fillId="0" borderId="0" xfId="0" applyFont="1" applyBorder="1"/>
    <xf numFmtId="38" fontId="28" fillId="0" borderId="0" xfId="1" applyNumberFormat="1" applyFont="1" applyFill="1" applyBorder="1" applyAlignment="1" applyProtection="1">
      <alignment horizontal="center"/>
    </xf>
    <xf numFmtId="38" fontId="28" fillId="0" borderId="1" xfId="1" applyNumberFormat="1" applyFont="1" applyFill="1" applyBorder="1" applyAlignment="1" applyProtection="1">
      <alignment horizontal="center"/>
    </xf>
    <xf numFmtId="38" fontId="47" fillId="3" borderId="0" xfId="0" applyNumberFormat="1" applyFont="1" applyFill="1" applyBorder="1" applyAlignment="1">
      <alignment horizontal="center"/>
    </xf>
    <xf numFmtId="10" fontId="28" fillId="0" borderId="0" xfId="0" applyNumberFormat="1" applyFont="1" applyBorder="1" applyAlignment="1">
      <alignment horizontal="center"/>
    </xf>
    <xf numFmtId="0" fontId="48" fillId="0" borderId="5" xfId="0" applyFont="1" applyFill="1" applyBorder="1" applyAlignment="1" applyProtection="1">
      <alignment horizontal="left"/>
    </xf>
    <xf numFmtId="3" fontId="28" fillId="3" borderId="5" xfId="0" applyNumberFormat="1" applyFont="1" applyFill="1" applyBorder="1"/>
    <xf numFmtId="3" fontId="28" fillId="3" borderId="0" xfId="0" applyNumberFormat="1" applyFont="1" applyFill="1" applyBorder="1"/>
    <xf numFmtId="3" fontId="28" fillId="3" borderId="4" xfId="0" applyNumberFormat="1" applyFont="1" applyFill="1" applyBorder="1"/>
    <xf numFmtId="166" fontId="28" fillId="0" borderId="0" xfId="1" applyNumberFormat="1" applyFont="1"/>
    <xf numFmtId="0" fontId="3" fillId="0" borderId="0" xfId="0" applyFont="1" applyAlignment="1">
      <alignment horizontal="right"/>
    </xf>
    <xf numFmtId="0" fontId="45" fillId="0" borderId="0" xfId="0" applyFont="1" applyFill="1" applyBorder="1" applyAlignment="1">
      <alignment horizontal="center"/>
    </xf>
    <xf numFmtId="9" fontId="23" fillId="0" borderId="0" xfId="0" applyNumberFormat="1" applyFont="1" applyBorder="1" applyAlignment="1" applyProtection="1">
      <alignment horizontal="center"/>
    </xf>
    <xf numFmtId="38" fontId="28" fillId="0" borderId="0" xfId="0" applyNumberFormat="1" applyFont="1" applyFill="1" applyBorder="1" applyAlignment="1">
      <alignment horizontal="center"/>
    </xf>
    <xf numFmtId="10" fontId="28" fillId="0" borderId="0" xfId="5" applyNumberFormat="1" applyFont="1" applyFill="1" applyBorder="1" applyAlignment="1">
      <alignment horizontal="center"/>
    </xf>
    <xf numFmtId="38" fontId="28" fillId="0" borderId="1" xfId="0" applyNumberFormat="1" applyFont="1" applyFill="1" applyBorder="1" applyAlignment="1">
      <alignment horizontal="center"/>
    </xf>
    <xf numFmtId="38" fontId="47" fillId="3" borderId="1" xfId="0" applyNumberFormat="1" applyFont="1" applyFill="1" applyBorder="1" applyAlignment="1">
      <alignment horizontal="center"/>
    </xf>
    <xf numFmtId="14" fontId="30" fillId="0" borderId="0" xfId="0" applyNumberFormat="1" applyFont="1" applyAlignment="1">
      <alignment horizontal="center"/>
    </xf>
    <xf numFmtId="251" fontId="18" fillId="0" borderId="0" xfId="1" applyNumberFormat="1" applyFont="1" applyProtection="1"/>
    <xf numFmtId="166" fontId="0" fillId="0" borderId="0" xfId="1" applyNumberFormat="1" applyFont="1" applyFill="1" applyBorder="1"/>
    <xf numFmtId="9" fontId="28" fillId="0" borderId="0" xfId="0" applyNumberFormat="1" applyFont="1" applyBorder="1" applyAlignment="1" applyProtection="1">
      <alignment horizontal="center"/>
    </xf>
    <xf numFmtId="9" fontId="28" fillId="0" borderId="0" xfId="0" applyNumberFormat="1" applyFont="1" applyBorder="1" applyAlignment="1">
      <alignment horizontal="center"/>
    </xf>
    <xf numFmtId="0" fontId="22" fillId="0" borderId="0" xfId="3" applyFont="1" applyFill="1" applyBorder="1"/>
    <xf numFmtId="9" fontId="2" fillId="0" borderId="32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centerContinuous"/>
    </xf>
    <xf numFmtId="10" fontId="28" fillId="0" borderId="0" xfId="5" applyNumberFormat="1" applyFont="1" applyFill="1" applyBorder="1"/>
    <xf numFmtId="40" fontId="28" fillId="0" borderId="0" xfId="0" applyNumberFormat="1" applyFont="1" applyFill="1" applyBorder="1"/>
    <xf numFmtId="1" fontId="28" fillId="0" borderId="0" xfId="0" applyNumberFormat="1" applyFont="1" applyFill="1" applyBorder="1"/>
    <xf numFmtId="43" fontId="28" fillId="0" borderId="0" xfId="1" applyFont="1" applyFill="1" applyBorder="1"/>
    <xf numFmtId="38" fontId="28" fillId="0" borderId="0" xfId="0" applyNumberFormat="1" applyFont="1" applyFill="1" applyBorder="1"/>
    <xf numFmtId="43" fontId="28" fillId="0" borderId="0" xfId="0" applyNumberFormat="1" applyFont="1" applyFill="1" applyBorder="1"/>
    <xf numFmtId="43" fontId="0" fillId="0" borderId="0" xfId="0" applyNumberFormat="1"/>
    <xf numFmtId="38" fontId="28" fillId="0" borderId="0" xfId="0" applyNumberFormat="1" applyFont="1"/>
    <xf numFmtId="0" fontId="23" fillId="0" borderId="0" xfId="0" applyFont="1" applyBorder="1" applyAlignment="1">
      <alignment horizontal="center"/>
    </xf>
    <xf numFmtId="9" fontId="10" fillId="0" borderId="0" xfId="5" applyFont="1" applyFill="1" applyBorder="1" applyAlignment="1">
      <alignment horizontal="left"/>
    </xf>
    <xf numFmtId="0" fontId="10" fillId="0" borderId="0" xfId="0" quotePrefix="1" applyFont="1" applyBorder="1"/>
    <xf numFmtId="0" fontId="3" fillId="6" borderId="0" xfId="0" applyFont="1" applyFill="1"/>
    <xf numFmtId="0" fontId="10" fillId="6" borderId="0" xfId="0" applyFont="1" applyFill="1"/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Continuous"/>
    </xf>
    <xf numFmtId="0" fontId="10" fillId="0" borderId="16" xfId="0" applyFont="1" applyBorder="1"/>
    <xf numFmtId="0" fontId="45" fillId="0" borderId="5" xfId="0" applyFont="1" applyBorder="1" applyAlignment="1">
      <alignment horizontal="center"/>
    </xf>
    <xf numFmtId="166" fontId="28" fillId="0" borderId="0" xfId="1" applyNumberFormat="1" applyFont="1" applyBorder="1"/>
    <xf numFmtId="164" fontId="28" fillId="0" borderId="0" xfId="0" applyNumberFormat="1" applyFont="1" applyBorder="1"/>
    <xf numFmtId="9" fontId="28" fillId="0" borderId="0" xfId="0" applyNumberFormat="1" applyFont="1" applyBorder="1"/>
    <xf numFmtId="0" fontId="28" fillId="0" borderId="4" xfId="0" applyFont="1" applyBorder="1" applyAlignment="1">
      <alignment horizontal="right"/>
    </xf>
    <xf numFmtId="0" fontId="28" fillId="0" borderId="17" xfId="0" applyFont="1" applyBorder="1" applyAlignment="1">
      <alignment horizontal="center"/>
    </xf>
    <xf numFmtId="9" fontId="28" fillId="0" borderId="1" xfId="5" applyFont="1" applyBorder="1"/>
    <xf numFmtId="164" fontId="28" fillId="0" borderId="1" xfId="5" applyNumberFormat="1" applyFont="1" applyBorder="1"/>
    <xf numFmtId="166" fontId="28" fillId="0" borderId="1" xfId="1" applyNumberFormat="1" applyFont="1" applyBorder="1"/>
    <xf numFmtId="166" fontId="28" fillId="0" borderId="15" xfId="1" applyNumberFormat="1" applyFont="1" applyBorder="1" applyAlignment="1">
      <alignment horizontal="right"/>
    </xf>
    <xf numFmtId="3" fontId="2" fillId="0" borderId="0" xfId="0" applyNumberFormat="1" applyFont="1" applyFill="1"/>
    <xf numFmtId="3" fontId="3" fillId="0" borderId="0" xfId="0" applyNumberFormat="1" applyFont="1" applyFill="1"/>
    <xf numFmtId="14" fontId="3" fillId="0" borderId="0" xfId="0" applyNumberFormat="1" applyFont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8" fillId="0" borderId="0" xfId="0" applyFont="1"/>
    <xf numFmtId="0" fontId="57" fillId="0" borderId="0" xfId="0" applyFont="1"/>
    <xf numFmtId="38" fontId="28" fillId="0" borderId="4" xfId="0" applyNumberFormat="1" applyFont="1" applyBorder="1" applyAlignment="1">
      <alignment horizontal="center"/>
    </xf>
    <xf numFmtId="164" fontId="28" fillId="0" borderId="0" xfId="0" applyNumberFormat="1" applyFont="1" applyBorder="1" applyAlignment="1">
      <alignment horizontal="center"/>
    </xf>
    <xf numFmtId="164" fontId="28" fillId="0" borderId="0" xfId="5" applyNumberFormat="1" applyFont="1" applyBorder="1" applyAlignment="1">
      <alignment horizontal="center"/>
    </xf>
    <xf numFmtId="38" fontId="3" fillId="0" borderId="0" xfId="1" applyNumberFormat="1" applyFont="1" applyBorder="1"/>
    <xf numFmtId="313" fontId="47" fillId="3" borderId="0" xfId="0" applyNumberFormat="1" applyFont="1" applyFill="1" applyBorder="1" applyAlignment="1" applyProtection="1">
      <alignment horizontal="right"/>
    </xf>
    <xf numFmtId="38" fontId="47" fillId="3" borderId="4" xfId="1" applyNumberFormat="1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Continuous"/>
    </xf>
    <xf numFmtId="0" fontId="8" fillId="4" borderId="0" xfId="3" applyFont="1" applyFill="1" applyBorder="1"/>
    <xf numFmtId="0" fontId="23" fillId="0" borderId="3" xfId="0" applyFont="1" applyBorder="1" applyAlignment="1">
      <alignment horizontal="centerContinuous"/>
    </xf>
    <xf numFmtId="38" fontId="47" fillId="3" borderId="4" xfId="0" applyNumberFormat="1" applyFont="1" applyFill="1" applyBorder="1"/>
    <xf numFmtId="10" fontId="47" fillId="3" borderId="4" xfId="5" applyNumberFormat="1" applyFont="1" applyFill="1" applyBorder="1"/>
    <xf numFmtId="40" fontId="47" fillId="3" borderId="4" xfId="0" applyNumberFormat="1" applyFont="1" applyFill="1" applyBorder="1"/>
    <xf numFmtId="40" fontId="54" fillId="0" borderId="4" xfId="0" applyNumberFormat="1" applyFont="1" applyFill="1" applyBorder="1"/>
    <xf numFmtId="38" fontId="54" fillId="0" borderId="4" xfId="0" applyNumberFormat="1" applyFont="1" applyBorder="1"/>
    <xf numFmtId="10" fontId="47" fillId="3" borderId="4" xfId="0" applyNumberFormat="1" applyFont="1" applyFill="1" applyBorder="1"/>
    <xf numFmtId="0" fontId="23" fillId="0" borderId="3" xfId="0" applyFont="1" applyFill="1" applyBorder="1" applyAlignment="1">
      <alignment horizontal="centerContinuous"/>
    </xf>
    <xf numFmtId="0" fontId="28" fillId="0" borderId="4" xfId="0" applyFont="1" applyFill="1" applyBorder="1"/>
    <xf numFmtId="43" fontId="47" fillId="3" borderId="4" xfId="1" applyFont="1" applyFill="1" applyBorder="1"/>
    <xf numFmtId="166" fontId="47" fillId="3" borderId="4" xfId="1" applyNumberFormat="1" applyFont="1" applyFill="1" applyBorder="1"/>
    <xf numFmtId="1" fontId="47" fillId="3" borderId="4" xfId="0" applyNumberFormat="1" applyFont="1" applyFill="1" applyBorder="1"/>
    <xf numFmtId="1" fontId="47" fillId="3" borderId="15" xfId="0" applyNumberFormat="1" applyFont="1" applyFill="1" applyBorder="1"/>
    <xf numFmtId="0" fontId="45" fillId="0" borderId="4" xfId="0" applyFont="1" applyBorder="1" applyAlignment="1">
      <alignment horizontal="center"/>
    </xf>
    <xf numFmtId="0" fontId="28" fillId="0" borderId="34" xfId="0" applyFont="1" applyFill="1" applyBorder="1" applyAlignment="1">
      <alignment horizontal="center"/>
    </xf>
    <xf numFmtId="0" fontId="28" fillId="0" borderId="35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2" fillId="0" borderId="16" xfId="0" applyFont="1" applyFill="1" applyBorder="1" applyAlignment="1">
      <alignment horizontal="left"/>
    </xf>
    <xf numFmtId="0" fontId="28" fillId="0" borderId="2" xfId="0" applyFont="1" applyBorder="1" applyAlignment="1">
      <alignment horizontal="center"/>
    </xf>
    <xf numFmtId="0" fontId="10" fillId="0" borderId="21" xfId="0" applyFont="1" applyFill="1" applyBorder="1"/>
    <xf numFmtId="0" fontId="3" fillId="0" borderId="19" xfId="0" applyFont="1" applyBorder="1"/>
    <xf numFmtId="10" fontId="10" fillId="0" borderId="19" xfId="0" applyNumberFormat="1" applyFont="1" applyFill="1" applyBorder="1"/>
    <xf numFmtId="179" fontId="10" fillId="0" borderId="19" xfId="1" applyNumberFormat="1" applyFont="1" applyFill="1" applyBorder="1"/>
    <xf numFmtId="179" fontId="10" fillId="0" borderId="20" xfId="1" applyNumberFormat="1" applyFont="1" applyFill="1" applyBorder="1"/>
    <xf numFmtId="0" fontId="10" fillId="0" borderId="16" xfId="0" applyFont="1" applyFill="1" applyBorder="1"/>
    <xf numFmtId="10" fontId="10" fillId="0" borderId="2" xfId="0" applyNumberFormat="1" applyFont="1" applyFill="1" applyBorder="1"/>
    <xf numFmtId="179" fontId="10" fillId="0" borderId="2" xfId="1" applyNumberFormat="1" applyFont="1" applyFill="1" applyBorder="1"/>
    <xf numFmtId="179" fontId="10" fillId="0" borderId="3" xfId="1" applyNumberFormat="1" applyFont="1" applyFill="1" applyBorder="1"/>
    <xf numFmtId="0" fontId="3" fillId="0" borderId="17" xfId="0" applyFont="1" applyBorder="1"/>
    <xf numFmtId="37" fontId="47" fillId="3" borderId="0" xfId="0" applyNumberFormat="1" applyFont="1" applyFill="1" applyBorder="1" applyAlignment="1">
      <alignment horizontal="center"/>
    </xf>
    <xf numFmtId="2" fontId="47" fillId="3" borderId="0" xfId="0" applyNumberFormat="1" applyFont="1" applyFill="1" applyBorder="1" applyAlignment="1">
      <alignment horizontal="center"/>
    </xf>
    <xf numFmtId="321" fontId="47" fillId="3" borderId="0" xfId="0" applyNumberFormat="1" applyFont="1" applyFill="1" applyBorder="1" applyAlignment="1">
      <alignment horizontal="center"/>
    </xf>
    <xf numFmtId="37" fontId="2" fillId="0" borderId="33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173" fontId="47" fillId="3" borderId="0" xfId="0" applyNumberFormat="1" applyFont="1" applyFill="1" applyBorder="1" applyAlignment="1">
      <alignment horizontal="center"/>
    </xf>
    <xf numFmtId="173" fontId="58" fillId="3" borderId="0" xfId="0" applyNumberFormat="1" applyFont="1" applyFill="1" applyBorder="1" applyAlignment="1">
      <alignment horizontal="center"/>
    </xf>
    <xf numFmtId="173" fontId="3" fillId="0" borderId="36" xfId="0" applyNumberFormat="1" applyFont="1" applyFill="1" applyBorder="1" applyAlignment="1">
      <alignment horizontal="center"/>
    </xf>
    <xf numFmtId="173" fontId="3" fillId="0" borderId="0" xfId="0" applyNumberFormat="1" applyFont="1" applyFill="1"/>
    <xf numFmtId="0" fontId="3" fillId="0" borderId="1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9" fontId="10" fillId="0" borderId="1" xfId="0" applyNumberFormat="1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43" fontId="10" fillId="0" borderId="1" xfId="1" applyFont="1" applyFill="1" applyBorder="1" applyAlignment="1">
      <alignment horizontal="center"/>
    </xf>
    <xf numFmtId="179" fontId="19" fillId="0" borderId="0" xfId="0" applyNumberFormat="1" applyFont="1" applyBorder="1" applyAlignment="1">
      <alignment horizontal="right"/>
    </xf>
    <xf numFmtId="0" fontId="19" fillId="0" borderId="13" xfId="0" applyFont="1" applyBorder="1"/>
    <xf numFmtId="179" fontId="19" fillId="0" borderId="14" xfId="0" applyNumberFormat="1" applyFont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8" fillId="0" borderId="16" xfId="0" applyFont="1" applyFill="1" applyBorder="1" applyAlignment="1">
      <alignment horizontal="center"/>
    </xf>
    <xf numFmtId="204" fontId="47" fillId="3" borderId="4" xfId="0" applyNumberFormat="1" applyFont="1" applyFill="1" applyBorder="1"/>
    <xf numFmtId="9" fontId="47" fillId="3" borderId="4" xfId="5" applyFont="1" applyFill="1" applyBorder="1"/>
    <xf numFmtId="15" fontId="47" fillId="3" borderId="4" xfId="0" applyNumberFormat="1" applyFont="1" applyFill="1" applyBorder="1"/>
    <xf numFmtId="38" fontId="47" fillId="3" borderId="15" xfId="0" applyNumberFormat="1" applyFont="1" applyFill="1" applyBorder="1"/>
    <xf numFmtId="0" fontId="28" fillId="0" borderId="0" xfId="0" applyFont="1" applyFill="1" applyBorder="1"/>
    <xf numFmtId="9" fontId="28" fillId="0" borderId="5" xfId="5" applyFont="1" applyBorder="1"/>
    <xf numFmtId="9" fontId="28" fillId="0" borderId="0" xfId="5" applyFont="1" applyBorder="1"/>
    <xf numFmtId="9" fontId="28" fillId="0" borderId="17" xfId="5" applyFont="1" applyBorder="1"/>
    <xf numFmtId="9" fontId="47" fillId="3" borderId="15" xfId="5" applyFont="1" applyFill="1" applyBorder="1"/>
    <xf numFmtId="38" fontId="28" fillId="0" borderId="4" xfId="0" applyNumberFormat="1" applyFont="1" applyBorder="1"/>
    <xf numFmtId="0" fontId="57" fillId="0" borderId="0" xfId="0" applyFont="1" applyFill="1"/>
    <xf numFmtId="0" fontId="42" fillId="0" borderId="0" xfId="0" applyFont="1" applyFill="1"/>
    <xf numFmtId="0" fontId="8" fillId="0" borderId="0" xfId="0" applyFont="1" applyAlignment="1">
      <alignment horizontal="left"/>
    </xf>
    <xf numFmtId="0" fontId="59" fillId="0" borderId="0" xfId="0" applyFont="1"/>
    <xf numFmtId="0" fontId="8" fillId="3" borderId="0" xfId="0" applyFont="1" applyFill="1"/>
    <xf numFmtId="43" fontId="47" fillId="3" borderId="0" xfId="1" applyNumberFormat="1" applyFont="1" applyFill="1" applyBorder="1" applyAlignment="1">
      <alignment horizontal="right"/>
    </xf>
    <xf numFmtId="16" fontId="12" fillId="0" borderId="0" xfId="0" applyNumberFormat="1" applyFont="1" applyAlignment="1">
      <alignment horizontal="left"/>
    </xf>
    <xf numFmtId="16" fontId="12" fillId="3" borderId="0" xfId="0" applyNumberFormat="1" applyFont="1" applyFill="1" applyAlignment="1">
      <alignment horizontal="left"/>
    </xf>
    <xf numFmtId="10" fontId="3" fillId="3" borderId="0" xfId="0" applyNumberFormat="1" applyFont="1" applyFill="1" applyAlignment="1">
      <alignment horizontal="right"/>
    </xf>
    <xf numFmtId="10" fontId="3" fillId="3" borderId="0" xfId="5" applyNumberFormat="1" applyFont="1" applyFill="1" applyAlignment="1">
      <alignment horizontal="right"/>
    </xf>
    <xf numFmtId="0" fontId="0" fillId="0" borderId="0" xfId="0" applyBorder="1"/>
    <xf numFmtId="10" fontId="1" fillId="0" borderId="0" xfId="5" applyNumberFormat="1" applyBorder="1"/>
    <xf numFmtId="10" fontId="0" fillId="0" borderId="0" xfId="0" applyNumberFormat="1" applyBorder="1"/>
    <xf numFmtId="10" fontId="1" fillId="3" borderId="0" xfId="5" applyNumberFormat="1" applyFill="1" applyBorder="1"/>
    <xf numFmtId="10" fontId="0" fillId="3" borderId="0" xfId="0" applyNumberFormat="1" applyFill="1" applyBorder="1"/>
    <xf numFmtId="0" fontId="0" fillId="0" borderId="0" xfId="0" applyBorder="1" applyAlignment="1">
      <alignment horizontal="right"/>
    </xf>
    <xf numFmtId="168" fontId="17" fillId="0" borderId="0" xfId="1" applyNumberFormat="1" applyFont="1"/>
    <xf numFmtId="43" fontId="0" fillId="0" borderId="0" xfId="1" applyNumberFormat="1" applyFont="1"/>
    <xf numFmtId="0" fontId="60" fillId="3" borderId="32" xfId="0" applyFont="1" applyFill="1" applyBorder="1" applyAlignment="1">
      <alignment horizontal="center"/>
    </xf>
    <xf numFmtId="194" fontId="0" fillId="0" borderId="0" xfId="1" applyNumberFormat="1" applyFont="1"/>
    <xf numFmtId="10" fontId="3" fillId="3" borderId="0" xfId="5" applyNumberFormat="1" applyFont="1" applyFill="1" applyProtection="1"/>
    <xf numFmtId="166" fontId="3" fillId="3" borderId="0" xfId="1" applyNumberFormat="1" applyFont="1" applyFill="1" applyBorder="1"/>
    <xf numFmtId="38" fontId="32" fillId="3" borderId="0" xfId="0" applyNumberFormat="1" applyFont="1" applyFill="1" applyBorder="1"/>
    <xf numFmtId="3" fontId="32" fillId="3" borderId="0" xfId="0" applyNumberFormat="1" applyFont="1" applyFill="1"/>
    <xf numFmtId="14" fontId="3" fillId="3" borderId="0" xfId="0" applyNumberFormat="1" applyFont="1" applyFill="1" applyAlignment="1">
      <alignment horizontal="center"/>
    </xf>
    <xf numFmtId="10" fontId="2" fillId="0" borderId="32" xfId="5" applyNumberFormat="1" applyFont="1" applyBorder="1"/>
    <xf numFmtId="0" fontId="23" fillId="0" borderId="5" xfId="0" applyFont="1" applyFill="1" applyBorder="1"/>
    <xf numFmtId="0" fontId="23" fillId="0" borderId="4" xfId="0" applyFont="1" applyBorder="1" applyAlignment="1">
      <alignment horizontal="centerContinuous"/>
    </xf>
    <xf numFmtId="38" fontId="10" fillId="0" borderId="4" xfId="1" applyNumberFormat="1" applyFont="1" applyFill="1" applyBorder="1" applyAlignment="1">
      <alignment horizontal="center"/>
    </xf>
    <xf numFmtId="164" fontId="23" fillId="0" borderId="1" xfId="5" applyNumberFormat="1" applyFont="1" applyBorder="1" applyAlignment="1">
      <alignment horizontal="center"/>
    </xf>
    <xf numFmtId="38" fontId="23" fillId="0" borderId="15" xfId="1" applyNumberFormat="1" applyFont="1" applyFill="1" applyBorder="1" applyAlignment="1">
      <alignment horizontal="center"/>
    </xf>
    <xf numFmtId="38" fontId="47" fillId="3" borderId="4" xfId="0" applyNumberFormat="1" applyFont="1" applyFill="1" applyBorder="1" applyAlignment="1">
      <alignment horizontal="right"/>
    </xf>
    <xf numFmtId="164" fontId="45" fillId="0" borderId="0" xfId="5" applyNumberFormat="1" applyFont="1" applyBorder="1" applyAlignment="1">
      <alignment horizontal="center"/>
    </xf>
    <xf numFmtId="38" fontId="58" fillId="3" borderId="4" xfId="1" applyNumberFormat="1" applyFont="1" applyFill="1" applyBorder="1" applyAlignment="1">
      <alignment horizontal="center"/>
    </xf>
    <xf numFmtId="38" fontId="28" fillId="0" borderId="4" xfId="1" applyNumberFormat="1" applyFont="1" applyFill="1" applyBorder="1" applyAlignment="1">
      <alignment horizontal="center"/>
    </xf>
    <xf numFmtId="0" fontId="5" fillId="0" borderId="3" xfId="0" applyFont="1" applyFill="1" applyBorder="1"/>
    <xf numFmtId="6" fontId="45" fillId="0" borderId="4" xfId="0" quotePrefix="1" applyNumberFormat="1" applyFont="1" applyBorder="1" applyAlignment="1">
      <alignment horizontal="center"/>
    </xf>
    <xf numFmtId="38" fontId="28" fillId="0" borderId="4" xfId="1" applyNumberFormat="1" applyFont="1" applyBorder="1" applyAlignment="1">
      <alignment horizontal="center"/>
    </xf>
    <xf numFmtId="38" fontId="23" fillId="0" borderId="4" xfId="1" applyNumberFormat="1" applyFont="1" applyBorder="1" applyAlignment="1" applyProtection="1">
      <alignment horizontal="center"/>
    </xf>
    <xf numFmtId="0" fontId="61" fillId="0" borderId="5" xfId="0" applyFont="1" applyBorder="1" applyAlignment="1" applyProtection="1">
      <alignment horizontal="left"/>
    </xf>
    <xf numFmtId="0" fontId="23" fillId="0" borderId="17" xfId="0" applyFont="1" applyBorder="1" applyAlignment="1" applyProtection="1">
      <alignment horizontal="left"/>
    </xf>
    <xf numFmtId="0" fontId="55" fillId="0" borderId="5" xfId="0" applyFont="1" applyFill="1" applyBorder="1" applyAlignment="1" applyProtection="1">
      <alignment horizontal="left"/>
    </xf>
    <xf numFmtId="0" fontId="23" fillId="4" borderId="5" xfId="0" applyFont="1" applyFill="1" applyBorder="1" applyAlignment="1">
      <alignment horizontal="left"/>
    </xf>
    <xf numFmtId="0" fontId="39" fillId="4" borderId="4" xfId="0" applyFont="1" applyFill="1" applyBorder="1" applyAlignment="1">
      <alignment horizontal="center"/>
    </xf>
    <xf numFmtId="37" fontId="28" fillId="0" borderId="4" xfId="0" applyNumberFormat="1" applyFont="1" applyFill="1" applyBorder="1" applyAlignment="1">
      <alignment horizontal="center"/>
    </xf>
    <xf numFmtId="2" fontId="48" fillId="0" borderId="4" xfId="0" applyNumberFormat="1" applyFont="1" applyBorder="1" applyAlignment="1">
      <alignment horizontal="center"/>
    </xf>
    <xf numFmtId="39" fontId="28" fillId="0" borderId="4" xfId="0" applyNumberFormat="1" applyFont="1" applyFill="1" applyBorder="1" applyAlignment="1">
      <alignment horizontal="center"/>
    </xf>
    <xf numFmtId="173" fontId="28" fillId="0" borderId="4" xfId="5" applyNumberFormat="1" applyFont="1" applyFill="1" applyBorder="1" applyAlignment="1">
      <alignment horizontal="center"/>
    </xf>
    <xf numFmtId="173" fontId="45" fillId="0" borderId="4" xfId="5" applyNumberFormat="1" applyFont="1" applyFill="1" applyBorder="1" applyAlignment="1">
      <alignment horizontal="center"/>
    </xf>
    <xf numFmtId="173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9" fontId="28" fillId="0" borderId="4" xfId="5" applyFont="1" applyBorder="1" applyAlignment="1">
      <alignment horizontal="center"/>
    </xf>
    <xf numFmtId="9" fontId="23" fillId="0" borderId="4" xfId="5" applyFont="1" applyFill="1" applyBorder="1" applyAlignment="1">
      <alignment horizontal="center"/>
    </xf>
    <xf numFmtId="9" fontId="28" fillId="0" borderId="4" xfId="5" applyFont="1" applyFill="1" applyBorder="1" applyAlignment="1">
      <alignment horizontal="center"/>
    </xf>
    <xf numFmtId="9" fontId="47" fillId="3" borderId="4" xfId="5" applyFont="1" applyFill="1" applyBorder="1" applyAlignment="1">
      <alignment horizontal="center"/>
    </xf>
    <xf numFmtId="9" fontId="28" fillId="0" borderId="15" xfId="5" applyFont="1" applyBorder="1" applyAlignment="1">
      <alignment horizontal="center"/>
    </xf>
    <xf numFmtId="38" fontId="28" fillId="0" borderId="15" xfId="0" applyNumberFormat="1" applyFont="1" applyBorder="1" applyAlignment="1">
      <alignment horizontal="center"/>
    </xf>
    <xf numFmtId="0" fontId="0" fillId="0" borderId="1" xfId="0" applyBorder="1"/>
    <xf numFmtId="10" fontId="47" fillId="3" borderId="15" xfId="0" applyNumberFormat="1" applyFont="1" applyFill="1" applyBorder="1"/>
    <xf numFmtId="0" fontId="17" fillId="0" borderId="0" xfId="0" applyFont="1" applyFill="1"/>
    <xf numFmtId="204" fontId="28" fillId="0" borderId="4" xfId="0" applyNumberFormat="1" applyFont="1" applyBorder="1"/>
    <xf numFmtId="164" fontId="55" fillId="0" borderId="32" xfId="5" applyNumberFormat="1" applyFont="1" applyFill="1" applyBorder="1" applyAlignment="1">
      <alignment horizontal="right"/>
    </xf>
    <xf numFmtId="38" fontId="0" fillId="0" borderId="11" xfId="0" applyNumberFormat="1" applyBorder="1"/>
    <xf numFmtId="37" fontId="3" fillId="0" borderId="12" xfId="4" applyFont="1" applyBorder="1" applyAlignment="1">
      <alignment horizontal="left"/>
    </xf>
    <xf numFmtId="204" fontId="54" fillId="0" borderId="4" xfId="0" applyNumberFormat="1" applyFont="1" applyBorder="1"/>
    <xf numFmtId="0" fontId="30" fillId="0" borderId="0" xfId="0" applyFont="1" applyBorder="1" applyAlignment="1">
      <alignment horizontal="center"/>
    </xf>
    <xf numFmtId="2" fontId="28" fillId="7" borderId="0" xfId="0" applyNumberFormat="1" applyFont="1" applyFill="1"/>
    <xf numFmtId="187" fontId="62" fillId="0" borderId="0" xfId="0" applyNumberFormat="1" applyFont="1"/>
    <xf numFmtId="187" fontId="30" fillId="0" borderId="0" xfId="0" applyNumberFormat="1" applyFont="1"/>
    <xf numFmtId="187" fontId="30" fillId="0" borderId="0" xfId="0" applyNumberFormat="1" applyFont="1" applyBorder="1" applyAlignment="1">
      <alignment horizontal="right"/>
    </xf>
    <xf numFmtId="171" fontId="30" fillId="0" borderId="0" xfId="4" applyNumberFormat="1" applyFont="1" applyBorder="1" applyAlignment="1"/>
    <xf numFmtId="166" fontId="28" fillId="0" borderId="4" xfId="1" applyNumberFormat="1" applyFont="1" applyBorder="1"/>
    <xf numFmtId="0" fontId="3" fillId="8" borderId="0" xfId="0" applyFont="1" applyFill="1" applyAlignment="1">
      <alignment horizontal="left"/>
    </xf>
  </cellXfs>
  <cellStyles count="6">
    <cellStyle name="Comma" xfId="1" builtinId="3"/>
    <cellStyle name="Currency" xfId="2" builtinId="4"/>
    <cellStyle name="Normal" xfId="0" builtinId="0"/>
    <cellStyle name="Normal_cf0402_ndf" xfId="3"/>
    <cellStyle name="Normal_Curve_Economics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" dropStyle="combo" dx="22" fmlaLink="$B$17" fmlaRange="$B$19:$B$22" noThreeD="1" sel="3" val="0"/>
</file>

<file path=xl/ctrlProps/ctrlProp2.xml><?xml version="1.0" encoding="utf-8"?>
<formControlPr xmlns="http://schemas.microsoft.com/office/spreadsheetml/2009/9/main" objectType="Drop" dropStyle="combo" dx="22" fmlaLink="$C$17" fmlaRange="$C$19:$C$20" noThreeD="1" sel="1" val="0"/>
</file>

<file path=xl/ctrlProps/ctrlProp3.xml><?xml version="1.0" encoding="utf-8"?>
<formControlPr xmlns="http://schemas.microsoft.com/office/spreadsheetml/2009/9/main" objectType="Drop" dropLines="2" dropStyle="combo" dx="22" fmlaLink="$D$17" fmlaRange="$D$19:$D$20" noThreeD="1" sel="2" val="0"/>
</file>

<file path=xl/ctrlProps/ctrlProp4.xml><?xml version="1.0" encoding="utf-8"?>
<formControlPr xmlns="http://schemas.microsoft.com/office/spreadsheetml/2009/9/main" objectType="Drop" dropLines="3" dropStyle="combo" dx="22" fmlaLink="$E$17" fmlaRange="$E$19:$E$21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47625</xdr:rowOff>
        </xdr:from>
        <xdr:to>
          <xdr:col>1</xdr:col>
          <xdr:colOff>1552575</xdr:colOff>
          <xdr:row>6</xdr:row>
          <xdr:rowOff>47625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1FD773C-4FE7-9D4C-CFF2-B4B49C7431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9525</xdr:rowOff>
        </xdr:from>
        <xdr:to>
          <xdr:col>1</xdr:col>
          <xdr:colOff>1543050</xdr:colOff>
          <xdr:row>9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D0DD92E8-8A77-D674-AE4B-6E4160A72A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190500</xdr:rowOff>
        </xdr:from>
        <xdr:to>
          <xdr:col>1</xdr:col>
          <xdr:colOff>1543050</xdr:colOff>
          <xdr:row>11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FEC24D77-DA12-FC4F-A6FE-C2123970BB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180975</xdr:rowOff>
        </xdr:from>
        <xdr:to>
          <xdr:col>1</xdr:col>
          <xdr:colOff>1543050</xdr:colOff>
          <xdr:row>12</xdr:row>
          <xdr:rowOff>190500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C093A88F-E003-3F05-AC10-4C64DF8CA8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rownsvill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irr"/>
    </definedNames>
    <sheetDataSet>
      <sheetData sheetId="0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X38"/>
  <sheetViews>
    <sheetView topLeftCell="A12" zoomScale="75" workbookViewId="0">
      <selection activeCell="F30" sqref="F30"/>
    </sheetView>
  </sheetViews>
  <sheetFormatPr defaultRowHeight="12.75"/>
  <cols>
    <col min="1" max="1" width="38" style="17" customWidth="1"/>
    <col min="2" max="2" width="25" style="17" customWidth="1"/>
    <col min="3" max="6" width="25.28515625" style="17" customWidth="1"/>
    <col min="7" max="7" width="11.5703125" style="17" bestFit="1" customWidth="1"/>
    <col min="8" max="8" width="17.85546875" style="17" bestFit="1" customWidth="1"/>
    <col min="9" max="15" width="9.140625" style="17"/>
    <col min="16" max="16" width="23.140625" style="17" customWidth="1"/>
    <col min="17" max="17" width="38.5703125" style="17" customWidth="1"/>
    <col min="18" max="18" width="11.5703125" style="17" customWidth="1"/>
    <col min="19" max="19" width="22.7109375" style="17" customWidth="1"/>
    <col min="20" max="16384" width="9.140625" style="17"/>
  </cols>
  <sheetData>
    <row r="2" spans="1:24" ht="18.75">
      <c r="A2" s="407" t="s">
        <v>0</v>
      </c>
      <c r="B2" s="290"/>
      <c r="C2" s="376"/>
      <c r="D2" s="376"/>
      <c r="E2" s="290"/>
      <c r="F2" s="290"/>
      <c r="G2" s="38"/>
      <c r="H2" s="38"/>
      <c r="I2" s="38"/>
      <c r="J2" s="65"/>
      <c r="K2" s="65"/>
      <c r="L2" s="65"/>
    </row>
    <row r="3" spans="1:24" ht="18.75">
      <c r="A3" s="160"/>
      <c r="B3" s="160"/>
      <c r="C3" s="160"/>
      <c r="D3" s="160"/>
      <c r="E3" s="160"/>
      <c r="F3" s="160"/>
      <c r="G3" s="160"/>
      <c r="H3" s="160"/>
      <c r="I3" s="160"/>
    </row>
    <row r="4" spans="1:24" ht="20.25">
      <c r="B4" s="363"/>
      <c r="C4" s="363"/>
      <c r="D4" s="363"/>
      <c r="E4" s="363"/>
    </row>
    <row r="5" spans="1:24" ht="15.75">
      <c r="A5" s="377"/>
      <c r="B5" s="377"/>
      <c r="C5" s="377"/>
      <c r="D5" s="377"/>
      <c r="T5" s="65"/>
      <c r="U5" s="65"/>
    </row>
    <row r="6" spans="1:24" ht="15.75">
      <c r="A6" s="378" t="s">
        <v>1</v>
      </c>
      <c r="B6" s="378"/>
      <c r="C6" s="378"/>
      <c r="D6" s="378"/>
      <c r="E6" s="38"/>
      <c r="F6" s="65"/>
      <c r="G6" s="65"/>
      <c r="H6" s="65"/>
      <c r="I6" s="65"/>
      <c r="J6" s="65"/>
      <c r="K6" s="65"/>
      <c r="L6" s="65"/>
      <c r="M6" s="65"/>
      <c r="N6" s="65"/>
      <c r="T6" s="65"/>
      <c r="U6" s="65"/>
      <c r="V6" s="65"/>
      <c r="W6" s="65"/>
      <c r="X6" s="65"/>
    </row>
    <row r="7" spans="1:24" ht="15.75">
      <c r="A7" s="377" t="s">
        <v>2</v>
      </c>
      <c r="B7" s="378"/>
      <c r="C7" s="378"/>
      <c r="D7" s="378"/>
      <c r="E7" s="38"/>
      <c r="F7" s="65"/>
      <c r="G7" s="65"/>
      <c r="H7" s="65"/>
      <c r="I7" s="65"/>
      <c r="J7" s="65"/>
      <c r="K7" s="65"/>
      <c r="L7" s="65"/>
      <c r="M7" s="65"/>
      <c r="N7" s="65"/>
      <c r="T7" s="65"/>
      <c r="U7" s="65"/>
      <c r="V7" s="65"/>
      <c r="W7" s="65"/>
      <c r="X7" s="65"/>
    </row>
    <row r="8" spans="1:24" ht="15.75">
      <c r="A8" s="378"/>
      <c r="B8" s="378"/>
      <c r="C8" s="378"/>
      <c r="D8" s="378"/>
      <c r="E8" s="38"/>
      <c r="F8" s="65"/>
      <c r="G8" s="65"/>
      <c r="H8" s="65"/>
      <c r="I8" s="65"/>
      <c r="J8" s="65"/>
      <c r="K8" s="65"/>
      <c r="L8" s="65"/>
      <c r="M8" s="65"/>
      <c r="N8" s="65"/>
      <c r="T8" s="65"/>
      <c r="U8" s="65"/>
      <c r="V8" s="65"/>
      <c r="W8" s="65"/>
      <c r="X8" s="65"/>
    </row>
    <row r="9" spans="1:24" ht="15.75">
      <c r="A9" s="378" t="s">
        <v>3</v>
      </c>
      <c r="B9" s="378"/>
      <c r="C9" s="378"/>
      <c r="D9" s="378"/>
      <c r="E9" s="38"/>
      <c r="F9" s="65"/>
      <c r="G9" s="65"/>
      <c r="H9" s="65"/>
      <c r="I9" s="65"/>
      <c r="J9" s="65"/>
      <c r="K9" s="65"/>
      <c r="L9" s="65"/>
      <c r="M9" s="65"/>
      <c r="N9" s="65"/>
      <c r="T9" s="65"/>
      <c r="U9" s="65"/>
      <c r="V9" s="65"/>
      <c r="W9" s="65"/>
      <c r="X9" s="65"/>
    </row>
    <row r="10" spans="1:24" ht="15.75">
      <c r="A10" s="378"/>
      <c r="B10" s="378"/>
      <c r="C10" s="378"/>
      <c r="D10" s="378"/>
      <c r="E10" s="38"/>
      <c r="F10" s="65"/>
      <c r="G10" s="65"/>
      <c r="H10" s="65"/>
      <c r="I10" s="65"/>
      <c r="J10" s="65"/>
      <c r="K10" s="65"/>
      <c r="L10" s="65"/>
      <c r="M10" s="65"/>
      <c r="N10" s="65"/>
      <c r="T10" s="65"/>
      <c r="U10" s="65"/>
      <c r="V10" s="65"/>
      <c r="W10" s="65"/>
      <c r="X10" s="65"/>
    </row>
    <row r="11" spans="1:24" ht="15.75">
      <c r="A11" s="378" t="s">
        <v>4</v>
      </c>
      <c r="B11" s="378"/>
      <c r="C11" s="378"/>
      <c r="D11" s="378"/>
      <c r="E11" s="38"/>
      <c r="F11" s="65"/>
      <c r="G11" s="65"/>
      <c r="H11" s="65"/>
      <c r="I11" s="65"/>
      <c r="J11" s="65"/>
      <c r="K11" s="65"/>
      <c r="L11" s="65"/>
      <c r="M11" s="65"/>
      <c r="N11" s="65"/>
      <c r="T11" s="65"/>
      <c r="U11" s="65"/>
      <c r="V11" s="65"/>
      <c r="W11" s="65"/>
      <c r="X11" s="65"/>
    </row>
    <row r="12" spans="1:24" ht="15.75">
      <c r="A12" s="378"/>
      <c r="B12" s="378"/>
      <c r="C12" s="378"/>
      <c r="D12" s="378"/>
      <c r="E12" s="38"/>
      <c r="F12" s="65"/>
      <c r="G12" s="65"/>
      <c r="H12" s="65"/>
      <c r="I12" s="65"/>
      <c r="J12" s="65"/>
      <c r="K12" s="65"/>
      <c r="L12" s="65"/>
      <c r="M12" s="65"/>
      <c r="N12" s="65"/>
      <c r="T12" s="65"/>
      <c r="U12" s="65"/>
      <c r="V12" s="65"/>
      <c r="W12" s="65"/>
      <c r="X12" s="65"/>
    </row>
    <row r="13" spans="1:24" ht="16.5" thickBot="1">
      <c r="A13" s="378" t="s">
        <v>5</v>
      </c>
      <c r="B13" s="378"/>
      <c r="C13" s="378"/>
      <c r="D13" s="378"/>
      <c r="E13" s="38"/>
      <c r="F13" s="65"/>
      <c r="G13" s="65"/>
      <c r="H13" s="65"/>
      <c r="I13" s="65"/>
      <c r="J13" s="65"/>
      <c r="K13" s="65"/>
      <c r="L13" s="65"/>
      <c r="M13" s="65"/>
      <c r="N13" s="65"/>
      <c r="T13" s="65"/>
      <c r="U13" s="65"/>
      <c r="V13" s="65"/>
      <c r="W13" s="65"/>
      <c r="X13" s="65"/>
    </row>
    <row r="14" spans="1:24" ht="15.75">
      <c r="A14" s="381" t="s">
        <v>10</v>
      </c>
      <c r="B14" s="55"/>
      <c r="C14" s="229"/>
      <c r="D14" s="229"/>
      <c r="E14" s="230"/>
      <c r="G14" s="65"/>
      <c r="H14"/>
      <c r="I14"/>
      <c r="J14"/>
      <c r="K14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</row>
    <row r="15" spans="1:24" ht="15.75">
      <c r="A15" s="206"/>
      <c r="B15" s="201"/>
      <c r="C15" s="201"/>
      <c r="D15" s="201"/>
      <c r="E15" s="207"/>
      <c r="G15" s="65"/>
      <c r="H15"/>
      <c r="I15"/>
      <c r="J15"/>
      <c r="K1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</row>
    <row r="16" spans="1:24" ht="15.75">
      <c r="A16" s="382" t="s">
        <v>11</v>
      </c>
      <c r="B16" s="200" t="s">
        <v>12</v>
      </c>
      <c r="C16" s="200" t="s">
        <v>216</v>
      </c>
      <c r="D16" s="200" t="s">
        <v>4</v>
      </c>
      <c r="E16" s="421" t="s">
        <v>13</v>
      </c>
      <c r="G16" s="65"/>
      <c r="H16"/>
      <c r="I16"/>
      <c r="J16"/>
      <c r="K16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</row>
    <row r="17" spans="1:24" ht="15.75">
      <c r="A17" s="206"/>
      <c r="B17" s="201">
        <v>3</v>
      </c>
      <c r="C17" s="383">
        <v>1</v>
      </c>
      <c r="D17" s="201">
        <v>2</v>
      </c>
      <c r="E17" s="207">
        <v>1</v>
      </c>
      <c r="G17" s="65"/>
      <c r="H17"/>
      <c r="I17"/>
      <c r="J17"/>
      <c r="K17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</row>
    <row r="18" spans="1:24" ht="15.75">
      <c r="A18" s="206"/>
      <c r="B18" s="201"/>
      <c r="C18" s="383"/>
      <c r="D18" s="201"/>
      <c r="E18" s="207"/>
      <c r="G18" s="65"/>
      <c r="H18"/>
      <c r="I18"/>
      <c r="J18"/>
      <c r="K18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</row>
    <row r="19" spans="1:24" ht="15.75">
      <c r="A19" s="206">
        <v>1</v>
      </c>
      <c r="B19" s="384">
        <v>0</v>
      </c>
      <c r="C19" s="385">
        <v>1</v>
      </c>
      <c r="D19" s="201">
        <v>0</v>
      </c>
      <c r="E19" s="386" t="s">
        <v>14</v>
      </c>
      <c r="G19" s="65"/>
      <c r="H19"/>
      <c r="I19"/>
      <c r="J19"/>
      <c r="K19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</row>
    <row r="20" spans="1:24" ht="15.75">
      <c r="A20" s="206">
        <v>2</v>
      </c>
      <c r="B20" s="384">
        <v>1.4999999999999999E-2</v>
      </c>
      <c r="C20" s="385">
        <v>1.1000000000000001</v>
      </c>
      <c r="D20" s="201">
        <v>120</v>
      </c>
      <c r="E20" s="386" t="s">
        <v>15</v>
      </c>
      <c r="G20" s="65"/>
      <c r="H20"/>
      <c r="I20"/>
      <c r="J20"/>
      <c r="K20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</row>
    <row r="21" spans="1:24" ht="15.75">
      <c r="A21" s="206">
        <v>3</v>
      </c>
      <c r="B21" s="384">
        <v>0.03</v>
      </c>
      <c r="C21" s="201"/>
      <c r="D21" s="201"/>
      <c r="E21" s="386" t="s">
        <v>16</v>
      </c>
      <c r="G21" s="65"/>
      <c r="H21"/>
      <c r="I21"/>
      <c r="J21"/>
      <c r="K21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</row>
    <row r="22" spans="1:24" ht="15.75">
      <c r="A22" s="206">
        <v>4</v>
      </c>
      <c r="B22" s="384">
        <v>4.4999999999999998E-2</v>
      </c>
      <c r="C22" s="201"/>
      <c r="D22" s="201"/>
      <c r="E22" s="386"/>
      <c r="G22" s="65"/>
      <c r="H22"/>
      <c r="I22"/>
      <c r="J22"/>
      <c r="K22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</row>
    <row r="23" spans="1:24" ht="16.5" thickBot="1">
      <c r="A23" s="387" t="s">
        <v>17</v>
      </c>
      <c r="B23" s="388">
        <f>INDEX(B19:B22,B17)</f>
        <v>0.03</v>
      </c>
      <c r="C23" s="389">
        <f>INDEX(C19:C22,C17)</f>
        <v>1</v>
      </c>
      <c r="D23" s="390">
        <f>INDEX(D19:D22,D17)</f>
        <v>120</v>
      </c>
      <c r="E23" s="391" t="str">
        <f>INDEX(E19:E22,E17)</f>
        <v>Base</v>
      </c>
      <c r="G23" s="65"/>
      <c r="H23"/>
      <c r="I23"/>
      <c r="J23"/>
      <c r="K23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</row>
    <row r="24" spans="1:24" ht="15.75">
      <c r="A24" s="123"/>
      <c r="B24" s="123"/>
      <c r="C24" s="123"/>
      <c r="D24" s="123"/>
      <c r="E24" s="65"/>
      <c r="F24" s="65"/>
      <c r="G24" s="65"/>
      <c r="H24" s="65"/>
      <c r="I24" s="65"/>
      <c r="J24" s="65"/>
      <c r="K24" s="65"/>
      <c r="L24" s="65"/>
      <c r="M24" s="65"/>
      <c r="N24" s="65"/>
      <c r="T24" s="65"/>
      <c r="U24" s="65"/>
      <c r="V24" s="65"/>
      <c r="W24" s="65"/>
      <c r="X24" s="65"/>
    </row>
    <row r="25" spans="1:24" ht="16.5" thickBot="1">
      <c r="A25" s="123"/>
      <c r="B25" s="123"/>
      <c r="C25" s="123"/>
      <c r="D25" s="123"/>
      <c r="E25" s="65"/>
      <c r="F25" s="65"/>
      <c r="G25" s="65"/>
      <c r="H25" s="65"/>
      <c r="I25" s="65"/>
      <c r="J25" s="65"/>
      <c r="K25" s="65"/>
      <c r="L25" s="65"/>
      <c r="M25" s="65"/>
      <c r="N25" s="65"/>
      <c r="T25" s="65"/>
      <c r="U25" s="65"/>
      <c r="V25" s="65"/>
      <c r="W25" s="65"/>
      <c r="X25" s="65"/>
    </row>
    <row r="26" spans="1:24" ht="20.25">
      <c r="A26" s="427"/>
      <c r="B26" s="55"/>
      <c r="C26" s="428" t="s">
        <v>217</v>
      </c>
      <c r="D26" s="422" t="s">
        <v>6</v>
      </c>
      <c r="E26" s="423"/>
      <c r="F26" s="380"/>
      <c r="G26" s="380"/>
      <c r="H26" s="65"/>
      <c r="I26" s="65"/>
      <c r="J26" s="65"/>
      <c r="K26" s="65"/>
      <c r="L26" s="65"/>
      <c r="M26" s="65"/>
      <c r="N26" s="65"/>
      <c r="T26" s="65"/>
      <c r="U26" s="65"/>
      <c r="V26" s="65"/>
      <c r="W26" s="65"/>
      <c r="X26" s="65"/>
    </row>
    <row r="27" spans="1:24" ht="16.5" thickBot="1">
      <c r="A27" s="208"/>
      <c r="B27" s="60"/>
      <c r="C27" s="424" t="s">
        <v>7</v>
      </c>
      <c r="D27" s="424" t="s">
        <v>8</v>
      </c>
      <c r="E27" s="425" t="s">
        <v>9</v>
      </c>
      <c r="F27" s="18"/>
      <c r="G27" s="18"/>
      <c r="H27"/>
      <c r="I27"/>
      <c r="J27"/>
      <c r="K27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</row>
    <row r="28" spans="1:24" ht="16.5" thickBot="1">
      <c r="A28" s="429" t="s">
        <v>201</v>
      </c>
      <c r="B28" s="430"/>
      <c r="C28" s="431" t="e">
        <f>CF!#REF!</f>
        <v>#REF!</v>
      </c>
      <c r="D28" s="432">
        <f>Debt!J97</f>
        <v>0</v>
      </c>
      <c r="E28" s="433">
        <f>Debt!J96</f>
        <v>0</v>
      </c>
      <c r="F28" s="18"/>
      <c r="G28" s="18"/>
      <c r="H28"/>
      <c r="I28"/>
      <c r="J28"/>
      <c r="K28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</row>
    <row r="29" spans="1:24" ht="15.75">
      <c r="H29"/>
      <c r="I29"/>
      <c r="J29"/>
      <c r="K29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</row>
    <row r="30" spans="1:24" ht="15.75">
      <c r="A30"/>
      <c r="B30"/>
      <c r="C30"/>
      <c r="D30"/>
      <c r="E30"/>
      <c r="H30"/>
      <c r="I30"/>
      <c r="J30"/>
      <c r="K30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</row>
    <row r="31" spans="1:24" ht="13.5" thickBot="1">
      <c r="A31"/>
      <c r="B31"/>
      <c r="C31"/>
      <c r="D31"/>
      <c r="E31"/>
    </row>
    <row r="32" spans="1:24" ht="15.75">
      <c r="A32" s="458" t="s">
        <v>237</v>
      </c>
      <c r="B32" s="55"/>
      <c r="C32" s="428" t="s">
        <v>217</v>
      </c>
      <c r="D32" s="422" t="s">
        <v>6</v>
      </c>
      <c r="E32" s="423"/>
    </row>
    <row r="33" spans="1:5" ht="16.5" thickBot="1">
      <c r="A33" s="302" t="s">
        <v>218</v>
      </c>
      <c r="B33" s="379" t="s">
        <v>219</v>
      </c>
      <c r="C33" s="379" t="s">
        <v>7</v>
      </c>
      <c r="D33" s="379" t="s">
        <v>8</v>
      </c>
      <c r="E33" s="426" t="s">
        <v>9</v>
      </c>
    </row>
    <row r="34" spans="1:5" ht="15.75">
      <c r="A34" s="434"/>
      <c r="B34" s="55"/>
      <c r="C34" s="435"/>
      <c r="D34" s="436"/>
      <c r="E34" s="437"/>
    </row>
    <row r="35" spans="1:5">
      <c r="A35" s="58"/>
      <c r="B35" s="18"/>
      <c r="C35" s="18"/>
      <c r="D35" s="18"/>
      <c r="E35" s="57"/>
    </row>
    <row r="36" spans="1:5">
      <c r="A36" s="58"/>
      <c r="B36" s="18"/>
      <c r="C36" s="18"/>
      <c r="D36" s="18"/>
      <c r="E36" s="57"/>
    </row>
    <row r="37" spans="1:5">
      <c r="A37" s="58"/>
      <c r="B37" s="18"/>
      <c r="C37" s="18"/>
      <c r="D37" s="18"/>
      <c r="E37" s="57"/>
    </row>
    <row r="38" spans="1:5" ht="13.5" thickBot="1">
      <c r="A38" s="438"/>
      <c r="B38" s="60"/>
      <c r="C38" s="60"/>
      <c r="D38" s="60"/>
      <c r="E38" s="147"/>
    </row>
  </sheetData>
  <pageMargins left="0.75" right="0.75" top="1" bottom="1" header="0.5" footer="0.5"/>
  <pageSetup scale="51" orientation="landscape" r:id="rId1"/>
  <headerFooter alignWithMargins="0">
    <oddHeader>&amp;A</oddHeader>
    <oddFooter>&amp;L&amp;T, 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47625</xdr:rowOff>
                  </from>
                  <to>
                    <xdr:col>1</xdr:col>
                    <xdr:colOff>1552575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9525</xdr:rowOff>
                  </from>
                  <to>
                    <xdr:col>1</xdr:col>
                    <xdr:colOff>1543050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190500</xdr:rowOff>
                  </from>
                  <to>
                    <xdr:col>1</xdr:col>
                    <xdr:colOff>1543050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180975</xdr:rowOff>
                  </from>
                  <to>
                    <xdr:col>1</xdr:col>
                    <xdr:colOff>1543050</xdr:colOff>
                    <xdr:row>12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70"/>
  <sheetViews>
    <sheetView tabSelected="1" topLeftCell="A28" zoomScale="75" zoomScaleNormal="75" workbookViewId="0">
      <selection activeCell="A28" sqref="A28"/>
    </sheetView>
  </sheetViews>
  <sheetFormatPr defaultRowHeight="12.75"/>
  <cols>
    <col min="1" max="1" width="52.7109375" style="17" customWidth="1"/>
    <col min="2" max="2" width="20.140625" style="17" customWidth="1"/>
    <col min="3" max="3" width="20.7109375" style="17" bestFit="1" customWidth="1"/>
    <col min="4" max="4" width="17.85546875" style="17" customWidth="1"/>
    <col min="5" max="5" width="20.140625" style="17" customWidth="1"/>
    <col min="6" max="6" width="10.140625" style="17" customWidth="1"/>
    <col min="7" max="7" width="14.140625" style="17" customWidth="1"/>
    <col min="8" max="8" width="40.140625" style="17" customWidth="1"/>
    <col min="9" max="9" width="14.42578125" style="17" customWidth="1"/>
    <col min="10" max="10" width="12" style="17" customWidth="1"/>
    <col min="11" max="11" width="11.42578125" style="17" customWidth="1"/>
    <col min="12" max="12" width="22.42578125" style="17" customWidth="1"/>
    <col min="13" max="13" width="19" style="17" customWidth="1"/>
    <col min="14" max="14" width="10.28515625" style="17" customWidth="1"/>
    <col min="15" max="26" width="12.85546875" style="17" customWidth="1"/>
    <col min="27" max="34" width="12" style="17" customWidth="1"/>
    <col min="35" max="35" width="9.140625" style="17"/>
    <col min="36" max="38" width="10" style="17" customWidth="1"/>
    <col min="39" max="39" width="12" style="17" customWidth="1"/>
    <col min="40" max="40" width="17.5703125" style="17" customWidth="1"/>
    <col min="41" max="41" width="22.42578125" style="17" customWidth="1"/>
    <col min="42" max="42" width="19" style="17" customWidth="1"/>
    <col min="43" max="43" width="10.28515625" style="17" customWidth="1"/>
    <col min="44" max="63" width="13.140625" style="17" customWidth="1"/>
    <col min="64" max="64" width="9.140625" style="17"/>
    <col min="65" max="74" width="10" style="17" customWidth="1"/>
    <col min="75" max="75" width="9.140625" style="17"/>
    <col min="76" max="81" width="10" style="17" customWidth="1"/>
    <col min="82" max="82" width="9.140625" style="17"/>
    <col min="83" max="88" width="10" style="17" customWidth="1"/>
    <col min="89" max="16384" width="9.140625" style="17"/>
  </cols>
  <sheetData>
    <row r="1" spans="1:39" ht="25.5" hidden="1">
      <c r="A1" s="399" t="s">
        <v>202</v>
      </c>
      <c r="J1" s="146"/>
      <c r="AM1" s="146"/>
    </row>
    <row r="2" spans="1:39" ht="13.5" customHeight="1">
      <c r="A2" s="399"/>
      <c r="J2" s="146"/>
      <c r="AM2" s="146"/>
    </row>
    <row r="3" spans="1:39" ht="19.5" customHeight="1">
      <c r="A3" s="473" t="s">
        <v>268</v>
      </c>
      <c r="J3" s="146"/>
      <c r="AM3" s="146"/>
    </row>
    <row r="4" spans="1:39" s="6" customFormat="1" ht="19.5" customHeight="1">
      <c r="A4" s="469"/>
      <c r="J4" s="470"/>
      <c r="AM4" s="470"/>
    </row>
    <row r="5" spans="1:39" ht="19.5" customHeight="1">
      <c r="A5" s="407" t="s">
        <v>18</v>
      </c>
      <c r="B5" s="6"/>
      <c r="C5" s="6"/>
      <c r="D5" s="6"/>
    </row>
    <row r="7" spans="1:39" ht="13.5" thickBot="1"/>
    <row r="8" spans="1:39" ht="15.75">
      <c r="A8" s="194" t="s">
        <v>19</v>
      </c>
      <c r="B8" s="55"/>
      <c r="C8" s="55"/>
      <c r="D8" s="196"/>
      <c r="E8" s="504"/>
      <c r="F8" s="18"/>
      <c r="G8" s="193" t="s">
        <v>240</v>
      </c>
      <c r="H8" s="220"/>
      <c r="I8" s="415"/>
      <c r="J8" s="365"/>
    </row>
    <row r="9" spans="1:39" ht="15.75">
      <c r="A9" s="58"/>
      <c r="B9" s="18"/>
      <c r="C9" s="18"/>
      <c r="D9" s="18"/>
      <c r="E9" s="57"/>
      <c r="F9" s="18"/>
      <c r="G9" s="224"/>
      <c r="H9" s="463"/>
      <c r="I9" s="416"/>
    </row>
    <row r="10" spans="1:39" ht="15.75">
      <c r="A10" s="199" t="s">
        <v>21</v>
      </c>
      <c r="B10" s="18"/>
      <c r="C10" s="18"/>
      <c r="D10" s="200" t="s">
        <v>22</v>
      </c>
      <c r="E10" s="505" t="s">
        <v>23</v>
      </c>
      <c r="F10" s="18"/>
      <c r="G10" s="224" t="s">
        <v>291</v>
      </c>
      <c r="H10" s="18"/>
      <c r="I10" s="500" t="s">
        <v>317</v>
      </c>
    </row>
    <row r="11" spans="1:39" ht="15.75">
      <c r="A11" s="202" t="s">
        <v>24</v>
      </c>
      <c r="B11" s="18"/>
      <c r="C11" s="18"/>
      <c r="D11" s="361">
        <f>E11/$E$14</f>
        <v>0.23573874028796099</v>
      </c>
      <c r="E11" s="405">
        <v>30159</v>
      </c>
      <c r="F11" s="18"/>
      <c r="G11" s="224" t="s">
        <v>32</v>
      </c>
      <c r="H11" s="463"/>
      <c r="I11" s="409">
        <v>4</v>
      </c>
      <c r="J11" s="373"/>
    </row>
    <row r="12" spans="1:39" ht="15.75">
      <c r="A12" s="202" t="s">
        <v>214</v>
      </c>
      <c r="B12" s="18"/>
      <c r="C12" s="18"/>
      <c r="D12" s="362">
        <f>E12/E14</f>
        <v>0.76426125971203906</v>
      </c>
      <c r="E12" s="506">
        <f>Assumptions!B51+Assumptions!C51+Assumptions!D51</f>
        <v>97775</v>
      </c>
      <c r="F12" s="18"/>
      <c r="G12" s="224" t="s">
        <v>241</v>
      </c>
      <c r="H12" s="463"/>
      <c r="I12" s="411">
        <v>114.5</v>
      </c>
      <c r="J12" s="373"/>
    </row>
    <row r="13" spans="1:39" ht="15.75">
      <c r="A13" s="204"/>
      <c r="B13" s="18"/>
      <c r="C13" s="18"/>
      <c r="D13" s="203"/>
      <c r="E13" s="506"/>
      <c r="F13" s="18"/>
      <c r="G13" s="224" t="s">
        <v>242</v>
      </c>
      <c r="H13" s="463"/>
      <c r="I13" s="409">
        <v>11411</v>
      </c>
      <c r="J13" s="373"/>
    </row>
    <row r="14" spans="1:39" ht="15.75">
      <c r="A14" s="205" t="s">
        <v>31</v>
      </c>
      <c r="B14" s="18"/>
      <c r="C14" s="18"/>
      <c r="D14" s="353">
        <f>E14/$E$14</f>
        <v>1</v>
      </c>
      <c r="E14" s="507">
        <f>SUM(E11:E12)</f>
        <v>127934</v>
      </c>
      <c r="F14" s="18"/>
      <c r="G14" s="224" t="s">
        <v>35</v>
      </c>
      <c r="H14" s="463"/>
      <c r="I14" s="409">
        <v>1200</v>
      </c>
      <c r="J14" s="373"/>
    </row>
    <row r="15" spans="1:39" ht="15.75">
      <c r="A15" s="58"/>
      <c r="B15" s="18"/>
      <c r="C15" s="18"/>
      <c r="D15" s="18"/>
      <c r="E15" s="57"/>
      <c r="F15" s="18"/>
      <c r="G15" s="224" t="s">
        <v>243</v>
      </c>
      <c r="H15" s="463"/>
      <c r="I15" s="460">
        <v>1</v>
      </c>
      <c r="J15" s="373"/>
    </row>
    <row r="16" spans="1:39" ht="15.75">
      <c r="A16" s="58"/>
      <c r="B16" s="18"/>
      <c r="C16" s="18"/>
      <c r="D16" s="18"/>
      <c r="E16" s="57"/>
      <c r="F16" s="18"/>
      <c r="G16" s="224" t="s">
        <v>244</v>
      </c>
      <c r="H16" s="463"/>
      <c r="I16" s="461">
        <v>36525</v>
      </c>
      <c r="J16" s="373"/>
    </row>
    <row r="17" spans="1:21" ht="15.75">
      <c r="A17" s="199" t="s">
        <v>287</v>
      </c>
      <c r="B17" s="18"/>
      <c r="C17" s="18"/>
      <c r="D17" s="200" t="s">
        <v>22</v>
      </c>
      <c r="E17" s="267" t="s">
        <v>23</v>
      </c>
      <c r="F17" s="18"/>
      <c r="G17" s="206" t="s">
        <v>211</v>
      </c>
      <c r="H17" s="201"/>
      <c r="I17" s="418">
        <v>6</v>
      </c>
      <c r="J17" s="373"/>
    </row>
    <row r="18" spans="1:21" ht="15.75">
      <c r="A18" s="508"/>
      <c r="B18" s="18"/>
      <c r="C18" s="18"/>
      <c r="D18" s="401"/>
      <c r="E18" s="57"/>
      <c r="F18" s="18"/>
      <c r="G18" s="224" t="s">
        <v>293</v>
      </c>
      <c r="H18" s="463"/>
      <c r="I18" s="461">
        <v>36342</v>
      </c>
      <c r="J18" s="373"/>
    </row>
    <row r="19" spans="1:21" ht="15.75">
      <c r="A19" s="202" t="s">
        <v>290</v>
      </c>
      <c r="B19" s="18"/>
      <c r="C19" s="18"/>
      <c r="D19" s="18"/>
      <c r="E19" s="57"/>
      <c r="F19" s="18"/>
      <c r="G19" s="224" t="s">
        <v>294</v>
      </c>
      <c r="H19" s="18"/>
      <c r="I19" s="461">
        <v>43617</v>
      </c>
      <c r="J19" s="373"/>
    </row>
    <row r="20" spans="1:21" ht="16.5" thickBot="1">
      <c r="A20" s="206" t="s">
        <v>297</v>
      </c>
      <c r="B20" s="18"/>
      <c r="C20" s="18"/>
      <c r="D20" s="402">
        <f t="shared" ref="D20:D31" si="0">E20/$E$43</f>
        <v>0.95421976533997965</v>
      </c>
      <c r="E20" s="405">
        <v>122076.76499999998</v>
      </c>
      <c r="F20" s="18"/>
      <c r="G20" s="227" t="s">
        <v>292</v>
      </c>
      <c r="H20" s="526"/>
      <c r="I20" s="462">
        <v>20</v>
      </c>
      <c r="J20" s="373"/>
    </row>
    <row r="21" spans="1:21" ht="16.5" thickBot="1">
      <c r="A21" s="206" t="s">
        <v>298</v>
      </c>
      <c r="B21" s="18"/>
      <c r="C21" s="18"/>
      <c r="D21" s="402">
        <f t="shared" si="0"/>
        <v>0</v>
      </c>
      <c r="E21" s="405">
        <v>0</v>
      </c>
      <c r="F21" s="18"/>
      <c r="J21" s="373"/>
    </row>
    <row r="22" spans="1:21" ht="15.75">
      <c r="A22" s="206" t="s">
        <v>299</v>
      </c>
      <c r="B22" s="18"/>
      <c r="C22" s="18"/>
      <c r="D22" s="402">
        <f t="shared" si="0"/>
        <v>0</v>
      </c>
      <c r="E22" s="405">
        <v>0</v>
      </c>
      <c r="F22" s="18"/>
      <c r="G22" s="193" t="s">
        <v>20</v>
      </c>
      <c r="H22" s="220"/>
      <c r="I22" s="408"/>
      <c r="J22" s="373"/>
    </row>
    <row r="23" spans="1:21" ht="15.75">
      <c r="A23" s="206" t="s">
        <v>300</v>
      </c>
      <c r="B23" s="18"/>
      <c r="C23" s="18"/>
      <c r="D23" s="402">
        <f t="shared" si="0"/>
        <v>0</v>
      </c>
      <c r="E23" s="405">
        <v>0</v>
      </c>
      <c r="F23" s="18"/>
      <c r="G23" s="495"/>
      <c r="H23" s="463"/>
      <c r="I23" s="496"/>
      <c r="J23" s="373"/>
    </row>
    <row r="24" spans="1:21" ht="15.75">
      <c r="A24" s="206" t="s">
        <v>301</v>
      </c>
      <c r="B24" s="18"/>
      <c r="C24" s="18"/>
      <c r="D24" s="402">
        <f t="shared" si="0"/>
        <v>0</v>
      </c>
      <c r="E24" s="405">
        <v>0</v>
      </c>
      <c r="F24" s="18"/>
      <c r="G24" s="206" t="s">
        <v>331</v>
      </c>
      <c r="H24" s="201"/>
      <c r="I24" s="459">
        <f>I11*I12</f>
        <v>458</v>
      </c>
      <c r="J24" s="373"/>
      <c r="N24" s="65"/>
      <c r="O24"/>
      <c r="P24"/>
      <c r="Q24"/>
      <c r="R24"/>
      <c r="S24"/>
      <c r="T24"/>
      <c r="U24"/>
    </row>
    <row r="25" spans="1:21" ht="15.75">
      <c r="A25" s="206" t="s">
        <v>302</v>
      </c>
      <c r="B25" s="18"/>
      <c r="C25" s="18"/>
      <c r="D25" s="402">
        <f t="shared" si="0"/>
        <v>0</v>
      </c>
      <c r="E25" s="405">
        <v>0</v>
      </c>
      <c r="F25" s="18"/>
      <c r="G25" s="206" t="s">
        <v>36</v>
      </c>
      <c r="H25" s="201"/>
      <c r="I25" s="409">
        <v>787.8</v>
      </c>
      <c r="J25" s="373"/>
      <c r="O25"/>
      <c r="P25"/>
      <c r="Q25"/>
      <c r="R25"/>
      <c r="S25"/>
      <c r="T25"/>
      <c r="U25"/>
    </row>
    <row r="26" spans="1:21" ht="15.75">
      <c r="A26" s="206" t="s">
        <v>303</v>
      </c>
      <c r="B26" s="18"/>
      <c r="C26" s="18"/>
      <c r="D26" s="402">
        <f t="shared" si="0"/>
        <v>0</v>
      </c>
      <c r="E26" s="405">
        <v>0</v>
      </c>
      <c r="F26" s="18"/>
      <c r="G26" s="206" t="s">
        <v>41</v>
      </c>
      <c r="H26" s="201"/>
      <c r="I26" s="409">
        <v>110</v>
      </c>
      <c r="J26" s="373"/>
      <c r="O26"/>
      <c r="P26"/>
      <c r="Q26"/>
      <c r="R26"/>
      <c r="S26"/>
      <c r="T26"/>
      <c r="U26"/>
    </row>
    <row r="27" spans="1:21" ht="15.75">
      <c r="A27" s="206" t="s">
        <v>304</v>
      </c>
      <c r="B27" s="18"/>
      <c r="C27" s="18"/>
      <c r="D27" s="402">
        <f t="shared" si="0"/>
        <v>0</v>
      </c>
      <c r="E27" s="405">
        <v>0</v>
      </c>
      <c r="F27" s="18"/>
      <c r="G27" s="206" t="s">
        <v>245</v>
      </c>
      <c r="H27" s="201"/>
      <c r="I27" s="409">
        <v>0</v>
      </c>
      <c r="J27" s="373"/>
      <c r="O27"/>
      <c r="P27"/>
      <c r="Q27"/>
      <c r="R27"/>
      <c r="S27"/>
      <c r="T27"/>
      <c r="U27"/>
    </row>
    <row r="28" spans="1:21" ht="16.5" thickBot="1">
      <c r="A28" s="206" t="s">
        <v>305</v>
      </c>
      <c r="B28" s="18"/>
      <c r="C28" s="18"/>
      <c r="D28" s="402">
        <f t="shared" si="0"/>
        <v>0</v>
      </c>
      <c r="E28" s="405">
        <v>0</v>
      </c>
      <c r="F28" s="18"/>
      <c r="G28" s="208" t="s">
        <v>228</v>
      </c>
      <c r="H28" s="60"/>
      <c r="I28" s="462">
        <v>15</v>
      </c>
      <c r="J28" s="373"/>
      <c r="O28"/>
      <c r="P28"/>
      <c r="Q28"/>
      <c r="R28"/>
      <c r="S28"/>
      <c r="T28"/>
      <c r="U28"/>
    </row>
    <row r="29" spans="1:21" ht="16.5" thickBot="1">
      <c r="A29" s="206" t="s">
        <v>306</v>
      </c>
      <c r="B29" s="18"/>
      <c r="C29" s="18"/>
      <c r="D29" s="402">
        <f t="shared" si="0"/>
        <v>0</v>
      </c>
      <c r="E29" s="405">
        <v>0</v>
      </c>
      <c r="F29" s="18"/>
      <c r="J29" s="373"/>
      <c r="O29"/>
      <c r="P29"/>
      <c r="Q29"/>
      <c r="R29"/>
      <c r="S29"/>
      <c r="T29"/>
      <c r="U29"/>
    </row>
    <row r="30" spans="1:21" ht="15.75">
      <c r="A30" s="210" t="s">
        <v>307</v>
      </c>
      <c r="B30" s="18"/>
      <c r="C30" s="18"/>
      <c r="D30" s="501">
        <f t="shared" si="0"/>
        <v>0</v>
      </c>
      <c r="E30" s="502">
        <v>0</v>
      </c>
      <c r="F30" s="18"/>
      <c r="G30" s="193" t="s">
        <v>258</v>
      </c>
      <c r="H30" s="220"/>
      <c r="I30" s="230"/>
      <c r="J30" s="373"/>
      <c r="O30"/>
      <c r="P30"/>
      <c r="Q30"/>
      <c r="R30"/>
      <c r="S30"/>
      <c r="T30"/>
      <c r="U30"/>
    </row>
    <row r="31" spans="1:21" ht="15.75">
      <c r="A31" s="206" t="s">
        <v>296</v>
      </c>
      <c r="B31" s="18"/>
      <c r="C31" s="18"/>
      <c r="D31" s="402">
        <f t="shared" si="0"/>
        <v>0.95421976533997965</v>
      </c>
      <c r="E31" s="503">
        <f>SUM(E20:E30)</f>
        <v>122076.76499999998</v>
      </c>
      <c r="F31" s="18"/>
      <c r="G31" s="58"/>
      <c r="H31" s="18"/>
      <c r="I31" s="57"/>
      <c r="J31" s="373"/>
      <c r="O31"/>
      <c r="P31"/>
      <c r="Q31"/>
      <c r="R31"/>
      <c r="S31"/>
      <c r="T31"/>
      <c r="U31"/>
    </row>
    <row r="32" spans="1:21" ht="15.75">
      <c r="A32" s="58"/>
      <c r="B32" s="18"/>
      <c r="C32" s="18"/>
      <c r="D32" s="18"/>
      <c r="E32" s="57"/>
      <c r="F32" s="18"/>
      <c r="G32" s="206" t="s">
        <v>259</v>
      </c>
      <c r="H32" s="18"/>
      <c r="I32" s="461">
        <v>36342</v>
      </c>
      <c r="J32" s="373"/>
      <c r="O32"/>
      <c r="P32"/>
      <c r="Q32"/>
      <c r="R32"/>
      <c r="S32"/>
      <c r="T32"/>
      <c r="U32"/>
    </row>
    <row r="33" spans="1:21" ht="15.75">
      <c r="A33" s="202" t="s">
        <v>282</v>
      </c>
      <c r="B33" s="18"/>
      <c r="C33" s="18"/>
      <c r="D33" s="18"/>
      <c r="E33" s="57"/>
      <c r="F33" s="18"/>
      <c r="G33" s="206" t="s">
        <v>260</v>
      </c>
      <c r="H33" s="18"/>
      <c r="I33" s="461">
        <v>43983</v>
      </c>
      <c r="J33" s="373"/>
      <c r="O33"/>
      <c r="P33"/>
      <c r="Q33"/>
      <c r="R33"/>
      <c r="S33"/>
      <c r="T33"/>
      <c r="U33"/>
    </row>
    <row r="34" spans="1:21" ht="15.75">
      <c r="A34" s="202" t="s">
        <v>288</v>
      </c>
      <c r="B34" s="18"/>
      <c r="C34" s="18"/>
      <c r="D34" s="402">
        <f>E34/$E$43</f>
        <v>0</v>
      </c>
      <c r="E34" s="405">
        <v>0</v>
      </c>
      <c r="F34" s="18"/>
      <c r="G34" s="58"/>
      <c r="H34" s="18"/>
      <c r="I34" s="57"/>
      <c r="J34" s="373"/>
      <c r="O34"/>
      <c r="P34"/>
      <c r="Q34"/>
      <c r="R34"/>
      <c r="S34"/>
      <c r="T34"/>
      <c r="U34"/>
    </row>
    <row r="35" spans="1:21" ht="15.75">
      <c r="A35" s="202" t="s">
        <v>283</v>
      </c>
      <c r="B35" s="18"/>
      <c r="C35" s="18"/>
      <c r="D35" s="402">
        <f>E35/$E$43</f>
        <v>8.627679070536555E-3</v>
      </c>
      <c r="E35" s="405">
        <v>1103.77</v>
      </c>
      <c r="F35" s="18"/>
      <c r="G35" s="210" t="s">
        <v>312</v>
      </c>
      <c r="H35" s="18"/>
      <c r="I35" s="57"/>
      <c r="J35" s="373"/>
      <c r="O35"/>
      <c r="P35"/>
      <c r="Q35"/>
      <c r="R35"/>
      <c r="S35"/>
      <c r="T35"/>
      <c r="U35"/>
    </row>
    <row r="36" spans="1:21" ht="15.75">
      <c r="A36" s="210" t="s">
        <v>284</v>
      </c>
      <c r="B36" s="18"/>
      <c r="C36" s="18"/>
      <c r="D36" s="501">
        <f>E36/$E$43</f>
        <v>0</v>
      </c>
      <c r="E36" s="502">
        <v>0</v>
      </c>
      <c r="F36" s="18"/>
      <c r="G36" s="206" t="s">
        <v>313</v>
      </c>
      <c r="H36" s="18"/>
      <c r="I36" s="409">
        <v>4</v>
      </c>
      <c r="J36" s="373"/>
      <c r="O36"/>
      <c r="P36"/>
      <c r="Q36"/>
      <c r="R36"/>
      <c r="S36"/>
      <c r="T36"/>
      <c r="U36"/>
    </row>
    <row r="37" spans="1:21" ht="15.75">
      <c r="A37" s="206" t="s">
        <v>296</v>
      </c>
      <c r="B37" s="18"/>
      <c r="C37" s="18"/>
      <c r="D37" s="402">
        <f>E37/$E$43</f>
        <v>8.627679070536555E-3</v>
      </c>
      <c r="E37" s="400">
        <f>SUM(E34:E36)</f>
        <v>1103.77</v>
      </c>
      <c r="F37" s="18"/>
      <c r="G37" s="206" t="s">
        <v>332</v>
      </c>
      <c r="H37" s="18"/>
      <c r="I37" s="529">
        <f>I24</f>
        <v>458</v>
      </c>
      <c r="J37" s="373"/>
      <c r="O37"/>
      <c r="P37"/>
      <c r="Q37"/>
      <c r="R37"/>
      <c r="S37"/>
      <c r="T37"/>
      <c r="U37"/>
    </row>
    <row r="38" spans="1:21" ht="15.75">
      <c r="A38" s="58"/>
      <c r="B38" s="18"/>
      <c r="C38" s="18"/>
      <c r="D38" s="18"/>
      <c r="E38" s="57"/>
      <c r="F38" s="18"/>
      <c r="G38" s="206" t="s">
        <v>257</v>
      </c>
      <c r="H38" s="201"/>
      <c r="I38" s="411">
        <v>4</v>
      </c>
      <c r="J38" s="373"/>
      <c r="O38"/>
      <c r="P38"/>
      <c r="Q38"/>
      <c r="R38"/>
      <c r="S38"/>
      <c r="T38"/>
      <c r="U38"/>
    </row>
    <row r="39" spans="1:21" ht="15.75">
      <c r="A39" s="206" t="s">
        <v>289</v>
      </c>
      <c r="B39" s="18"/>
      <c r="C39" s="18"/>
      <c r="D39" s="402">
        <f>E39/$E$43</f>
        <v>3.3545684384152577E-2</v>
      </c>
      <c r="E39" s="405">
        <v>4291.62</v>
      </c>
      <c r="F39" s="18"/>
      <c r="G39" s="206" t="s">
        <v>47</v>
      </c>
      <c r="H39" s="201"/>
      <c r="I39" s="412">
        <f>I78</f>
        <v>0.89012066365007547</v>
      </c>
      <c r="J39" s="373"/>
      <c r="O39"/>
      <c r="P39"/>
      <c r="Q39"/>
      <c r="R39"/>
      <c r="S39"/>
      <c r="T39"/>
      <c r="U39"/>
    </row>
    <row r="40" spans="1:21" ht="15.75">
      <c r="A40" s="206" t="s">
        <v>295</v>
      </c>
      <c r="B40" s="18"/>
      <c r="C40" s="18"/>
      <c r="D40" s="402">
        <f>E40/$E$43</f>
        <v>3.6068712053311724E-3</v>
      </c>
      <c r="E40" s="405">
        <v>461.44</v>
      </c>
      <c r="F40" s="18"/>
      <c r="G40" s="206" t="s">
        <v>49</v>
      </c>
      <c r="H40" s="201"/>
      <c r="I40" s="413">
        <f>'EGC Start Charge Matrix'!H24</f>
        <v>1874</v>
      </c>
      <c r="J40" s="373"/>
      <c r="O40"/>
      <c r="P40"/>
      <c r="Q40"/>
      <c r="R40"/>
      <c r="S40"/>
      <c r="T40"/>
      <c r="U40"/>
    </row>
    <row r="41" spans="1:21" ht="15.75">
      <c r="A41" s="202" t="s">
        <v>285</v>
      </c>
      <c r="B41" s="18"/>
      <c r="C41" s="18"/>
      <c r="D41" s="402">
        <f>E41/$E$43</f>
        <v>0</v>
      </c>
      <c r="E41" s="405">
        <v>0</v>
      </c>
      <c r="F41" s="18"/>
      <c r="G41" s="206" t="s">
        <v>327</v>
      </c>
      <c r="H41" s="479"/>
      <c r="I41" s="414">
        <v>0</v>
      </c>
      <c r="J41" s="373"/>
      <c r="O41"/>
      <c r="P41"/>
      <c r="Q41"/>
      <c r="R41"/>
      <c r="S41"/>
      <c r="T41"/>
      <c r="U41"/>
    </row>
    <row r="42" spans="1:21" ht="15.75">
      <c r="A42" s="206"/>
      <c r="B42" s="18"/>
      <c r="C42" s="18"/>
      <c r="D42" s="18"/>
      <c r="E42" s="497"/>
      <c r="F42" s="18"/>
      <c r="G42" s="206" t="s">
        <v>328</v>
      </c>
      <c r="H42" s="479"/>
      <c r="I42" s="414">
        <v>0</v>
      </c>
      <c r="J42" s="373"/>
      <c r="O42"/>
      <c r="P42"/>
      <c r="Q42"/>
      <c r="R42"/>
      <c r="S42"/>
      <c r="T42"/>
      <c r="U42"/>
    </row>
    <row r="43" spans="1:21" ht="16.5" thickBot="1">
      <c r="A43" s="509" t="s">
        <v>286</v>
      </c>
      <c r="B43" s="60"/>
      <c r="C43" s="60"/>
      <c r="D43" s="498">
        <f>D41+D40+D39+D37+D31</f>
        <v>1</v>
      </c>
      <c r="E43" s="499">
        <f>SUM(E39:E41,E37,E31)</f>
        <v>127933.59499999999</v>
      </c>
      <c r="F43" s="18"/>
      <c r="G43" s="206" t="s">
        <v>329</v>
      </c>
      <c r="H43" s="479"/>
      <c r="I43" s="413">
        <f>I37*(1-I41)*(1-I42)</f>
        <v>458</v>
      </c>
      <c r="J43" s="373"/>
      <c r="O43"/>
      <c r="P43"/>
      <c r="Q43"/>
      <c r="R43"/>
      <c r="S43"/>
      <c r="T43"/>
      <c r="U43"/>
    </row>
    <row r="44" spans="1:21" ht="15.75">
      <c r="A44" s="18"/>
      <c r="B44" s="18"/>
      <c r="C44" s="18"/>
      <c r="D44" s="18"/>
      <c r="E44" s="324"/>
      <c r="F44" s="18"/>
      <c r="G44" s="206" t="s">
        <v>330</v>
      </c>
      <c r="H44" s="18"/>
      <c r="I44" s="540">
        <f>I43*I14</f>
        <v>549600</v>
      </c>
      <c r="J44" s="373"/>
      <c r="O44"/>
      <c r="P44"/>
      <c r="Q44"/>
      <c r="R44"/>
      <c r="S44"/>
      <c r="T44"/>
      <c r="U44"/>
    </row>
    <row r="45" spans="1:21" ht="16.5" thickBot="1">
      <c r="A45" s="18"/>
      <c r="B45" s="18"/>
      <c r="C45" s="18"/>
      <c r="D45" s="18"/>
      <c r="E45" s="324"/>
      <c r="F45" s="18"/>
      <c r="G45" s="58"/>
      <c r="H45" s="18"/>
      <c r="I45" s="57"/>
      <c r="J45" s="373"/>
      <c r="K45"/>
      <c r="L45"/>
      <c r="M45"/>
      <c r="O45"/>
      <c r="P45"/>
      <c r="Q45"/>
      <c r="R45"/>
      <c r="S45"/>
      <c r="T45"/>
      <c r="U45"/>
    </row>
    <row r="46" spans="1:21" ht="15.75">
      <c r="A46" s="195" t="s">
        <v>311</v>
      </c>
      <c r="B46" s="55"/>
      <c r="C46" s="55"/>
      <c r="D46" s="157"/>
      <c r="E46" s="56"/>
      <c r="F46" s="18"/>
      <c r="G46" s="210" t="s">
        <v>314</v>
      </c>
      <c r="H46" s="18"/>
      <c r="I46" s="57"/>
      <c r="J46" s="373"/>
      <c r="K46"/>
      <c r="L46"/>
      <c r="M46"/>
      <c r="O46"/>
      <c r="P46"/>
      <c r="Q46"/>
      <c r="R46"/>
      <c r="S46"/>
      <c r="T46"/>
      <c r="U46"/>
    </row>
    <row r="47" spans="1:21" ht="15.75">
      <c r="A47" s="510" t="s">
        <v>203</v>
      </c>
      <c r="B47" s="404">
        <v>36739</v>
      </c>
      <c r="C47" s="18"/>
      <c r="D47" s="61"/>
      <c r="E47" s="57"/>
      <c r="F47" s="18"/>
      <c r="G47" s="206" t="s">
        <v>313</v>
      </c>
      <c r="H47" s="18"/>
      <c r="I47" s="468">
        <f>I20-I36</f>
        <v>16</v>
      </c>
      <c r="J47" s="373"/>
      <c r="M47"/>
      <c r="O47"/>
      <c r="P47"/>
      <c r="Q47"/>
      <c r="R47"/>
      <c r="S47"/>
      <c r="T47"/>
      <c r="U47"/>
    </row>
    <row r="48" spans="1:21" ht="15.75">
      <c r="A48" s="154"/>
      <c r="B48" s="18"/>
      <c r="C48" s="18"/>
      <c r="D48" s="18"/>
      <c r="E48" s="145"/>
      <c r="F48" s="114"/>
      <c r="G48" s="206" t="s">
        <v>333</v>
      </c>
      <c r="H48" s="18"/>
      <c r="I48" s="207">
        <v>497.4</v>
      </c>
      <c r="J48" s="373"/>
      <c r="K48"/>
      <c r="L48"/>
      <c r="M48"/>
      <c r="O48"/>
      <c r="P48"/>
      <c r="Q48"/>
      <c r="R48"/>
      <c r="S48"/>
      <c r="T48"/>
      <c r="U48"/>
    </row>
    <row r="49" spans="1:21" ht="15.75">
      <c r="A49" s="511" t="s">
        <v>308</v>
      </c>
      <c r="B49" s="231" t="s">
        <v>37</v>
      </c>
      <c r="C49" s="231" t="s">
        <v>38</v>
      </c>
      <c r="D49" s="231" t="s">
        <v>39</v>
      </c>
      <c r="E49" s="512" t="s">
        <v>40</v>
      </c>
      <c r="F49" s="61"/>
      <c r="G49" s="206" t="s">
        <v>47</v>
      </c>
      <c r="H49" s="18"/>
      <c r="I49" s="412">
        <f>I85</f>
        <v>0.03</v>
      </c>
      <c r="J49" s="373"/>
      <c r="O49"/>
      <c r="P49"/>
      <c r="Q49"/>
      <c r="R49"/>
      <c r="S49"/>
      <c r="T49"/>
      <c r="U49"/>
    </row>
    <row r="50" spans="1:21" ht="15.75">
      <c r="A50" s="210" t="s">
        <v>42</v>
      </c>
      <c r="B50" s="192"/>
      <c r="C50" s="192"/>
      <c r="D50" s="192"/>
      <c r="E50" s="57"/>
      <c r="F50" s="18"/>
      <c r="G50" s="206" t="s">
        <v>49</v>
      </c>
      <c r="H50" s="201"/>
      <c r="I50" s="413">
        <f>'EGC Start Charge Matrix'!H31</f>
        <v>2580</v>
      </c>
      <c r="J50" s="373"/>
      <c r="O50"/>
      <c r="P50"/>
      <c r="Q50"/>
      <c r="R50"/>
      <c r="S50"/>
      <c r="T50"/>
      <c r="U50"/>
    </row>
    <row r="51" spans="1:21" ht="15.75">
      <c r="A51" s="211" t="s">
        <v>43</v>
      </c>
      <c r="B51" s="439">
        <v>15926</v>
      </c>
      <c r="C51" s="439">
        <v>29302</v>
      </c>
      <c r="D51" s="439">
        <v>52547</v>
      </c>
      <c r="E51" s="513">
        <f>SUM(B51:D51)</f>
        <v>97775</v>
      </c>
      <c r="F51" s="158"/>
      <c r="G51" s="206" t="s">
        <v>327</v>
      </c>
      <c r="H51" s="18"/>
      <c r="I51" s="414">
        <v>0.02</v>
      </c>
      <c r="J51" s="373"/>
      <c r="O51"/>
      <c r="P51"/>
      <c r="Q51"/>
      <c r="R51"/>
      <c r="S51"/>
      <c r="T51"/>
      <c r="U51"/>
    </row>
    <row r="52" spans="1:21" ht="15.75">
      <c r="A52" s="211" t="s">
        <v>44</v>
      </c>
      <c r="B52" s="440">
        <v>4</v>
      </c>
      <c r="C52" s="440">
        <v>10</v>
      </c>
      <c r="D52" s="440">
        <v>20</v>
      </c>
      <c r="E52" s="514"/>
      <c r="F52" s="158"/>
      <c r="G52" s="206" t="s">
        <v>328</v>
      </c>
      <c r="H52" s="18"/>
      <c r="I52" s="414">
        <v>0.02</v>
      </c>
      <c r="J52" s="373"/>
      <c r="O52"/>
      <c r="P52"/>
      <c r="Q52"/>
      <c r="R52"/>
      <c r="S52"/>
      <c r="T52"/>
      <c r="U52"/>
    </row>
    <row r="53" spans="1:21" ht="15.75">
      <c r="A53" s="211" t="s">
        <v>45</v>
      </c>
      <c r="B53" s="441">
        <v>37833</v>
      </c>
      <c r="C53" s="441">
        <v>40390</v>
      </c>
      <c r="D53" s="441">
        <v>44043</v>
      </c>
      <c r="E53" s="513"/>
      <c r="F53" s="18"/>
      <c r="G53" s="206" t="s">
        <v>329</v>
      </c>
      <c r="H53" s="479"/>
      <c r="I53" s="533">
        <f>I48*(1-I51)*(1-I52)</f>
        <v>477.70295999999996</v>
      </c>
      <c r="J53" s="373"/>
      <c r="O53"/>
      <c r="P53"/>
      <c r="Q53"/>
      <c r="R53"/>
      <c r="S53"/>
      <c r="T53"/>
      <c r="U53"/>
    </row>
    <row r="54" spans="1:21" ht="15.75">
      <c r="A54" s="211" t="s">
        <v>46</v>
      </c>
      <c r="B54" s="255">
        <f>Debt!F9</f>
        <v>9.7625000000000011</v>
      </c>
      <c r="C54" s="255">
        <f>Debt!L9</f>
        <v>9.7625000000000011</v>
      </c>
      <c r="D54" s="255">
        <f>Debt!R9</f>
        <v>9.7625000000000011</v>
      </c>
      <c r="E54" s="515"/>
      <c r="F54" s="18"/>
      <c r="G54" s="206" t="s">
        <v>330</v>
      </c>
      <c r="H54" s="18"/>
      <c r="I54" s="540">
        <f>I53*I14</f>
        <v>573243.55199999991</v>
      </c>
      <c r="J54" s="373"/>
      <c r="O54"/>
      <c r="P54"/>
      <c r="Q54"/>
      <c r="R54"/>
      <c r="S54"/>
      <c r="T54"/>
      <c r="U54"/>
    </row>
    <row r="55" spans="1:21" ht="15.75">
      <c r="A55" s="211"/>
      <c r="B55" s="18"/>
      <c r="C55" s="18"/>
      <c r="D55" s="18"/>
      <c r="E55" s="513"/>
      <c r="F55" s="18"/>
      <c r="G55" s="206" t="s">
        <v>55</v>
      </c>
      <c r="H55" s="201"/>
      <c r="I55" s="411">
        <v>1</v>
      </c>
      <c r="J55" s="373"/>
      <c r="O55"/>
      <c r="P55"/>
      <c r="Q55"/>
      <c r="R55"/>
      <c r="S55"/>
      <c r="T55"/>
      <c r="U55"/>
    </row>
    <row r="56" spans="1:21" ht="15.75">
      <c r="A56" s="58"/>
      <c r="B56" s="18"/>
      <c r="C56" s="18"/>
      <c r="D56" s="18"/>
      <c r="E56" s="513"/>
      <c r="F56" s="18"/>
      <c r="G56" s="58"/>
      <c r="H56" s="18"/>
      <c r="I56" s="57"/>
      <c r="J56" s="373"/>
      <c r="O56"/>
      <c r="P56"/>
      <c r="Q56"/>
      <c r="R56"/>
      <c r="S56"/>
      <c r="T56"/>
      <c r="U56"/>
    </row>
    <row r="57" spans="1:21" ht="16.5" thickBot="1">
      <c r="A57" s="213" t="s">
        <v>48</v>
      </c>
      <c r="B57" s="445">
        <v>4.48E-2</v>
      </c>
      <c r="C57" s="445">
        <v>4.07E-2</v>
      </c>
      <c r="D57" s="445">
        <v>4.0549999999999996E-2</v>
      </c>
      <c r="E57" s="516">
        <f>SUMPRODUCT(B57:D57,$B$51:$D$51)/SUM($B$51:$D$51)</f>
        <v>4.1287210943492712E-2</v>
      </c>
      <c r="F57" s="18"/>
      <c r="G57" s="208" t="s">
        <v>1</v>
      </c>
      <c r="H57" s="209"/>
      <c r="I57" s="527">
        <v>0.03</v>
      </c>
      <c r="J57" s="373"/>
      <c r="O57"/>
      <c r="P57"/>
      <c r="Q57"/>
      <c r="R57"/>
      <c r="S57"/>
      <c r="T57"/>
      <c r="U57"/>
    </row>
    <row r="58" spans="1:21" ht="16.5" thickBot="1">
      <c r="A58" s="213" t="s">
        <v>50</v>
      </c>
      <c r="B58" s="446">
        <v>2.2499999999999999E-2</v>
      </c>
      <c r="C58" s="446">
        <v>3.5000000000000003E-2</v>
      </c>
      <c r="D58" s="446">
        <v>4.1250000000000002E-2</v>
      </c>
      <c r="E58" s="517">
        <f>SUMPRODUCT(B58:D58,$B$51:$D$51)/SUM($B$51:$D$51)</f>
        <v>3.6322871388391721E-2</v>
      </c>
      <c r="F58" s="18"/>
      <c r="J58" s="373"/>
      <c r="O58"/>
      <c r="P58"/>
      <c r="Q58"/>
      <c r="R58"/>
      <c r="S58"/>
      <c r="T58"/>
      <c r="U58"/>
    </row>
    <row r="59" spans="1:21" ht="15.75">
      <c r="A59" s="211" t="s">
        <v>51</v>
      </c>
      <c r="B59" s="214">
        <f>Debt!F7</f>
        <v>6.7299999999999999E-2</v>
      </c>
      <c r="C59" s="214">
        <f>Debt!L7</f>
        <v>7.5700000000000003E-2</v>
      </c>
      <c r="D59" s="214">
        <f>Debt!R7</f>
        <v>8.1799999999999998E-2</v>
      </c>
      <c r="E59" s="516">
        <f>SUMPRODUCT(B59:D59,$B$51:$D$51)/SUM($B$51:$D$51)</f>
        <v>7.761008233188442E-2</v>
      </c>
      <c r="F59" s="18"/>
      <c r="G59" s="193" t="s">
        <v>65</v>
      </c>
      <c r="H59" s="220"/>
      <c r="I59" s="415"/>
      <c r="J59" s="373"/>
      <c r="O59"/>
      <c r="P59"/>
      <c r="Q59"/>
      <c r="R59"/>
      <c r="S59"/>
      <c r="T59"/>
      <c r="U59"/>
    </row>
    <row r="60" spans="1:21" ht="15.75">
      <c r="A60" s="206"/>
      <c r="B60" s="201"/>
      <c r="C60" s="201"/>
      <c r="D60" s="201"/>
      <c r="E60" s="518"/>
      <c r="F60" s="18"/>
      <c r="G60" s="206"/>
      <c r="H60" s="201"/>
      <c r="I60" s="416"/>
      <c r="J60" s="373"/>
      <c r="K60"/>
      <c r="L60"/>
      <c r="M60"/>
      <c r="O60"/>
      <c r="P60"/>
      <c r="Q60"/>
      <c r="R60"/>
      <c r="S60"/>
      <c r="T60"/>
      <c r="U60"/>
    </row>
    <row r="61" spans="1:21" ht="15.75">
      <c r="A61" s="206" t="s">
        <v>213</v>
      </c>
      <c r="B61" s="212">
        <f>MAX(Debt!C87:Z87)</f>
        <v>12002.805437500001</v>
      </c>
      <c r="C61" s="201"/>
      <c r="D61" s="201"/>
      <c r="E61" s="519"/>
      <c r="F61" s="18"/>
      <c r="G61" s="206" t="s">
        <v>67</v>
      </c>
      <c r="H61" s="201"/>
      <c r="I61" s="414">
        <v>0.35</v>
      </c>
      <c r="J61" s="373"/>
      <c r="O61"/>
      <c r="P61"/>
      <c r="Q61"/>
      <c r="R61"/>
      <c r="S61"/>
      <c r="T61"/>
      <c r="U61"/>
    </row>
    <row r="62" spans="1:21" ht="15.75">
      <c r="A62" s="206" t="s">
        <v>215</v>
      </c>
      <c r="B62" s="212">
        <v>0</v>
      </c>
      <c r="C62" s="18"/>
      <c r="D62" s="18"/>
      <c r="E62" s="57"/>
      <c r="F62" s="18"/>
      <c r="G62" s="206" t="s">
        <v>68</v>
      </c>
      <c r="H62" s="201"/>
      <c r="I62" s="410">
        <v>0.06</v>
      </c>
      <c r="J62" s="373"/>
      <c r="O62"/>
      <c r="P62"/>
      <c r="Q62"/>
      <c r="R62"/>
      <c r="S62"/>
      <c r="T62"/>
      <c r="U62"/>
    </row>
    <row r="63" spans="1:21" ht="15.75">
      <c r="A63" s="206" t="s">
        <v>52</v>
      </c>
      <c r="B63" s="276">
        <v>0.02</v>
      </c>
      <c r="C63" s="201"/>
      <c r="D63" s="201"/>
      <c r="E63" s="519"/>
      <c r="F63" s="18"/>
      <c r="G63" s="464" t="s">
        <v>69</v>
      </c>
      <c r="H63" s="465"/>
      <c r="I63" s="460">
        <v>2.5000000000000001E-3</v>
      </c>
      <c r="J63" s="373"/>
      <c r="O63"/>
      <c r="P63"/>
      <c r="Q63"/>
      <c r="R63"/>
      <c r="S63"/>
      <c r="T63"/>
      <c r="U63"/>
    </row>
    <row r="64" spans="1:21" ht="15.75">
      <c r="A64" s="206" t="s">
        <v>53</v>
      </c>
      <c r="B64" s="276">
        <v>0.05</v>
      </c>
      <c r="C64" s="18"/>
      <c r="D64" s="18"/>
      <c r="E64" s="57"/>
      <c r="F64" s="18"/>
      <c r="G64" s="206" t="s">
        <v>70</v>
      </c>
      <c r="H64" s="201"/>
      <c r="I64" s="410">
        <v>0.03</v>
      </c>
      <c r="J64" s="373"/>
      <c r="O64"/>
      <c r="P64"/>
      <c r="Q64"/>
      <c r="R64"/>
      <c r="S64"/>
      <c r="T64"/>
      <c r="U64"/>
    </row>
    <row r="65" spans="1:21" ht="15.75">
      <c r="A65" s="58"/>
      <c r="B65" s="18"/>
      <c r="C65" s="18"/>
      <c r="D65" s="18"/>
      <c r="E65" s="57"/>
      <c r="F65" s="18"/>
      <c r="G65" s="464" t="s">
        <v>247</v>
      </c>
      <c r="H65" s="465"/>
      <c r="I65" s="460">
        <v>0.01</v>
      </c>
      <c r="J65" s="373"/>
      <c r="O65"/>
      <c r="P65"/>
      <c r="Q65"/>
      <c r="R65"/>
      <c r="S65"/>
      <c r="T65"/>
      <c r="U65"/>
    </row>
    <row r="66" spans="1:21" ht="15.75">
      <c r="A66" s="511" t="s">
        <v>309</v>
      </c>
      <c r="B66" s="18"/>
      <c r="C66" s="18"/>
      <c r="D66" s="18"/>
      <c r="E66" s="57"/>
      <c r="F66" s="18"/>
      <c r="G66" s="464" t="s">
        <v>248</v>
      </c>
      <c r="H66" s="465"/>
      <c r="I66" s="460"/>
      <c r="J66" s="373"/>
      <c r="O66"/>
      <c r="P66"/>
      <c r="Q66"/>
      <c r="R66"/>
      <c r="S66"/>
      <c r="T66"/>
      <c r="U66"/>
    </row>
    <row r="67" spans="1:21" ht="15.75">
      <c r="A67" s="510" t="s">
        <v>210</v>
      </c>
      <c r="B67" s="404">
        <v>36739</v>
      </c>
      <c r="C67" s="18"/>
      <c r="D67" s="18"/>
      <c r="E67" s="57"/>
      <c r="F67" s="18"/>
      <c r="G67" s="464" t="s">
        <v>249</v>
      </c>
      <c r="H67" s="465"/>
      <c r="I67" s="460"/>
      <c r="J67" s="373"/>
      <c r="O67"/>
      <c r="P67"/>
      <c r="Q67"/>
      <c r="R67"/>
      <c r="S67"/>
      <c r="T67"/>
      <c r="U67"/>
    </row>
    <row r="68" spans="1:21" ht="15.75">
      <c r="A68" s="206" t="s">
        <v>33</v>
      </c>
      <c r="B68" s="257">
        <v>0.5</v>
      </c>
      <c r="C68" s="342">
        <f>B68*E11</f>
        <v>15079.5</v>
      </c>
      <c r="D68" s="18"/>
      <c r="E68" s="57"/>
      <c r="F68" s="18"/>
      <c r="G68" s="464" t="s">
        <v>250</v>
      </c>
      <c r="H68" s="465"/>
      <c r="I68" s="460"/>
      <c r="J68" s="373"/>
      <c r="O68"/>
      <c r="P68"/>
      <c r="Q68"/>
      <c r="R68"/>
      <c r="S68"/>
      <c r="T68"/>
      <c r="U68"/>
    </row>
    <row r="69" spans="1:21" ht="16.5" thickBot="1">
      <c r="A69" s="208" t="s">
        <v>34</v>
      </c>
      <c r="B69" s="451">
        <f>1-B68</f>
        <v>0.5</v>
      </c>
      <c r="C69" s="343">
        <f>B69*E11</f>
        <v>15079.5</v>
      </c>
      <c r="D69" s="60"/>
      <c r="E69" s="147"/>
      <c r="F69" s="18"/>
      <c r="G69" s="464" t="s">
        <v>251</v>
      </c>
      <c r="H69" s="465"/>
      <c r="I69" s="460"/>
      <c r="J69" s="373"/>
      <c r="K69"/>
      <c r="L69"/>
      <c r="M69"/>
      <c r="N69"/>
      <c r="O69"/>
      <c r="P69"/>
      <c r="Q69"/>
      <c r="R69"/>
      <c r="S69"/>
      <c r="T69"/>
      <c r="U69"/>
    </row>
    <row r="70" spans="1:21" ht="16.5" thickBot="1">
      <c r="F70" s="18"/>
      <c r="G70" s="464" t="s">
        <v>252</v>
      </c>
      <c r="H70" s="465"/>
      <c r="I70" s="460"/>
      <c r="J70" s="373"/>
      <c r="K70"/>
      <c r="L70"/>
      <c r="M70"/>
      <c r="N70"/>
      <c r="O70"/>
      <c r="P70"/>
      <c r="Q70"/>
      <c r="R70"/>
      <c r="S70"/>
      <c r="T70"/>
      <c r="U70"/>
    </row>
    <row r="71" spans="1:21" ht="15.75">
      <c r="A71" s="193" t="s">
        <v>54</v>
      </c>
      <c r="B71" s="220"/>
      <c r="C71" s="221"/>
      <c r="D71" s="221"/>
      <c r="E71" s="230"/>
      <c r="G71" s="464" t="s">
        <v>253</v>
      </c>
      <c r="H71" s="465"/>
      <c r="I71" s="460"/>
      <c r="J71" s="373"/>
      <c r="K71"/>
      <c r="L71"/>
      <c r="M71"/>
      <c r="N71"/>
      <c r="O71"/>
      <c r="P71"/>
      <c r="Q71"/>
      <c r="R71"/>
      <c r="S71"/>
      <c r="T71"/>
      <c r="U71"/>
    </row>
    <row r="72" spans="1:21" ht="15.75">
      <c r="A72" s="58"/>
      <c r="B72" s="18"/>
      <c r="C72" s="406"/>
      <c r="D72" s="18"/>
      <c r="E72" s="57"/>
      <c r="F72" s="201"/>
      <c r="G72" s="464" t="s">
        <v>254</v>
      </c>
      <c r="H72" s="465"/>
      <c r="I72" s="460"/>
      <c r="J72" s="373"/>
      <c r="K72"/>
      <c r="L72"/>
      <c r="M72"/>
      <c r="N72"/>
      <c r="O72"/>
      <c r="P72"/>
      <c r="Q72"/>
      <c r="R72"/>
      <c r="S72"/>
      <c r="T72"/>
      <c r="U72"/>
    </row>
    <row r="73" spans="1:21" ht="15.75">
      <c r="A73" s="206"/>
      <c r="B73" s="463" t="s">
        <v>56</v>
      </c>
      <c r="C73" s="352" t="s">
        <v>57</v>
      </c>
      <c r="D73" s="352" t="s">
        <v>58</v>
      </c>
      <c r="E73" s="421" t="s">
        <v>59</v>
      </c>
      <c r="F73" s="201"/>
      <c r="G73" s="464" t="s">
        <v>255</v>
      </c>
      <c r="H73" s="465"/>
      <c r="I73" s="460"/>
      <c r="J73" s="373"/>
      <c r="K73"/>
      <c r="L73"/>
      <c r="M73"/>
      <c r="N73"/>
      <c r="O73"/>
      <c r="P73"/>
      <c r="Q73"/>
      <c r="R73"/>
      <c r="S73"/>
      <c r="T73"/>
      <c r="U73"/>
    </row>
    <row r="74" spans="1:21" ht="16.5" thickBot="1">
      <c r="A74" s="222" t="s">
        <v>60</v>
      </c>
      <c r="B74" s="223"/>
      <c r="C74" s="223"/>
      <c r="D74" s="223"/>
      <c r="E74" s="207"/>
      <c r="F74" s="18"/>
      <c r="G74" s="466" t="s">
        <v>256</v>
      </c>
      <c r="H74" s="388"/>
      <c r="I74" s="467"/>
      <c r="K74"/>
      <c r="L74"/>
      <c r="M74"/>
      <c r="N74"/>
      <c r="O74"/>
      <c r="P74"/>
      <c r="Q74"/>
      <c r="R74"/>
      <c r="S74"/>
      <c r="T74"/>
      <c r="U74"/>
    </row>
    <row r="75" spans="1:21" ht="16.5" thickBot="1">
      <c r="A75" s="224" t="s">
        <v>61</v>
      </c>
      <c r="B75" s="354">
        <f>E18</f>
        <v>0</v>
      </c>
      <c r="C75" s="344">
        <v>15</v>
      </c>
      <c r="D75" s="452" t="s">
        <v>62</v>
      </c>
      <c r="E75" s="520">
        <v>0</v>
      </c>
      <c r="F75" s="18"/>
      <c r="K75"/>
      <c r="L75"/>
      <c r="M75"/>
      <c r="N75"/>
      <c r="O75"/>
      <c r="P75"/>
      <c r="Q75"/>
      <c r="R75"/>
      <c r="S75"/>
      <c r="T75"/>
      <c r="U75"/>
    </row>
    <row r="76" spans="1:21" ht="15.75">
      <c r="A76" s="224" t="s">
        <v>63</v>
      </c>
      <c r="B76" s="354">
        <f>E31</f>
        <v>122076.76499999998</v>
      </c>
      <c r="C76" s="344">
        <v>20</v>
      </c>
      <c r="D76" s="452" t="s">
        <v>64</v>
      </c>
      <c r="E76" s="520">
        <v>0</v>
      </c>
      <c r="F76" s="18"/>
      <c r="G76" s="195" t="s">
        <v>72</v>
      </c>
      <c r="H76" s="229"/>
      <c r="I76" s="230"/>
      <c r="J76" s="373"/>
      <c r="K76"/>
      <c r="L76"/>
      <c r="M76"/>
      <c r="N76"/>
      <c r="O76"/>
      <c r="P76"/>
      <c r="Q76"/>
      <c r="R76"/>
      <c r="S76"/>
      <c r="T76"/>
      <c r="U76"/>
    </row>
    <row r="77" spans="1:21" ht="15.75">
      <c r="A77" s="224"/>
      <c r="B77" s="355"/>
      <c r="C77" s="225"/>
      <c r="D77" s="225"/>
      <c r="E77" s="521"/>
      <c r="F77" s="18"/>
      <c r="G77" s="346" t="s">
        <v>73</v>
      </c>
      <c r="H77" s="201"/>
      <c r="I77" s="57"/>
      <c r="J77" s="373"/>
      <c r="K77"/>
      <c r="L77"/>
      <c r="M77"/>
      <c r="N77"/>
      <c r="O77"/>
      <c r="P77"/>
      <c r="Q77"/>
      <c r="R77"/>
      <c r="S77"/>
      <c r="T77"/>
      <c r="U77"/>
    </row>
    <row r="78" spans="1:21" ht="15.75">
      <c r="A78" s="222" t="s">
        <v>66</v>
      </c>
      <c r="B78" s="355"/>
      <c r="C78" s="226"/>
      <c r="D78" s="225"/>
      <c r="E78" s="522"/>
      <c r="F78" s="18"/>
      <c r="G78" s="346" t="s">
        <v>315</v>
      </c>
      <c r="H78" s="18"/>
      <c r="I78" s="417">
        <v>0.89012066365007547</v>
      </c>
      <c r="J78" s="373"/>
      <c r="K78"/>
      <c r="L78"/>
      <c r="M78"/>
      <c r="N78"/>
      <c r="O78"/>
      <c r="P78"/>
      <c r="Q78"/>
      <c r="R78"/>
      <c r="S78"/>
      <c r="T78"/>
      <c r="U78"/>
    </row>
    <row r="79" spans="1:21" ht="15.75">
      <c r="A79" s="224" t="s">
        <v>61</v>
      </c>
      <c r="B79" s="354">
        <f>E18</f>
        <v>0</v>
      </c>
      <c r="C79" s="344">
        <v>30</v>
      </c>
      <c r="D79" s="452" t="s">
        <v>64</v>
      </c>
      <c r="E79" s="523">
        <v>0.1</v>
      </c>
      <c r="F79" s="18"/>
      <c r="G79" s="346" t="s">
        <v>316</v>
      </c>
      <c r="H79" s="18"/>
      <c r="I79" s="417">
        <v>0.89012066365007547</v>
      </c>
      <c r="J79" s="373"/>
      <c r="K79"/>
      <c r="L79"/>
      <c r="M79"/>
      <c r="N79"/>
      <c r="O79"/>
      <c r="P79"/>
      <c r="Q79"/>
      <c r="R79"/>
      <c r="S79"/>
      <c r="T79"/>
      <c r="U79"/>
    </row>
    <row r="80" spans="1:21" ht="16.5" thickBot="1">
      <c r="A80" s="227" t="s">
        <v>63</v>
      </c>
      <c r="B80" s="356">
        <f>E31</f>
        <v>122076.76499999998</v>
      </c>
      <c r="C80" s="357">
        <v>20</v>
      </c>
      <c r="D80" s="453" t="s">
        <v>64</v>
      </c>
      <c r="E80" s="524">
        <v>0</v>
      </c>
      <c r="F80" s="18"/>
      <c r="G80" s="346" t="s">
        <v>246</v>
      </c>
      <c r="H80" s="201"/>
      <c r="I80" s="57"/>
      <c r="J80" s="373"/>
      <c r="K80"/>
      <c r="L80"/>
      <c r="M80"/>
      <c r="N80"/>
      <c r="O80"/>
      <c r="P80"/>
      <c r="Q80"/>
      <c r="R80"/>
      <c r="S80"/>
      <c r="T80"/>
      <c r="U80"/>
    </row>
    <row r="81" spans="1:21" ht="15.75">
      <c r="A81" s="65"/>
      <c r="B81" s="65"/>
      <c r="C81" s="65"/>
      <c r="D81" s="65"/>
      <c r="E81" s="65"/>
      <c r="F81" s="18"/>
      <c r="G81" s="346" t="s">
        <v>315</v>
      </c>
      <c r="H81" s="18"/>
      <c r="I81" s="417">
        <v>0.89012066365007547</v>
      </c>
      <c r="J81" s="373"/>
      <c r="K81"/>
      <c r="L81"/>
      <c r="M81"/>
      <c r="N81"/>
      <c r="O81"/>
      <c r="P81"/>
      <c r="Q81"/>
      <c r="R81"/>
      <c r="S81"/>
      <c r="T81"/>
      <c r="U81"/>
    </row>
    <row r="82" spans="1:21" ht="16.5" thickBot="1">
      <c r="F82" s="65"/>
      <c r="G82" s="346" t="s">
        <v>316</v>
      </c>
      <c r="H82" s="18"/>
      <c r="I82" s="417">
        <v>0.89012066365007547</v>
      </c>
      <c r="J82" s="373"/>
      <c r="K82"/>
      <c r="L82"/>
      <c r="M82"/>
      <c r="N82"/>
      <c r="O82"/>
      <c r="P82"/>
      <c r="Q82"/>
      <c r="R82"/>
      <c r="S82"/>
      <c r="T82"/>
      <c r="U82"/>
    </row>
    <row r="83" spans="1:21" ht="15.75">
      <c r="A83" s="195" t="s">
        <v>71</v>
      </c>
      <c r="B83" s="229"/>
      <c r="C83" s="229"/>
      <c r="D83" s="229"/>
      <c r="E83" s="230"/>
      <c r="G83" s="206" t="s">
        <v>224</v>
      </c>
      <c r="H83" s="201"/>
      <c r="I83" s="417">
        <v>7.0000000000000007E-2</v>
      </c>
      <c r="J83" s="373"/>
      <c r="K83"/>
      <c r="L83"/>
      <c r="M83"/>
      <c r="N83"/>
      <c r="O83"/>
      <c r="P83"/>
      <c r="Q83"/>
      <c r="R83"/>
      <c r="S83"/>
      <c r="T83"/>
      <c r="U83"/>
    </row>
    <row r="84" spans="1:21" ht="15.75">
      <c r="A84" s="206"/>
      <c r="B84" s="201"/>
      <c r="C84" s="201"/>
      <c r="D84" s="201"/>
      <c r="E84" s="207"/>
      <c r="F84" s="201"/>
      <c r="G84" s="206" t="s">
        <v>261</v>
      </c>
      <c r="H84" s="201"/>
      <c r="I84" s="417">
        <v>0</v>
      </c>
      <c r="J84" s="373"/>
      <c r="K84"/>
      <c r="L84"/>
      <c r="M84"/>
      <c r="N84"/>
      <c r="O84"/>
      <c r="P84"/>
      <c r="Q84"/>
      <c r="R84"/>
      <c r="S84"/>
      <c r="T84"/>
      <c r="U84"/>
    </row>
    <row r="85" spans="1:21" ht="15.75">
      <c r="A85" s="210" t="s">
        <v>6</v>
      </c>
      <c r="B85" s="215"/>
      <c r="C85" s="200" t="s">
        <v>75</v>
      </c>
      <c r="D85" s="200" t="s">
        <v>74</v>
      </c>
      <c r="E85" s="57"/>
      <c r="F85" s="201"/>
      <c r="G85" s="206" t="s">
        <v>76</v>
      </c>
      <c r="H85" s="201"/>
      <c r="I85" s="410">
        <v>0.03</v>
      </c>
      <c r="J85" s="373"/>
      <c r="K85"/>
      <c r="L85"/>
      <c r="M85"/>
      <c r="N85"/>
      <c r="O85"/>
      <c r="P85"/>
      <c r="Q85"/>
      <c r="R85"/>
      <c r="S85"/>
      <c r="T85"/>
      <c r="U85"/>
    </row>
    <row r="86" spans="1:21" ht="15.75">
      <c r="A86" s="58"/>
      <c r="B86" s="201"/>
      <c r="C86" s="216">
        <f>Debt!B96</f>
        <v>9.2478059794635168E+16</v>
      </c>
      <c r="D86" s="216">
        <f>Debt!B97</f>
        <v>1.1093798812812965</v>
      </c>
      <c r="E86" s="57"/>
      <c r="F86" s="201"/>
      <c r="G86" s="58"/>
      <c r="H86" s="18"/>
      <c r="I86" s="57"/>
      <c r="J86" s="373"/>
      <c r="K86"/>
      <c r="L86"/>
      <c r="M86"/>
      <c r="N86"/>
      <c r="O86"/>
      <c r="P86"/>
      <c r="Q86"/>
      <c r="R86"/>
      <c r="S86"/>
      <c r="T86"/>
      <c r="U86"/>
    </row>
    <row r="87" spans="1:21" ht="15.75">
      <c r="A87" s="58"/>
      <c r="B87" s="18"/>
      <c r="C87" s="18"/>
      <c r="D87" s="18"/>
      <c r="E87" s="57"/>
      <c r="F87" s="201"/>
      <c r="G87" s="206"/>
      <c r="H87" s="201"/>
      <c r="I87" s="57"/>
      <c r="J87" s="373"/>
      <c r="K87"/>
      <c r="L87"/>
      <c r="M87"/>
      <c r="N87"/>
      <c r="O87"/>
      <c r="P87"/>
      <c r="Q87"/>
      <c r="R87"/>
      <c r="S87"/>
      <c r="T87"/>
      <c r="U87"/>
    </row>
    <row r="88" spans="1:21" ht="15.75">
      <c r="A88" s="210" t="s">
        <v>80</v>
      </c>
      <c r="B88" s="201"/>
      <c r="C88" s="218" t="e">
        <f>#REF!/I24</f>
        <v>#REF!</v>
      </c>
      <c r="D88" s="201"/>
      <c r="E88" s="57"/>
      <c r="F88" s="18"/>
      <c r="G88" s="228" t="s">
        <v>225</v>
      </c>
      <c r="H88" s="201"/>
      <c r="I88" s="207"/>
      <c r="J88" s="373"/>
      <c r="K88"/>
      <c r="L88"/>
      <c r="M88"/>
      <c r="N88"/>
      <c r="O88"/>
      <c r="P88"/>
    </row>
    <row r="89" spans="1:21" ht="15.75">
      <c r="A89" s="206"/>
      <c r="B89" s="201"/>
      <c r="C89" s="218"/>
      <c r="D89" s="201"/>
      <c r="E89" s="57"/>
      <c r="F89" s="201"/>
      <c r="G89" s="206" t="s">
        <v>77</v>
      </c>
      <c r="H89" s="201"/>
      <c r="I89" s="419">
        <f>701.45</f>
        <v>701.45</v>
      </c>
      <c r="J89" s="373"/>
      <c r="K89"/>
      <c r="L89"/>
      <c r="M89"/>
      <c r="N89"/>
      <c r="O89"/>
      <c r="P89"/>
    </row>
    <row r="90" spans="1:21" ht="15.75">
      <c r="A90" s="210" t="s">
        <v>220</v>
      </c>
      <c r="B90" s="18"/>
      <c r="C90" s="18"/>
      <c r="D90" s="18"/>
      <c r="E90" s="57"/>
      <c r="F90" s="201"/>
      <c r="G90" s="206" t="s">
        <v>78</v>
      </c>
      <c r="H90" s="201"/>
      <c r="I90" s="263">
        <f>I78*I43/1000</f>
        <v>0.40767526395173459</v>
      </c>
      <c r="J90" s="373"/>
      <c r="K90"/>
      <c r="L90"/>
      <c r="M90"/>
      <c r="N90"/>
      <c r="O90"/>
      <c r="P90"/>
    </row>
    <row r="91" spans="1:21" ht="15.75">
      <c r="A91" s="206" t="s">
        <v>277</v>
      </c>
      <c r="B91" s="201"/>
      <c r="C91" s="345">
        <f>CF!D47</f>
        <v>0.2527119934558868</v>
      </c>
      <c r="D91" s="18"/>
      <c r="E91" s="57"/>
      <c r="F91" s="18"/>
      <c r="G91" s="206" t="s">
        <v>79</v>
      </c>
      <c r="H91" s="201"/>
      <c r="I91" s="419">
        <v>1349.28</v>
      </c>
      <c r="J91" s="373"/>
      <c r="K91"/>
      <c r="L91"/>
      <c r="M91"/>
      <c r="N91"/>
      <c r="O91"/>
      <c r="P91"/>
    </row>
    <row r="92" spans="1:21" ht="15.75">
      <c r="A92" s="206" t="s">
        <v>310</v>
      </c>
      <c r="B92" s="18"/>
      <c r="C92" s="345">
        <f>CF!D53</f>
        <v>0.26851438879966738</v>
      </c>
      <c r="D92" s="201"/>
      <c r="E92" s="57"/>
      <c r="F92" s="18"/>
      <c r="G92" s="206" t="s">
        <v>81</v>
      </c>
      <c r="H92" s="201"/>
      <c r="I92" s="419">
        <f>255.76</f>
        <v>255.76</v>
      </c>
      <c r="J92" s="373"/>
      <c r="K92"/>
      <c r="L92"/>
      <c r="M92"/>
      <c r="N92"/>
      <c r="O92"/>
      <c r="P92"/>
    </row>
    <row r="93" spans="1:21" ht="15.75">
      <c r="A93" s="206"/>
      <c r="B93" s="201"/>
      <c r="C93" s="345"/>
      <c r="D93" s="201"/>
      <c r="E93" s="57"/>
      <c r="F93" s="201"/>
      <c r="G93" s="206" t="s">
        <v>82</v>
      </c>
      <c r="H93" s="201"/>
      <c r="I93" s="419">
        <f>443.2203</f>
        <v>443.22030000000001</v>
      </c>
      <c r="J93" s="373"/>
      <c r="K93"/>
      <c r="L93"/>
      <c r="M93"/>
      <c r="N93"/>
      <c r="O93"/>
      <c r="P93"/>
    </row>
    <row r="94" spans="1:21" ht="15.75">
      <c r="A94" s="206"/>
      <c r="B94" s="223"/>
      <c r="C94" s="217"/>
      <c r="D94" s="345"/>
      <c r="E94" s="207"/>
      <c r="F94" s="201"/>
      <c r="G94" s="206" t="s">
        <v>83</v>
      </c>
      <c r="H94" s="201"/>
      <c r="I94" s="419">
        <f>44.11203</f>
        <v>44.112029999999997</v>
      </c>
      <c r="J94" s="373"/>
      <c r="K94"/>
      <c r="L94"/>
      <c r="M94"/>
      <c r="N94"/>
      <c r="O94"/>
      <c r="P94"/>
    </row>
    <row r="95" spans="1:21" ht="15.75">
      <c r="A95" s="210" t="s">
        <v>221</v>
      </c>
      <c r="B95" s="200">
        <v>2000</v>
      </c>
      <c r="C95" s="200">
        <v>2001</v>
      </c>
      <c r="D95" s="200">
        <v>2002</v>
      </c>
      <c r="E95" s="421">
        <v>2003</v>
      </c>
      <c r="F95" s="201"/>
      <c r="G95" s="206" t="s">
        <v>84</v>
      </c>
      <c r="H95" s="201"/>
      <c r="I95" s="419">
        <v>152.94117647058826</v>
      </c>
      <c r="J95" s="373"/>
      <c r="K95"/>
      <c r="L95"/>
      <c r="M95"/>
      <c r="N95"/>
      <c r="O95"/>
      <c r="P95"/>
    </row>
    <row r="96" spans="1:21" ht="15.75">
      <c r="A96" s="206" t="s">
        <v>278</v>
      </c>
      <c r="B96" s="218">
        <f>IS!E42</f>
        <v>18696.866694684348</v>
      </c>
      <c r="C96" s="218">
        <f>IS!F42</f>
        <v>18653.794981252136</v>
      </c>
      <c r="D96" s="218">
        <f>IS!G42</f>
        <v>18609.041265038704</v>
      </c>
      <c r="E96" s="400">
        <f>IS!H42</f>
        <v>23907.316879494854</v>
      </c>
      <c r="F96" s="200"/>
      <c r="G96" s="206" t="s">
        <v>85</v>
      </c>
      <c r="H96" s="201"/>
      <c r="I96" s="419">
        <v>200</v>
      </c>
      <c r="J96" s="373"/>
      <c r="K96"/>
      <c r="L96"/>
      <c r="M96"/>
      <c r="N96"/>
      <c r="O96"/>
      <c r="P96"/>
    </row>
    <row r="97" spans="1:16" ht="15.75">
      <c r="A97" s="206" t="s">
        <v>279</v>
      </c>
      <c r="B97" s="218">
        <f>IS!E55</f>
        <v>8003.2165671271368</v>
      </c>
      <c r="C97" s="218">
        <f>IS!F55</f>
        <v>7976.8997502200564</v>
      </c>
      <c r="D97" s="218">
        <f>IS!G55</f>
        <v>7949.5552296136484</v>
      </c>
      <c r="E97" s="400">
        <f>IS!H55</f>
        <v>11186.801630046357</v>
      </c>
      <c r="F97" s="218"/>
      <c r="G97" s="206"/>
      <c r="H97" s="201"/>
      <c r="I97" s="207"/>
      <c r="J97" s="373"/>
      <c r="K97"/>
      <c r="L97"/>
      <c r="M97"/>
      <c r="N97"/>
      <c r="O97"/>
      <c r="P97"/>
    </row>
    <row r="98" spans="1:16" ht="15.75">
      <c r="A98" s="206" t="s">
        <v>280</v>
      </c>
      <c r="B98" s="218">
        <f>CF!E18</f>
        <v>6694.0612571843476</v>
      </c>
      <c r="C98" s="218">
        <f>CF!F18</f>
        <v>7030.4058337521365</v>
      </c>
      <c r="D98" s="218">
        <f>CF!G18</f>
        <v>7365.0684075387053</v>
      </c>
      <c r="E98" s="400">
        <f>CF!H18</f>
        <v>13042.760311994854</v>
      </c>
      <c r="F98" s="218"/>
      <c r="G98" s="228" t="s">
        <v>226</v>
      </c>
      <c r="H98" s="201"/>
      <c r="I98" s="207"/>
      <c r="J98" s="373"/>
      <c r="K98"/>
      <c r="L98"/>
      <c r="M98"/>
      <c r="N98"/>
      <c r="O98"/>
      <c r="P98"/>
    </row>
    <row r="99" spans="1:16" ht="16.5" thickBot="1">
      <c r="A99" s="208" t="s">
        <v>281</v>
      </c>
      <c r="B99" s="219">
        <f>CF!E23</f>
        <v>3994.5851103771361</v>
      </c>
      <c r="C99" s="219">
        <f>CF!F23</f>
        <v>3892.4709163775556</v>
      </c>
      <c r="D99" s="219">
        <f>CF!G23</f>
        <v>3837.2462467936493</v>
      </c>
      <c r="E99" s="525">
        <f>CF!H23</f>
        <v>7084.9462807408563</v>
      </c>
      <c r="F99" s="218"/>
      <c r="G99" s="208" t="s">
        <v>227</v>
      </c>
      <c r="H99" s="209"/>
      <c r="I99" s="420">
        <v>844.78697579030927</v>
      </c>
      <c r="J99" s="373"/>
      <c r="K99"/>
      <c r="L99"/>
      <c r="M99"/>
      <c r="N99"/>
      <c r="O99"/>
      <c r="P99"/>
    </row>
    <row r="100" spans="1:16" ht="15.75">
      <c r="F100" s="218"/>
      <c r="J100" s="373"/>
      <c r="K100"/>
      <c r="L100"/>
      <c r="M100"/>
      <c r="N100"/>
      <c r="O100"/>
      <c r="P100"/>
    </row>
    <row r="101" spans="1:16" ht="15.75">
      <c r="J101" s="373"/>
      <c r="K101"/>
      <c r="L101"/>
      <c r="M101"/>
      <c r="N101"/>
      <c r="O101"/>
      <c r="P101"/>
    </row>
    <row r="102" spans="1:16" ht="15.75">
      <c r="D102"/>
      <c r="E102"/>
      <c r="J102" s="373"/>
      <c r="K102"/>
      <c r="L102"/>
      <c r="M102"/>
      <c r="N102"/>
      <c r="O102"/>
      <c r="P102"/>
    </row>
    <row r="103" spans="1:16" ht="15.75">
      <c r="D103"/>
      <c r="E103"/>
      <c r="J103" s="373"/>
      <c r="K103"/>
      <c r="L103"/>
      <c r="M103"/>
      <c r="N103"/>
      <c r="O103"/>
      <c r="P103"/>
    </row>
    <row r="104" spans="1:16" ht="15.75">
      <c r="D104"/>
      <c r="E104"/>
      <c r="J104" s="373"/>
      <c r="K104"/>
      <c r="L104"/>
      <c r="M104"/>
      <c r="N104"/>
      <c r="O104"/>
      <c r="P104"/>
    </row>
    <row r="105" spans="1:16" ht="15.75">
      <c r="D105"/>
      <c r="E105"/>
      <c r="J105" s="373"/>
      <c r="K105"/>
      <c r="L105"/>
      <c r="M105"/>
      <c r="N105"/>
      <c r="O105"/>
      <c r="P105"/>
    </row>
    <row r="106" spans="1:16" ht="15.75">
      <c r="D106"/>
      <c r="E106"/>
      <c r="J106" s="373"/>
      <c r="K106"/>
      <c r="L106"/>
      <c r="M106"/>
      <c r="N106"/>
      <c r="O106"/>
      <c r="P106"/>
    </row>
    <row r="107" spans="1:16" ht="15.75">
      <c r="D107"/>
      <c r="E107"/>
      <c r="J107" s="373"/>
      <c r="K107"/>
      <c r="L107"/>
      <c r="M107"/>
      <c r="N107"/>
      <c r="O107"/>
      <c r="P107"/>
    </row>
    <row r="108" spans="1:16" ht="15.75">
      <c r="D108"/>
      <c r="E108"/>
      <c r="J108" s="373"/>
      <c r="K108"/>
      <c r="L108"/>
      <c r="M108"/>
      <c r="N108"/>
      <c r="O108"/>
      <c r="P108"/>
    </row>
    <row r="109" spans="1:16" ht="15.75">
      <c r="D109"/>
      <c r="E109"/>
      <c r="J109" s="373"/>
      <c r="K109"/>
      <c r="L109"/>
      <c r="M109"/>
      <c r="N109"/>
      <c r="O109"/>
      <c r="P109"/>
    </row>
    <row r="110" spans="1:16" ht="15.75">
      <c r="D110"/>
      <c r="E110"/>
      <c r="J110" s="373"/>
      <c r="K110"/>
      <c r="L110"/>
      <c r="M110"/>
      <c r="N110"/>
      <c r="O110"/>
      <c r="P110"/>
    </row>
    <row r="111" spans="1:16" ht="15.75">
      <c r="J111" s="373"/>
      <c r="K111"/>
      <c r="L111"/>
      <c r="M111"/>
      <c r="N111"/>
      <c r="O111"/>
      <c r="P111"/>
    </row>
    <row r="112" spans="1:16" ht="15.75">
      <c r="J112" s="373"/>
      <c r="K112"/>
      <c r="L112"/>
      <c r="M112"/>
      <c r="N112"/>
      <c r="O112"/>
      <c r="P112"/>
    </row>
    <row r="113" spans="10:26">
      <c r="K113"/>
      <c r="L113"/>
      <c r="M113"/>
      <c r="N113"/>
      <c r="O113"/>
      <c r="P113"/>
    </row>
    <row r="114" spans="10:26">
      <c r="K114"/>
      <c r="L114"/>
      <c r="M114"/>
      <c r="N114"/>
      <c r="O114"/>
      <c r="P114"/>
    </row>
    <row r="115" spans="10:26" ht="15.75">
      <c r="J115" s="373"/>
      <c r="K115"/>
      <c r="L115"/>
      <c r="M115"/>
      <c r="N115"/>
      <c r="O115"/>
      <c r="P115"/>
    </row>
    <row r="116" spans="10:26" ht="15.75">
      <c r="J116" s="373"/>
      <c r="K116"/>
      <c r="L116"/>
      <c r="M116"/>
      <c r="N116"/>
      <c r="O116"/>
      <c r="P116"/>
    </row>
    <row r="117" spans="10:26" ht="15.75">
      <c r="J117" s="373"/>
      <c r="K117"/>
      <c r="L117"/>
      <c r="M117"/>
      <c r="N117"/>
      <c r="O117"/>
      <c r="P117"/>
    </row>
    <row r="118" spans="10:26" ht="15.75">
      <c r="J118" s="373"/>
      <c r="K118"/>
      <c r="L118"/>
      <c r="M118"/>
      <c r="N118"/>
      <c r="O118"/>
      <c r="P118"/>
    </row>
    <row r="119" spans="10:26" ht="15.75">
      <c r="J119" s="373"/>
      <c r="K119"/>
      <c r="L119"/>
      <c r="M119"/>
      <c r="N119"/>
      <c r="O119"/>
      <c r="P119"/>
    </row>
    <row r="120" spans="10:26" ht="15.75">
      <c r="J120" s="373"/>
      <c r="K120"/>
      <c r="L120"/>
      <c r="M120"/>
      <c r="N120"/>
      <c r="O120"/>
      <c r="P120"/>
    </row>
    <row r="121" spans="10:26" ht="15.75">
      <c r="J121" s="373"/>
      <c r="K121"/>
      <c r="L121"/>
      <c r="M121"/>
      <c r="N121"/>
      <c r="O121"/>
      <c r="P121"/>
    </row>
    <row r="122" spans="10:26" ht="15.75">
      <c r="J122" s="373"/>
      <c r="K122"/>
      <c r="L122"/>
      <c r="M122"/>
      <c r="N122"/>
      <c r="O122"/>
      <c r="P122"/>
    </row>
    <row r="123" spans="10:26" ht="15.75">
      <c r="J123" s="373"/>
      <c r="K123"/>
      <c r="L123"/>
      <c r="M123"/>
      <c r="N123"/>
      <c r="O123"/>
      <c r="P123"/>
    </row>
    <row r="124" spans="10:26">
      <c r="K124"/>
      <c r="L124"/>
      <c r="M124"/>
      <c r="N124"/>
      <c r="O124"/>
      <c r="P124"/>
    </row>
    <row r="128" spans="10:26"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0:26"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0:26" ht="15.75">
      <c r="J130"/>
      <c r="K130" s="374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0:26">
      <c r="J131"/>
      <c r="K131" s="18"/>
      <c r="L131" s="18"/>
      <c r="M131" s="156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0:26">
      <c r="J132"/>
      <c r="K132" s="18"/>
      <c r="L132" s="18"/>
      <c r="M132" s="156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0:26">
      <c r="J133"/>
      <c r="K133" s="18"/>
      <c r="L133" s="18"/>
      <c r="M133" s="156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0:26" ht="15.75">
      <c r="J134"/>
      <c r="K134" s="18"/>
      <c r="L134" s="18"/>
      <c r="M134" s="368"/>
      <c r="N134" s="367"/>
      <c r="O134" s="367"/>
      <c r="P134" s="367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0:26" ht="15.75">
      <c r="J135"/>
      <c r="K135" s="367"/>
      <c r="L135" s="367"/>
      <c r="M135" s="366"/>
      <c r="N135" s="369"/>
      <c r="O135" s="369"/>
      <c r="P135" s="369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0:26" ht="15.75">
      <c r="J136"/>
      <c r="K136" s="369"/>
      <c r="L136" s="369"/>
      <c r="M136" s="371"/>
      <c r="N136" s="370"/>
      <c r="O136" s="370"/>
      <c r="P136" s="370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0:26" ht="15.75">
      <c r="J137"/>
      <c r="K137" s="370"/>
      <c r="L137" s="370"/>
      <c r="M137" s="371"/>
      <c r="N137" s="370"/>
      <c r="O137" s="370"/>
      <c r="P137" s="370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0:26" ht="15.75">
      <c r="J138"/>
      <c r="K138" s="370"/>
      <c r="L138" s="370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0:26">
      <c r="J139"/>
      <c r="K139" s="18"/>
      <c r="L139" s="18"/>
    </row>
    <row r="140" spans="10:26">
      <c r="J140"/>
    </row>
    <row r="141" spans="10:26" ht="15.75">
      <c r="J141"/>
      <c r="K141" s="374"/>
    </row>
    <row r="142" spans="10:26">
      <c r="J142"/>
      <c r="K142" s="18"/>
    </row>
    <row r="143" spans="10:26">
      <c r="J143"/>
      <c r="K143" s="18"/>
    </row>
    <row r="144" spans="10:26">
      <c r="J144"/>
      <c r="K144" s="18"/>
    </row>
    <row r="145" spans="4:11">
      <c r="J145"/>
      <c r="K145" s="18"/>
    </row>
    <row r="146" spans="4:11">
      <c r="J146"/>
      <c r="K146" s="18"/>
    </row>
    <row r="147" spans="4:11">
      <c r="J147"/>
      <c r="K147" s="18"/>
    </row>
    <row r="148" spans="4:11" ht="15.75">
      <c r="J148"/>
      <c r="K148" s="367"/>
    </row>
    <row r="149" spans="4:11" ht="15.75">
      <c r="J149"/>
      <c r="K149" s="369"/>
    </row>
    <row r="150" spans="4:11" ht="15.75">
      <c r="J150"/>
      <c r="K150" s="370"/>
    </row>
    <row r="151" spans="4:11" ht="15.75">
      <c r="J151"/>
      <c r="K151" s="370"/>
    </row>
    <row r="152" spans="4:11">
      <c r="J152"/>
    </row>
    <row r="153" spans="4:11">
      <c r="J153"/>
    </row>
    <row r="154" spans="4:11">
      <c r="J154"/>
    </row>
    <row r="155" spans="4:11">
      <c r="J155"/>
    </row>
    <row r="156" spans="4:11">
      <c r="J156"/>
    </row>
    <row r="157" spans="4:11">
      <c r="G157"/>
      <c r="H157"/>
      <c r="I157"/>
      <c r="J157"/>
    </row>
    <row r="158" spans="4:11">
      <c r="G158"/>
      <c r="H158"/>
      <c r="I158"/>
    </row>
    <row r="159" spans="4:11">
      <c r="D159"/>
      <c r="E159"/>
      <c r="G159"/>
      <c r="H159"/>
      <c r="I159"/>
    </row>
    <row r="160" spans="4:11">
      <c r="D160"/>
      <c r="E160"/>
      <c r="G160"/>
      <c r="H160"/>
      <c r="I160"/>
    </row>
    <row r="161" spans="4:9">
      <c r="D161"/>
      <c r="E161"/>
      <c r="G161"/>
      <c r="H161"/>
      <c r="I161"/>
    </row>
    <row r="162" spans="4:9">
      <c r="D162"/>
      <c r="E162"/>
      <c r="G162"/>
      <c r="H162"/>
      <c r="I162"/>
    </row>
    <row r="165" spans="4:9">
      <c r="G165"/>
      <c r="H165"/>
      <c r="I165"/>
    </row>
    <row r="166" spans="4:9">
      <c r="G166"/>
      <c r="H166"/>
      <c r="I166"/>
    </row>
    <row r="167" spans="4:9">
      <c r="G167"/>
      <c r="H167"/>
      <c r="I167"/>
    </row>
    <row r="168" spans="4:9">
      <c r="G168"/>
      <c r="H168"/>
      <c r="I168"/>
    </row>
    <row r="169" spans="4:9">
      <c r="G169"/>
      <c r="H169"/>
      <c r="I169"/>
    </row>
    <row r="170" spans="4:9">
      <c r="G170"/>
      <c r="H170"/>
      <c r="I170"/>
    </row>
  </sheetData>
  <pageMargins left="0.18" right="0.17" top="0.37" bottom="0.4" header="0.17" footer="0.21"/>
  <pageSetup scale="24" orientation="landscape" r:id="rId1"/>
  <headerFooter alignWithMargins="0">
    <oddFooter>&amp;L&amp;T, &amp;D&amp;C&amp;F&amp;RPage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39"/>
  <sheetViews>
    <sheetView topLeftCell="A23" zoomScale="75" zoomScaleNormal="75" workbookViewId="0">
      <selection activeCell="J25" sqref="J25"/>
    </sheetView>
  </sheetViews>
  <sheetFormatPr defaultColWidth="9.28515625" defaultRowHeight="15.75"/>
  <cols>
    <col min="1" max="1" width="9.5703125" style="65" customWidth="1"/>
    <col min="2" max="2" width="37.28515625" style="65" bestFit="1" customWidth="1"/>
    <col min="3" max="3" width="11.140625" style="65" customWidth="1"/>
    <col min="4" max="4" width="3.7109375" style="65" customWidth="1"/>
    <col min="5" max="9" width="9.85546875" style="65" customWidth="1"/>
    <col min="10" max="11" width="11.5703125" style="65" customWidth="1"/>
    <col min="12" max="12" width="10.28515625" style="65" customWidth="1"/>
    <col min="13" max="26" width="9.85546875" style="65" customWidth="1"/>
    <col min="27" max="16384" width="9.28515625" style="65"/>
  </cols>
  <sheetData>
    <row r="2" spans="1:27" ht="18.75">
      <c r="A2" s="160" t="str">
        <f>Assumptions!A3</f>
        <v>PROJECT NAME:</v>
      </c>
    </row>
    <row r="3" spans="1:27" ht="12" customHeight="1">
      <c r="A3" s="38"/>
      <c r="E3" s="277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</row>
    <row r="4" spans="1:27" ht="18.75">
      <c r="A4" s="407" t="s">
        <v>262</v>
      </c>
      <c r="B4" s="279"/>
      <c r="C4" s="123"/>
      <c r="D4" s="123"/>
      <c r="E4" s="277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</row>
    <row r="5" spans="1:27"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</row>
    <row r="6" spans="1:27">
      <c r="A6" s="324"/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</row>
    <row r="7" spans="1:27">
      <c r="A7" s="324"/>
      <c r="B7" s="290" t="s">
        <v>229</v>
      </c>
      <c r="C7" s="530">
        <f>Assumptions!I85</f>
        <v>0.03</v>
      </c>
      <c r="D7" s="308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</row>
    <row r="8" spans="1:27">
      <c r="A8" s="201"/>
      <c r="B8" s="280"/>
      <c r="C8" s="281"/>
      <c r="D8" s="281"/>
      <c r="E8" s="201"/>
      <c r="F8" s="201"/>
      <c r="G8" s="201"/>
      <c r="H8" s="201"/>
      <c r="I8" s="282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</row>
    <row r="9" spans="1:27">
      <c r="A9" s="323"/>
      <c r="B9" s="201"/>
      <c r="C9" s="201"/>
      <c r="D9" s="201"/>
      <c r="E9" s="283"/>
      <c r="F9" s="536">
        <f>(Assumptions!I17/12)</f>
        <v>0.5</v>
      </c>
      <c r="G9" s="536">
        <f>F9+1</f>
        <v>1.5</v>
      </c>
      <c r="H9" s="536">
        <f t="shared" ref="H9:AA9" si="0">G9+1</f>
        <v>2.5</v>
      </c>
      <c r="I9" s="536">
        <f t="shared" si="0"/>
        <v>3.5</v>
      </c>
      <c r="J9" s="536">
        <f t="shared" si="0"/>
        <v>4.5</v>
      </c>
      <c r="K9" s="536">
        <f t="shared" si="0"/>
        <v>5.5</v>
      </c>
      <c r="L9" s="536">
        <f t="shared" si="0"/>
        <v>6.5</v>
      </c>
      <c r="M9" s="536">
        <f t="shared" si="0"/>
        <v>7.5</v>
      </c>
      <c r="N9" s="536">
        <f t="shared" si="0"/>
        <v>8.5</v>
      </c>
      <c r="O9" s="536">
        <f t="shared" si="0"/>
        <v>9.5</v>
      </c>
      <c r="P9" s="536">
        <f t="shared" si="0"/>
        <v>10.5</v>
      </c>
      <c r="Q9" s="536">
        <f t="shared" si="0"/>
        <v>11.5</v>
      </c>
      <c r="R9" s="536">
        <f t="shared" si="0"/>
        <v>12.5</v>
      </c>
      <c r="S9" s="536">
        <f t="shared" si="0"/>
        <v>13.5</v>
      </c>
      <c r="T9" s="536">
        <f t="shared" si="0"/>
        <v>14.5</v>
      </c>
      <c r="U9" s="536">
        <f t="shared" si="0"/>
        <v>15.5</v>
      </c>
      <c r="V9" s="536">
        <f t="shared" si="0"/>
        <v>16.5</v>
      </c>
      <c r="W9" s="536">
        <f t="shared" si="0"/>
        <v>17.5</v>
      </c>
      <c r="X9" s="536">
        <f t="shared" si="0"/>
        <v>18.5</v>
      </c>
      <c r="Y9" s="536">
        <f t="shared" si="0"/>
        <v>19.5</v>
      </c>
      <c r="Z9" s="536">
        <f t="shared" si="0"/>
        <v>20.5</v>
      </c>
      <c r="AA9" s="536">
        <f t="shared" si="0"/>
        <v>21.5</v>
      </c>
    </row>
    <row r="10" spans="1:27">
      <c r="A10" s="201"/>
      <c r="B10" s="201"/>
      <c r="C10" s="201"/>
      <c r="D10" s="201"/>
      <c r="E10" s="284"/>
      <c r="F10" s="284">
        <f>YEAR(Assumptions!I16)</f>
        <v>1999</v>
      </c>
      <c r="G10" s="284">
        <f t="shared" ref="G10:Z10" si="1">F10+1</f>
        <v>2000</v>
      </c>
      <c r="H10" s="284">
        <f t="shared" si="1"/>
        <v>2001</v>
      </c>
      <c r="I10" s="284">
        <f t="shared" si="1"/>
        <v>2002</v>
      </c>
      <c r="J10" s="284">
        <f t="shared" si="1"/>
        <v>2003</v>
      </c>
      <c r="K10" s="284">
        <f t="shared" si="1"/>
        <v>2004</v>
      </c>
      <c r="L10" s="284">
        <f t="shared" si="1"/>
        <v>2005</v>
      </c>
      <c r="M10" s="284">
        <f t="shared" si="1"/>
        <v>2006</v>
      </c>
      <c r="N10" s="284">
        <f t="shared" si="1"/>
        <v>2007</v>
      </c>
      <c r="O10" s="284">
        <f t="shared" si="1"/>
        <v>2008</v>
      </c>
      <c r="P10" s="284">
        <f t="shared" si="1"/>
        <v>2009</v>
      </c>
      <c r="Q10" s="284">
        <f t="shared" si="1"/>
        <v>2010</v>
      </c>
      <c r="R10" s="284">
        <f t="shared" si="1"/>
        <v>2011</v>
      </c>
      <c r="S10" s="284">
        <f t="shared" si="1"/>
        <v>2012</v>
      </c>
      <c r="T10" s="284">
        <f t="shared" si="1"/>
        <v>2013</v>
      </c>
      <c r="U10" s="284">
        <f t="shared" si="1"/>
        <v>2014</v>
      </c>
      <c r="V10" s="284">
        <f t="shared" si="1"/>
        <v>2015</v>
      </c>
      <c r="W10" s="284">
        <f t="shared" si="1"/>
        <v>2016</v>
      </c>
      <c r="X10" s="284">
        <f t="shared" si="1"/>
        <v>2017</v>
      </c>
      <c r="Y10" s="284">
        <f t="shared" si="1"/>
        <v>2018</v>
      </c>
      <c r="Z10" s="284">
        <f t="shared" si="1"/>
        <v>2019</v>
      </c>
      <c r="AA10" s="284">
        <f>Z10+1</f>
        <v>2020</v>
      </c>
    </row>
    <row r="11" spans="1:27">
      <c r="A11" s="201"/>
      <c r="B11" s="201"/>
      <c r="C11" s="201"/>
      <c r="D11" s="201"/>
      <c r="E11" s="284"/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284"/>
      <c r="S11" s="284"/>
      <c r="T11" s="284"/>
      <c r="U11" s="284"/>
      <c r="V11" s="284"/>
      <c r="W11" s="284"/>
      <c r="X11" s="284"/>
      <c r="Y11" s="284"/>
      <c r="Z11" s="284"/>
      <c r="AA11" s="284"/>
    </row>
    <row r="12" spans="1:27">
      <c r="A12" s="325" t="s">
        <v>230</v>
      </c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</row>
    <row r="13" spans="1:27">
      <c r="A13" s="201"/>
      <c r="B13" s="201" t="s">
        <v>234</v>
      </c>
      <c r="C13" s="285"/>
      <c r="D13" s="285"/>
      <c r="E13" s="286"/>
      <c r="F13" s="474">
        <v>62.135922330097088</v>
      </c>
      <c r="G13" s="474">
        <v>64</v>
      </c>
      <c r="H13" s="474">
        <v>62</v>
      </c>
      <c r="I13" s="474">
        <v>61</v>
      </c>
      <c r="J13" s="474">
        <v>59</v>
      </c>
      <c r="K13" s="474">
        <v>58</v>
      </c>
      <c r="L13" s="474">
        <v>57</v>
      </c>
      <c r="M13" s="474">
        <v>56</v>
      </c>
      <c r="N13" s="474">
        <v>56</v>
      </c>
      <c r="O13" s="474">
        <v>55</v>
      </c>
      <c r="P13" s="474">
        <v>55</v>
      </c>
      <c r="Q13" s="474">
        <v>54</v>
      </c>
      <c r="R13" s="474">
        <v>54</v>
      </c>
      <c r="S13" s="474">
        <v>53</v>
      </c>
      <c r="T13" s="474">
        <v>52</v>
      </c>
      <c r="U13" s="474">
        <v>51</v>
      </c>
      <c r="V13" s="474">
        <v>50</v>
      </c>
      <c r="W13" s="474">
        <v>49</v>
      </c>
      <c r="X13" s="474">
        <v>48</v>
      </c>
      <c r="Y13" s="474">
        <v>47</v>
      </c>
      <c r="Z13" s="474">
        <v>46</v>
      </c>
      <c r="AA13" s="474">
        <v>45</v>
      </c>
    </row>
    <row r="14" spans="1:27">
      <c r="A14" s="201"/>
      <c r="B14" s="201" t="s">
        <v>233</v>
      </c>
      <c r="C14" s="201"/>
      <c r="D14" s="201"/>
      <c r="E14" s="286"/>
      <c r="F14" s="474">
        <v>49.514563106796118</v>
      </c>
      <c r="G14" s="474">
        <v>51</v>
      </c>
      <c r="H14" s="474">
        <v>52</v>
      </c>
      <c r="I14" s="474">
        <v>52</v>
      </c>
      <c r="J14" s="474">
        <v>52</v>
      </c>
      <c r="K14" s="474">
        <v>52</v>
      </c>
      <c r="L14" s="474">
        <v>52</v>
      </c>
      <c r="M14" s="474">
        <v>50</v>
      </c>
      <c r="N14" s="474">
        <v>48</v>
      </c>
      <c r="O14" s="474">
        <v>45</v>
      </c>
      <c r="P14" s="474">
        <v>43</v>
      </c>
      <c r="Q14" s="474">
        <v>41</v>
      </c>
      <c r="R14" s="474">
        <v>40</v>
      </c>
      <c r="S14" s="474">
        <v>39</v>
      </c>
      <c r="T14" s="474">
        <v>37</v>
      </c>
      <c r="U14" s="474">
        <v>36</v>
      </c>
      <c r="V14" s="474">
        <v>35</v>
      </c>
      <c r="W14" s="474">
        <v>35</v>
      </c>
      <c r="X14" s="474">
        <v>35</v>
      </c>
      <c r="Y14" s="474">
        <v>34</v>
      </c>
      <c r="Z14" s="474">
        <v>34</v>
      </c>
      <c r="AA14" s="474">
        <v>34</v>
      </c>
    </row>
    <row r="15" spans="1:27">
      <c r="A15" s="201"/>
      <c r="B15" s="201"/>
      <c r="C15" s="201"/>
      <c r="D15" s="201"/>
      <c r="E15" s="286"/>
      <c r="F15" s="286"/>
      <c r="G15" s="286"/>
      <c r="H15" s="286"/>
      <c r="I15" s="286"/>
      <c r="J15" s="286"/>
      <c r="K15" s="286"/>
      <c r="L15" s="286"/>
      <c r="M15" s="286"/>
      <c r="N15" s="286"/>
      <c r="O15" s="286"/>
      <c r="P15" s="286"/>
      <c r="Q15" s="286"/>
      <c r="R15" s="286"/>
      <c r="S15" s="286"/>
      <c r="T15" s="286"/>
      <c r="U15" s="286"/>
      <c r="V15" s="286"/>
      <c r="W15" s="286"/>
      <c r="X15" s="286"/>
      <c r="Y15" s="286"/>
      <c r="Z15" s="286"/>
      <c r="AA15" s="286"/>
    </row>
    <row r="16" spans="1:27">
      <c r="A16" s="325" t="s">
        <v>231</v>
      </c>
      <c r="B16" s="201"/>
      <c r="C16" s="201"/>
      <c r="D16" s="201"/>
      <c r="E16" s="286"/>
      <c r="F16" s="286"/>
      <c r="G16" s="286"/>
      <c r="H16" s="286"/>
      <c r="I16" s="286"/>
      <c r="J16" s="286"/>
      <c r="K16" s="286"/>
      <c r="L16" s="286"/>
      <c r="M16" s="286"/>
      <c r="N16" s="286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86"/>
      <c r="AA16" s="286"/>
    </row>
    <row r="17" spans="1:46">
      <c r="A17" s="201"/>
      <c r="B17" s="201" t="s">
        <v>232</v>
      </c>
      <c r="C17" s="288"/>
      <c r="D17" s="288"/>
      <c r="E17" s="286"/>
      <c r="F17" s="474">
        <v>65.92</v>
      </c>
      <c r="G17" s="474">
        <v>67.897599999999997</v>
      </c>
      <c r="H17" s="474">
        <v>67.749074000000007</v>
      </c>
      <c r="I17" s="474">
        <v>68.656037409999996</v>
      </c>
      <c r="J17" s="474">
        <v>68.397170383699986</v>
      </c>
      <c r="K17" s="474">
        <v>69.255033198682</v>
      </c>
      <c r="L17" s="474">
        <v>70.10281032921759</v>
      </c>
      <c r="M17" s="474">
        <v>70.939124557706492</v>
      </c>
      <c r="N17" s="474">
        <v>73.067298294437691</v>
      </c>
      <c r="O17" s="474">
        <v>73.915400863926692</v>
      </c>
      <c r="P17" s="474">
        <v>76.132862889844503</v>
      </c>
      <c r="Q17" s="474">
        <v>76.991087889693645</v>
      </c>
      <c r="R17" s="474">
        <v>79.300820526384456</v>
      </c>
      <c r="S17" s="474">
        <v>80.167255417320888</v>
      </c>
      <c r="T17" s="474">
        <v>81.014305663239753</v>
      </c>
      <c r="U17" s="474">
        <v>81.840028394038143</v>
      </c>
      <c r="V17" s="474">
        <v>82.642381613587531</v>
      </c>
      <c r="W17" s="474">
        <v>83.41922000075526</v>
      </c>
      <c r="X17" s="474">
        <v>84.168290547700821</v>
      </c>
      <c r="Y17" s="474">
        <v>84.88722802946242</v>
      </c>
      <c r="Z17" s="474">
        <v>85.573550298636789</v>
      </c>
      <c r="AA17" s="474">
        <v>86.224653398735114</v>
      </c>
    </row>
    <row r="18" spans="1:46">
      <c r="A18" s="201"/>
      <c r="B18" s="201" t="s">
        <v>233</v>
      </c>
      <c r="C18" s="201"/>
      <c r="D18" s="201"/>
      <c r="E18" s="286"/>
      <c r="F18" s="474">
        <v>52.53</v>
      </c>
      <c r="G18" s="474">
        <v>54.105899999999998</v>
      </c>
      <c r="H18" s="474">
        <v>56.821804</v>
      </c>
      <c r="I18" s="474">
        <v>58.526458119999994</v>
      </c>
      <c r="J18" s="474">
        <v>60.282251863599996</v>
      </c>
      <c r="K18" s="474">
        <v>62.090719419507991</v>
      </c>
      <c r="L18" s="474">
        <v>63.953441002093243</v>
      </c>
      <c r="M18" s="474">
        <v>63.338504069380789</v>
      </c>
      <c r="N18" s="474">
        <v>62.629112823803737</v>
      </c>
      <c r="O18" s="474">
        <v>60.476237070485482</v>
      </c>
      <c r="P18" s="474">
        <v>59.522056441151157</v>
      </c>
      <c r="Q18" s="474">
        <v>58.456196360693326</v>
      </c>
      <c r="R18" s="474">
        <v>58.741348538062553</v>
      </c>
      <c r="S18" s="474">
        <v>58.990999269349331</v>
      </c>
      <c r="T18" s="474">
        <v>57.644794414228286</v>
      </c>
      <c r="U18" s="474">
        <v>57.769431807556337</v>
      </c>
      <c r="V18" s="474">
        <v>57.849667129511275</v>
      </c>
      <c r="W18" s="474">
        <v>59.585157143396614</v>
      </c>
      <c r="X18" s="474">
        <v>61.372711857698505</v>
      </c>
      <c r="Y18" s="474">
        <v>61.407781978760056</v>
      </c>
      <c r="Z18" s="474">
        <v>63.250015438122844</v>
      </c>
      <c r="AA18" s="474">
        <v>65.14751590126653</v>
      </c>
    </row>
    <row r="19" spans="1:46">
      <c r="A19" s="201"/>
      <c r="B19" s="201"/>
      <c r="C19" s="201"/>
      <c r="D19" s="201"/>
      <c r="E19" s="201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282"/>
      <c r="AA19" s="282"/>
      <c r="AB19" s="282"/>
      <c r="AC19" s="282"/>
      <c r="AD19" s="282"/>
    </row>
    <row r="20" spans="1:46">
      <c r="A20" s="201">
        <v>1</v>
      </c>
      <c r="B20" s="201" t="s">
        <v>235</v>
      </c>
      <c r="C20" s="201"/>
      <c r="D20" s="201"/>
      <c r="E20" s="289"/>
      <c r="F20" s="289">
        <f>F17/12</f>
        <v>5.4933333333333332</v>
      </c>
      <c r="G20" s="289">
        <f t="shared" ref="G20:Z20" si="2">G17/12</f>
        <v>5.6581333333333328</v>
      </c>
      <c r="H20" s="289">
        <f t="shared" si="2"/>
        <v>5.6457561666666676</v>
      </c>
      <c r="I20" s="289">
        <f t="shared" si="2"/>
        <v>5.7213364508333333</v>
      </c>
      <c r="J20" s="289">
        <f t="shared" si="2"/>
        <v>5.6997641986416658</v>
      </c>
      <c r="K20" s="289">
        <f t="shared" si="2"/>
        <v>5.7712527665568336</v>
      </c>
      <c r="L20" s="289">
        <f t="shared" si="2"/>
        <v>5.8419008607681322</v>
      </c>
      <c r="M20" s="289">
        <f t="shared" si="2"/>
        <v>5.9115937131422074</v>
      </c>
      <c r="N20" s="289">
        <f t="shared" si="2"/>
        <v>6.088941524536474</v>
      </c>
      <c r="O20" s="289">
        <f t="shared" si="2"/>
        <v>6.1596167386605574</v>
      </c>
      <c r="P20" s="289">
        <f t="shared" si="2"/>
        <v>6.3444052408203753</v>
      </c>
      <c r="Q20" s="289">
        <f t="shared" si="2"/>
        <v>6.4159239908078041</v>
      </c>
      <c r="R20" s="289">
        <f t="shared" si="2"/>
        <v>6.6084017105320383</v>
      </c>
      <c r="S20" s="289">
        <f t="shared" si="2"/>
        <v>6.680604618110074</v>
      </c>
      <c r="T20" s="289">
        <f t="shared" si="2"/>
        <v>6.7511921386033125</v>
      </c>
      <c r="U20" s="289">
        <f t="shared" si="2"/>
        <v>6.8200023661698452</v>
      </c>
      <c r="V20" s="289">
        <f t="shared" si="2"/>
        <v>6.8868651344656273</v>
      </c>
      <c r="W20" s="289">
        <f t="shared" si="2"/>
        <v>6.951601666729605</v>
      </c>
      <c r="X20" s="289">
        <f t="shared" si="2"/>
        <v>7.014024212308402</v>
      </c>
      <c r="Y20" s="289">
        <f t="shared" si="2"/>
        <v>7.0739356691218687</v>
      </c>
      <c r="Z20" s="289">
        <f t="shared" si="2"/>
        <v>7.1311291915530655</v>
      </c>
      <c r="AA20" s="289">
        <f>AA17/12</f>
        <v>7.1853877832279265</v>
      </c>
    </row>
    <row r="21" spans="1:46">
      <c r="A21" s="201">
        <v>2</v>
      </c>
      <c r="B21" s="201" t="s">
        <v>236</v>
      </c>
      <c r="C21" s="201"/>
      <c r="D21" s="201"/>
      <c r="E21" s="289"/>
      <c r="F21" s="289">
        <f>F18/12</f>
        <v>4.3775000000000004</v>
      </c>
      <c r="G21" s="289">
        <f t="shared" ref="G21:Z21" si="3">G18/12</f>
        <v>4.5088249999999999</v>
      </c>
      <c r="H21" s="289">
        <f t="shared" si="3"/>
        <v>4.7351503333333334</v>
      </c>
      <c r="I21" s="289">
        <f t="shared" si="3"/>
        <v>4.8772048433333328</v>
      </c>
      <c r="J21" s="289">
        <f t="shared" si="3"/>
        <v>5.023520988633333</v>
      </c>
      <c r="K21" s="289">
        <f t="shared" si="3"/>
        <v>5.1742266182923329</v>
      </c>
      <c r="L21" s="289">
        <f t="shared" si="3"/>
        <v>5.3294534168411039</v>
      </c>
      <c r="M21" s="289">
        <f t="shared" si="3"/>
        <v>5.2782086724483994</v>
      </c>
      <c r="N21" s="289">
        <f t="shared" si="3"/>
        <v>5.2190927353169778</v>
      </c>
      <c r="O21" s="289">
        <f t="shared" si="3"/>
        <v>5.0396864225404565</v>
      </c>
      <c r="P21" s="289">
        <f t="shared" si="3"/>
        <v>4.9601713700959298</v>
      </c>
      <c r="Q21" s="289">
        <f t="shared" si="3"/>
        <v>4.8713496967244438</v>
      </c>
      <c r="R21" s="289">
        <f t="shared" si="3"/>
        <v>4.8951123781718797</v>
      </c>
      <c r="S21" s="289">
        <f t="shared" si="3"/>
        <v>4.9159166057791106</v>
      </c>
      <c r="T21" s="289">
        <f t="shared" si="3"/>
        <v>4.8037328678523572</v>
      </c>
      <c r="U21" s="289">
        <f t="shared" si="3"/>
        <v>4.8141193172963614</v>
      </c>
      <c r="V21" s="289">
        <f t="shared" si="3"/>
        <v>4.8208055941259396</v>
      </c>
      <c r="W21" s="289">
        <f t="shared" si="3"/>
        <v>4.9654297619497179</v>
      </c>
      <c r="X21" s="289">
        <f t="shared" si="3"/>
        <v>5.114392654808209</v>
      </c>
      <c r="Y21" s="289">
        <f t="shared" si="3"/>
        <v>5.117315164896671</v>
      </c>
      <c r="Z21" s="289">
        <f t="shared" si="3"/>
        <v>5.27083461984357</v>
      </c>
      <c r="AA21" s="289">
        <f>AA18/12</f>
        <v>5.4289596584388775</v>
      </c>
    </row>
    <row r="22" spans="1:46">
      <c r="A22" s="201">
        <v>3</v>
      </c>
      <c r="B22" s="201" t="s">
        <v>238</v>
      </c>
      <c r="C22" s="201"/>
      <c r="D22" s="201"/>
      <c r="E22" s="289"/>
      <c r="F22" s="474">
        <v>0</v>
      </c>
      <c r="G22" s="474">
        <v>0</v>
      </c>
      <c r="H22" s="474">
        <v>0</v>
      </c>
      <c r="I22" s="474">
        <v>0</v>
      </c>
      <c r="J22" s="474">
        <v>0</v>
      </c>
      <c r="K22" s="474">
        <v>0</v>
      </c>
      <c r="L22" s="474">
        <v>0</v>
      </c>
      <c r="M22" s="474">
        <v>0</v>
      </c>
      <c r="N22" s="474">
        <v>0</v>
      </c>
      <c r="O22" s="474">
        <v>0</v>
      </c>
      <c r="P22" s="474">
        <v>0</v>
      </c>
      <c r="Q22" s="474">
        <v>0</v>
      </c>
      <c r="R22" s="474">
        <v>0</v>
      </c>
      <c r="S22" s="474">
        <v>0</v>
      </c>
      <c r="T22" s="474">
        <v>0</v>
      </c>
      <c r="U22" s="474">
        <v>0</v>
      </c>
      <c r="V22" s="474">
        <v>0</v>
      </c>
      <c r="W22" s="474">
        <v>0</v>
      </c>
      <c r="X22" s="474">
        <v>0</v>
      </c>
      <c r="Y22" s="474">
        <v>0</v>
      </c>
      <c r="Z22" s="474">
        <v>0</v>
      </c>
      <c r="AA22" s="474">
        <v>0</v>
      </c>
      <c r="AB22" s="289"/>
      <c r="AC22" s="289"/>
      <c r="AD22" s="289"/>
      <c r="AE22" s="289"/>
      <c r="AF22" s="289"/>
      <c r="AG22" s="289"/>
      <c r="AH22" s="289"/>
      <c r="AI22" s="289"/>
      <c r="AJ22" s="289"/>
      <c r="AK22" s="289"/>
      <c r="AL22" s="289"/>
      <c r="AM22" s="289"/>
      <c r="AN22" s="289"/>
      <c r="AO22" s="289"/>
      <c r="AP22" s="289"/>
      <c r="AQ22" s="289"/>
      <c r="AR22" s="289"/>
      <c r="AS22" s="289"/>
      <c r="AT22" s="289"/>
    </row>
    <row r="23" spans="1:46">
      <c r="A23" s="201">
        <v>4</v>
      </c>
      <c r="B23" s="201" t="s">
        <v>86</v>
      </c>
      <c r="C23" s="201"/>
      <c r="D23" s="201"/>
      <c r="E23" s="289"/>
      <c r="F23" s="474">
        <v>4</v>
      </c>
      <c r="G23" s="474">
        <v>4</v>
      </c>
      <c r="H23" s="474">
        <v>4</v>
      </c>
      <c r="I23" s="474">
        <v>4</v>
      </c>
      <c r="J23" s="474">
        <v>4</v>
      </c>
      <c r="K23" s="474">
        <v>4</v>
      </c>
      <c r="L23" s="474">
        <v>4</v>
      </c>
      <c r="M23" s="474">
        <v>4</v>
      </c>
      <c r="N23" s="474">
        <v>4</v>
      </c>
      <c r="O23" s="474">
        <v>4</v>
      </c>
      <c r="P23" s="474">
        <v>4</v>
      </c>
      <c r="Q23" s="474">
        <v>4</v>
      </c>
      <c r="R23" s="474">
        <v>4</v>
      </c>
      <c r="S23" s="474">
        <v>4</v>
      </c>
      <c r="T23" s="474">
        <v>4</v>
      </c>
      <c r="U23" s="474">
        <v>4</v>
      </c>
      <c r="V23" s="474">
        <v>4</v>
      </c>
      <c r="W23" s="474">
        <v>4</v>
      </c>
      <c r="X23" s="474">
        <v>4</v>
      </c>
      <c r="Y23" s="474">
        <v>4</v>
      </c>
      <c r="Z23" s="474">
        <v>4</v>
      </c>
      <c r="AA23" s="474">
        <v>4</v>
      </c>
    </row>
    <row r="24" spans="1:46">
      <c r="A24" s="201"/>
      <c r="B24" s="201"/>
      <c r="C24" s="201"/>
      <c r="D24" s="201"/>
      <c r="E24" s="289"/>
      <c r="F24" s="289"/>
      <c r="G24" s="289"/>
      <c r="H24" s="289"/>
      <c r="I24" s="289"/>
      <c r="J24" s="289"/>
      <c r="K24" s="289"/>
      <c r="L24" s="289"/>
      <c r="M24" s="289"/>
      <c r="N24" s="289"/>
      <c r="O24" s="289"/>
      <c r="P24" s="289"/>
      <c r="Q24" s="289"/>
      <c r="R24" s="289"/>
      <c r="S24" s="289"/>
      <c r="T24" s="289"/>
      <c r="U24" s="289"/>
      <c r="V24" s="289"/>
      <c r="W24" s="289"/>
      <c r="X24" s="289"/>
      <c r="Y24" s="289"/>
      <c r="Z24" s="289"/>
      <c r="AA24" s="289"/>
    </row>
    <row r="25" spans="1:46">
      <c r="A25" s="201"/>
      <c r="B25" s="290" t="s">
        <v>326</v>
      </c>
      <c r="C25" s="326">
        <v>1</v>
      </c>
      <c r="D25" s="291"/>
      <c r="F25" s="535">
        <f>CHOOSE($C$25,F20,F21,F22,F23)</f>
        <v>5.4933333333333332</v>
      </c>
      <c r="G25" s="535">
        <f t="shared" ref="G25:AA25" si="4">CHOOSE($C$25,G20,G21,G22,G23)</f>
        <v>5.6581333333333328</v>
      </c>
      <c r="H25" s="535">
        <f t="shared" si="4"/>
        <v>5.6457561666666676</v>
      </c>
      <c r="I25" s="535">
        <f t="shared" si="4"/>
        <v>5.7213364508333333</v>
      </c>
      <c r="J25" s="535">
        <f t="shared" si="4"/>
        <v>5.6997641986416658</v>
      </c>
      <c r="K25" s="535">
        <f t="shared" si="4"/>
        <v>5.7712527665568336</v>
      </c>
      <c r="L25" s="535">
        <f t="shared" si="4"/>
        <v>5.8419008607681322</v>
      </c>
      <c r="M25" s="535">
        <f t="shared" si="4"/>
        <v>5.9115937131422074</v>
      </c>
      <c r="N25" s="535">
        <f t="shared" si="4"/>
        <v>6.088941524536474</v>
      </c>
      <c r="O25" s="535">
        <f t="shared" si="4"/>
        <v>6.1596167386605574</v>
      </c>
      <c r="P25" s="535">
        <f t="shared" si="4"/>
        <v>6.3444052408203753</v>
      </c>
      <c r="Q25" s="535">
        <f t="shared" si="4"/>
        <v>6.4159239908078041</v>
      </c>
      <c r="R25" s="535">
        <f t="shared" si="4"/>
        <v>6.6084017105320383</v>
      </c>
      <c r="S25" s="535">
        <f t="shared" si="4"/>
        <v>6.680604618110074</v>
      </c>
      <c r="T25" s="535">
        <f t="shared" si="4"/>
        <v>6.7511921386033125</v>
      </c>
      <c r="U25" s="535">
        <f t="shared" si="4"/>
        <v>6.8200023661698452</v>
      </c>
      <c r="V25" s="535">
        <f t="shared" si="4"/>
        <v>6.8868651344656273</v>
      </c>
      <c r="W25" s="535">
        <f t="shared" si="4"/>
        <v>6.951601666729605</v>
      </c>
      <c r="X25" s="535">
        <f t="shared" si="4"/>
        <v>7.014024212308402</v>
      </c>
      <c r="Y25" s="535">
        <f t="shared" si="4"/>
        <v>7.0739356691218687</v>
      </c>
      <c r="Z25" s="535">
        <f t="shared" si="4"/>
        <v>7.1311291915530655</v>
      </c>
      <c r="AA25" s="535">
        <f t="shared" si="4"/>
        <v>7.1853877832279265</v>
      </c>
    </row>
    <row r="26" spans="1:46">
      <c r="A26" s="201"/>
      <c r="B26" s="290"/>
      <c r="C26" s="291"/>
      <c r="D26" s="291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  <c r="U26" s="292"/>
      <c r="V26" s="292"/>
      <c r="W26" s="292"/>
      <c r="X26" s="292"/>
      <c r="Y26" s="292"/>
      <c r="Z26" s="292"/>
      <c r="AA26" s="287"/>
      <c r="AB26" s="293"/>
      <c r="AC26" s="293"/>
    </row>
    <row r="27" spans="1:46">
      <c r="A27" s="201"/>
      <c r="B27" s="201"/>
      <c r="C27" s="291"/>
      <c r="D27" s="291"/>
      <c r="E27" s="294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46">
      <c r="A28" s="201"/>
      <c r="B28" s="201"/>
      <c r="C28" s="291"/>
      <c r="D28" s="291"/>
      <c r="E28" s="294"/>
      <c r="F28" s="295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295"/>
      <c r="Z28" s="295"/>
    </row>
    <row r="29" spans="1:46">
      <c r="A29" s="201"/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</row>
    <row r="30" spans="1:46">
      <c r="A30" s="201"/>
      <c r="B30" s="201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</row>
    <row r="31" spans="1:46">
      <c r="A31" s="201"/>
      <c r="B31" s="201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</row>
    <row r="32" spans="1:46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</row>
    <row r="33" spans="1:26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01"/>
      <c r="P33" s="201"/>
      <c r="Q33" s="201"/>
      <c r="R33" s="201"/>
      <c r="S33" s="201"/>
      <c r="T33" s="201"/>
      <c r="U33" s="201"/>
      <c r="V33" s="201"/>
      <c r="W33" s="201"/>
      <c r="X33" s="201"/>
      <c r="Y33" s="201"/>
      <c r="Z33" s="201"/>
    </row>
    <row r="34" spans="1:26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</row>
    <row r="35" spans="1:26">
      <c r="A35" s="201"/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</row>
    <row r="36" spans="1:26">
      <c r="A36" s="201"/>
      <c r="B36" s="201"/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</row>
    <row r="37" spans="1:26">
      <c r="A37" s="201"/>
      <c r="B37" s="201"/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201"/>
    </row>
    <row r="38" spans="1:26">
      <c r="A38" s="201"/>
      <c r="B38" s="201"/>
      <c r="C38" s="201"/>
      <c r="D38" s="201"/>
    </row>
    <row r="39" spans="1:26">
      <c r="A39" s="201"/>
      <c r="B39" s="201"/>
      <c r="C39" s="201"/>
      <c r="D39" s="201"/>
    </row>
  </sheetData>
  <pageMargins left="0.18" right="0.17" top="0.37" bottom="0.4" header="0.17" footer="0.21"/>
  <pageSetup scale="47" orientation="landscape" r:id="rId1"/>
  <headerFooter alignWithMargins="0">
    <oddFooter>&amp;L&amp;T, 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V73"/>
  <sheetViews>
    <sheetView zoomScale="75" zoomScaleNormal="75" workbookViewId="0"/>
  </sheetViews>
  <sheetFormatPr defaultRowHeight="12.75"/>
  <cols>
    <col min="1" max="1" width="34.42578125" customWidth="1"/>
    <col min="4" max="24" width="12.5703125" customWidth="1"/>
    <col min="25" max="25" width="13.28515625" bestFit="1" customWidth="1"/>
    <col min="26" max="27" width="12.5703125" style="162" customWidth="1"/>
  </cols>
  <sheetData>
    <row r="2" spans="1:27" ht="18.75">
      <c r="A2" s="160" t="str">
        <f>Assumptions!A3</f>
        <v>PROJECT NAME:</v>
      </c>
    </row>
    <row r="4" spans="1:27" ht="18.75">
      <c r="A4" s="106" t="s">
        <v>263</v>
      </c>
      <c r="B4" s="9"/>
    </row>
    <row r="6" spans="1:27">
      <c r="D6" s="536">
        <f>'Power Price Assumption'!F9</f>
        <v>0.5</v>
      </c>
      <c r="E6" s="536">
        <f>'Power Price Assumption'!G9</f>
        <v>1.5</v>
      </c>
      <c r="F6" s="536">
        <f>'Power Price Assumption'!H9</f>
        <v>2.5</v>
      </c>
      <c r="G6" s="536">
        <f>'Power Price Assumption'!I9</f>
        <v>3.5</v>
      </c>
      <c r="H6" s="536">
        <f>'Power Price Assumption'!J9</f>
        <v>4.5</v>
      </c>
      <c r="I6" s="536">
        <f>'Power Price Assumption'!K9</f>
        <v>5.5</v>
      </c>
      <c r="J6" s="536">
        <f>'Power Price Assumption'!L9</f>
        <v>6.5</v>
      </c>
      <c r="K6" s="536">
        <f>'Power Price Assumption'!M9</f>
        <v>7.5</v>
      </c>
      <c r="L6" s="536">
        <f>'Power Price Assumption'!N9</f>
        <v>8.5</v>
      </c>
      <c r="M6" s="536">
        <f>'Power Price Assumption'!O9</f>
        <v>9.5</v>
      </c>
      <c r="N6" s="536">
        <f>'Power Price Assumption'!P9</f>
        <v>10.5</v>
      </c>
      <c r="O6" s="536">
        <f>'Power Price Assumption'!Q9</f>
        <v>11.5</v>
      </c>
      <c r="P6" s="536">
        <f>'Power Price Assumption'!R9</f>
        <v>12.5</v>
      </c>
      <c r="Q6" s="536">
        <f>'Power Price Assumption'!S9</f>
        <v>13.5</v>
      </c>
      <c r="R6" s="536">
        <f>'Power Price Assumption'!T9</f>
        <v>14.5</v>
      </c>
      <c r="S6" s="536">
        <f>'Power Price Assumption'!U9</f>
        <v>15.5</v>
      </c>
      <c r="T6" s="536">
        <f>'Power Price Assumption'!V9</f>
        <v>16.5</v>
      </c>
      <c r="U6" s="536">
        <f>'Power Price Assumption'!W9</f>
        <v>17.5</v>
      </c>
      <c r="V6" s="536">
        <f>'Power Price Assumption'!X9</f>
        <v>18.5</v>
      </c>
      <c r="W6" s="536">
        <f>'Power Price Assumption'!Y9</f>
        <v>19.5</v>
      </c>
      <c r="X6" s="536">
        <f>'Power Price Assumption'!Z9</f>
        <v>20.5</v>
      </c>
      <c r="Y6" s="536">
        <f>'Power Price Assumption'!AA9</f>
        <v>21.5</v>
      </c>
    </row>
    <row r="7" spans="1:27" s="7" customFormat="1" ht="13.5" thickBot="1">
      <c r="A7" s="256" t="s">
        <v>87</v>
      </c>
      <c r="B7" s="8"/>
      <c r="C7" s="8"/>
      <c r="D7" s="8">
        <f>'Power Price Assumption'!F10</f>
        <v>1999</v>
      </c>
      <c r="E7" s="8">
        <f>'Power Price Assumption'!G10</f>
        <v>2000</v>
      </c>
      <c r="F7" s="8">
        <f>'Power Price Assumption'!H10</f>
        <v>2001</v>
      </c>
      <c r="G7" s="8">
        <f>'Power Price Assumption'!I10</f>
        <v>2002</v>
      </c>
      <c r="H7" s="8">
        <f>'Power Price Assumption'!J10</f>
        <v>2003</v>
      </c>
      <c r="I7" s="8">
        <f>'Power Price Assumption'!K10</f>
        <v>2004</v>
      </c>
      <c r="J7" s="8">
        <f>'Power Price Assumption'!L10</f>
        <v>2005</v>
      </c>
      <c r="K7" s="8">
        <f>'Power Price Assumption'!M10</f>
        <v>2006</v>
      </c>
      <c r="L7" s="8">
        <f>'Power Price Assumption'!N10</f>
        <v>2007</v>
      </c>
      <c r="M7" s="8">
        <f>'Power Price Assumption'!O10</f>
        <v>2008</v>
      </c>
      <c r="N7" s="8">
        <f>'Power Price Assumption'!P10</f>
        <v>2009</v>
      </c>
      <c r="O7" s="8">
        <f>'Power Price Assumption'!Q10</f>
        <v>2010</v>
      </c>
      <c r="P7" s="8">
        <f>'Power Price Assumption'!R10</f>
        <v>2011</v>
      </c>
      <c r="Q7" s="8">
        <f>'Power Price Assumption'!S10</f>
        <v>2012</v>
      </c>
      <c r="R7" s="8">
        <f>'Power Price Assumption'!T10</f>
        <v>2013</v>
      </c>
      <c r="S7" s="8">
        <f>'Power Price Assumption'!U10</f>
        <v>2014</v>
      </c>
      <c r="T7" s="8">
        <f>'Power Price Assumption'!V10</f>
        <v>2015</v>
      </c>
      <c r="U7" s="8">
        <f>'Power Price Assumption'!W10</f>
        <v>2016</v>
      </c>
      <c r="V7" s="8">
        <f>'Power Price Assumption'!X10</f>
        <v>2017</v>
      </c>
      <c r="W7" s="8">
        <f>'Power Price Assumption'!Y10</f>
        <v>2018</v>
      </c>
      <c r="X7" s="8">
        <f>'Power Price Assumption'!Z10</f>
        <v>2019</v>
      </c>
      <c r="Y7" s="8">
        <f>'Power Price Assumption'!AA10</f>
        <v>2020</v>
      </c>
      <c r="Z7" s="10"/>
      <c r="AA7" s="10"/>
    </row>
    <row r="8" spans="1:27">
      <c r="A8" s="3"/>
    </row>
    <row r="9" spans="1:27">
      <c r="A9" s="1" t="s">
        <v>88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63"/>
      <c r="AA9" s="163"/>
    </row>
    <row r="10" spans="1:27">
      <c r="A10" s="528" t="s">
        <v>320</v>
      </c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63"/>
      <c r="AA10" s="163"/>
    </row>
    <row r="11" spans="1:27">
      <c r="A11" s="4" t="s">
        <v>321</v>
      </c>
      <c r="D11" s="128">
        <f>IF(AND(C6&lt;Assumptions!$I$36,IS!D6&lt;Assumptions!$I$36),D6*12*Assumptions!$I$38*Assumptions!$I$43,IF(AND(IS!C6&lt;Assumptions!$I$36,IS!D6&gt;Assumptions!$I$36),(1-D6)*12*Assumptions!$I$38*Assumptions!$I$43,0))</f>
        <v>10992</v>
      </c>
      <c r="E11" s="128">
        <f>IF(AND(D6&lt;Assumptions!$I$36,IS!E6&lt;Assumptions!$I$36),12*Assumptions!$I$38*Assumptions!$I$43,IF(AND(IS!D6&lt;Assumptions!$I$36,IS!E6&gt;Assumptions!$I$36),(1-$D$6)*12*Assumptions!$I$38*Assumptions!$I$43,0))</f>
        <v>21984</v>
      </c>
      <c r="F11" s="128">
        <f>IF(AND(E6&lt;Assumptions!$I$36,IS!F6&lt;Assumptions!$I$36),12*Assumptions!$I$38*Assumptions!$I$43,IF(AND(IS!E6&lt;Assumptions!$I$36,IS!F6&gt;Assumptions!$I$36),(1-$D$6)*12*Assumptions!$I$38*Assumptions!$I$43,0))</f>
        <v>21984</v>
      </c>
      <c r="G11" s="128">
        <f>IF(AND(F6&lt;Assumptions!$I$36,IS!G6&lt;Assumptions!$I$36),12*Assumptions!$I$38*Assumptions!$I$43,IF(AND(IS!F6&lt;Assumptions!$I$36,IS!G6&gt;Assumptions!$I$36),(1-$D$6)*12*Assumptions!$I$38*Assumptions!$I$43,0))</f>
        <v>21984</v>
      </c>
      <c r="H11" s="128">
        <f>IF(AND(G6&lt;Assumptions!$I$36,IS!H6&lt;Assumptions!$I$36),12*Assumptions!$I$38*Assumptions!$I$43,IF(AND(IS!G6&lt;Assumptions!$I$36,IS!H6&gt;Assumptions!$I$36),(1-$D$6)*12*Assumptions!$I$38*Assumptions!$I$43,0))</f>
        <v>10992</v>
      </c>
      <c r="I11" s="128">
        <f>IF(AND(H6&lt;Assumptions!$I$36,IS!I6&lt;Assumptions!$I$36),12*Assumptions!$I$38*Assumptions!$I$43,IF(AND(IS!H6&lt;Assumptions!$I$36,IS!I6&gt;Assumptions!$I$36),(1-$D$6)*12*Assumptions!$I$38*Assumptions!$I$43,0))</f>
        <v>0</v>
      </c>
      <c r="J11" s="128">
        <f>IF(AND(I6&lt;Assumptions!$I$36,IS!J6&lt;Assumptions!$I$36),12*Assumptions!$I$38*Assumptions!$I$43,IF(AND(IS!I6&lt;Assumptions!$I$36,IS!J6&gt;Assumptions!$I$36),(1-$D$6)*12*Assumptions!$I$38*Assumptions!$I$43,0))</f>
        <v>0</v>
      </c>
      <c r="K11" s="128">
        <f>IF(AND(J6&lt;Assumptions!$I$36,IS!K6&lt;Assumptions!$I$36),12*Assumptions!$I$38*Assumptions!$I$43,IF(AND(IS!J6&lt;Assumptions!$I$36,IS!K6&gt;Assumptions!$I$36),(1-$D$6)*12*Assumptions!$I$38*Assumptions!$I$43,0))</f>
        <v>0</v>
      </c>
      <c r="L11" s="128">
        <f>IF(AND(K6&lt;Assumptions!$I$36,IS!L6&lt;Assumptions!$I$36),12*Assumptions!$I$38*Assumptions!$I$43,IF(AND(IS!K6&lt;Assumptions!$I$36,IS!L6&gt;Assumptions!$I$36),(1-$D$6)*12*Assumptions!$I$38*Assumptions!$I$43,0))</f>
        <v>0</v>
      </c>
      <c r="M11" s="128">
        <f>IF(AND(L6&lt;Assumptions!$I$36,IS!M6&lt;Assumptions!$I$36),12*Assumptions!$I$38*Assumptions!$I$43,IF(AND(IS!L6&lt;Assumptions!$I$36,IS!M6&gt;Assumptions!$I$36),(1-$D$6)*12*Assumptions!$I$38*Assumptions!$I$43,0))</f>
        <v>0</v>
      </c>
      <c r="N11" s="128">
        <f>IF(AND(M6&lt;Assumptions!$I$36,IS!N6&lt;Assumptions!$I$36),12*Assumptions!$I$38*Assumptions!$I$43,IF(AND(IS!M6&lt;Assumptions!$I$36,IS!N6&gt;Assumptions!$I$36),(1-$D$6)*12*Assumptions!$I$38*Assumptions!$I$43,0))</f>
        <v>0</v>
      </c>
      <c r="O11" s="128">
        <f>IF(AND(N6&lt;Assumptions!$I$36,IS!O6&lt;Assumptions!$I$36),12*Assumptions!$I$38*Assumptions!$I$43,IF(AND(IS!N6&lt;Assumptions!$I$36,IS!O6&gt;Assumptions!$I$36),(1-$D$6)*12*Assumptions!$I$38*Assumptions!$I$43,0))</f>
        <v>0</v>
      </c>
      <c r="P11" s="128">
        <f>IF(AND(O6&lt;Assumptions!$I$36,IS!P6&lt;Assumptions!$I$36),12*Assumptions!$I$38*Assumptions!$I$43,IF(AND(IS!O6&lt;Assumptions!$I$36,IS!P6&gt;Assumptions!$I$36),(1-$D$6)*12*Assumptions!$I$38*Assumptions!$I$43,0))</f>
        <v>0</v>
      </c>
      <c r="Q11" s="128">
        <f>IF(AND(P6&lt;Assumptions!$I$36,IS!Q6&lt;Assumptions!$I$36),12*Assumptions!$I$38*Assumptions!$I$43,IF(AND(IS!P6&lt;Assumptions!$I$36,IS!Q6&gt;Assumptions!$I$36),(1-$D$6)*12*Assumptions!$I$38*Assumptions!$I$43,0))</f>
        <v>0</v>
      </c>
      <c r="R11" s="128">
        <f>IF(AND(Q6&lt;Assumptions!$I$36,IS!R6&lt;Assumptions!$I$36),12*Assumptions!$I$38*Assumptions!$I$43,IF(AND(IS!Q6&lt;Assumptions!$I$36,IS!R6&gt;Assumptions!$I$36),(1-$D$6)*12*Assumptions!$I$38*Assumptions!$I$43,0))</f>
        <v>0</v>
      </c>
      <c r="S11" s="128">
        <f>IF(AND(R6&lt;Assumptions!$I$36,IS!S6&lt;Assumptions!$I$36),12*Assumptions!$I$38*Assumptions!$I$43,IF(AND(IS!R6&lt;Assumptions!$I$36,IS!S6&gt;Assumptions!$I$36),(1-$D$6)*12*Assumptions!$I$38*Assumptions!$I$43,0))</f>
        <v>0</v>
      </c>
      <c r="T11" s="128">
        <f>IF(AND(S6&lt;Assumptions!$I$36,IS!T6&lt;Assumptions!$I$36),12*Assumptions!$I$38*Assumptions!$I$43,IF(AND(IS!S6&lt;Assumptions!$I$36,IS!T6&gt;Assumptions!$I$36),(1-$D$6)*12*Assumptions!$I$38*Assumptions!$I$43,0))</f>
        <v>0</v>
      </c>
      <c r="U11" s="128">
        <f>IF(AND(T6&lt;Assumptions!$I$36,IS!U6&lt;Assumptions!$I$36),12*Assumptions!$I$38*Assumptions!$I$43,IF(AND(IS!T6&lt;Assumptions!$I$36,IS!U6&gt;Assumptions!$I$36),(1-$D$6)*12*Assumptions!$I$38*Assumptions!$I$43,0))</f>
        <v>0</v>
      </c>
      <c r="V11" s="128">
        <f>IF(AND(U6&lt;Assumptions!$I$36,IS!V6&lt;Assumptions!$I$36),12*Assumptions!$I$38*Assumptions!$I$43,IF(AND(IS!U6&lt;Assumptions!$I$36,IS!V6&gt;Assumptions!$I$36),(1-$D$6)*12*Assumptions!$I$38*Assumptions!$I$43,0))</f>
        <v>0</v>
      </c>
      <c r="W11" s="128">
        <f>IF(AND(V6&lt;Assumptions!$I$36,IS!W6&lt;Assumptions!$I$36),12*Assumptions!$I$38*Assumptions!$I$43,IF(AND(IS!V6&lt;Assumptions!$I$36,IS!W6&gt;Assumptions!$I$36),(1-$D$6)*12*Assumptions!$I$38*Assumptions!$I$43,0))</f>
        <v>0</v>
      </c>
      <c r="X11" s="128">
        <f>IF(AND(W6&lt;Assumptions!$I$36,IS!X6&lt;Assumptions!$I$36),12*Assumptions!$I$38*Assumptions!$I$43,IF(AND(IS!W6&lt;Assumptions!$I$36,IS!X6&gt;Assumptions!$I$36),(1-$D$6)*12*Assumptions!$I$38*Assumptions!$I$43,0))</f>
        <v>0</v>
      </c>
      <c r="Y11" s="128">
        <f>IF(AND(X6&lt;Assumptions!$I$36,IS!Y6&lt;Assumptions!$I$36),12*Assumptions!$I$38*Assumptions!$I$43,IF(AND(IS!X6&lt;Assumptions!$I$36,IS!Y6&gt;Assumptions!$I$36),(1-$D$6)*12*Assumptions!$I$38*Assumptions!$I$43,0))</f>
        <v>0</v>
      </c>
      <c r="Z11" s="163"/>
      <c r="AA11" s="163"/>
    </row>
    <row r="12" spans="1:27">
      <c r="A12" s="541" t="s">
        <v>322</v>
      </c>
      <c r="D12" s="128">
        <v>0</v>
      </c>
      <c r="E12" s="128">
        <v>0</v>
      </c>
      <c r="F12" s="128">
        <v>0</v>
      </c>
      <c r="G12" s="128">
        <v>0</v>
      </c>
      <c r="H12" s="128">
        <v>0</v>
      </c>
      <c r="I12" s="128">
        <v>0</v>
      </c>
      <c r="J12" s="128">
        <v>0</v>
      </c>
      <c r="K12" s="128">
        <v>0</v>
      </c>
      <c r="L12" s="128">
        <v>0</v>
      </c>
      <c r="M12" s="128">
        <v>0</v>
      </c>
      <c r="N12" s="128">
        <v>0</v>
      </c>
      <c r="O12" s="128">
        <v>0</v>
      </c>
      <c r="P12" s="128">
        <v>0</v>
      </c>
      <c r="Q12" s="128">
        <v>0</v>
      </c>
      <c r="R12" s="128">
        <v>0</v>
      </c>
      <c r="S12" s="128">
        <v>0</v>
      </c>
      <c r="T12" s="128">
        <v>0</v>
      </c>
      <c r="U12" s="128">
        <v>0</v>
      </c>
      <c r="V12" s="128">
        <v>0</v>
      </c>
      <c r="W12" s="128">
        <v>0</v>
      </c>
      <c r="X12" s="128">
        <v>0</v>
      </c>
      <c r="Y12" s="128">
        <v>0</v>
      </c>
      <c r="Z12" s="163"/>
      <c r="AA12" s="163"/>
    </row>
    <row r="13" spans="1:27">
      <c r="A13" s="4" t="s">
        <v>323</v>
      </c>
      <c r="D13" s="128">
        <v>0</v>
      </c>
      <c r="E13" s="128">
        <v>0</v>
      </c>
      <c r="F13" s="128">
        <v>0</v>
      </c>
      <c r="G13" s="128">
        <v>0</v>
      </c>
      <c r="H13" s="128">
        <v>0</v>
      </c>
      <c r="I13" s="128">
        <v>0</v>
      </c>
      <c r="J13" s="128">
        <v>0</v>
      </c>
      <c r="K13" s="128">
        <v>0</v>
      </c>
      <c r="L13" s="128">
        <v>0</v>
      </c>
      <c r="M13" s="128">
        <v>0</v>
      </c>
      <c r="N13" s="128">
        <v>0</v>
      </c>
      <c r="O13" s="128">
        <v>0</v>
      </c>
      <c r="P13" s="128">
        <v>0</v>
      </c>
      <c r="Q13" s="128">
        <v>0</v>
      </c>
      <c r="R13" s="128">
        <v>0</v>
      </c>
      <c r="S13" s="128">
        <v>0</v>
      </c>
      <c r="T13" s="128">
        <v>0</v>
      </c>
      <c r="U13" s="128">
        <v>0</v>
      </c>
      <c r="V13" s="128">
        <v>0</v>
      </c>
      <c r="W13" s="128">
        <v>0</v>
      </c>
      <c r="X13" s="128">
        <v>0</v>
      </c>
      <c r="Y13" s="128">
        <v>0</v>
      </c>
      <c r="Z13" s="163"/>
      <c r="AA13" s="163"/>
    </row>
    <row r="14" spans="1:27">
      <c r="A14" s="4" t="s">
        <v>318</v>
      </c>
      <c r="D14" s="128">
        <v>0</v>
      </c>
      <c r="E14" s="128">
        <v>0</v>
      </c>
      <c r="F14" s="128">
        <v>0</v>
      </c>
      <c r="G14" s="128">
        <v>0</v>
      </c>
      <c r="H14" s="128">
        <v>0</v>
      </c>
      <c r="I14" s="128">
        <v>0</v>
      </c>
      <c r="J14" s="128">
        <v>0</v>
      </c>
      <c r="K14" s="128">
        <v>0</v>
      </c>
      <c r="L14" s="128">
        <v>0</v>
      </c>
      <c r="M14" s="128">
        <v>0</v>
      </c>
      <c r="N14" s="128">
        <v>0</v>
      </c>
      <c r="O14" s="128">
        <v>0</v>
      </c>
      <c r="P14" s="128">
        <v>0</v>
      </c>
      <c r="Q14" s="128">
        <v>0</v>
      </c>
      <c r="R14" s="128">
        <v>0</v>
      </c>
      <c r="S14" s="128">
        <v>0</v>
      </c>
      <c r="T14" s="128">
        <v>0</v>
      </c>
      <c r="U14" s="128">
        <v>0</v>
      </c>
      <c r="V14" s="128">
        <v>0</v>
      </c>
      <c r="W14" s="128">
        <v>0</v>
      </c>
      <c r="X14" s="128">
        <v>0</v>
      </c>
      <c r="Y14" s="128">
        <v>0</v>
      </c>
      <c r="Z14" s="163"/>
      <c r="AA14" s="163"/>
    </row>
    <row r="15" spans="1:27">
      <c r="A15" s="7"/>
      <c r="Z15" s="163"/>
      <c r="AA15" s="163"/>
    </row>
    <row r="16" spans="1:27">
      <c r="A16" s="528" t="s">
        <v>319</v>
      </c>
      <c r="Z16" s="163"/>
      <c r="AA16" s="163"/>
    </row>
    <row r="17" spans="1:27">
      <c r="A17" s="4" t="s">
        <v>321</v>
      </c>
      <c r="D17" s="128">
        <f>IF(AND(D6&gt;Assumptions!$I$36,IS!C6&gt;Assumptions!$I$36),12*'Power Price Assumption'!F25*Assumptions!$I$43,IF(AND(IS!C6&lt;Assumptions!$I$36,IS!D6&gt;Assumptions!$I$36),IS!D6*'Power Price Assumption'!F25*12*Assumptions!$I$53,0))</f>
        <v>0</v>
      </c>
      <c r="E17" s="128">
        <f>IF(AND(E6&gt;Assumptions!$I$36,IS!D6&gt;Assumptions!$I$36),12*'Power Price Assumption'!G25*Assumptions!$I$43,IF(AND(IS!D6&lt;Assumptions!$I$36,IS!E6&gt;Assumptions!$I$36),IS!E6*'Power Price Assumption'!G25*12*Assumptions!$I$53,0))</f>
        <v>0</v>
      </c>
      <c r="F17" s="128">
        <f>IF(AND(F6&gt;Assumptions!$I$36,IS!E6&gt;Assumptions!$I$36),12*'Power Price Assumption'!H25*Assumptions!$I$43,IF(AND(IS!E6&lt;Assumptions!$I$36,IS!F6&gt;Assumptions!$I$36),IS!F6*'Power Price Assumption'!H25*12*Assumptions!$I$53,0))</f>
        <v>0</v>
      </c>
      <c r="G17" s="128">
        <f>IF(AND(G6&gt;Assumptions!$I$36,IS!F6&gt;Assumptions!$I$36),12*'Power Price Assumption'!I25*Assumptions!$I$43,IF(AND(IS!F6&lt;Assumptions!$I$36,IS!G6&gt;Assumptions!$I$36),IS!D6*'Power Price Assumption'!I25*12*Assumptions!$I$53,0))</f>
        <v>0</v>
      </c>
      <c r="H17" s="128">
        <f>IF(AND(H6&gt;Assumptions!$I$36,IS!G6&gt;Assumptions!$I$36),12*'Power Price Assumption'!J25*Assumptions!$I$53,IF(AND(IS!G6&lt;Assumptions!$I$36,IS!H6&gt;Assumptions!$I$36),IS!$D$6*'Power Price Assumption'!J25*12*Assumptions!$I$53,0))</f>
        <v>16336.765373958908</v>
      </c>
      <c r="I17" s="128">
        <f>IF(AND(I6&gt;Assumptions!$I$36,IS!H6&gt;Assumptions!$I$36),12*'Power Price Assumption'!K25*Assumptions!$I$53,IF(AND(IS!H6&lt;Assumptions!$I$36,IS!I6&gt;Assumptions!$I$36),IS!$D$6*'Power Price Assumption'!K25*12*Assumptions!$I$53,0))</f>
        <v>33083.334353908656</v>
      </c>
      <c r="J17" s="128">
        <f>IF(AND(J6&gt;Assumptions!$I$36,IS!I6&gt;Assumptions!$I$36),12*'Power Price Assumption'!L25*Assumptions!$I$53,IF(AND(IS!I6&lt;Assumptions!$I$36,IS!J6&gt;Assumptions!$I$36),IS!$D$6*'Power Price Assumption'!L25*12*Assumptions!$I$53,0))</f>
        <v>33488.319998585815</v>
      </c>
      <c r="K17" s="128">
        <f>IF(AND(K6&gt;Assumptions!$I$36,IS!J6&gt;Assumptions!$I$36),12*'Power Price Assumption'!M25*Assumptions!$I$53,IF(AND(IS!J6&lt;Assumptions!$I$36,IS!K6&gt;Assumptions!$I$36),IS!$D$6*'Power Price Assumption'!M25*12*Assumptions!$I$53,0))</f>
        <v>33887.829781025081</v>
      </c>
      <c r="L17" s="128">
        <f>IF(AND(L6&gt;Assumptions!$I$36,IS!K6&gt;Assumptions!$I$36),12*'Power Price Assumption'!N25*Assumptions!$I$53,IF(AND(IS!K6&lt;Assumptions!$I$36,IS!L6&gt;Assumptions!$I$36),IS!$D$6*'Power Price Assumption'!N25*12*Assumptions!$I$53,0))</f>
        <v>34904.464674455834</v>
      </c>
      <c r="M17" s="128">
        <f>IF(AND(M6&gt;Assumptions!$I$36,IS!L6&gt;Assumptions!$I$36),12*'Power Price Assumption'!O25*Assumptions!$I$53,IF(AND(IS!L6&lt;Assumptions!$I$36,IS!M6&gt;Assumptions!$I$36),IS!$D$6*'Power Price Assumption'!O25*12*Assumptions!$I$53,0))</f>
        <v>35309.605782284336</v>
      </c>
      <c r="N17" s="128">
        <f>IF(AND(N6&gt;Assumptions!$I$36,IS!M6&gt;Assumptions!$I$36),12*'Power Price Assumption'!P25*Assumptions!$I$53,IF(AND(IS!M6&lt;Assumptions!$I$36,IS!N6&gt;Assumptions!$I$36),IS!$D$6*'Power Price Assumption'!P25*12*Assumptions!$I$53,0))</f>
        <v>36368.893955752872</v>
      </c>
      <c r="O17" s="128">
        <f>IF(AND(O6&gt;Assumptions!$I$36,IS!N6&gt;Assumptions!$I$36),12*'Power Price Assumption'!Q25*Assumptions!$I$53,IF(AND(IS!N6&lt;Assumptions!$I$36,IS!O6&gt;Assumptions!$I$36),IS!$D$6*'Power Price Assumption'!Q25*12*Assumptions!$I$53,0))</f>
        <v>36778.870578526803</v>
      </c>
      <c r="P17" s="128">
        <f>IF(AND(P6&gt;Assumptions!$I$36,IS!O6&gt;Assumptions!$I$36),12*'Power Price Assumption'!R25*Assumptions!$I$53,IF(AND(IS!O6&lt;Assumptions!$I$36,IS!P6&gt;Assumptions!$I$36),IS!$D$6*'Power Price Assumption'!R25*12*Assumptions!$I$53,0))</f>
        <v>37882.23669588261</v>
      </c>
      <c r="Q17" s="128">
        <f>IF(AND(Q6&gt;Assumptions!$I$36,IS!P6&gt;Assumptions!$I$36),12*'Power Price Assumption'!S25*Assumptions!$I$53,IF(AND(IS!P6&lt;Assumptions!$I$36,IS!Q6&gt;Assumptions!$I$36),IS!$D$6*'Power Price Assumption'!S25*12*Assumptions!$I$53,0))</f>
        <v>38296.135207930223</v>
      </c>
      <c r="R17" s="128">
        <f>IF(AND(R6&gt;Assumptions!$I$36,IS!Q6&gt;Assumptions!$I$36),12*'Power Price Assumption'!T25*Assumptions!$I$53,IF(AND(IS!Q6&lt;Assumptions!$I$36,IS!R6&gt;Assumptions!$I$36),IS!$D$6*'Power Price Assumption'!T25*12*Assumptions!$I$53,0))</f>
        <v>38700.773617674393</v>
      </c>
      <c r="S17" s="128">
        <f>IF(AND(S6&gt;Assumptions!$I$36,IS!R6&gt;Assumptions!$I$36),12*'Power Price Assumption'!U25*Assumptions!$I$53,IF(AND(IS!R6&lt;Assumptions!$I$36,IS!S6&gt;Assumptions!$I$36),IS!$D$6*'Power Price Assumption'!U25*12*Assumptions!$I$53,0))</f>
        <v>39095.223810316063</v>
      </c>
      <c r="T17" s="128">
        <f>IF(AND(T6&gt;Assumptions!$I$36,IS!S6&gt;Assumptions!$I$36),12*'Power Price Assumption'!V25*Assumptions!$I$53,IF(AND(IS!S6&lt;Assumptions!$I$36,IS!T6&gt;Assumptions!$I$36),IS!$D$6*'Power Price Assumption'!V25*12*Assumptions!$I$53,0))</f>
        <v>39478.510318260334</v>
      </c>
      <c r="U17" s="128">
        <f>IF(AND(U6&gt;Assumptions!$I$36,IS!T6&gt;Assumptions!$I$36),12*'Power Price Assumption'!W25*Assumptions!$I$53,IF(AND(IS!T6&lt;Assumptions!$I$36,IS!U6&gt;Assumptions!$I$36),IS!$D$6*'Power Price Assumption'!W25*12*Assumptions!$I$53,0))</f>
        <v>39849.608315251986</v>
      </c>
      <c r="V17" s="128">
        <f>IF(AND(V6&gt;Assumptions!$I$36,IS!U6&gt;Assumptions!$I$36),12*'Power Price Assumption'!X25*Assumptions!$I$53,IF(AND(IS!U6&lt;Assumptions!$I$36,IS!V6&gt;Assumptions!$I$36),IS!$D$6*'Power Price Assumption'!X25*12*Assumptions!$I$53,0))</f>
        <v>40207.441532776698</v>
      </c>
      <c r="W17" s="128">
        <f>IF(AND(W6&gt;Assumptions!$I$36,IS!V6&gt;Assumptions!$I$36),12*'Power Price Assumption'!Y25*Assumptions!$I$53,IF(AND(IS!V6&lt;Assumptions!$I$36,IS!W6&gt;Assumptions!$I$36),IS!$D$6*'Power Price Assumption'!Y25*12*Assumptions!$I$53,0))</f>
        <v>40550.880095869165</v>
      </c>
      <c r="X17" s="128">
        <f>IF(AND(X6&gt;Assumptions!$I$36,IS!W6&gt;Assumptions!$I$36),12*'Power Price Assumption'!Z25*Assumptions!$I$53,IF(AND(IS!W6&lt;Assumptions!$I$36,IS!X6&gt;Assumptions!$I$36),IS!$D$6*'Power Price Assumption'!Z25*12*Assumptions!$I$53,0))</f>
        <v>40878.738275367672</v>
      </c>
      <c r="Y17" s="128">
        <f>IF(AND(Y6&gt;Assumptions!$I$36,IS!X6&gt;Assumptions!$I$36),12*'Power Price Assumption'!AA25*Assumptions!$I$53,IF(AND(IS!X6&lt;Assumptions!$I$36,IS!Y6&gt;Assumptions!$I$36),IS!$D$6*'Power Price Assumption'!AA25*12*Assumptions!$I$53,0))</f>
        <v>41189.77215354982</v>
      </c>
      <c r="Z17" s="163"/>
      <c r="AA17" s="163"/>
    </row>
    <row r="18" spans="1:27">
      <c r="A18" s="4" t="s">
        <v>322</v>
      </c>
      <c r="D18" s="128">
        <v>0</v>
      </c>
      <c r="E18" s="128">
        <v>0</v>
      </c>
      <c r="F18" s="128">
        <v>0</v>
      </c>
      <c r="G18" s="128">
        <v>0</v>
      </c>
      <c r="H18" s="128">
        <v>0</v>
      </c>
      <c r="I18" s="128">
        <v>0</v>
      </c>
      <c r="J18" s="128">
        <v>0</v>
      </c>
      <c r="K18" s="128">
        <v>0</v>
      </c>
      <c r="L18" s="128">
        <v>0</v>
      </c>
      <c r="M18" s="128">
        <v>0</v>
      </c>
      <c r="N18" s="128">
        <v>0</v>
      </c>
      <c r="O18" s="128">
        <v>0</v>
      </c>
      <c r="P18" s="128">
        <v>0</v>
      </c>
      <c r="Q18" s="128">
        <v>0</v>
      </c>
      <c r="R18" s="128">
        <v>0</v>
      </c>
      <c r="S18" s="128">
        <v>0</v>
      </c>
      <c r="T18" s="128">
        <v>0</v>
      </c>
      <c r="U18" s="128">
        <v>0</v>
      </c>
      <c r="V18" s="128">
        <v>0</v>
      </c>
      <c r="W18" s="128">
        <v>0</v>
      </c>
      <c r="X18" s="128">
        <v>0</v>
      </c>
      <c r="Y18" s="128">
        <v>0</v>
      </c>
      <c r="Z18" s="163"/>
      <c r="AA18" s="163"/>
    </row>
    <row r="19" spans="1:27">
      <c r="A19" s="4" t="s">
        <v>323</v>
      </c>
      <c r="D19" s="128">
        <v>0</v>
      </c>
      <c r="E19" s="128">
        <v>0</v>
      </c>
      <c r="F19" s="128">
        <v>0</v>
      </c>
      <c r="G19" s="128">
        <v>0</v>
      </c>
      <c r="H19" s="128">
        <v>0</v>
      </c>
      <c r="I19" s="128">
        <v>0</v>
      </c>
      <c r="J19" s="128">
        <v>0</v>
      </c>
      <c r="K19" s="128">
        <v>0</v>
      </c>
      <c r="L19" s="128">
        <v>0</v>
      </c>
      <c r="M19" s="128">
        <v>0</v>
      </c>
      <c r="N19" s="128">
        <v>0</v>
      </c>
      <c r="O19" s="128">
        <v>0</v>
      </c>
      <c r="P19" s="128">
        <v>0</v>
      </c>
      <c r="Q19" s="128">
        <v>0</v>
      </c>
      <c r="R19" s="128">
        <v>0</v>
      </c>
      <c r="S19" s="128">
        <v>0</v>
      </c>
      <c r="T19" s="128">
        <v>0</v>
      </c>
      <c r="U19" s="128">
        <v>0</v>
      </c>
      <c r="V19" s="128">
        <v>0</v>
      </c>
      <c r="W19" s="128">
        <v>0</v>
      </c>
      <c r="X19" s="128">
        <v>0</v>
      </c>
      <c r="Y19" s="128">
        <v>0</v>
      </c>
      <c r="Z19" s="163"/>
      <c r="AA19" s="163"/>
    </row>
    <row r="20" spans="1:27">
      <c r="A20" s="4" t="s">
        <v>318</v>
      </c>
      <c r="D20" s="128">
        <v>0</v>
      </c>
      <c r="E20" s="128">
        <v>0</v>
      </c>
      <c r="F20" s="128">
        <v>0</v>
      </c>
      <c r="G20" s="128">
        <v>0</v>
      </c>
      <c r="H20" s="128">
        <v>0</v>
      </c>
      <c r="I20" s="128">
        <v>0</v>
      </c>
      <c r="J20" s="128">
        <v>0</v>
      </c>
      <c r="K20" s="128">
        <v>0</v>
      </c>
      <c r="L20" s="128">
        <v>0</v>
      </c>
      <c r="M20" s="128">
        <v>0</v>
      </c>
      <c r="N20" s="128">
        <v>0</v>
      </c>
      <c r="O20" s="128">
        <v>0</v>
      </c>
      <c r="P20" s="128">
        <v>0</v>
      </c>
      <c r="Q20" s="128">
        <v>0</v>
      </c>
      <c r="R20" s="128">
        <v>0</v>
      </c>
      <c r="S20" s="128">
        <v>0</v>
      </c>
      <c r="T20" s="128">
        <v>0</v>
      </c>
      <c r="U20" s="128">
        <v>0</v>
      </c>
      <c r="V20" s="128">
        <v>0</v>
      </c>
      <c r="W20" s="128">
        <v>0</v>
      </c>
      <c r="X20" s="128">
        <v>0</v>
      </c>
      <c r="Y20" s="128">
        <v>0</v>
      </c>
      <c r="Z20" s="163"/>
      <c r="AA20" s="163"/>
    </row>
    <row r="21" spans="1:27">
      <c r="Z21" s="163"/>
      <c r="AA21" s="163"/>
    </row>
    <row r="22" spans="1:27">
      <c r="A22" s="4" t="s">
        <v>89</v>
      </c>
      <c r="D22" s="128">
        <v>0</v>
      </c>
      <c r="E22" s="128">
        <v>0</v>
      </c>
      <c r="F22" s="128">
        <v>0</v>
      </c>
      <c r="G22" s="128">
        <v>0</v>
      </c>
      <c r="H22" s="128">
        <v>0</v>
      </c>
      <c r="I22" s="128">
        <v>0</v>
      </c>
      <c r="J22" s="128">
        <v>0</v>
      </c>
      <c r="K22" s="128">
        <v>0</v>
      </c>
      <c r="L22" s="128">
        <v>0</v>
      </c>
      <c r="M22" s="128">
        <v>0</v>
      </c>
      <c r="N22" s="128">
        <v>0</v>
      </c>
      <c r="O22" s="128">
        <v>0</v>
      </c>
      <c r="P22" s="128">
        <v>0</v>
      </c>
      <c r="Q22" s="128">
        <v>0</v>
      </c>
      <c r="R22" s="128">
        <v>0</v>
      </c>
      <c r="S22" s="128">
        <v>0</v>
      </c>
      <c r="T22" s="128">
        <v>0</v>
      </c>
      <c r="U22" s="128">
        <v>0</v>
      </c>
      <c r="V22" s="128">
        <v>0</v>
      </c>
      <c r="W22" s="128">
        <v>0</v>
      </c>
      <c r="X22" s="128">
        <v>0</v>
      </c>
      <c r="Y22" s="128">
        <v>0</v>
      </c>
      <c r="Z22" s="163"/>
      <c r="AA22" s="163"/>
    </row>
    <row r="23" spans="1:27">
      <c r="A23" s="532" t="s">
        <v>324</v>
      </c>
      <c r="D23" s="128">
        <v>0</v>
      </c>
      <c r="E23" s="128">
        <v>0</v>
      </c>
      <c r="F23" s="128">
        <v>0</v>
      </c>
      <c r="G23" s="128">
        <v>0</v>
      </c>
      <c r="H23" s="128">
        <v>0</v>
      </c>
      <c r="I23" s="128">
        <v>0</v>
      </c>
      <c r="J23" s="128">
        <v>0</v>
      </c>
      <c r="K23" s="128">
        <v>0</v>
      </c>
      <c r="L23" s="128">
        <v>0</v>
      </c>
      <c r="M23" s="128">
        <v>0</v>
      </c>
      <c r="N23" s="128">
        <v>0</v>
      </c>
      <c r="O23" s="128">
        <v>0</v>
      </c>
      <c r="P23" s="128">
        <v>0</v>
      </c>
      <c r="Q23" s="128">
        <v>0</v>
      </c>
      <c r="R23" s="128">
        <v>0</v>
      </c>
      <c r="S23" s="128">
        <v>0</v>
      </c>
      <c r="T23" s="128">
        <v>0</v>
      </c>
      <c r="U23" s="128">
        <v>0</v>
      </c>
      <c r="V23" s="128">
        <v>0</v>
      </c>
      <c r="W23" s="128">
        <v>0</v>
      </c>
      <c r="X23" s="128">
        <v>0</v>
      </c>
      <c r="Y23" s="128">
        <v>0</v>
      </c>
      <c r="Z23" s="163"/>
      <c r="AA23" s="163"/>
    </row>
    <row r="24" spans="1:27">
      <c r="A24" s="532" t="s">
        <v>325</v>
      </c>
      <c r="D24" s="531">
        <v>0</v>
      </c>
      <c r="E24" s="531">
        <v>0</v>
      </c>
      <c r="F24" s="531">
        <v>0</v>
      </c>
      <c r="G24" s="531">
        <v>0</v>
      </c>
      <c r="H24" s="531">
        <v>0</v>
      </c>
      <c r="I24" s="531">
        <v>0</v>
      </c>
      <c r="J24" s="531">
        <v>0</v>
      </c>
      <c r="K24" s="531">
        <v>0</v>
      </c>
      <c r="L24" s="531">
        <v>0</v>
      </c>
      <c r="M24" s="531">
        <v>0</v>
      </c>
      <c r="N24" s="531">
        <v>0</v>
      </c>
      <c r="O24" s="531">
        <v>0</v>
      </c>
      <c r="P24" s="531">
        <v>0</v>
      </c>
      <c r="Q24" s="531">
        <v>0</v>
      </c>
      <c r="R24" s="531">
        <v>0</v>
      </c>
      <c r="S24" s="531">
        <v>0</v>
      </c>
      <c r="T24" s="531">
        <v>0</v>
      </c>
      <c r="U24" s="531">
        <v>0</v>
      </c>
      <c r="V24" s="531">
        <v>0</v>
      </c>
      <c r="W24" s="531">
        <v>0</v>
      </c>
      <c r="X24" s="531">
        <v>0</v>
      </c>
      <c r="Y24" s="531">
        <v>0</v>
      </c>
      <c r="Z24" s="163"/>
      <c r="AA24" s="163"/>
    </row>
    <row r="25" spans="1:27">
      <c r="A25" s="4" t="s">
        <v>90</v>
      </c>
      <c r="D25" s="128">
        <f>SUM(D11:D24)</f>
        <v>10992</v>
      </c>
      <c r="E25" s="128">
        <f t="shared" ref="E25:Y25" si="0">SUM(E11:E24)</f>
        <v>21984</v>
      </c>
      <c r="F25" s="128">
        <f t="shared" si="0"/>
        <v>21984</v>
      </c>
      <c r="G25" s="128">
        <f t="shared" si="0"/>
        <v>21984</v>
      </c>
      <c r="H25" s="128">
        <f t="shared" si="0"/>
        <v>27328.765373958908</v>
      </c>
      <c r="I25" s="128">
        <f t="shared" si="0"/>
        <v>33083.334353908656</v>
      </c>
      <c r="J25" s="128">
        <f t="shared" si="0"/>
        <v>33488.319998585815</v>
      </c>
      <c r="K25" s="128">
        <f t="shared" si="0"/>
        <v>33887.829781025081</v>
      </c>
      <c r="L25" s="128">
        <f t="shared" si="0"/>
        <v>34904.464674455834</v>
      </c>
      <c r="M25" s="128">
        <f t="shared" si="0"/>
        <v>35309.605782284336</v>
      </c>
      <c r="N25" s="128">
        <f t="shared" si="0"/>
        <v>36368.893955752872</v>
      </c>
      <c r="O25" s="128">
        <f t="shared" si="0"/>
        <v>36778.870578526803</v>
      </c>
      <c r="P25" s="128">
        <f t="shared" si="0"/>
        <v>37882.23669588261</v>
      </c>
      <c r="Q25" s="128">
        <f t="shared" si="0"/>
        <v>38296.135207930223</v>
      </c>
      <c r="R25" s="128">
        <f t="shared" si="0"/>
        <v>38700.773617674393</v>
      </c>
      <c r="S25" s="128">
        <f t="shared" si="0"/>
        <v>39095.223810316063</v>
      </c>
      <c r="T25" s="128">
        <f t="shared" si="0"/>
        <v>39478.510318260334</v>
      </c>
      <c r="U25" s="128">
        <f t="shared" si="0"/>
        <v>39849.608315251986</v>
      </c>
      <c r="V25" s="128">
        <f t="shared" si="0"/>
        <v>40207.441532776698</v>
      </c>
      <c r="W25" s="128">
        <f t="shared" si="0"/>
        <v>40550.880095869165</v>
      </c>
      <c r="X25" s="128">
        <f t="shared" si="0"/>
        <v>40878.738275367672</v>
      </c>
      <c r="Y25" s="128">
        <f t="shared" si="0"/>
        <v>41189.77215354982</v>
      </c>
      <c r="Z25" s="163"/>
      <c r="AA25" s="163"/>
    </row>
    <row r="26" spans="1:27">
      <c r="A26" s="7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63"/>
      <c r="AA26" s="163"/>
    </row>
    <row r="27" spans="1:27">
      <c r="A27" s="1" t="s">
        <v>91</v>
      </c>
      <c r="Z27" s="163"/>
      <c r="AA27" s="163"/>
    </row>
    <row r="28" spans="1:27">
      <c r="A28" s="4" t="s">
        <v>92</v>
      </c>
      <c r="D28" s="138">
        <f>Assumptions!$I$84</f>
        <v>0</v>
      </c>
      <c r="E28" s="138">
        <f>Assumptions!$I$84</f>
        <v>0</v>
      </c>
      <c r="F28" s="138">
        <f>Assumptions!$I$84</f>
        <v>0</v>
      </c>
      <c r="G28" s="138">
        <f>Assumptions!$I$84</f>
        <v>0</v>
      </c>
      <c r="H28" s="138">
        <f>Assumptions!$I$84</f>
        <v>0</v>
      </c>
      <c r="I28" s="138">
        <f>Assumptions!$I$84</f>
        <v>0</v>
      </c>
      <c r="J28" s="138">
        <f>Assumptions!$I$84</f>
        <v>0</v>
      </c>
      <c r="K28" s="138">
        <f>Assumptions!$I$84</f>
        <v>0</v>
      </c>
      <c r="L28" s="138">
        <f>Assumptions!$I$84</f>
        <v>0</v>
      </c>
      <c r="M28" s="138">
        <f>Assumptions!$I$84</f>
        <v>0</v>
      </c>
      <c r="N28" s="138">
        <f>Assumptions!$I$84</f>
        <v>0</v>
      </c>
      <c r="O28" s="138">
        <f>Assumptions!$I$84</f>
        <v>0</v>
      </c>
      <c r="P28" s="138">
        <f>Assumptions!$I$84</f>
        <v>0</v>
      </c>
      <c r="Q28" s="138">
        <f>Assumptions!$I$84</f>
        <v>0</v>
      </c>
      <c r="R28" s="138">
        <f>Assumptions!$I$84</f>
        <v>0</v>
      </c>
      <c r="S28" s="138">
        <f>Assumptions!$I$84</f>
        <v>0</v>
      </c>
      <c r="T28" s="138">
        <f>Assumptions!$I$84</f>
        <v>0</v>
      </c>
      <c r="U28" s="138">
        <f>Assumptions!$I$84</f>
        <v>0</v>
      </c>
      <c r="V28" s="138">
        <f>Assumptions!$I$84</f>
        <v>0</v>
      </c>
      <c r="W28" s="138">
        <f>Assumptions!$I$84</f>
        <v>0</v>
      </c>
      <c r="X28" s="138">
        <f>Assumptions!$I$84</f>
        <v>0</v>
      </c>
      <c r="Y28" s="138">
        <f>Assumptions!$I$84</f>
        <v>0</v>
      </c>
      <c r="Z28" s="163"/>
      <c r="AA28" s="163"/>
    </row>
    <row r="29" spans="1:27">
      <c r="A29" s="4" t="s">
        <v>77</v>
      </c>
      <c r="C29" s="128"/>
      <c r="D29" s="138">
        <f>Assumptions!$I89*Assumptions!I17/12</f>
        <v>350.72500000000008</v>
      </c>
      <c r="E29" s="138">
        <f>Assumptions!$I89*(1+Assumptions!$I$85)</f>
        <v>722.49350000000004</v>
      </c>
      <c r="F29" s="138">
        <f>E29*(1+Assumptions!$I$85)</f>
        <v>744.16830500000003</v>
      </c>
      <c r="G29" s="138">
        <f>F29*(1+Assumptions!$I$85)</f>
        <v>766.49335415000007</v>
      </c>
      <c r="H29" s="138">
        <f>G29*(1+Assumptions!$I$85)</f>
        <v>789.48815477450012</v>
      </c>
      <c r="I29" s="138">
        <f>H29*(1+Assumptions!$I$85)</f>
        <v>813.17279941773518</v>
      </c>
      <c r="J29" s="138">
        <f>I29*(1+Assumptions!$I$85)</f>
        <v>837.56798340026728</v>
      </c>
      <c r="K29" s="138">
        <f>J29*(1+Assumptions!$I$85)</f>
        <v>862.69502290227535</v>
      </c>
      <c r="L29" s="138">
        <f>K29*(1+Assumptions!$I$85)</f>
        <v>888.57587358934359</v>
      </c>
      <c r="M29" s="138">
        <f>L29*(1+Assumptions!$I$85)</f>
        <v>915.23314979702388</v>
      </c>
      <c r="N29" s="138">
        <f>M29*(1+Assumptions!$I$85)</f>
        <v>942.69014429093465</v>
      </c>
      <c r="O29" s="138">
        <f>N29*(1+Assumptions!$I$85)</f>
        <v>970.97084861966277</v>
      </c>
      <c r="P29" s="138">
        <f>O29*(1+Assumptions!$I$85)</f>
        <v>1000.0999740782527</v>
      </c>
      <c r="Q29" s="138">
        <f>P29*(1+Assumptions!$I$85)</f>
        <v>1030.1029733006003</v>
      </c>
      <c r="R29" s="138">
        <f>Q29*(1+Assumptions!$I$85)</f>
        <v>1061.0060624996183</v>
      </c>
      <c r="S29" s="138">
        <f>R29*(1+Assumptions!$I$85)</f>
        <v>1092.8362443746068</v>
      </c>
      <c r="T29" s="138">
        <f>S29*(1+Assumptions!$I$85)</f>
        <v>1125.621331705845</v>
      </c>
      <c r="U29" s="138">
        <f>T29*(1+Assumptions!$I$85)</f>
        <v>1159.3899716570204</v>
      </c>
      <c r="V29" s="138">
        <f>U29*(1+Assumptions!$I$85)</f>
        <v>1194.1716708067311</v>
      </c>
      <c r="W29" s="138">
        <f>V29*(1+Assumptions!$I$85)</f>
        <v>1229.9968209309329</v>
      </c>
      <c r="X29" s="138">
        <f>W29*(1+Assumptions!$I$85)</f>
        <v>1266.8967255588609</v>
      </c>
      <c r="Y29" s="138">
        <f>X29*(1+Assumptions!$I$85)</f>
        <v>1304.9036273256268</v>
      </c>
      <c r="Z29" s="163"/>
      <c r="AA29" s="163"/>
    </row>
    <row r="30" spans="1:27">
      <c r="A30" s="4" t="s">
        <v>93</v>
      </c>
      <c r="C30" s="128"/>
      <c r="D30" s="138">
        <f>Assumptions!I90</f>
        <v>0.40767526395173459</v>
      </c>
      <c r="E30" s="138">
        <f>D30*(1+Assumptions!$I$85)^(IS!E7-IS!$D$7)</f>
        <v>0.41990552187028662</v>
      </c>
      <c r="F30" s="138">
        <f>E30*(1+Assumptions!$I$85)^(IS!F7-IS!$D$7)</f>
        <v>0.44547776815218704</v>
      </c>
      <c r="G30" s="138">
        <f>F30*(1+Assumptions!$I$85)^(IS!G7-IS!$D$7)</f>
        <v>0.48678558515963488</v>
      </c>
      <c r="H30" s="138">
        <f>G30*(1+Assumptions!$I$85)^(IS!H7-IS!$D$7)</f>
        <v>0.54788146467817422</v>
      </c>
      <c r="I30" s="138">
        <f>H30*(1+Assumptions!$I$85)^(IS!I7-IS!$D$7)</f>
        <v>0.63514477779091849</v>
      </c>
      <c r="J30" s="138">
        <f>I30*(1+Assumptions!$I$85)^(IS!J7-IS!$D$7)</f>
        <v>0.75839608054964758</v>
      </c>
      <c r="K30" s="138">
        <f>J30*(1+Assumptions!$I$85)^(IS!K7-IS!$D$7)</f>
        <v>0.93273151910866614</v>
      </c>
      <c r="L30" s="138">
        <f>K30*(1+Assumptions!$I$85)^(IS!L7-IS!$D$7)</f>
        <v>1.1815563823740796</v>
      </c>
      <c r="M30" s="138">
        <f>L30*(1+Assumptions!$I$85)^(IS!M7-IS!$D$7)</f>
        <v>1.5416630829039919</v>
      </c>
      <c r="N30" s="138">
        <f>M30*(1+Assumptions!$I$85)^(IS!N7-IS!$D$7)</f>
        <v>2.0718662685448295</v>
      </c>
      <c r="O30" s="138">
        <f>N30*(1+Assumptions!$I$85)^(IS!O7-IS!$D$7)</f>
        <v>2.8679474645312228</v>
      </c>
      <c r="P30" s="138">
        <f>O30*(1+Assumptions!$I$85)^(IS!P7-IS!$D$7)</f>
        <v>4.0890073204582853</v>
      </c>
      <c r="Q30" s="138">
        <f>P30*(1+Assumptions!$I$85)^(IS!Q7-IS!$D$7)</f>
        <v>6.004845104643235</v>
      </c>
      <c r="R30" s="138">
        <f>Q30*(1+Assumptions!$I$85)^(IS!R7-IS!$D$7)</f>
        <v>9.0828670046298718</v>
      </c>
      <c r="S30" s="138">
        <f>R30*(1+Assumptions!$I$85)^(IS!S7-IS!$D$7)</f>
        <v>14.150810842531525</v>
      </c>
      <c r="T30" s="138">
        <f>S30*(1+Assumptions!$I$85)^(IS!T7-IS!$D$7)</f>
        <v>22.707897277479272</v>
      </c>
      <c r="U30" s="138">
        <f>T30*(1+Assumptions!$I$85)^(IS!U7-IS!$D$7)</f>
        <v>37.532694248951749</v>
      </c>
      <c r="V30" s="138">
        <f>U30*(1+Assumptions!$I$85)^(IS!V7-IS!$D$7)</f>
        <v>63.896899566824239</v>
      </c>
      <c r="W30" s="138">
        <f>V30*(1+Assumptions!$I$85)^(IS!W7-IS!$D$7)</f>
        <v>112.04360016328584</v>
      </c>
      <c r="X30" s="138">
        <f>W30*(1+Assumptions!$I$85)^(IS!X7-IS!$D$7)</f>
        <v>202.36320502771827</v>
      </c>
      <c r="Y30" s="138">
        <f>X30*(1+Assumptions!$I$85)^(IS!Y7-IS!$D$7)</f>
        <v>376.45517182679998</v>
      </c>
      <c r="Z30" s="163"/>
      <c r="AA30" s="163"/>
    </row>
    <row r="31" spans="1:27">
      <c r="A31" s="4" t="s">
        <v>79</v>
      </c>
      <c r="C31" s="128"/>
      <c r="D31" s="138">
        <f>VLOOKUP(Assumptions!I26,'EGC Start Charge Matrix'!$U$12:$AM$37,15)*Assumptions!I$17/12</f>
        <v>410.19</v>
      </c>
      <c r="E31" s="138">
        <f>VLOOKUP(Assumptions!$I$26,'EGC Start Charge Matrix'!$U$12:$AM$37,15)*(1+Assumptions!$I$85)</f>
        <v>844.9914</v>
      </c>
      <c r="F31" s="138">
        <f>VLOOKUP(Assumptions!$I$26,'EGC Start Charge Matrix'!$U$12:$AM$37,15)*(1+Assumptions!$I$85)</f>
        <v>844.9914</v>
      </c>
      <c r="G31" s="138">
        <f>VLOOKUP(Assumptions!$I$26,'EGC Start Charge Matrix'!$U$12:$AM$37,15)*(1+Assumptions!$I$85)</f>
        <v>844.9914</v>
      </c>
      <c r="H31" s="138">
        <f>VLOOKUP(Assumptions!$I$26,'EGC Start Charge Matrix'!$U$12:$AM$37,15)*(1+Assumptions!$I$85)</f>
        <v>844.9914</v>
      </c>
      <c r="I31" s="138">
        <f>VLOOKUP(Assumptions!$I$26,'EGC Start Charge Matrix'!$U$12:$AM$37,15)*(1+Assumptions!$I$85)</f>
        <v>844.9914</v>
      </c>
      <c r="J31" s="138">
        <f>VLOOKUP(Assumptions!$I$26,'EGC Start Charge Matrix'!$U$12:$AM$37,15)*(1+Assumptions!$I$85)</f>
        <v>844.9914</v>
      </c>
      <c r="K31" s="138">
        <f>VLOOKUP(Assumptions!$I$26,'EGC Start Charge Matrix'!$U$12:$AM$37,15)*(1+Assumptions!$I$85)</f>
        <v>844.9914</v>
      </c>
      <c r="L31" s="138">
        <f>VLOOKUP(Assumptions!$I$26,'EGC Start Charge Matrix'!$U$12:$AM$37,15)*(1+Assumptions!$I$85)</f>
        <v>844.9914</v>
      </c>
      <c r="M31" s="138">
        <f>VLOOKUP(Assumptions!$I$26,'EGC Start Charge Matrix'!$U$12:$AM$37,15)*(1+Assumptions!$I$85)</f>
        <v>844.9914</v>
      </c>
      <c r="N31" s="138">
        <f>VLOOKUP(Assumptions!$I$26,'EGC Start Charge Matrix'!$U$12:$AM$37,15)*(1+Assumptions!$I$85)</f>
        <v>844.9914</v>
      </c>
      <c r="O31" s="138">
        <f>VLOOKUP(Assumptions!$I$26,'EGC Start Charge Matrix'!$U$12:$AM$37,15)*(1+Assumptions!$I$85)</f>
        <v>844.9914</v>
      </c>
      <c r="P31" s="138">
        <f>VLOOKUP(Assumptions!$I$26,'EGC Start Charge Matrix'!$U$12:$AM$37,15)*(1+Assumptions!$I$85)</f>
        <v>844.9914</v>
      </c>
      <c r="Q31" s="138">
        <f>VLOOKUP(Assumptions!$I$26,'EGC Start Charge Matrix'!$U$12:$AM$37,15)*(1+Assumptions!$I$85)</f>
        <v>844.9914</v>
      </c>
      <c r="R31" s="138">
        <f>VLOOKUP(Assumptions!$I$26,'EGC Start Charge Matrix'!$U$12:$AM$37,15)*(1+Assumptions!$I$85)</f>
        <v>844.9914</v>
      </c>
      <c r="S31" s="138">
        <f>VLOOKUP(Assumptions!$I$26,'EGC Start Charge Matrix'!$U$12:$AM$37,15)*(1+Assumptions!$I$85)</f>
        <v>844.9914</v>
      </c>
      <c r="T31" s="138">
        <f>VLOOKUP(Assumptions!$I$26,'EGC Start Charge Matrix'!$U$12:$AM$37,15)*(1+Assumptions!$I$85)</f>
        <v>844.9914</v>
      </c>
      <c r="U31" s="138">
        <f>VLOOKUP(Assumptions!$I$26,'EGC Start Charge Matrix'!$U$12:$AM$37,15)*(1+Assumptions!$I$85)</f>
        <v>844.9914</v>
      </c>
      <c r="V31" s="138">
        <f>VLOOKUP(Assumptions!$I$26,'EGC Start Charge Matrix'!$U$12:$AM$37,15)*(1+Assumptions!$I$85)</f>
        <v>844.9914</v>
      </c>
      <c r="W31" s="138">
        <f>VLOOKUP(Assumptions!$I$26,'EGC Start Charge Matrix'!$U$12:$AM$37,15)*(1+Assumptions!$I$85)</f>
        <v>844.9914</v>
      </c>
      <c r="X31" s="138">
        <f>VLOOKUP(Assumptions!$I$26,'EGC Start Charge Matrix'!$U$12:$AM$37,15)*(1+Assumptions!$I$85)</f>
        <v>844.9914</v>
      </c>
      <c r="Y31" s="138">
        <f>VLOOKUP(Assumptions!$I$26,'EGC Start Charge Matrix'!$U$12:$AM$37,15)*(1+Assumptions!$I$85)</f>
        <v>844.9914</v>
      </c>
      <c r="Z31" s="163"/>
      <c r="AA31" s="163"/>
    </row>
    <row r="32" spans="1:27">
      <c r="A32" s="4" t="s">
        <v>81</v>
      </c>
      <c r="C32" s="128"/>
      <c r="D32" s="138">
        <f>Assumptions!$I92*Assumptions!I17/12</f>
        <v>127.88</v>
      </c>
      <c r="E32" s="138">
        <f>Assumptions!$I92*(1+Assumptions!$I$85)</f>
        <v>263.43279999999999</v>
      </c>
      <c r="F32" s="138">
        <f>E32*(1+Assumptions!$I$85)</f>
        <v>271.33578399999999</v>
      </c>
      <c r="G32" s="138">
        <f>F32*(1+Assumptions!$I$85)</f>
        <v>279.47585751999998</v>
      </c>
      <c r="H32" s="138">
        <f>G32*(1+Assumptions!$I$85)</f>
        <v>287.86013324559997</v>
      </c>
      <c r="I32" s="138">
        <f>H32*(1+Assumptions!$I$85)</f>
        <v>296.49593724296795</v>
      </c>
      <c r="J32" s="138">
        <f>I32*(1+Assumptions!$I$85)</f>
        <v>305.39081536025702</v>
      </c>
      <c r="K32" s="138">
        <f>J32*(1+Assumptions!$I$85)</f>
        <v>314.55253982106473</v>
      </c>
      <c r="L32" s="138">
        <f>K32*(1+Assumptions!$I$85)</f>
        <v>323.98911601569665</v>
      </c>
      <c r="M32" s="138">
        <f>L32*(1+Assumptions!$I$85)</f>
        <v>333.70878949616758</v>
      </c>
      <c r="N32" s="138">
        <f>M32*(1+Assumptions!$I$85)</f>
        <v>343.72005318105261</v>
      </c>
      <c r="O32" s="138">
        <f>N32*(1+Assumptions!$I$85)</f>
        <v>354.03165477648417</v>
      </c>
      <c r="P32" s="138">
        <f>O32*(1+Assumptions!$I$85)</f>
        <v>364.6526044197787</v>
      </c>
      <c r="Q32" s="138">
        <f>P32*(1+Assumptions!$I$85)</f>
        <v>375.59218255237209</v>
      </c>
      <c r="R32" s="138">
        <f>Q32*(1+Assumptions!$I$85)</f>
        <v>386.85994802894328</v>
      </c>
      <c r="S32" s="138">
        <f>R32*(1+Assumptions!$I$85)</f>
        <v>398.46574646981156</v>
      </c>
      <c r="T32" s="138">
        <f>S32*(1+Assumptions!$I$85)</f>
        <v>410.41971886390593</v>
      </c>
      <c r="U32" s="138">
        <f>T32*(1+Assumptions!$I$85)</f>
        <v>422.73231042982314</v>
      </c>
      <c r="V32" s="138">
        <f>U32*(1+Assumptions!$I$85)</f>
        <v>435.41427974271784</v>
      </c>
      <c r="W32" s="138">
        <f>V32*(1+Assumptions!$I$85)</f>
        <v>448.4767081349994</v>
      </c>
      <c r="X32" s="138">
        <f>W32*(1+Assumptions!$I$85)</f>
        <v>461.93100937904939</v>
      </c>
      <c r="Y32" s="138">
        <f>X32*(1+Assumptions!$I$85)</f>
        <v>475.78893966042085</v>
      </c>
      <c r="Z32" s="163"/>
      <c r="AA32" s="163"/>
    </row>
    <row r="33" spans="1:48">
      <c r="A33" s="4" t="s">
        <v>82</v>
      </c>
      <c r="C33" s="128"/>
      <c r="D33" s="138">
        <f>Assumptions!$I93*Assumptions!I17/12</f>
        <v>221.61015</v>
      </c>
      <c r="E33" s="138">
        <f>(Assumptions!$I93)*(1+Assumptions!$I$85)</f>
        <v>456.516909</v>
      </c>
      <c r="F33" s="138">
        <f>E33*(1+Assumptions!$I$85)</f>
        <v>470.21241627000001</v>
      </c>
      <c r="G33" s="138">
        <f>F33*(1+Assumptions!$I$85)</f>
        <v>484.31878875810003</v>
      </c>
      <c r="H33" s="138">
        <f>G33*(1+Assumptions!$I$85)</f>
        <v>498.84835242084301</v>
      </c>
      <c r="I33" s="138">
        <f>H33*(1+Assumptions!$I$85)</f>
        <v>513.81380299346836</v>
      </c>
      <c r="J33" s="138">
        <f>I33*(1+Assumptions!$I$85)</f>
        <v>529.2282170832724</v>
      </c>
      <c r="K33" s="138">
        <f>J33*(1+Assumptions!$I$85)</f>
        <v>545.10506359577062</v>
      </c>
      <c r="L33" s="138">
        <f>K33*(1+Assumptions!$I$85)</f>
        <v>561.45821550364371</v>
      </c>
      <c r="M33" s="138">
        <f>L33*(1+Assumptions!$I$85)</f>
        <v>578.30196196875306</v>
      </c>
      <c r="N33" s="138">
        <f>M33*(1+Assumptions!$I$85)</f>
        <v>595.65102082781561</v>
      </c>
      <c r="O33" s="138">
        <f>N33*(1+Assumptions!$I$85)</f>
        <v>613.52055145265012</v>
      </c>
      <c r="P33" s="138">
        <f>O33*(1+Assumptions!$I$85)</f>
        <v>631.92616799622965</v>
      </c>
      <c r="Q33" s="138">
        <f>P33*(1+Assumptions!$I$85)</f>
        <v>650.88395303611651</v>
      </c>
      <c r="R33" s="138">
        <f>Q33*(1+Assumptions!$I$85)</f>
        <v>670.41047162719997</v>
      </c>
      <c r="S33" s="138">
        <f>R33*(1+Assumptions!$I$85)</f>
        <v>690.52278577601601</v>
      </c>
      <c r="T33" s="138">
        <f>S33*(1+Assumptions!$I$85)</f>
        <v>711.23846934929645</v>
      </c>
      <c r="U33" s="138">
        <f>T33*(1+Assumptions!$I$85)</f>
        <v>732.57562342977542</v>
      </c>
      <c r="V33" s="138">
        <f>U33*(1+Assumptions!$I$85)</f>
        <v>754.55289213266872</v>
      </c>
      <c r="W33" s="138">
        <f>V33*(1+Assumptions!$I$85)</f>
        <v>777.18947889664878</v>
      </c>
      <c r="X33" s="138">
        <f>W33*(1+Assumptions!$I$85)</f>
        <v>800.5051632635483</v>
      </c>
      <c r="Y33" s="138">
        <f>X33*(1+Assumptions!$I$85)</f>
        <v>824.52031816145472</v>
      </c>
      <c r="Z33" s="164"/>
      <c r="AA33" s="164"/>
    </row>
    <row r="34" spans="1:48">
      <c r="A34" s="4" t="s">
        <v>94</v>
      </c>
      <c r="C34" s="128"/>
      <c r="D34" s="138">
        <f>+Assumptions!I94*Assumptions!I17/12</f>
        <v>22.056014999999999</v>
      </c>
      <c r="E34" s="138">
        <f>+Assumptions!I94*(1+Assumptions!$I$85)</f>
        <v>45.435390900000002</v>
      </c>
      <c r="F34" s="138">
        <f>E34*(1+Assumptions!$I$85)</f>
        <v>46.798452627000003</v>
      </c>
      <c r="G34" s="138">
        <f>F34*(1+Assumptions!$I$85)</f>
        <v>48.202406205810007</v>
      </c>
      <c r="H34" s="138">
        <f>G34*(1+Assumptions!$I$85)</f>
        <v>49.648478391984305</v>
      </c>
      <c r="I34" s="138">
        <f>H34*(1+Assumptions!$I$85)</f>
        <v>51.137932743743839</v>
      </c>
      <c r="J34" s="138">
        <f>I34*(1+Assumptions!$I$85)</f>
        <v>52.672070726056155</v>
      </c>
      <c r="K34" s="138">
        <f>J34*(1+Assumptions!$I$85)</f>
        <v>54.252232847837838</v>
      </c>
      <c r="L34" s="138">
        <f>K34*(1+Assumptions!$I$85)</f>
        <v>55.879799833272976</v>
      </c>
      <c r="M34" s="138">
        <f>L34*(1+Assumptions!$I$85)</f>
        <v>57.556193828271169</v>
      </c>
      <c r="N34" s="138">
        <f>M34*(1+Assumptions!$I$85)</f>
        <v>59.282879643119308</v>
      </c>
      <c r="O34" s="138">
        <f>N34*(1+Assumptions!$I$85)</f>
        <v>61.061366032412892</v>
      </c>
      <c r="P34" s="138">
        <f>O34*(1+Assumptions!$I$85)</f>
        <v>62.893207013385279</v>
      </c>
      <c r="Q34" s="138">
        <f>P34*(1+Assumptions!$I$85)</f>
        <v>64.780003223786835</v>
      </c>
      <c r="R34" s="138">
        <f>Q34*(1+Assumptions!$I$85)</f>
        <v>66.723403320500438</v>
      </c>
      <c r="S34" s="138">
        <f>R34*(1+Assumptions!$I$85)</f>
        <v>68.725105420115455</v>
      </c>
      <c r="T34" s="138">
        <f>S34*(1+Assumptions!$I$85)</f>
        <v>70.786858582718921</v>
      </c>
      <c r="U34" s="138">
        <f>T34*(1+Assumptions!$I$85)</f>
        <v>72.910464340200491</v>
      </c>
      <c r="V34" s="138">
        <f>U34*(1+Assumptions!$I$85)</f>
        <v>75.097778270406508</v>
      </c>
      <c r="W34" s="138">
        <f>V34*(1+Assumptions!$I$85)</f>
        <v>77.350711618518702</v>
      </c>
      <c r="X34" s="138">
        <f>W34*(1+Assumptions!$I$85)</f>
        <v>79.671232967074261</v>
      </c>
      <c r="Y34" s="138">
        <f>X34*(1+Assumptions!$I$85)</f>
        <v>82.061369956086494</v>
      </c>
      <c r="Z34" s="164"/>
      <c r="AA34" s="164"/>
    </row>
    <row r="35" spans="1:48" ht="14.25" customHeight="1">
      <c r="A35" s="4" t="s">
        <v>95</v>
      </c>
      <c r="C35" s="128"/>
      <c r="D35" s="138">
        <v>0</v>
      </c>
      <c r="E35" s="138">
        <v>540.30229880615991</v>
      </c>
      <c r="F35" s="138">
        <v>529.38710085048001</v>
      </c>
      <c r="G35" s="119">
        <v>518.4719028948</v>
      </c>
      <c r="H35" s="138">
        <v>507.55670493911998</v>
      </c>
      <c r="I35" s="138">
        <v>496.64150698343997</v>
      </c>
      <c r="J35" s="138">
        <v>485.72630902775995</v>
      </c>
      <c r="K35" s="138">
        <v>469.35351209423999</v>
      </c>
      <c r="L35" s="138">
        <v>452.98071516071991</v>
      </c>
      <c r="M35" s="138">
        <v>436.6079182272</v>
      </c>
      <c r="N35" s="138">
        <v>414.77752231583997</v>
      </c>
      <c r="O35" s="138">
        <v>1178.8413792134397</v>
      </c>
      <c r="P35" s="138">
        <v>1096.9773945458401</v>
      </c>
      <c r="Q35" s="138">
        <v>998.74061294471994</v>
      </c>
      <c r="R35" s="138">
        <v>900.50383134360004</v>
      </c>
      <c r="S35" s="138">
        <v>802.26704974247991</v>
      </c>
      <c r="T35" s="138">
        <v>671.28467427431997</v>
      </c>
      <c r="U35" s="138">
        <v>523.92950187264</v>
      </c>
      <c r="V35" s="138">
        <v>376.57432947095998</v>
      </c>
      <c r="W35" s="138">
        <v>327.45593867039997</v>
      </c>
      <c r="X35" s="138">
        <v>327.45593867039997</v>
      </c>
      <c r="Y35" s="138">
        <v>0</v>
      </c>
      <c r="Z35" s="163"/>
      <c r="AA35" s="163"/>
    </row>
    <row r="36" spans="1:48">
      <c r="A36" s="18" t="s">
        <v>52</v>
      </c>
      <c r="C36" s="128"/>
      <c r="D36" s="161">
        <f>Assumptions!$B$63*MAX(Debt!B87:$V$87)/2*(13-MONTH(Assumptions!$B$47))/12</f>
        <v>50.011689322916673</v>
      </c>
      <c r="E36" s="161">
        <f>Assumptions!$B$63*MAX(Debt!C87:$V$87)/2*(13-MONTH(Assumptions!$B$47))/12</f>
        <v>50.011689322916673</v>
      </c>
      <c r="F36" s="161">
        <f>Assumptions!$B$63*MAX(Debt!D87:$V$87)/2*(13-MONTH(Assumptions!$B$47))/12</f>
        <v>48.430788114583343</v>
      </c>
      <c r="G36" s="161">
        <f>Assumptions!$B$63*MAX(Debt!E87:$V$87)/2*(13-MONTH(Assumptions!$B$47))/12</f>
        <v>46.849886906249999</v>
      </c>
      <c r="H36" s="161">
        <f>Assumptions!$B$63*MAX(Debt!F87:$V$87)/2*(13-MONTH(Assumptions!$B$47))/12</f>
        <v>45.268985697916662</v>
      </c>
      <c r="I36" s="161">
        <f>Assumptions!$B$63*MAX(Debt!G87:$V$87)/2*(13-MONTH(Assumptions!$B$47))/12</f>
        <v>43.688084489583332</v>
      </c>
      <c r="J36" s="161">
        <f>Assumptions!$B$63*MAX(Debt!H87:$V$87)/2*(13-MONTH(Assumptions!$B$47))/12</f>
        <v>42.107183281249995</v>
      </c>
      <c r="K36" s="161">
        <f>Assumptions!$B$63*MAX(Debt!I87:$V$87)/2*(13-MONTH(Assumptions!$B$47))/12</f>
        <v>40.526282072916665</v>
      </c>
      <c r="L36" s="161">
        <f>Assumptions!$B$63*MAX(Debt!J87:$V$87)/2*(13-MONTH(Assumptions!$B$47))/12</f>
        <v>38.945380864583335</v>
      </c>
      <c r="M36" s="161">
        <f>Assumptions!$B$63*MAX(Debt!K87:$V$87)/2*(13-MONTH(Assumptions!$B$47))/12</f>
        <v>37.364479656249998</v>
      </c>
      <c r="N36" s="161">
        <f>Assumptions!$B$63*MAX(Debt!L87:$V$87)/2*(13-MONTH(Assumptions!$B$47))/12</f>
        <v>35.783578447916675</v>
      </c>
      <c r="O36" s="161">
        <f>Assumptions!$B$63*MAX(Debt!M87:$V$87)/2*(13-MONTH(Assumptions!$B$47))/12</f>
        <v>34.202677239583331</v>
      </c>
      <c r="P36" s="161">
        <f>Assumptions!$B$63*MAX(Debt!N87:$V$87)/2*(13-MONTH(Assumptions!$B$47))/12</f>
        <v>32.62177603125</v>
      </c>
      <c r="Q36" s="161">
        <f>Assumptions!$B$63*MAX(Debt!O87:$V$87)/2*(13-MONTH(Assumptions!$B$47))/12</f>
        <v>31.040874822916674</v>
      </c>
      <c r="R36" s="161">
        <f>Assumptions!$B$63*MAX(Debt!P87:$V$87)/2*(13-MONTH(Assumptions!$B$47))/12</f>
        <v>29.459973614583337</v>
      </c>
      <c r="S36" s="161">
        <f>Assumptions!$B$63*MAX(Debt!Q87:$V$87)/2*(13-MONTH(Assumptions!$B$47))/12</f>
        <v>27.879072406250003</v>
      </c>
      <c r="T36" s="161">
        <f>Assumptions!$B$63*MAX(Debt!R87:$V$87)/2*(13-MONTH(Assumptions!$B$47))/12</f>
        <v>26.29817119791667</v>
      </c>
      <c r="U36" s="161">
        <f>Assumptions!$B$63*MAX(Debt!S87:$V$87)/2*(13-MONTH(Assumptions!$B$47))/12</f>
        <v>24.71726998958334</v>
      </c>
      <c r="V36" s="161">
        <f>Assumptions!$B$63*MAX(Debt!T87:$V$87)/2*(13-MONTH(Assumptions!$B$47))/12</f>
        <v>23.136368781249999</v>
      </c>
      <c r="W36" s="161">
        <f>Assumptions!$B$63*MAX(Debt!U87:$V$87)/2*(13-MONTH(Assumptions!$B$47))/12</f>
        <v>21.555467572916669</v>
      </c>
      <c r="X36" s="161">
        <f>Assumptions!$B$63*MAX(Debt!V87:$V$87)/2*(13-MONTH(Assumptions!$B$47))/12</f>
        <v>1.4926134402533717E-16</v>
      </c>
      <c r="Y36" s="161">
        <f>Assumptions!$B$63*MAX(Debt!$V87:W$87)/2*(13-MONTH(Assumptions!$B$47))/12</f>
        <v>1.4926134402533717E-16</v>
      </c>
      <c r="Z36" s="163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AV36" s="161"/>
    </row>
    <row r="37" spans="1:48">
      <c r="A37" s="18" t="s">
        <v>96</v>
      </c>
      <c r="C37" s="128"/>
      <c r="D37" s="138">
        <v>0</v>
      </c>
      <c r="E37" s="138">
        <v>0</v>
      </c>
      <c r="F37" s="138">
        <v>0</v>
      </c>
      <c r="G37" s="138">
        <v>0</v>
      </c>
      <c r="H37" s="112">
        <f>Assumptions!$I$83*Assumptions!$I$42*7</f>
        <v>0</v>
      </c>
      <c r="I37" s="112">
        <f>Assumptions!$I$83*Assumptions!$I$42*12*(1+Assumptions!I85)</f>
        <v>0</v>
      </c>
      <c r="J37" s="112">
        <f>I37*(1+Assumptions!$I$85)</f>
        <v>0</v>
      </c>
      <c r="K37" s="112">
        <f>J37*(1+Assumptions!$I$85)</f>
        <v>0</v>
      </c>
      <c r="L37" s="112">
        <f>K37*(1+Assumptions!$I$85)</f>
        <v>0</v>
      </c>
      <c r="M37" s="112">
        <f>L37*(1+Assumptions!$I$85)</f>
        <v>0</v>
      </c>
      <c r="N37" s="112">
        <f>M37*(1+Assumptions!$I$85)</f>
        <v>0</v>
      </c>
      <c r="O37" s="112">
        <f>N37*(1+Assumptions!$I$85)</f>
        <v>0</v>
      </c>
      <c r="P37" s="112">
        <f>O37*(1+Assumptions!$I$85)</f>
        <v>0</v>
      </c>
      <c r="Q37" s="112">
        <f>P37*(1+Assumptions!$I$85)</f>
        <v>0</v>
      </c>
      <c r="R37" s="112">
        <f>Q37*(1+Assumptions!$I$85)</f>
        <v>0</v>
      </c>
      <c r="S37" s="112">
        <f>R37*(1+Assumptions!$I$85)</f>
        <v>0</v>
      </c>
      <c r="T37" s="112">
        <f>S37*(1+Assumptions!$I$85)</f>
        <v>0</v>
      </c>
      <c r="U37" s="112">
        <f>T37*(1+Assumptions!$I$85)</f>
        <v>0</v>
      </c>
      <c r="V37" s="112">
        <f>U37*(1+Assumptions!$I$85)</f>
        <v>0</v>
      </c>
      <c r="W37" s="112">
        <f>V37*(1+Assumptions!$I$85)</f>
        <v>0</v>
      </c>
      <c r="X37" s="112">
        <f>W37*(1+Assumptions!$I$85)</f>
        <v>0</v>
      </c>
      <c r="Y37" s="112">
        <f>X37*(1+Assumptions!$I$85)</f>
        <v>0</v>
      </c>
      <c r="Z37" s="163"/>
      <c r="AA37" s="163"/>
    </row>
    <row r="38" spans="1:48">
      <c r="A38" s="4" t="s">
        <v>97</v>
      </c>
      <c r="C38" s="128"/>
      <c r="D38" s="138">
        <f>Assumptions!$I95*Assumptions!I17/12</f>
        <v>76.47058823529413</v>
      </c>
      <c r="E38" s="138">
        <f>Assumptions!$I95*(1+Assumptions!$I$85)</f>
        <v>157.52941176470591</v>
      </c>
      <c r="F38" s="138">
        <f>E38*(1+Assumptions!$I$85)</f>
        <v>162.25529411764708</v>
      </c>
      <c r="G38" s="138">
        <f>F38*(1+Assumptions!$I$85)</f>
        <v>167.12295294117649</v>
      </c>
      <c r="H38" s="138">
        <f>G38*(1+Assumptions!$I$85)</f>
        <v>172.1366415294118</v>
      </c>
      <c r="I38" s="138">
        <f>H38*(1+Assumptions!$I$85)</f>
        <v>177.30074077529417</v>
      </c>
      <c r="J38" s="138">
        <f>I38*(1+Assumptions!$I$85)</f>
        <v>182.619762998553</v>
      </c>
      <c r="K38" s="138">
        <f>J38*(1+Assumptions!$I$85)</f>
        <v>188.09835588850959</v>
      </c>
      <c r="L38" s="138">
        <f>K38*(1+Assumptions!$I$85)</f>
        <v>193.74130656516488</v>
      </c>
      <c r="M38" s="138">
        <f>L38*(1+Assumptions!$I$85)</f>
        <v>199.55354576211982</v>
      </c>
      <c r="N38" s="138">
        <f>M38*(1+Assumptions!$I$85)</f>
        <v>205.54015213498343</v>
      </c>
      <c r="O38" s="138">
        <f>N38*(1+Assumptions!$I$85)</f>
        <v>211.70635669903294</v>
      </c>
      <c r="P38" s="138">
        <f>O38*(1+Assumptions!$I$85)</f>
        <v>218.05754740000393</v>
      </c>
      <c r="Q38" s="138">
        <f>P38*(1+Assumptions!$I$85)</f>
        <v>224.59927382200405</v>
      </c>
      <c r="R38" s="138">
        <f>Q38*(1+Assumptions!$I$85)</f>
        <v>231.33725203666418</v>
      </c>
      <c r="S38" s="138">
        <f>R38*(1+Assumptions!$I$85)</f>
        <v>238.27736959776411</v>
      </c>
      <c r="T38" s="138">
        <f>S38*(1+Assumptions!$I$85)</f>
        <v>245.42569068569705</v>
      </c>
      <c r="U38" s="138">
        <f>T38*(1+Assumptions!$I$85)</f>
        <v>252.78846140626797</v>
      </c>
      <c r="V38" s="138">
        <f>U38*(1+Assumptions!$I$85)</f>
        <v>260.372115248456</v>
      </c>
      <c r="W38" s="138">
        <f>V38*(1+Assumptions!$I$85)</f>
        <v>268.18327870590969</v>
      </c>
      <c r="X38" s="138">
        <f>W38*(1+Assumptions!$I$85)</f>
        <v>276.22877706708698</v>
      </c>
      <c r="Y38" s="138">
        <f>X38*(1+Assumptions!$I$85)</f>
        <v>284.51564037909958</v>
      </c>
      <c r="Z38" s="163"/>
      <c r="AA38" s="163"/>
    </row>
    <row r="39" spans="1:48">
      <c r="A39" s="4" t="s">
        <v>98</v>
      </c>
      <c r="C39" s="130"/>
      <c r="D39" s="139">
        <f>Assumptions!$I96*Assumptions!I17/12</f>
        <v>100</v>
      </c>
      <c r="E39" s="139">
        <f>Assumptions!$I96*(1+Assumptions!$I$85)</f>
        <v>206</v>
      </c>
      <c r="F39" s="139">
        <f>E39*(1+Assumptions!$I$85)</f>
        <v>212.18</v>
      </c>
      <c r="G39" s="139">
        <f>F39*(1+Assumptions!$I$85)</f>
        <v>218.5454</v>
      </c>
      <c r="H39" s="139">
        <f>G39*(1+Assumptions!$I$85)</f>
        <v>225.10176200000001</v>
      </c>
      <c r="I39" s="139">
        <f>H39*(1+Assumptions!$I$85)</f>
        <v>231.85481486</v>
      </c>
      <c r="J39" s="139">
        <f>I39*(1+Assumptions!$I$85)</f>
        <v>238.81045930580001</v>
      </c>
      <c r="K39" s="139">
        <f>J39*(1+Assumptions!$I$85)</f>
        <v>245.974773084974</v>
      </c>
      <c r="L39" s="139">
        <f>K39*(1+Assumptions!$I$85)</f>
        <v>253.35401627752324</v>
      </c>
      <c r="M39" s="139">
        <f>L39*(1+Assumptions!$I$85)</f>
        <v>260.95463676584893</v>
      </c>
      <c r="N39" s="139">
        <f>M39*(1+Assumptions!$I$85)</f>
        <v>268.78327586882443</v>
      </c>
      <c r="O39" s="139">
        <f>N39*(1+Assumptions!$I$85)</f>
        <v>276.8467741448892</v>
      </c>
      <c r="P39" s="139">
        <f>O39*(1+Assumptions!$I$85)</f>
        <v>285.15217736923586</v>
      </c>
      <c r="Q39" s="139">
        <f>P39*(1+Assumptions!$I$85)</f>
        <v>293.70674269031292</v>
      </c>
      <c r="R39" s="139">
        <f>Q39*(1+Assumptions!$I$85)</f>
        <v>302.5179449710223</v>
      </c>
      <c r="S39" s="139">
        <f>R39*(1+Assumptions!$I$85)</f>
        <v>311.59348332015298</v>
      </c>
      <c r="T39" s="139">
        <f>S39*(1+Assumptions!$I$85)</f>
        <v>320.94128781975758</v>
      </c>
      <c r="U39" s="139">
        <f>T39*(1+Assumptions!$I$85)</f>
        <v>330.5695264543503</v>
      </c>
      <c r="V39" s="139">
        <f>U39*(1+Assumptions!$I$85)</f>
        <v>340.48661224798082</v>
      </c>
      <c r="W39" s="139">
        <f>V39*(1+Assumptions!$I$85)</f>
        <v>350.70121061542022</v>
      </c>
      <c r="X39" s="139">
        <f>W39*(1+Assumptions!$I$85)</f>
        <v>361.22224693388284</v>
      </c>
      <c r="Y39" s="139">
        <f>X39*(1+Assumptions!$I$85)</f>
        <v>372.05891434189931</v>
      </c>
      <c r="Z39" s="165"/>
      <c r="AA39" s="165"/>
    </row>
    <row r="40" spans="1:48">
      <c r="A40" s="4" t="s">
        <v>99</v>
      </c>
      <c r="C40" s="129"/>
      <c r="D40" s="129">
        <f t="shared" ref="D40:Y40" si="1">SUM(D28:D39)</f>
        <v>1359.3511178221627</v>
      </c>
      <c r="E40" s="129">
        <f t="shared" si="1"/>
        <v>3287.1333053156527</v>
      </c>
      <c r="F40" s="129">
        <f t="shared" si="1"/>
        <v>3330.2050187478631</v>
      </c>
      <c r="G40" s="129">
        <f t="shared" si="1"/>
        <v>3374.9587349612962</v>
      </c>
      <c r="H40" s="129">
        <f t="shared" si="1"/>
        <v>3421.4484944640544</v>
      </c>
      <c r="I40" s="129">
        <f t="shared" si="1"/>
        <v>3469.7321642840234</v>
      </c>
      <c r="J40" s="129">
        <f t="shared" si="1"/>
        <v>3519.8725972637653</v>
      </c>
      <c r="K40" s="129">
        <f t="shared" si="1"/>
        <v>3566.4819138266976</v>
      </c>
      <c r="L40" s="129">
        <f t="shared" si="1"/>
        <v>3615.0973801923228</v>
      </c>
      <c r="M40" s="129">
        <f t="shared" si="1"/>
        <v>3665.8137385845384</v>
      </c>
      <c r="N40" s="129">
        <f t="shared" si="1"/>
        <v>3713.2918929790321</v>
      </c>
      <c r="O40" s="129">
        <f t="shared" si="1"/>
        <v>4549.0409556426866</v>
      </c>
      <c r="P40" s="129">
        <f t="shared" si="1"/>
        <v>4541.4612561744343</v>
      </c>
      <c r="Q40" s="129">
        <f t="shared" si="1"/>
        <v>4520.4428614974722</v>
      </c>
      <c r="R40" s="129">
        <f t="shared" si="1"/>
        <v>4502.8931544467614</v>
      </c>
      <c r="S40" s="129">
        <f t="shared" si="1"/>
        <v>4489.7090679497278</v>
      </c>
      <c r="T40" s="129">
        <f t="shared" si="1"/>
        <v>4449.7154997569369</v>
      </c>
      <c r="U40" s="129">
        <f t="shared" si="1"/>
        <v>4402.1372238286131</v>
      </c>
      <c r="V40" s="129">
        <f t="shared" si="1"/>
        <v>4368.6943462679956</v>
      </c>
      <c r="W40" s="129">
        <f t="shared" si="1"/>
        <v>4457.9446153090321</v>
      </c>
      <c r="X40" s="129">
        <f t="shared" si="1"/>
        <v>4621.2656988676208</v>
      </c>
      <c r="Y40" s="129">
        <f t="shared" si="1"/>
        <v>4565.2953816513873</v>
      </c>
      <c r="Z40" s="164"/>
      <c r="AA40" s="164"/>
    </row>
    <row r="41" spans="1:48">
      <c r="A41" s="5"/>
      <c r="C41" s="153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29"/>
      <c r="W41" s="329"/>
      <c r="X41" s="329"/>
      <c r="Y41" s="329"/>
      <c r="Z41" s="166"/>
      <c r="AA41" s="166"/>
    </row>
    <row r="42" spans="1:48">
      <c r="A42" s="1" t="s">
        <v>100</v>
      </c>
      <c r="D42" s="131">
        <f t="shared" ref="D42:Y42" si="2">D25-D40</f>
        <v>9632.6488821778366</v>
      </c>
      <c r="E42" s="131">
        <f t="shared" si="2"/>
        <v>18696.866694684348</v>
      </c>
      <c r="F42" s="131">
        <f t="shared" si="2"/>
        <v>18653.794981252136</v>
      </c>
      <c r="G42" s="131">
        <f t="shared" si="2"/>
        <v>18609.041265038704</v>
      </c>
      <c r="H42" s="131">
        <f t="shared" si="2"/>
        <v>23907.316879494854</v>
      </c>
      <c r="I42" s="131">
        <f t="shared" si="2"/>
        <v>29613.602189624631</v>
      </c>
      <c r="J42" s="131">
        <f t="shared" si="2"/>
        <v>29968.44740132205</v>
      </c>
      <c r="K42" s="131">
        <f t="shared" si="2"/>
        <v>30321.347867198383</v>
      </c>
      <c r="L42" s="131">
        <f t="shared" si="2"/>
        <v>31289.367294263509</v>
      </c>
      <c r="M42" s="131">
        <f t="shared" si="2"/>
        <v>31643.792043699796</v>
      </c>
      <c r="N42" s="131">
        <f t="shared" si="2"/>
        <v>32655.60206277384</v>
      </c>
      <c r="O42" s="131">
        <f t="shared" si="2"/>
        <v>32229.829622884117</v>
      </c>
      <c r="P42" s="131">
        <f t="shared" si="2"/>
        <v>33340.775439708174</v>
      </c>
      <c r="Q42" s="131">
        <f t="shared" si="2"/>
        <v>33775.692346432748</v>
      </c>
      <c r="R42" s="131">
        <f t="shared" si="2"/>
        <v>34197.88046322763</v>
      </c>
      <c r="S42" s="131">
        <f t="shared" si="2"/>
        <v>34605.514742366337</v>
      </c>
      <c r="T42" s="131">
        <f t="shared" si="2"/>
        <v>35028.794818503397</v>
      </c>
      <c r="U42" s="131">
        <f t="shared" si="2"/>
        <v>35447.471091423373</v>
      </c>
      <c r="V42" s="131">
        <f t="shared" si="2"/>
        <v>35838.747186508699</v>
      </c>
      <c r="W42" s="131">
        <f t="shared" si="2"/>
        <v>36092.935480560132</v>
      </c>
      <c r="X42" s="131">
        <f t="shared" si="2"/>
        <v>36257.472576500048</v>
      </c>
      <c r="Y42" s="131">
        <f t="shared" si="2"/>
        <v>36624.476771898437</v>
      </c>
      <c r="Z42" s="167"/>
      <c r="AA42" s="167"/>
    </row>
    <row r="43" spans="1:48">
      <c r="A43" s="1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  <c r="R43" s="329"/>
      <c r="S43" s="329"/>
      <c r="T43" s="329"/>
      <c r="U43" s="329"/>
      <c r="V43" s="329"/>
      <c r="W43" s="329"/>
      <c r="X43" s="329"/>
      <c r="Y43" s="329"/>
      <c r="Z43" s="167"/>
      <c r="AA43" s="167"/>
    </row>
    <row r="44" spans="1:48">
      <c r="A44" s="4" t="s">
        <v>101</v>
      </c>
      <c r="D44" s="128">
        <f>Depreciation!E42</f>
        <v>1875.3022749999998</v>
      </c>
      <c r="E44" s="128">
        <f>Depreciation!F42</f>
        <v>5598.3125749999999</v>
      </c>
      <c r="F44" s="128">
        <f>Depreciation!G42</f>
        <v>5598.3125749999999</v>
      </c>
      <c r="G44" s="128">
        <f>Depreciation!H42</f>
        <v>5598.3125749999999</v>
      </c>
      <c r="H44" s="128">
        <f>Depreciation!I42</f>
        <v>5598.3125749999999</v>
      </c>
      <c r="I44" s="128">
        <f>Depreciation!J42</f>
        <v>5598.3125749999999</v>
      </c>
      <c r="J44" s="128">
        <f>Depreciation!K42</f>
        <v>5598.3125749999999</v>
      </c>
      <c r="K44" s="128">
        <f>Depreciation!L42</f>
        <v>5598.3125749999999</v>
      </c>
      <c r="L44" s="128">
        <f>Depreciation!M42</f>
        <v>5598.3125749999999</v>
      </c>
      <c r="M44" s="128">
        <f>Depreciation!N42</f>
        <v>5598.3125749999999</v>
      </c>
      <c r="N44" s="128">
        <f>Depreciation!O42</f>
        <v>5598.3125749999999</v>
      </c>
      <c r="O44" s="128">
        <f>Depreciation!P42</f>
        <v>5598.3125749999999</v>
      </c>
      <c r="P44" s="128">
        <f>Depreciation!Q42</f>
        <v>5598.3125749999999</v>
      </c>
      <c r="Q44" s="128">
        <f>Depreciation!R42</f>
        <v>5598.3125749999999</v>
      </c>
      <c r="R44" s="128">
        <f>Depreciation!S42</f>
        <v>5598.3125749999999</v>
      </c>
      <c r="S44" s="128">
        <f>Depreciation!T42</f>
        <v>5598.3125749999999</v>
      </c>
      <c r="T44" s="128">
        <f>Depreciation!U42</f>
        <v>5598.3125749999999</v>
      </c>
      <c r="U44" s="128">
        <f>Depreciation!V42</f>
        <v>5598.3125749999999</v>
      </c>
      <c r="V44" s="128">
        <f>Depreciation!W42</f>
        <v>5598.3125749999999</v>
      </c>
      <c r="W44" s="128">
        <f>Depreciation!X42</f>
        <v>5598.3125749999999</v>
      </c>
      <c r="X44" s="128">
        <f>Depreciation!Y42</f>
        <v>5543.1240749999997</v>
      </c>
      <c r="Y44" s="128">
        <f>Depreciation!Z42</f>
        <v>5543.1240749999997</v>
      </c>
      <c r="Z44" s="163"/>
      <c r="AA44" s="163"/>
    </row>
    <row r="45" spans="1:48">
      <c r="A45" s="4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63"/>
      <c r="AA45" s="163"/>
    </row>
    <row r="46" spans="1:48">
      <c r="A46" s="1" t="s">
        <v>102</v>
      </c>
      <c r="D46" s="131">
        <f>D42-D44</f>
        <v>7757.3466071778366</v>
      </c>
      <c r="E46" s="131">
        <f t="shared" ref="E46:Y46" si="3">E42-E44</f>
        <v>13098.554119684348</v>
      </c>
      <c r="F46" s="131">
        <f t="shared" si="3"/>
        <v>13055.482406252137</v>
      </c>
      <c r="G46" s="131">
        <f t="shared" si="3"/>
        <v>13010.728690038704</v>
      </c>
      <c r="H46" s="131">
        <f t="shared" si="3"/>
        <v>18309.004304494854</v>
      </c>
      <c r="I46" s="131">
        <f t="shared" si="3"/>
        <v>24015.289614624631</v>
      </c>
      <c r="J46" s="131">
        <f t="shared" si="3"/>
        <v>24370.13482632205</v>
      </c>
      <c r="K46" s="131">
        <f t="shared" si="3"/>
        <v>24723.035292198383</v>
      </c>
      <c r="L46" s="131">
        <f t="shared" si="3"/>
        <v>25691.054719263509</v>
      </c>
      <c r="M46" s="131">
        <f t="shared" si="3"/>
        <v>26045.479468699796</v>
      </c>
      <c r="N46" s="131">
        <f t="shared" si="3"/>
        <v>27057.28948777384</v>
      </c>
      <c r="O46" s="131">
        <f t="shared" si="3"/>
        <v>26631.517047884117</v>
      </c>
      <c r="P46" s="131">
        <f t="shared" si="3"/>
        <v>27742.462864708174</v>
      </c>
      <c r="Q46" s="131">
        <f t="shared" si="3"/>
        <v>28177.379771432748</v>
      </c>
      <c r="R46" s="131">
        <f t="shared" si="3"/>
        <v>28599.56788822763</v>
      </c>
      <c r="S46" s="131">
        <f t="shared" si="3"/>
        <v>29007.202167366337</v>
      </c>
      <c r="T46" s="131">
        <f t="shared" si="3"/>
        <v>29430.482243503397</v>
      </c>
      <c r="U46" s="131">
        <f t="shared" si="3"/>
        <v>29849.158516423373</v>
      </c>
      <c r="V46" s="131">
        <f t="shared" si="3"/>
        <v>30240.434611508699</v>
      </c>
      <c r="W46" s="131">
        <f t="shared" si="3"/>
        <v>30494.622905560132</v>
      </c>
      <c r="X46" s="131">
        <f t="shared" si="3"/>
        <v>30714.348501500048</v>
      </c>
      <c r="Y46" s="131">
        <f t="shared" si="3"/>
        <v>31081.352696898437</v>
      </c>
      <c r="Z46" s="167"/>
      <c r="AA46" s="167"/>
    </row>
    <row r="47" spans="1:48">
      <c r="A47" s="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67"/>
      <c r="AA47" s="167"/>
    </row>
    <row r="48" spans="1:48" ht="15.75">
      <c r="A48" s="4" t="s">
        <v>204</v>
      </c>
      <c r="C48" s="128"/>
      <c r="D48" s="128">
        <f>Debt!B42+Debt!B59+Debt!B76+Debt!B131</f>
        <v>0</v>
      </c>
      <c r="E48" s="128">
        <f>Debt!C42+Debt!C59+Debt!C76+Debt!C131</f>
        <v>0</v>
      </c>
      <c r="F48" s="128">
        <f>Debt!D42+Debt!D59+Debt!D76</f>
        <v>0</v>
      </c>
      <c r="G48" s="128">
        <f>Debt!E42+Debt!E59+Debt!E76</f>
        <v>0</v>
      </c>
      <c r="H48" s="128">
        <f>Debt!F42+Debt!F59+Debt!F76</f>
        <v>0</v>
      </c>
      <c r="I48" s="128">
        <f>Debt!G42+Debt!G59+Debt!G76</f>
        <v>0</v>
      </c>
      <c r="J48" s="128">
        <f>Debt!H42+Debt!H59+Debt!H76</f>
        <v>0</v>
      </c>
      <c r="K48" s="128">
        <f>Debt!I42+Debt!I59+Debt!I76</f>
        <v>0</v>
      </c>
      <c r="L48" s="128">
        <f>Debt!J42+Debt!J59+Debt!J76</f>
        <v>0</v>
      </c>
      <c r="M48" s="128">
        <f>Debt!K42+Debt!K59+Debt!K76</f>
        <v>0</v>
      </c>
      <c r="N48" s="128">
        <f>Debt!L42+Debt!L59+Debt!L76</f>
        <v>0</v>
      </c>
      <c r="O48" s="128">
        <f>Debt!M42+Debt!M59+Debt!M76</f>
        <v>0</v>
      </c>
      <c r="P48" s="128">
        <f>Debt!N42+Debt!N59+Debt!N76</f>
        <v>0</v>
      </c>
      <c r="Q48" s="128">
        <f>Debt!O42+Debt!O59+Debt!O76</f>
        <v>0</v>
      </c>
      <c r="R48" s="128">
        <f>Debt!P42+Debt!P59+Debt!P76</f>
        <v>0</v>
      </c>
      <c r="S48" s="128">
        <f>Debt!Q42+Debt!Q59+Debt!Q76</f>
        <v>0</v>
      </c>
      <c r="T48" s="128">
        <f>Debt!R42+Debt!R59+Debt!R76</f>
        <v>0</v>
      </c>
      <c r="U48" s="128">
        <f>Debt!S42+Debt!S59+Debt!S76</f>
        <v>0</v>
      </c>
      <c r="V48" s="128">
        <f>Debt!T42+Debt!T59+Debt!T76</f>
        <v>0</v>
      </c>
      <c r="W48" s="128">
        <f>Debt!U42+Debt!U59+Debt!U76</f>
        <v>0</v>
      </c>
      <c r="X48" s="128">
        <f>Debt!V42+Debt!V59+Debt!V76</f>
        <v>0</v>
      </c>
      <c r="Y48" s="128">
        <v>0</v>
      </c>
      <c r="Z48" s="163"/>
      <c r="AA48" s="163"/>
    </row>
    <row r="49" spans="1:27">
      <c r="A49" s="6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65"/>
      <c r="AA49" s="165"/>
    </row>
    <row r="50" spans="1:27">
      <c r="A50" s="1" t="s">
        <v>103</v>
      </c>
      <c r="D50" s="131">
        <f>D46-D48</f>
        <v>7757.3466071778366</v>
      </c>
      <c r="E50" s="131">
        <f t="shared" ref="E50:Y50" si="4">E46-E48</f>
        <v>13098.554119684348</v>
      </c>
      <c r="F50" s="131">
        <f t="shared" si="4"/>
        <v>13055.482406252137</v>
      </c>
      <c r="G50" s="131">
        <f t="shared" si="4"/>
        <v>13010.728690038704</v>
      </c>
      <c r="H50" s="131">
        <f t="shared" si="4"/>
        <v>18309.004304494854</v>
      </c>
      <c r="I50" s="131">
        <f t="shared" si="4"/>
        <v>24015.289614624631</v>
      </c>
      <c r="J50" s="131">
        <f t="shared" si="4"/>
        <v>24370.13482632205</v>
      </c>
      <c r="K50" s="131">
        <f t="shared" si="4"/>
        <v>24723.035292198383</v>
      </c>
      <c r="L50" s="131">
        <f t="shared" si="4"/>
        <v>25691.054719263509</v>
      </c>
      <c r="M50" s="131">
        <f t="shared" si="4"/>
        <v>26045.479468699796</v>
      </c>
      <c r="N50" s="131">
        <f t="shared" si="4"/>
        <v>27057.28948777384</v>
      </c>
      <c r="O50" s="131">
        <f t="shared" si="4"/>
        <v>26631.517047884117</v>
      </c>
      <c r="P50" s="131">
        <f t="shared" si="4"/>
        <v>27742.462864708174</v>
      </c>
      <c r="Q50" s="131">
        <f t="shared" si="4"/>
        <v>28177.379771432748</v>
      </c>
      <c r="R50" s="131">
        <f t="shared" si="4"/>
        <v>28599.56788822763</v>
      </c>
      <c r="S50" s="131">
        <f t="shared" si="4"/>
        <v>29007.202167366337</v>
      </c>
      <c r="T50" s="131">
        <f t="shared" si="4"/>
        <v>29430.482243503397</v>
      </c>
      <c r="U50" s="131">
        <f t="shared" si="4"/>
        <v>29849.158516423373</v>
      </c>
      <c r="V50" s="131">
        <f t="shared" si="4"/>
        <v>30240.434611508699</v>
      </c>
      <c r="W50" s="131">
        <f t="shared" si="4"/>
        <v>30494.622905560132</v>
      </c>
      <c r="X50" s="131">
        <f t="shared" si="4"/>
        <v>30714.348501500048</v>
      </c>
      <c r="Y50" s="131">
        <f t="shared" si="4"/>
        <v>31081.352696898437</v>
      </c>
      <c r="Z50" s="167"/>
      <c r="AA50" s="167"/>
    </row>
    <row r="51" spans="1:27">
      <c r="A51" s="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67"/>
      <c r="AA51" s="167"/>
    </row>
    <row r="52" spans="1:27">
      <c r="A52" s="4" t="s">
        <v>104</v>
      </c>
      <c r="B52" s="116">
        <f>Assumptions!I62</f>
        <v>0.06</v>
      </c>
      <c r="C52" s="138"/>
      <c r="D52" s="138">
        <f>-D50*$B$52</f>
        <v>-465.44079643067016</v>
      </c>
      <c r="E52" s="138">
        <f t="shared" ref="E52:Y52" si="5">-E50*$B$52</f>
        <v>-785.9132471810608</v>
      </c>
      <c r="F52" s="138">
        <f t="shared" si="5"/>
        <v>-783.32894437512812</v>
      </c>
      <c r="G52" s="138">
        <f t="shared" si="5"/>
        <v>-780.64372140232229</v>
      </c>
      <c r="H52" s="138">
        <f t="shared" si="5"/>
        <v>-1098.5402582696913</v>
      </c>
      <c r="I52" s="138">
        <f t="shared" si="5"/>
        <v>-1440.9173768774779</v>
      </c>
      <c r="J52" s="138">
        <f t="shared" si="5"/>
        <v>-1462.2080895793229</v>
      </c>
      <c r="K52" s="138">
        <f t="shared" si="5"/>
        <v>-1483.3821175319028</v>
      </c>
      <c r="L52" s="138">
        <f t="shared" si="5"/>
        <v>-1541.4632831558106</v>
      </c>
      <c r="M52" s="138">
        <f t="shared" si="5"/>
        <v>-1562.7287681219877</v>
      </c>
      <c r="N52" s="138">
        <f t="shared" si="5"/>
        <v>-1623.4373692664303</v>
      </c>
      <c r="O52" s="138">
        <f t="shared" si="5"/>
        <v>-1597.8910228730469</v>
      </c>
      <c r="P52" s="138">
        <f t="shared" si="5"/>
        <v>-1664.5477718824905</v>
      </c>
      <c r="Q52" s="138">
        <f t="shared" si="5"/>
        <v>-1690.6427862859648</v>
      </c>
      <c r="R52" s="138">
        <f t="shared" si="5"/>
        <v>-1715.9740732936577</v>
      </c>
      <c r="S52" s="138">
        <f t="shared" si="5"/>
        <v>-1740.4321300419801</v>
      </c>
      <c r="T52" s="138">
        <f t="shared" si="5"/>
        <v>-1765.8289346102038</v>
      </c>
      <c r="U52" s="138">
        <f t="shared" si="5"/>
        <v>-1790.9495109854024</v>
      </c>
      <c r="V52" s="138">
        <f t="shared" si="5"/>
        <v>-1814.426076690522</v>
      </c>
      <c r="W52" s="138">
        <f t="shared" si="5"/>
        <v>-1829.677374333608</v>
      </c>
      <c r="X52" s="138">
        <f t="shared" si="5"/>
        <v>-1842.8609100900028</v>
      </c>
      <c r="Y52" s="138">
        <f t="shared" si="5"/>
        <v>-1864.8811618139061</v>
      </c>
      <c r="Z52" s="164"/>
      <c r="AA52" s="164"/>
    </row>
    <row r="53" spans="1:27">
      <c r="A53" s="4" t="s">
        <v>105</v>
      </c>
      <c r="B53" s="116">
        <f>Assumptions!I61</f>
        <v>0.35</v>
      </c>
      <c r="C53" s="138"/>
      <c r="D53" s="138">
        <f>(D50+D52)*-$B$53</f>
        <v>-2552.1670337615083</v>
      </c>
      <c r="E53" s="138">
        <f t="shared" ref="E53:Y53" si="6">(E50+E52)*-$B$53</f>
        <v>-4309.4243053761502</v>
      </c>
      <c r="F53" s="138">
        <f t="shared" si="6"/>
        <v>-4295.2537116569529</v>
      </c>
      <c r="G53" s="138">
        <f t="shared" si="6"/>
        <v>-4280.5297390227333</v>
      </c>
      <c r="H53" s="138">
        <f t="shared" si="6"/>
        <v>-6023.6624161788068</v>
      </c>
      <c r="I53" s="138">
        <f t="shared" si="6"/>
        <v>-7901.030283211503</v>
      </c>
      <c r="J53" s="138">
        <f t="shared" si="6"/>
        <v>-8017.7743578599539</v>
      </c>
      <c r="K53" s="138">
        <f t="shared" si="6"/>
        <v>-8133.8786111332674</v>
      </c>
      <c r="L53" s="138">
        <f t="shared" si="6"/>
        <v>-8452.3570026376929</v>
      </c>
      <c r="M53" s="138">
        <f t="shared" si="6"/>
        <v>-8568.9627452022323</v>
      </c>
      <c r="N53" s="138">
        <f t="shared" si="6"/>
        <v>-8901.8482414775935</v>
      </c>
      <c r="O53" s="138">
        <f t="shared" si="6"/>
        <v>-8761.7691087538751</v>
      </c>
      <c r="P53" s="138">
        <f t="shared" si="6"/>
        <v>-9127.2702824889875</v>
      </c>
      <c r="Q53" s="138">
        <f t="shared" si="6"/>
        <v>-9270.3579448013734</v>
      </c>
      <c r="R53" s="138">
        <f t="shared" si="6"/>
        <v>-9409.2578352268883</v>
      </c>
      <c r="S53" s="138">
        <f t="shared" si="6"/>
        <v>-9543.3695130635242</v>
      </c>
      <c r="T53" s="138">
        <f t="shared" si="6"/>
        <v>-9682.6286581126169</v>
      </c>
      <c r="U53" s="138">
        <f t="shared" si="6"/>
        <v>-9820.3731519032881</v>
      </c>
      <c r="V53" s="138">
        <f t="shared" si="6"/>
        <v>-9949.1029871863611</v>
      </c>
      <c r="W53" s="138">
        <f t="shared" si="6"/>
        <v>-10032.730935929283</v>
      </c>
      <c r="X53" s="138">
        <f t="shared" si="6"/>
        <v>-10105.020656993514</v>
      </c>
      <c r="Y53" s="138">
        <f t="shared" si="6"/>
        <v>-10225.765037279585</v>
      </c>
      <c r="Z53" s="164"/>
      <c r="AA53" s="164"/>
    </row>
    <row r="54" spans="1:27">
      <c r="A54" s="6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63"/>
      <c r="AA54" s="163"/>
    </row>
    <row r="55" spans="1:27" ht="15.75">
      <c r="A55" s="90" t="s">
        <v>106</v>
      </c>
      <c r="B55" s="91"/>
      <c r="C55" s="91"/>
      <c r="D55" s="132">
        <f>D50+D52+D53</f>
        <v>4739.7387769856578</v>
      </c>
      <c r="E55" s="132">
        <f t="shared" ref="E55:Y55" si="7">E50+E52+E53</f>
        <v>8003.2165671271368</v>
      </c>
      <c r="F55" s="132">
        <f t="shared" si="7"/>
        <v>7976.8997502200564</v>
      </c>
      <c r="G55" s="132">
        <f t="shared" si="7"/>
        <v>7949.5552296136484</v>
      </c>
      <c r="H55" s="132">
        <f t="shared" si="7"/>
        <v>11186.801630046357</v>
      </c>
      <c r="I55" s="132">
        <f t="shared" si="7"/>
        <v>14673.34195453565</v>
      </c>
      <c r="J55" s="132">
        <f t="shared" si="7"/>
        <v>14890.152378882773</v>
      </c>
      <c r="K55" s="132">
        <f t="shared" si="7"/>
        <v>15105.774563533214</v>
      </c>
      <c r="L55" s="132">
        <f t="shared" si="7"/>
        <v>15697.234433470005</v>
      </c>
      <c r="M55" s="132">
        <f t="shared" si="7"/>
        <v>15913.787955375577</v>
      </c>
      <c r="N55" s="132">
        <f t="shared" si="7"/>
        <v>16532.003877029816</v>
      </c>
      <c r="O55" s="132">
        <f t="shared" si="7"/>
        <v>16271.856916257197</v>
      </c>
      <c r="P55" s="132">
        <f t="shared" si="7"/>
        <v>16950.644810336693</v>
      </c>
      <c r="Q55" s="132">
        <f t="shared" si="7"/>
        <v>17216.379040345411</v>
      </c>
      <c r="R55" s="132">
        <f t="shared" si="7"/>
        <v>17474.335979707081</v>
      </c>
      <c r="S55" s="132">
        <f t="shared" si="7"/>
        <v>17723.400524260833</v>
      </c>
      <c r="T55" s="132">
        <f t="shared" si="7"/>
        <v>17982.024650780579</v>
      </c>
      <c r="U55" s="132">
        <f t="shared" si="7"/>
        <v>18237.835853534682</v>
      </c>
      <c r="V55" s="132">
        <f t="shared" si="7"/>
        <v>18476.905547631817</v>
      </c>
      <c r="W55" s="132">
        <f t="shared" si="7"/>
        <v>18632.214595297242</v>
      </c>
      <c r="X55" s="132">
        <f t="shared" si="7"/>
        <v>18766.46693441653</v>
      </c>
      <c r="Y55" s="132">
        <f t="shared" si="7"/>
        <v>18990.706497804946</v>
      </c>
      <c r="Z55" s="168"/>
      <c r="AA55" s="168"/>
    </row>
    <row r="57" spans="1:27">
      <c r="C57" s="162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  <c r="Y57" s="360"/>
    </row>
    <row r="58" spans="1:27">
      <c r="C58" s="162"/>
      <c r="D58" s="197"/>
      <c r="E58" s="197"/>
      <c r="F58" s="197"/>
      <c r="G58" s="197"/>
      <c r="H58" s="197"/>
    </row>
    <row r="59" spans="1:27">
      <c r="C59" s="162"/>
      <c r="D59" s="197"/>
      <c r="E59" s="197"/>
      <c r="F59" s="197"/>
      <c r="G59" s="197"/>
      <c r="H59" s="197"/>
    </row>
    <row r="60" spans="1:27">
      <c r="C60" s="162"/>
      <c r="D60" s="197"/>
      <c r="E60" s="197"/>
      <c r="F60" s="197"/>
      <c r="G60" s="197"/>
      <c r="H60" s="197"/>
    </row>
    <row r="61" spans="1:27">
      <c r="C61" s="162"/>
      <c r="D61" s="162"/>
      <c r="E61" s="162"/>
      <c r="F61" s="162"/>
      <c r="G61" s="162"/>
      <c r="H61" s="162"/>
    </row>
    <row r="62" spans="1:27">
      <c r="C62" s="198"/>
      <c r="D62" s="197"/>
      <c r="E62" s="197"/>
      <c r="F62" s="197"/>
      <c r="G62" s="197"/>
      <c r="H62" s="197"/>
    </row>
    <row r="63" spans="1:27">
      <c r="C63" s="198"/>
      <c r="D63" s="197"/>
      <c r="E63" s="197"/>
      <c r="F63" s="197"/>
      <c r="G63" s="197"/>
      <c r="H63" s="197"/>
    </row>
    <row r="64" spans="1:27">
      <c r="C64" s="198"/>
      <c r="D64" s="197"/>
      <c r="E64" s="197"/>
      <c r="F64" s="197"/>
      <c r="G64" s="197"/>
      <c r="H64" s="197"/>
    </row>
    <row r="65" spans="3:8">
      <c r="C65" s="198"/>
      <c r="D65" s="197"/>
      <c r="E65" s="197"/>
      <c r="F65" s="197"/>
      <c r="G65" s="197"/>
      <c r="H65" s="197"/>
    </row>
    <row r="66" spans="3:8">
      <c r="C66" s="198"/>
      <c r="D66" s="197"/>
      <c r="E66" s="197"/>
      <c r="F66" s="197"/>
      <c r="G66" s="197"/>
      <c r="H66" s="197"/>
    </row>
    <row r="67" spans="3:8">
      <c r="C67" s="162"/>
      <c r="D67" s="162"/>
      <c r="E67" s="162"/>
      <c r="F67" s="162"/>
      <c r="G67" s="162"/>
      <c r="H67" s="162"/>
    </row>
    <row r="68" spans="3:8">
      <c r="C68" s="162"/>
      <c r="D68" s="162"/>
      <c r="E68" s="162"/>
      <c r="F68" s="162"/>
      <c r="G68" s="162"/>
      <c r="H68" s="162"/>
    </row>
    <row r="69" spans="3:8">
      <c r="C69" s="162"/>
      <c r="D69" s="163"/>
      <c r="E69" s="163"/>
      <c r="F69" s="163"/>
      <c r="G69" s="163"/>
      <c r="H69" s="162"/>
    </row>
    <row r="70" spans="3:8">
      <c r="C70" s="162"/>
      <c r="D70" s="162"/>
      <c r="E70" s="162"/>
      <c r="F70" s="162"/>
      <c r="G70" s="162"/>
      <c r="H70" s="162"/>
    </row>
    <row r="71" spans="3:8">
      <c r="C71" s="162"/>
      <c r="D71" s="163"/>
      <c r="E71" s="162"/>
      <c r="F71" s="162"/>
      <c r="G71" s="162"/>
      <c r="H71" s="162"/>
    </row>
    <row r="72" spans="3:8">
      <c r="C72" s="162"/>
      <c r="D72" s="162"/>
      <c r="E72" s="162"/>
      <c r="F72" s="162"/>
      <c r="G72" s="162"/>
      <c r="H72" s="162"/>
    </row>
    <row r="73" spans="3:8">
      <c r="C73" s="162"/>
      <c r="D73" s="162"/>
      <c r="E73" s="162"/>
      <c r="F73" s="162"/>
      <c r="G73" s="162"/>
      <c r="H73" s="162"/>
    </row>
  </sheetData>
  <pageMargins left="0.18" right="0.17" top="0.37" bottom="0.4" header="0.17" footer="0.21"/>
  <pageSetup scale="36" orientation="landscape" r:id="rId1"/>
  <headerFooter alignWithMargins="0">
    <oddFooter>&amp;L&amp;T, &amp;D&amp;C&amp;F&amp;RPage &amp;P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I94"/>
  <sheetViews>
    <sheetView topLeftCell="A32" zoomScale="75" zoomScaleNormal="75" workbookViewId="0">
      <selection activeCell="D39" sqref="D39"/>
    </sheetView>
  </sheetViews>
  <sheetFormatPr defaultRowHeight="12.75" outlineLevelRow="1"/>
  <cols>
    <col min="1" max="1" width="63.5703125" style="17" customWidth="1"/>
    <col min="2" max="2" width="13" style="17" bestFit="1" customWidth="1"/>
    <col min="3" max="3" width="6.5703125" style="17" customWidth="1"/>
    <col min="4" max="4" width="14.140625" style="17" customWidth="1"/>
    <col min="5" max="5" width="11.5703125" style="17" customWidth="1"/>
    <col min="6" max="8" width="11.140625" style="17" customWidth="1"/>
    <col min="9" max="10" width="12" style="17" customWidth="1"/>
    <col min="11" max="11" width="12.7109375" style="17" customWidth="1"/>
    <col min="12" max="12" width="12.5703125" style="17" customWidth="1"/>
    <col min="13" max="13" width="12.7109375" style="17" customWidth="1"/>
    <col min="14" max="16" width="11.28515625" style="17" customWidth="1"/>
    <col min="17" max="17" width="11.85546875" style="17" customWidth="1"/>
    <col min="18" max="18" width="11.140625" style="17" customWidth="1"/>
    <col min="19" max="19" width="11.85546875" style="17" customWidth="1"/>
    <col min="20" max="20" width="11.140625" style="17" customWidth="1"/>
    <col min="21" max="21" width="11.5703125" style="17" customWidth="1"/>
    <col min="22" max="22" width="11.28515625" style="17" customWidth="1"/>
    <col min="23" max="23" width="11.5703125" style="17" customWidth="1"/>
    <col min="24" max="24" width="12.7109375" style="17" bestFit="1" customWidth="1"/>
    <col min="25" max="25" width="12.5703125" style="17" customWidth="1"/>
    <col min="26" max="26" width="12.28515625" style="7" customWidth="1"/>
    <col min="27" max="27" width="13.85546875" style="7" bestFit="1" customWidth="1"/>
    <col min="28" max="29" width="9.85546875" style="17" customWidth="1"/>
    <col min="30" max="30" width="9.140625" style="17"/>
    <col min="31" max="31" width="9.42578125" style="17" customWidth="1"/>
    <col min="32" max="32" width="9.85546875" style="17" customWidth="1"/>
    <col min="33" max="33" width="9.140625" style="17"/>
    <col min="34" max="34" width="9.42578125" style="17" customWidth="1"/>
    <col min="35" max="36" width="9.85546875" style="17" customWidth="1"/>
    <col min="37" max="38" width="9.140625" style="17"/>
    <col min="39" max="40" width="9.85546875" style="17" customWidth="1"/>
    <col min="41" max="82" width="9.140625" style="17"/>
    <col min="83" max="84" width="9.85546875" style="17" customWidth="1"/>
    <col min="85" max="16384" width="9.140625" style="17"/>
  </cols>
  <sheetData>
    <row r="2" spans="1:29" ht="18.75">
      <c r="A2" s="160" t="str">
        <f>Assumptions!A3</f>
        <v>PROJECT NAME:</v>
      </c>
    </row>
    <row r="4" spans="1:29" ht="18.75">
      <c r="A4" s="106" t="s">
        <v>206</v>
      </c>
      <c r="B4" s="111"/>
    </row>
    <row r="7" spans="1:29" ht="18.75">
      <c r="A7" s="160" t="s">
        <v>275</v>
      </c>
      <c r="B7" s="268"/>
    </row>
    <row r="8" spans="1:29">
      <c r="D8" s="537">
        <f>'Power Price Assumption'!F9</f>
        <v>0.5</v>
      </c>
      <c r="E8" s="537">
        <f>'Power Price Assumption'!G9</f>
        <v>1.5</v>
      </c>
      <c r="F8" s="537">
        <f>'Power Price Assumption'!H9</f>
        <v>2.5</v>
      </c>
      <c r="G8" s="537">
        <f>'Power Price Assumption'!I9</f>
        <v>3.5</v>
      </c>
      <c r="H8" s="537">
        <f>'Power Price Assumption'!J9</f>
        <v>4.5</v>
      </c>
      <c r="I8" s="537">
        <f>'Power Price Assumption'!K9</f>
        <v>5.5</v>
      </c>
      <c r="J8" s="537">
        <f>'Power Price Assumption'!L9</f>
        <v>6.5</v>
      </c>
      <c r="K8" s="537">
        <f>'Power Price Assumption'!M9</f>
        <v>7.5</v>
      </c>
      <c r="L8" s="537">
        <f>'Power Price Assumption'!N9</f>
        <v>8.5</v>
      </c>
      <c r="M8" s="537">
        <f>'Power Price Assumption'!O9</f>
        <v>9.5</v>
      </c>
      <c r="N8" s="537">
        <f>'Power Price Assumption'!P9</f>
        <v>10.5</v>
      </c>
      <c r="O8" s="537">
        <f>'Power Price Assumption'!Q9</f>
        <v>11.5</v>
      </c>
      <c r="P8" s="537">
        <f>'Power Price Assumption'!R9</f>
        <v>12.5</v>
      </c>
      <c r="Q8" s="537">
        <f>'Power Price Assumption'!S9</f>
        <v>13.5</v>
      </c>
      <c r="R8" s="537">
        <f>'Power Price Assumption'!T9</f>
        <v>14.5</v>
      </c>
      <c r="S8" s="537">
        <f>'Power Price Assumption'!U9</f>
        <v>15.5</v>
      </c>
      <c r="T8" s="537">
        <f>'Power Price Assumption'!V9</f>
        <v>16.5</v>
      </c>
      <c r="U8" s="537">
        <f>'Power Price Assumption'!W9</f>
        <v>17.5</v>
      </c>
      <c r="V8" s="537">
        <f>'Power Price Assumption'!X9</f>
        <v>18.5</v>
      </c>
      <c r="W8" s="537">
        <f>'Power Price Assumption'!Y9</f>
        <v>19.5</v>
      </c>
      <c r="X8" s="537">
        <f>'Power Price Assumption'!Z9</f>
        <v>20.5</v>
      </c>
      <c r="Y8" s="537">
        <f>'Power Price Assumption'!AA9</f>
        <v>21.5</v>
      </c>
      <c r="Z8" s="169"/>
    </row>
    <row r="9" spans="1:29" ht="13.5" outlineLevel="1" thickBot="1">
      <c r="A9" s="256" t="s">
        <v>87</v>
      </c>
      <c r="B9" s="256"/>
      <c r="C9" s="2"/>
      <c r="D9" s="8">
        <f>'Power Price Assumption'!F10</f>
        <v>1999</v>
      </c>
      <c r="E9" s="8">
        <f>'Power Price Assumption'!G10</f>
        <v>2000</v>
      </c>
      <c r="F9" s="8">
        <f>'Power Price Assumption'!H10</f>
        <v>2001</v>
      </c>
      <c r="G9" s="8">
        <f>'Power Price Assumption'!I10</f>
        <v>2002</v>
      </c>
      <c r="H9" s="8">
        <f>'Power Price Assumption'!J10</f>
        <v>2003</v>
      </c>
      <c r="I9" s="8">
        <f>'Power Price Assumption'!K10</f>
        <v>2004</v>
      </c>
      <c r="J9" s="8">
        <f>'Power Price Assumption'!L10</f>
        <v>2005</v>
      </c>
      <c r="K9" s="8">
        <f>'Power Price Assumption'!M10</f>
        <v>2006</v>
      </c>
      <c r="L9" s="8">
        <f>'Power Price Assumption'!N10</f>
        <v>2007</v>
      </c>
      <c r="M9" s="8">
        <f>'Power Price Assumption'!O10</f>
        <v>2008</v>
      </c>
      <c r="N9" s="8">
        <f>'Power Price Assumption'!P10</f>
        <v>2009</v>
      </c>
      <c r="O9" s="8">
        <f>'Power Price Assumption'!Q10</f>
        <v>2010</v>
      </c>
      <c r="P9" s="8">
        <f>'Power Price Assumption'!R10</f>
        <v>2011</v>
      </c>
      <c r="Q9" s="8">
        <f>'Power Price Assumption'!S10</f>
        <v>2012</v>
      </c>
      <c r="R9" s="8">
        <f>'Power Price Assumption'!T10</f>
        <v>2013</v>
      </c>
      <c r="S9" s="8">
        <f>'Power Price Assumption'!U10</f>
        <v>2014</v>
      </c>
      <c r="T9" s="8">
        <f>'Power Price Assumption'!V10</f>
        <v>2015</v>
      </c>
      <c r="U9" s="8">
        <f>'Power Price Assumption'!W10</f>
        <v>2016</v>
      </c>
      <c r="V9" s="8">
        <f>'Power Price Assumption'!X10</f>
        <v>2017</v>
      </c>
      <c r="W9" s="8">
        <f>'Power Price Assumption'!Y10</f>
        <v>2018</v>
      </c>
      <c r="X9" s="8">
        <f>'Power Price Assumption'!Z10</f>
        <v>2019</v>
      </c>
      <c r="Y9" s="8">
        <f>'Power Price Assumption'!AA10</f>
        <v>2020</v>
      </c>
      <c r="Z9" s="10"/>
    </row>
    <row r="10" spans="1:29" outlineLevel="1">
      <c r="A10" s="307"/>
      <c r="B10" s="307"/>
      <c r="C10" s="3"/>
      <c r="D10" s="358"/>
      <c r="E10" s="358"/>
      <c r="F10" s="358"/>
      <c r="G10" s="358"/>
      <c r="H10" s="358"/>
      <c r="I10" s="358"/>
      <c r="J10" s="358"/>
      <c r="K10" s="358"/>
      <c r="L10" s="358"/>
      <c r="M10" s="358"/>
      <c r="N10" s="358"/>
      <c r="O10" s="358"/>
      <c r="P10" s="358"/>
      <c r="Q10" s="358"/>
      <c r="R10" s="358"/>
      <c r="S10" s="358"/>
      <c r="T10" s="358"/>
      <c r="U10" s="358"/>
      <c r="V10" s="358"/>
      <c r="W10" s="358"/>
      <c r="X10" s="358"/>
      <c r="Y10" s="358"/>
      <c r="Z10" s="10"/>
    </row>
    <row r="11" spans="1:29" outlineLevel="1">
      <c r="A11" s="3"/>
      <c r="B11" s="3"/>
      <c r="C11" s="3"/>
      <c r="D11" s="10"/>
      <c r="E11" s="10"/>
      <c r="F11" s="10"/>
      <c r="G11" s="10"/>
      <c r="H11" s="10"/>
      <c r="I11" s="10"/>
      <c r="J11" s="396"/>
      <c r="K11" s="396"/>
      <c r="L11" s="397"/>
      <c r="M11" s="397"/>
      <c r="N11" s="396"/>
      <c r="O11" s="39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9">
      <c r="A12" s="11" t="s">
        <v>100</v>
      </c>
      <c r="B12" s="12"/>
      <c r="D12" s="25">
        <f>IS!D42</f>
        <v>9632.6488821778366</v>
      </c>
      <c r="E12" s="105">
        <f>IS!E42</f>
        <v>18696.866694684348</v>
      </c>
      <c r="F12" s="105">
        <f>IS!F42</f>
        <v>18653.794981252136</v>
      </c>
      <c r="G12" s="105">
        <f>IS!G42</f>
        <v>18609.041265038704</v>
      </c>
      <c r="H12" s="105">
        <f>IS!H42</f>
        <v>23907.316879494854</v>
      </c>
      <c r="I12" s="105">
        <f>IS!I42</f>
        <v>29613.602189624631</v>
      </c>
      <c r="J12" s="105">
        <f>IS!J42</f>
        <v>29968.44740132205</v>
      </c>
      <c r="K12" s="105">
        <f>IS!K42</f>
        <v>30321.347867198383</v>
      </c>
      <c r="L12" s="105">
        <f>IS!L42</f>
        <v>31289.367294263509</v>
      </c>
      <c r="M12" s="105">
        <f>IS!M42</f>
        <v>31643.792043699796</v>
      </c>
      <c r="N12" s="105">
        <f>IS!N42</f>
        <v>32655.60206277384</v>
      </c>
      <c r="O12" s="105">
        <f>IS!O42</f>
        <v>32229.829622884117</v>
      </c>
      <c r="P12" s="105">
        <f>IS!P42</f>
        <v>33340.775439708174</v>
      </c>
      <c r="Q12" s="105">
        <f>IS!Q42</f>
        <v>33775.692346432748</v>
      </c>
      <c r="R12" s="105">
        <f>IS!R42</f>
        <v>34197.88046322763</v>
      </c>
      <c r="S12" s="105">
        <f>IS!S42</f>
        <v>34605.514742366337</v>
      </c>
      <c r="T12" s="105">
        <f>IS!T42</f>
        <v>35028.794818503397</v>
      </c>
      <c r="U12" s="105">
        <f>IS!U42</f>
        <v>35447.471091423373</v>
      </c>
      <c r="V12" s="105">
        <f>IS!V42</f>
        <v>35838.747186508699</v>
      </c>
      <c r="W12" s="105">
        <f>IS!W42</f>
        <v>36092.935480560132</v>
      </c>
      <c r="X12" s="105">
        <f>IS!X42</f>
        <v>36257.472576500048</v>
      </c>
      <c r="Y12" s="105">
        <f>IS!Y42</f>
        <v>36624.476771898437</v>
      </c>
      <c r="Z12" s="114"/>
      <c r="AA12"/>
      <c r="AB12"/>
      <c r="AC12"/>
    </row>
    <row r="14" spans="1:29">
      <c r="A14" s="12" t="s">
        <v>200</v>
      </c>
      <c r="B14" s="12"/>
      <c r="D14" s="112">
        <f>Debt!B85</f>
        <v>0</v>
      </c>
      <c r="E14" s="112">
        <f>Debt!C85</f>
        <v>0</v>
      </c>
      <c r="F14" s="112">
        <f>Debt!D85</f>
        <v>0</v>
      </c>
      <c r="G14" s="112">
        <f>Debt!E85</f>
        <v>0</v>
      </c>
      <c r="H14" s="112">
        <f>Debt!F85</f>
        <v>0</v>
      </c>
      <c r="I14" s="112">
        <f>Debt!G85</f>
        <v>0</v>
      </c>
      <c r="J14" s="112">
        <f>Debt!H85</f>
        <v>0</v>
      </c>
      <c r="K14" s="112">
        <f>Debt!I85</f>
        <v>0</v>
      </c>
      <c r="L14" s="112">
        <f>Debt!J85</f>
        <v>0</v>
      </c>
      <c r="M14" s="112">
        <f>Debt!K85</f>
        <v>0</v>
      </c>
      <c r="N14" s="112">
        <f>Debt!L85</f>
        <v>0</v>
      </c>
      <c r="O14" s="112">
        <f>Debt!M85</f>
        <v>0</v>
      </c>
      <c r="P14" s="112">
        <f>Debt!N85</f>
        <v>0</v>
      </c>
      <c r="Q14" s="112">
        <f>Debt!O85</f>
        <v>0</v>
      </c>
      <c r="R14" s="112">
        <f>Debt!P85</f>
        <v>0</v>
      </c>
      <c r="S14" s="112">
        <f>Debt!Q85</f>
        <v>0</v>
      </c>
      <c r="T14" s="112">
        <f>Debt!R85</f>
        <v>0</v>
      </c>
      <c r="U14" s="112">
        <f>Debt!S85</f>
        <v>0</v>
      </c>
      <c r="V14" s="112">
        <f>Debt!T85</f>
        <v>0</v>
      </c>
      <c r="W14" s="112">
        <f>Debt!U85</f>
        <v>0</v>
      </c>
      <c r="X14" s="112">
        <f>Debt!V85</f>
        <v>0</v>
      </c>
      <c r="Y14" s="112">
        <f>Debt!W85</f>
        <v>0</v>
      </c>
      <c r="Z14" s="114"/>
      <c r="AA14"/>
      <c r="AB14"/>
      <c r="AC14"/>
    </row>
    <row r="15" spans="1:29">
      <c r="A15" s="12" t="s">
        <v>190</v>
      </c>
      <c r="B15" s="12"/>
      <c r="D15" s="403">
        <f>-Debt!B91</f>
        <v>-4888.7500000000009</v>
      </c>
      <c r="E15" s="403">
        <f>-Debt!C91</f>
        <v>-4888.7500000000009</v>
      </c>
      <c r="F15" s="403">
        <f>-Debt!D91</f>
        <v>-4888.7500000000009</v>
      </c>
      <c r="G15" s="403">
        <f>-Debt!E91</f>
        <v>-4888.7500000000009</v>
      </c>
      <c r="H15" s="403">
        <f>-Debt!F91</f>
        <v>-4888.7500000000009</v>
      </c>
      <c r="I15" s="403">
        <f>-Debt!G91</f>
        <v>-4888.7500000000009</v>
      </c>
      <c r="J15" s="403">
        <f>-Debt!H91</f>
        <v>-4888.7500000000009</v>
      </c>
      <c r="K15" s="403">
        <f>-Debt!I91</f>
        <v>-4888.7500000000009</v>
      </c>
      <c r="L15" s="403">
        <f>-Debt!J91</f>
        <v>-4888.7500000000009</v>
      </c>
      <c r="M15" s="403">
        <f>-Debt!K91</f>
        <v>-4888.7500000000009</v>
      </c>
      <c r="N15" s="403">
        <f>-Debt!L91</f>
        <v>-4888.7500000000009</v>
      </c>
      <c r="O15" s="403">
        <f>-Debt!M91</f>
        <v>-4888.7500000000009</v>
      </c>
      <c r="P15" s="403">
        <f>-Debt!N91</f>
        <v>-4888.7500000000009</v>
      </c>
      <c r="Q15" s="403">
        <f>-Debt!O91</f>
        <v>-4888.7500000000009</v>
      </c>
      <c r="R15" s="403">
        <f>-Debt!P91</f>
        <v>-4888.7500000000009</v>
      </c>
      <c r="S15" s="403">
        <f>-Debt!Q91</f>
        <v>-4888.7500000000009</v>
      </c>
      <c r="T15" s="403">
        <f>-Debt!R91</f>
        <v>-4888.7500000000009</v>
      </c>
      <c r="U15" s="403">
        <f>-Debt!S91</f>
        <v>-4888.7500000000009</v>
      </c>
      <c r="V15" s="403">
        <f>-Debt!T91</f>
        <v>-4888.7500000000009</v>
      </c>
      <c r="W15" s="403">
        <f>-Debt!U91</f>
        <v>-4888.7500000000009</v>
      </c>
      <c r="X15" s="403">
        <f>-Debt!V91</f>
        <v>0</v>
      </c>
      <c r="Y15" s="403">
        <f>-Debt!W91</f>
        <v>0</v>
      </c>
      <c r="Z15" s="170"/>
      <c r="AA15"/>
      <c r="AB15"/>
      <c r="AC15"/>
    </row>
    <row r="16" spans="1:29">
      <c r="A16" s="12" t="s">
        <v>189</v>
      </c>
      <c r="B16" s="12"/>
      <c r="D16" s="139">
        <f>-Debt!B89</f>
        <v>-3794.1628999999998</v>
      </c>
      <c r="E16" s="139">
        <f>-Debt!C89</f>
        <v>-7114.0554375000002</v>
      </c>
      <c r="F16" s="139">
        <f>-Debt!D89</f>
        <v>-6734.6391475</v>
      </c>
      <c r="G16" s="139">
        <f>-Debt!E89</f>
        <v>-6355.222857499999</v>
      </c>
      <c r="H16" s="139">
        <f>-Debt!F89</f>
        <v>-5975.8065674999998</v>
      </c>
      <c r="I16" s="139">
        <f>-Debt!G89</f>
        <v>-5596.3902774999988</v>
      </c>
      <c r="J16" s="139">
        <f>-Debt!H89</f>
        <v>-5216.9739874999987</v>
      </c>
      <c r="K16" s="139">
        <f>-Debt!I89</f>
        <v>-4837.5576974999985</v>
      </c>
      <c r="L16" s="139">
        <f>-Debt!J89</f>
        <v>-4458.1414074999984</v>
      </c>
      <c r="M16" s="139">
        <f>-Debt!K89</f>
        <v>-4078.7251174999983</v>
      </c>
      <c r="N16" s="139">
        <f>-Debt!L89</f>
        <v>-3699.3088274999986</v>
      </c>
      <c r="O16" s="139">
        <f>-Debt!M89</f>
        <v>-3319.892537499999</v>
      </c>
      <c r="P16" s="139">
        <f>-Debt!N89</f>
        <v>-2940.4762474999998</v>
      </c>
      <c r="Q16" s="139">
        <f>-Debt!O89</f>
        <v>-2561.0599574999997</v>
      </c>
      <c r="R16" s="139">
        <f>-Debt!P89</f>
        <v>-2181.6436675</v>
      </c>
      <c r="S16" s="139">
        <f>-Debt!Q89</f>
        <v>-1802.2273775000001</v>
      </c>
      <c r="T16" s="139">
        <f>-Debt!R89</f>
        <v>-1422.8110875000002</v>
      </c>
      <c r="U16" s="139">
        <f>-Debt!S89</f>
        <v>-1043.3947975000001</v>
      </c>
      <c r="V16" s="139">
        <f>-Debt!T89</f>
        <v>-663.97850750000021</v>
      </c>
      <c r="W16" s="139">
        <f>-Debt!U89</f>
        <v>-284.56221750000009</v>
      </c>
      <c r="X16" s="139">
        <f>-Debt!V89</f>
        <v>-3.5822722566080926E-14</v>
      </c>
      <c r="Y16" s="139">
        <f>-Debt!W89</f>
        <v>-3.5822722566080926E-14</v>
      </c>
      <c r="Z16" s="114"/>
      <c r="AA16"/>
      <c r="AB16"/>
      <c r="AC16"/>
    </row>
    <row r="17" spans="1:29">
      <c r="A17" s="12"/>
      <c r="B17" s="12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14"/>
      <c r="AA17"/>
      <c r="AB17"/>
      <c r="AC17"/>
    </row>
    <row r="18" spans="1:29">
      <c r="A18" s="11" t="s">
        <v>107</v>
      </c>
      <c r="B18" s="11"/>
      <c r="D18" s="62">
        <f t="shared" ref="D18:Y18" si="0">SUM(D12:D16)</f>
        <v>949.73598217783592</v>
      </c>
      <c r="E18" s="259">
        <f>SUM(E12:E16)</f>
        <v>6694.0612571843476</v>
      </c>
      <c r="F18" s="259">
        <f t="shared" si="0"/>
        <v>7030.4058337521365</v>
      </c>
      <c r="G18" s="259">
        <f t="shared" si="0"/>
        <v>7365.0684075387053</v>
      </c>
      <c r="H18" s="259">
        <f t="shared" si="0"/>
        <v>13042.760311994854</v>
      </c>
      <c r="I18" s="259">
        <f t="shared" si="0"/>
        <v>19128.461912124632</v>
      </c>
      <c r="J18" s="259">
        <f t="shared" si="0"/>
        <v>19862.723413822052</v>
      </c>
      <c r="K18" s="259">
        <f t="shared" si="0"/>
        <v>20595.040169698383</v>
      </c>
      <c r="L18" s="259">
        <f t="shared" si="0"/>
        <v>21942.47588676351</v>
      </c>
      <c r="M18" s="259">
        <f t="shared" si="0"/>
        <v>22676.316926199797</v>
      </c>
      <c r="N18" s="259">
        <f t="shared" si="0"/>
        <v>24067.543235273843</v>
      </c>
      <c r="O18" s="259">
        <f t="shared" si="0"/>
        <v>24021.187085384117</v>
      </c>
      <c r="P18" s="259">
        <f t="shared" si="0"/>
        <v>25511.549192208175</v>
      </c>
      <c r="Q18" s="259">
        <f t="shared" si="0"/>
        <v>26325.882388932747</v>
      </c>
      <c r="R18" s="259">
        <f t="shared" si="0"/>
        <v>27127.486795727629</v>
      </c>
      <c r="S18" s="259">
        <f t="shared" si="0"/>
        <v>27914.537364866337</v>
      </c>
      <c r="T18" s="259">
        <f t="shared" si="0"/>
        <v>28717.233731003398</v>
      </c>
      <c r="U18" s="259">
        <f t="shared" si="0"/>
        <v>29515.326293923372</v>
      </c>
      <c r="V18" s="259">
        <f t="shared" si="0"/>
        <v>30286.018679008699</v>
      </c>
      <c r="W18" s="259">
        <f t="shared" si="0"/>
        <v>30919.623263060133</v>
      </c>
      <c r="X18" s="259">
        <f t="shared" si="0"/>
        <v>36257.472576500048</v>
      </c>
      <c r="Y18" s="259">
        <f t="shared" si="0"/>
        <v>36624.476771898437</v>
      </c>
      <c r="Z18" s="171"/>
      <c r="AA18"/>
      <c r="AB18"/>
      <c r="AC18"/>
    </row>
    <row r="19" spans="1:29">
      <c r="A19" s="11"/>
      <c r="B19" s="11"/>
      <c r="D19" s="25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AA19"/>
      <c r="AB19"/>
      <c r="AC19"/>
    </row>
    <row r="20" spans="1:29">
      <c r="A20" s="4" t="s">
        <v>108</v>
      </c>
      <c r="B20" s="11"/>
      <c r="D20" s="121">
        <f>-Tax!D30</f>
        <v>-206.76167293067019</v>
      </c>
      <c r="E20" s="121">
        <f>-Tax!E30</f>
        <v>-416.37164218106091</v>
      </c>
      <c r="F20" s="121">
        <f>-Tax!F30</f>
        <v>-484.00024432512816</v>
      </c>
      <c r="G20" s="121">
        <f>-Tax!G30</f>
        <v>-544.13709420232226</v>
      </c>
      <c r="H20" s="121">
        <f>-Tax!H30</f>
        <v>-918.94303823969119</v>
      </c>
      <c r="I20" s="121">
        <f>-Tax!I30</f>
        <v>-1313.0559815474778</v>
      </c>
      <c r="J20" s="121">
        <f>-Tax!J30</f>
        <v>-1358.7364401793229</v>
      </c>
      <c r="K20" s="121">
        <f>-Tax!K30</f>
        <v>-1379.1713849219029</v>
      </c>
      <c r="L20" s="121">
        <f>-Tax!L30</f>
        <v>-1437.9916337558104</v>
      </c>
      <c r="M20" s="121">
        <f>-Tax!M30</f>
        <v>-1458.5180355119878</v>
      </c>
      <c r="N20" s="121">
        <f>-Tax!N30</f>
        <v>-1519.9657198664304</v>
      </c>
      <c r="O20" s="121">
        <f>-Tax!O30</f>
        <v>-1493.680290263047</v>
      </c>
      <c r="P20" s="121">
        <f>-Tax!P30</f>
        <v>-1561.0761224824903</v>
      </c>
      <c r="Q20" s="121">
        <f>-Tax!Q30</f>
        <v>-1586.4320536759649</v>
      </c>
      <c r="R20" s="121">
        <f>-Tax!R30</f>
        <v>-1612.5024238936578</v>
      </c>
      <c r="S20" s="121">
        <f>-Tax!S30</f>
        <v>-1854.9900275919802</v>
      </c>
      <c r="T20" s="121">
        <f>-Tax!T30</f>
        <v>-2098.4163791102037</v>
      </c>
      <c r="U20" s="121">
        <f>-Tax!U30</f>
        <v>-2123.5369554854024</v>
      </c>
      <c r="V20" s="121">
        <f>-Tax!V30</f>
        <v>-2147.0135211905222</v>
      </c>
      <c r="W20" s="121">
        <f>-Tax!W30</f>
        <v>-2162.2648188336079</v>
      </c>
      <c r="X20" s="121">
        <f>-Tax!X30</f>
        <v>-2175.448354590003</v>
      </c>
      <c r="Y20" s="121">
        <f>-Tax!Y30</f>
        <v>-2197.4686063139061</v>
      </c>
      <c r="AA20"/>
      <c r="AB20"/>
      <c r="AC20"/>
    </row>
    <row r="21" spans="1:29">
      <c r="A21" s="4" t="s">
        <v>109</v>
      </c>
      <c r="B21" s="12"/>
      <c r="D21" s="260">
        <f>-Tax!D41</f>
        <v>-1133.7431732365083</v>
      </c>
      <c r="E21" s="260">
        <f>-Tax!E41</f>
        <v>-2283.1045046261506</v>
      </c>
      <c r="F21" s="260">
        <f>-Tax!F41</f>
        <v>-2653.9346730494531</v>
      </c>
      <c r="G21" s="260">
        <f>-Tax!G41</f>
        <v>-2983.6850665427341</v>
      </c>
      <c r="H21" s="260">
        <f>-Tax!H41</f>
        <v>-5038.8709930143068</v>
      </c>
      <c r="I21" s="260">
        <f>-Tax!I41</f>
        <v>-7199.9236321520029</v>
      </c>
      <c r="J21" s="260">
        <f>-Tax!J41</f>
        <v>-7450.4048136499532</v>
      </c>
      <c r="K21" s="260">
        <f>-Tax!K41</f>
        <v>-7562.4564273217684</v>
      </c>
      <c r="L21" s="260">
        <f>-Tax!L41</f>
        <v>-7884.987458427694</v>
      </c>
      <c r="M21" s="260">
        <f>-Tax!M41</f>
        <v>-7997.5405613907324</v>
      </c>
      <c r="N21" s="260">
        <f>-Tax!N41</f>
        <v>-8334.478697267592</v>
      </c>
      <c r="O21" s="260">
        <f>-Tax!O41</f>
        <v>-8190.3469249423742</v>
      </c>
      <c r="P21" s="260">
        <f>-Tax!P41</f>
        <v>-8559.9007382789896</v>
      </c>
      <c r="Q21" s="260">
        <f>-Tax!Q41</f>
        <v>-8698.9357609898725</v>
      </c>
      <c r="R21" s="260">
        <f>-Tax!R41</f>
        <v>-8841.8882910168904</v>
      </c>
      <c r="S21" s="260">
        <f>-Tax!S41</f>
        <v>-10171.528651296025</v>
      </c>
      <c r="T21" s="260">
        <f>-Tax!T41</f>
        <v>-11506.316478787618</v>
      </c>
      <c r="U21" s="260">
        <f>-Tax!U41</f>
        <v>-11644.060972578289</v>
      </c>
      <c r="V21" s="260">
        <f>-Tax!V41</f>
        <v>-11772.790807861362</v>
      </c>
      <c r="W21" s="260">
        <f>-Tax!W41</f>
        <v>-11856.418756604284</v>
      </c>
      <c r="X21" s="260">
        <f>-Tax!X41</f>
        <v>-11928.708477668515</v>
      </c>
      <c r="Y21" s="260">
        <f>-Tax!Y41</f>
        <v>-12049.452857954584</v>
      </c>
      <c r="Z21" s="170"/>
      <c r="AA21"/>
      <c r="AB21"/>
      <c r="AC21"/>
    </row>
    <row r="22" spans="1:29">
      <c r="A22" s="12"/>
      <c r="B22" s="12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70"/>
      <c r="AA22"/>
      <c r="AB22"/>
      <c r="AC22"/>
    </row>
    <row r="23" spans="1:29" s="16" customFormat="1">
      <c r="A23" s="11" t="s">
        <v>110</v>
      </c>
      <c r="B23" s="11"/>
      <c r="D23" s="62">
        <f t="shared" ref="D23:Y23" si="1">D18+D21+D20</f>
        <v>-390.76886398934255</v>
      </c>
      <c r="E23" s="62">
        <f t="shared" si="1"/>
        <v>3994.5851103771361</v>
      </c>
      <c r="F23" s="62">
        <f t="shared" si="1"/>
        <v>3892.4709163775556</v>
      </c>
      <c r="G23" s="62">
        <f t="shared" si="1"/>
        <v>3837.2462467936493</v>
      </c>
      <c r="H23" s="62">
        <f t="shared" si="1"/>
        <v>7084.9462807408563</v>
      </c>
      <c r="I23" s="62">
        <f t="shared" si="1"/>
        <v>10615.482298425151</v>
      </c>
      <c r="J23" s="62">
        <f t="shared" si="1"/>
        <v>11053.582159992777</v>
      </c>
      <c r="K23" s="62">
        <f t="shared" si="1"/>
        <v>11653.41235745471</v>
      </c>
      <c r="L23" s="62">
        <f t="shared" si="1"/>
        <v>12619.496794580005</v>
      </c>
      <c r="M23" s="62">
        <f t="shared" si="1"/>
        <v>13220.258329297078</v>
      </c>
      <c r="N23" s="62">
        <f t="shared" si="1"/>
        <v>14213.098818139821</v>
      </c>
      <c r="O23" s="62">
        <f t="shared" si="1"/>
        <v>14337.159870178697</v>
      </c>
      <c r="P23" s="62">
        <f t="shared" si="1"/>
        <v>15390.572331446694</v>
      </c>
      <c r="Q23" s="62">
        <f t="shared" si="1"/>
        <v>16040.51457426691</v>
      </c>
      <c r="R23" s="62">
        <f t="shared" si="1"/>
        <v>16673.096080817082</v>
      </c>
      <c r="S23" s="62">
        <f t="shared" si="1"/>
        <v>15888.018685978333</v>
      </c>
      <c r="T23" s="62">
        <f t="shared" si="1"/>
        <v>15112.500873105579</v>
      </c>
      <c r="U23" s="62">
        <f t="shared" si="1"/>
        <v>15747.728365859681</v>
      </c>
      <c r="V23" s="62">
        <f t="shared" si="1"/>
        <v>16366.214349956816</v>
      </c>
      <c r="W23" s="62">
        <f t="shared" si="1"/>
        <v>16900.939687622238</v>
      </c>
      <c r="X23" s="62">
        <f t="shared" si="1"/>
        <v>22153.315744241529</v>
      </c>
      <c r="Y23" s="62">
        <f t="shared" si="1"/>
        <v>22377.555307629947</v>
      </c>
      <c r="Z23" s="258"/>
      <c r="AA23"/>
      <c r="AB23"/>
      <c r="AC23"/>
    </row>
    <row r="24" spans="1:29">
      <c r="A24" s="12"/>
      <c r="B24" s="12"/>
      <c r="D24" s="25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70"/>
      <c r="AA24"/>
      <c r="AB24"/>
      <c r="AC24"/>
    </row>
    <row r="25" spans="1:29">
      <c r="A25" s="13" t="s">
        <v>111</v>
      </c>
      <c r="B25" s="13"/>
      <c r="C25" s="364">
        <f>Assumptions!B68</f>
        <v>0.5</v>
      </c>
      <c r="D25" s="25">
        <v>0</v>
      </c>
      <c r="E25" s="25">
        <f>$C$25*IS!E55</f>
        <v>4001.6082835635684</v>
      </c>
      <c r="F25" s="25">
        <f>$C$25*IS!F55</f>
        <v>3988.4498751100282</v>
      </c>
      <c r="G25" s="25">
        <f>$C$25*IS!G55</f>
        <v>3974.7776148068242</v>
      </c>
      <c r="H25" s="25">
        <f>$C$25*IS!H55</f>
        <v>5593.4008150231784</v>
      </c>
      <c r="I25" s="25">
        <f>$C$25*IS!I55</f>
        <v>7336.670977267825</v>
      </c>
      <c r="J25" s="25">
        <f>$C$25*IS!J55</f>
        <v>7445.0761894413863</v>
      </c>
      <c r="K25" s="25">
        <f>$C$25*IS!K55</f>
        <v>7552.887281766607</v>
      </c>
      <c r="L25" s="25">
        <f>$C$25*IS!L55</f>
        <v>7848.6172167350023</v>
      </c>
      <c r="M25" s="25">
        <f>$C$25*IS!M55</f>
        <v>7956.8939776877887</v>
      </c>
      <c r="N25" s="25">
        <f>$C$25*IS!N55</f>
        <v>8266.001938514908</v>
      </c>
      <c r="O25" s="25">
        <f>$C$25*IS!O55</f>
        <v>8135.9284581285983</v>
      </c>
      <c r="P25" s="25">
        <f>$C$25*IS!P55</f>
        <v>8475.3224051683464</v>
      </c>
      <c r="Q25" s="25">
        <f>$C$25*IS!Q55</f>
        <v>8608.1895201727057</v>
      </c>
      <c r="R25" s="25">
        <f>$C$25*IS!R55</f>
        <v>8737.1679898535403</v>
      </c>
      <c r="S25" s="25">
        <f>$C$25*IS!S55</f>
        <v>8861.7002621304164</v>
      </c>
      <c r="T25" s="25">
        <f>$C$25*IS!T55</f>
        <v>8991.0123253902893</v>
      </c>
      <c r="U25" s="25">
        <f>$C$25*IS!U55</f>
        <v>9118.9179267673408</v>
      </c>
      <c r="V25" s="25">
        <f>$C$25*IS!V55</f>
        <v>9238.4527738159086</v>
      </c>
      <c r="W25" s="25">
        <f>$C$25*IS!W55</f>
        <v>9316.1072976486212</v>
      </c>
      <c r="X25" s="25">
        <f>$C$25*IS!X55</f>
        <v>9383.2334672082652</v>
      </c>
      <c r="Y25" s="25">
        <f>$C$25*IS!Y55</f>
        <v>9495.3532489024728</v>
      </c>
      <c r="Z25" s="114"/>
      <c r="AA25"/>
      <c r="AB25"/>
      <c r="AC25"/>
    </row>
    <row r="26" spans="1:29">
      <c r="A26" s="13" t="s">
        <v>112</v>
      </c>
      <c r="B26" s="13"/>
      <c r="C26" s="364">
        <v>0.5</v>
      </c>
      <c r="D26" s="25">
        <f>(D23)*$C$26</f>
        <v>-195.38443199467127</v>
      </c>
      <c r="E26" s="105">
        <f>(E23)*$C$26</f>
        <v>1997.292555188568</v>
      </c>
      <c r="F26" s="105">
        <f t="shared" ref="F26:X26" si="2">(F23)*$C$26</f>
        <v>1946.2354581887778</v>
      </c>
      <c r="G26" s="105">
        <f t="shared" si="2"/>
        <v>1918.6231233968247</v>
      </c>
      <c r="H26" s="105">
        <f t="shared" si="2"/>
        <v>3542.4731403704282</v>
      </c>
      <c r="I26" s="105">
        <f t="shared" si="2"/>
        <v>5307.7411492125757</v>
      </c>
      <c r="J26" s="105">
        <f t="shared" si="2"/>
        <v>5526.7910799963884</v>
      </c>
      <c r="K26" s="105">
        <f t="shared" si="2"/>
        <v>5826.7061787273551</v>
      </c>
      <c r="L26" s="105">
        <f t="shared" si="2"/>
        <v>6309.7483972900027</v>
      </c>
      <c r="M26" s="105">
        <f t="shared" si="2"/>
        <v>6610.1291646485388</v>
      </c>
      <c r="N26" s="105">
        <f t="shared" si="2"/>
        <v>7106.5494090699103</v>
      </c>
      <c r="O26" s="105">
        <f t="shared" si="2"/>
        <v>7168.5799350893485</v>
      </c>
      <c r="P26" s="105">
        <f t="shared" si="2"/>
        <v>7695.286165723347</v>
      </c>
      <c r="Q26" s="105">
        <f t="shared" si="2"/>
        <v>8020.2572871334551</v>
      </c>
      <c r="R26" s="105">
        <f t="shared" si="2"/>
        <v>8336.5480404085411</v>
      </c>
      <c r="S26" s="105">
        <f t="shared" si="2"/>
        <v>7944.0093429891667</v>
      </c>
      <c r="T26" s="105">
        <f t="shared" si="2"/>
        <v>7556.2504365527893</v>
      </c>
      <c r="U26" s="105">
        <f t="shared" si="2"/>
        <v>7873.8641829298404</v>
      </c>
      <c r="V26" s="105">
        <f t="shared" si="2"/>
        <v>8183.1071749784078</v>
      </c>
      <c r="W26" s="105">
        <f t="shared" si="2"/>
        <v>8450.4698438111191</v>
      </c>
      <c r="X26" s="105">
        <f t="shared" si="2"/>
        <v>11076.657872120764</v>
      </c>
      <c r="Y26" s="105">
        <f>(Y23)*$C$26</f>
        <v>11188.777653814974</v>
      </c>
      <c r="Z26" s="140"/>
      <c r="AA26"/>
      <c r="AB26"/>
      <c r="AC26"/>
    </row>
    <row r="27" spans="1:29">
      <c r="A27" s="12"/>
      <c r="B27" s="12"/>
      <c r="D27" s="150"/>
      <c r="E27" s="150"/>
      <c r="F27" s="150"/>
      <c r="G27" s="150"/>
      <c r="H27" s="150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70"/>
    </row>
    <row r="28" spans="1:29">
      <c r="A28" s="72"/>
      <c r="B28" s="72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</row>
    <row r="29" spans="1:29">
      <c r="A29" s="72"/>
      <c r="B29" s="72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</row>
    <row r="30" spans="1:29" ht="18.75">
      <c r="A30" s="160" t="s">
        <v>113</v>
      </c>
      <c r="B30" s="268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</row>
    <row r="31" spans="1:29">
      <c r="D31" s="358"/>
      <c r="E31" s="358"/>
      <c r="F31" s="358"/>
      <c r="G31" s="358"/>
      <c r="H31" s="358"/>
      <c r="I31" s="358"/>
      <c r="J31" s="358"/>
      <c r="K31" s="358"/>
      <c r="L31" s="358"/>
      <c r="M31" s="358"/>
      <c r="N31" s="358"/>
      <c r="O31" s="358"/>
      <c r="P31" s="358"/>
      <c r="Q31" s="358"/>
      <c r="R31" s="358"/>
      <c r="S31" s="358"/>
      <c r="T31" s="358"/>
      <c r="U31" s="358"/>
      <c r="V31" s="358"/>
      <c r="W31" s="358"/>
      <c r="X31" s="358"/>
      <c r="Y31" s="358"/>
    </row>
    <row r="32" spans="1:29" ht="13.5" thickBot="1">
      <c r="A32" s="256" t="s">
        <v>87</v>
      </c>
      <c r="B32" s="256"/>
      <c r="C32" s="2"/>
      <c r="D32" s="8">
        <f>D9</f>
        <v>1999</v>
      </c>
      <c r="E32" s="8">
        <f t="shared" ref="E32:Y32" si="3">E9</f>
        <v>2000</v>
      </c>
      <c r="F32" s="8">
        <f t="shared" si="3"/>
        <v>2001</v>
      </c>
      <c r="G32" s="8">
        <f t="shared" si="3"/>
        <v>2002</v>
      </c>
      <c r="H32" s="8">
        <f t="shared" si="3"/>
        <v>2003</v>
      </c>
      <c r="I32" s="8">
        <f t="shared" si="3"/>
        <v>2004</v>
      </c>
      <c r="J32" s="8">
        <f t="shared" si="3"/>
        <v>2005</v>
      </c>
      <c r="K32" s="8">
        <f t="shared" si="3"/>
        <v>2006</v>
      </c>
      <c r="L32" s="8">
        <f t="shared" si="3"/>
        <v>2007</v>
      </c>
      <c r="M32" s="8">
        <f t="shared" si="3"/>
        <v>2008</v>
      </c>
      <c r="N32" s="8">
        <f t="shared" si="3"/>
        <v>2009</v>
      </c>
      <c r="O32" s="8">
        <f t="shared" si="3"/>
        <v>2010</v>
      </c>
      <c r="P32" s="8">
        <f t="shared" si="3"/>
        <v>2011</v>
      </c>
      <c r="Q32" s="8">
        <f t="shared" si="3"/>
        <v>2012</v>
      </c>
      <c r="R32" s="8">
        <f t="shared" si="3"/>
        <v>2013</v>
      </c>
      <c r="S32" s="8">
        <f t="shared" si="3"/>
        <v>2014</v>
      </c>
      <c r="T32" s="8">
        <f t="shared" si="3"/>
        <v>2015</v>
      </c>
      <c r="U32" s="8">
        <f t="shared" si="3"/>
        <v>2016</v>
      </c>
      <c r="V32" s="8">
        <f t="shared" si="3"/>
        <v>2017</v>
      </c>
      <c r="W32" s="8">
        <f t="shared" si="3"/>
        <v>2018</v>
      </c>
      <c r="X32" s="8">
        <f t="shared" si="3"/>
        <v>2019</v>
      </c>
      <c r="Y32" s="8">
        <f t="shared" si="3"/>
        <v>2020</v>
      </c>
    </row>
    <row r="33" spans="1:27" ht="14.25" customHeight="1">
      <c r="A33" s="269"/>
      <c r="B33" s="269"/>
      <c r="D33" s="493">
        <v>36891</v>
      </c>
      <c r="E33" s="493">
        <v>37256</v>
      </c>
      <c r="F33" s="493">
        <v>37621</v>
      </c>
      <c r="G33" s="493">
        <v>37986</v>
      </c>
      <c r="H33" s="493">
        <v>38352</v>
      </c>
      <c r="I33" s="493">
        <v>38717</v>
      </c>
      <c r="J33" s="493">
        <v>39082</v>
      </c>
      <c r="K33" s="493">
        <v>39447</v>
      </c>
      <c r="L33" s="493">
        <v>39813</v>
      </c>
      <c r="M33" s="493">
        <v>40178</v>
      </c>
      <c r="N33" s="493">
        <v>40543</v>
      </c>
      <c r="O33" s="493">
        <v>40908</v>
      </c>
      <c r="P33" s="493">
        <v>41274</v>
      </c>
      <c r="Q33" s="493">
        <v>41639</v>
      </c>
      <c r="R33" s="493">
        <v>42004</v>
      </c>
      <c r="S33" s="493">
        <v>42369</v>
      </c>
      <c r="T33" s="493">
        <v>42735</v>
      </c>
      <c r="U33" s="493">
        <v>43100</v>
      </c>
      <c r="V33" s="493">
        <v>43465</v>
      </c>
      <c r="W33" s="493">
        <v>43830</v>
      </c>
      <c r="X33" s="493">
        <v>44196</v>
      </c>
      <c r="Y33" s="493">
        <v>44561</v>
      </c>
    </row>
    <row r="34" spans="1:27">
      <c r="A34" s="72"/>
      <c r="B34" s="72"/>
      <c r="K34" s="59"/>
    </row>
    <row r="35" spans="1:27" s="16" customFormat="1">
      <c r="A35" s="11" t="s">
        <v>107</v>
      </c>
      <c r="B35" s="72"/>
      <c r="D35" s="62">
        <f>$C$26*D18</f>
        <v>474.86799108891796</v>
      </c>
      <c r="E35" s="259">
        <f t="shared" ref="E35:Y35" si="4">$C$26*E18</f>
        <v>3347.0306285921738</v>
      </c>
      <c r="F35" s="259">
        <f t="shared" si="4"/>
        <v>3515.2029168760682</v>
      </c>
      <c r="G35" s="259">
        <f t="shared" si="4"/>
        <v>3682.5342037693526</v>
      </c>
      <c r="H35" s="259">
        <f t="shared" si="4"/>
        <v>6521.3801559974272</v>
      </c>
      <c r="I35" s="259">
        <f t="shared" si="4"/>
        <v>9564.2309560623162</v>
      </c>
      <c r="J35" s="259">
        <f t="shared" si="4"/>
        <v>9931.361706911026</v>
      </c>
      <c r="K35" s="259">
        <f t="shared" si="4"/>
        <v>10297.520084849191</v>
      </c>
      <c r="L35" s="259">
        <f t="shared" si="4"/>
        <v>10971.237943381755</v>
      </c>
      <c r="M35" s="259">
        <f t="shared" si="4"/>
        <v>11338.158463099899</v>
      </c>
      <c r="N35" s="259">
        <f t="shared" si="4"/>
        <v>12033.771617636921</v>
      </c>
      <c r="O35" s="259">
        <f t="shared" si="4"/>
        <v>12010.593542692059</v>
      </c>
      <c r="P35" s="259">
        <f t="shared" si="4"/>
        <v>12755.774596104087</v>
      </c>
      <c r="Q35" s="259">
        <f t="shared" si="4"/>
        <v>13162.941194466373</v>
      </c>
      <c r="R35" s="259">
        <f t="shared" si="4"/>
        <v>13563.743397863815</v>
      </c>
      <c r="S35" s="259">
        <f t="shared" si="4"/>
        <v>13957.268682433169</v>
      </c>
      <c r="T35" s="259">
        <f t="shared" si="4"/>
        <v>14358.616865501699</v>
      </c>
      <c r="U35" s="259">
        <f t="shared" si="4"/>
        <v>14757.663146961686</v>
      </c>
      <c r="V35" s="259">
        <f t="shared" si="4"/>
        <v>15143.00933950435</v>
      </c>
      <c r="W35" s="259">
        <f t="shared" si="4"/>
        <v>15459.811631530067</v>
      </c>
      <c r="X35" s="259">
        <f t="shared" si="4"/>
        <v>18128.736288250024</v>
      </c>
      <c r="Y35" s="259">
        <f t="shared" si="4"/>
        <v>18312.238385949218</v>
      </c>
      <c r="Z35" s="113"/>
      <c r="AA35" s="113"/>
    </row>
    <row r="36" spans="1:27">
      <c r="A36" s="11"/>
      <c r="B36" s="72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</row>
    <row r="37" spans="1:27">
      <c r="A37" s="12" t="s">
        <v>114</v>
      </c>
      <c r="B37" s="72"/>
      <c r="D37" s="152">
        <f>$C$26*D20</f>
        <v>-103.38083646533509</v>
      </c>
      <c r="E37" s="152">
        <f t="shared" ref="E37:Y37" si="5">$C$26*E20</f>
        <v>-208.18582109053045</v>
      </c>
      <c r="F37" s="152">
        <f t="shared" si="5"/>
        <v>-242.00012216256408</v>
      </c>
      <c r="G37" s="152">
        <f t="shared" si="5"/>
        <v>-272.06854710116113</v>
      </c>
      <c r="H37" s="152">
        <f t="shared" si="5"/>
        <v>-459.4715191198456</v>
      </c>
      <c r="I37" s="152">
        <f t="shared" si="5"/>
        <v>-656.52799077373891</v>
      </c>
      <c r="J37" s="152">
        <f t="shared" si="5"/>
        <v>-679.36822008966146</v>
      </c>
      <c r="K37" s="152">
        <f t="shared" si="5"/>
        <v>-689.58569246095146</v>
      </c>
      <c r="L37" s="152">
        <f t="shared" si="5"/>
        <v>-718.99581687790521</v>
      </c>
      <c r="M37" s="152">
        <f t="shared" si="5"/>
        <v>-729.25901775599391</v>
      </c>
      <c r="N37" s="152">
        <f t="shared" si="5"/>
        <v>-759.9828599332152</v>
      </c>
      <c r="O37" s="152">
        <f t="shared" si="5"/>
        <v>-746.84014513152351</v>
      </c>
      <c r="P37" s="152">
        <f t="shared" si="5"/>
        <v>-780.53806124124515</v>
      </c>
      <c r="Q37" s="152">
        <f t="shared" si="5"/>
        <v>-793.21602683798244</v>
      </c>
      <c r="R37" s="152">
        <f t="shared" si="5"/>
        <v>-806.2512119468289</v>
      </c>
      <c r="S37" s="152">
        <f t="shared" si="5"/>
        <v>-927.49501379599008</v>
      </c>
      <c r="T37" s="152">
        <f t="shared" si="5"/>
        <v>-1049.2081895551019</v>
      </c>
      <c r="U37" s="152">
        <f t="shared" si="5"/>
        <v>-1061.7684777427012</v>
      </c>
      <c r="V37" s="152">
        <f t="shared" si="5"/>
        <v>-1073.5067605952611</v>
      </c>
      <c r="W37" s="152">
        <f t="shared" si="5"/>
        <v>-1081.132409416804</v>
      </c>
      <c r="X37" s="152">
        <f t="shared" si="5"/>
        <v>-1087.7241772950015</v>
      </c>
      <c r="Y37" s="152">
        <f t="shared" si="5"/>
        <v>-1098.734303156953</v>
      </c>
    </row>
    <row r="38" spans="1:27">
      <c r="A38" s="12" t="s">
        <v>115</v>
      </c>
      <c r="B38" s="72"/>
      <c r="D38" s="155">
        <f>$C$26*D21</f>
        <v>-566.87158661825413</v>
      </c>
      <c r="E38" s="155">
        <f t="shared" ref="E38:Y38" si="6">$C$26*E21</f>
        <v>-1141.5522523130753</v>
      </c>
      <c r="F38" s="155">
        <f t="shared" si="6"/>
        <v>-1326.9673365247265</v>
      </c>
      <c r="G38" s="155">
        <f t="shared" si="6"/>
        <v>-1491.8425332713671</v>
      </c>
      <c r="H38" s="155">
        <f t="shared" si="6"/>
        <v>-2519.4354965071534</v>
      </c>
      <c r="I38" s="155">
        <f t="shared" si="6"/>
        <v>-3599.9618160760015</v>
      </c>
      <c r="J38" s="155">
        <f t="shared" si="6"/>
        <v>-3725.2024068249766</v>
      </c>
      <c r="K38" s="155">
        <f t="shared" si="6"/>
        <v>-3781.2282136608842</v>
      </c>
      <c r="L38" s="155">
        <f t="shared" si="6"/>
        <v>-3942.493729213847</v>
      </c>
      <c r="M38" s="155">
        <f t="shared" si="6"/>
        <v>-3998.7702806953662</v>
      </c>
      <c r="N38" s="155">
        <f t="shared" si="6"/>
        <v>-4167.239348633796</v>
      </c>
      <c r="O38" s="155">
        <f t="shared" si="6"/>
        <v>-4095.1734624711871</v>
      </c>
      <c r="P38" s="155">
        <f t="shared" si="6"/>
        <v>-4279.9503691394948</v>
      </c>
      <c r="Q38" s="155">
        <f t="shared" si="6"/>
        <v>-4349.4678804949363</v>
      </c>
      <c r="R38" s="155">
        <f t="shared" si="6"/>
        <v>-4420.9441455084452</v>
      </c>
      <c r="S38" s="155">
        <f t="shared" si="6"/>
        <v>-5085.7643256480123</v>
      </c>
      <c r="T38" s="155">
        <f t="shared" si="6"/>
        <v>-5753.1582393938088</v>
      </c>
      <c r="U38" s="155">
        <f t="shared" si="6"/>
        <v>-5822.0304862891444</v>
      </c>
      <c r="V38" s="155">
        <f t="shared" si="6"/>
        <v>-5886.3954039306809</v>
      </c>
      <c r="W38" s="155">
        <f t="shared" si="6"/>
        <v>-5928.2093783021419</v>
      </c>
      <c r="X38" s="155">
        <f t="shared" si="6"/>
        <v>-5964.3542388342576</v>
      </c>
      <c r="Y38" s="155">
        <f t="shared" si="6"/>
        <v>-6024.726428977292</v>
      </c>
    </row>
    <row r="39" spans="1:27">
      <c r="A39" s="12"/>
      <c r="B39" s="72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</row>
    <row r="40" spans="1:27" s="16" customFormat="1">
      <c r="A40" s="11" t="s">
        <v>110</v>
      </c>
      <c r="B40" s="72"/>
      <c r="D40" s="62">
        <f>$C$26*D23</f>
        <v>-195.38443199467127</v>
      </c>
      <c r="E40" s="259">
        <f t="shared" ref="E40:Y40" si="7">$C$26*E23</f>
        <v>1997.292555188568</v>
      </c>
      <c r="F40" s="259">
        <f t="shared" si="7"/>
        <v>1946.2354581887778</v>
      </c>
      <c r="G40" s="259">
        <f t="shared" si="7"/>
        <v>1918.6231233968247</v>
      </c>
      <c r="H40" s="259">
        <f t="shared" si="7"/>
        <v>3542.4731403704282</v>
      </c>
      <c r="I40" s="259">
        <f t="shared" si="7"/>
        <v>5307.7411492125757</v>
      </c>
      <c r="J40" s="259">
        <f t="shared" si="7"/>
        <v>5526.7910799963884</v>
      </c>
      <c r="K40" s="259">
        <f t="shared" si="7"/>
        <v>5826.7061787273551</v>
      </c>
      <c r="L40" s="259">
        <f t="shared" si="7"/>
        <v>6309.7483972900027</v>
      </c>
      <c r="M40" s="259">
        <f t="shared" si="7"/>
        <v>6610.1291646485388</v>
      </c>
      <c r="N40" s="259">
        <f t="shared" si="7"/>
        <v>7106.5494090699103</v>
      </c>
      <c r="O40" s="259">
        <f t="shared" si="7"/>
        <v>7168.5799350893485</v>
      </c>
      <c r="P40" s="259">
        <f t="shared" si="7"/>
        <v>7695.286165723347</v>
      </c>
      <c r="Q40" s="259">
        <f t="shared" si="7"/>
        <v>8020.2572871334551</v>
      </c>
      <c r="R40" s="259">
        <f t="shared" si="7"/>
        <v>8336.5480404085411</v>
      </c>
      <c r="S40" s="259">
        <f t="shared" si="7"/>
        <v>7944.0093429891667</v>
      </c>
      <c r="T40" s="259">
        <f t="shared" si="7"/>
        <v>7556.2504365527893</v>
      </c>
      <c r="U40" s="259">
        <f t="shared" si="7"/>
        <v>7873.8641829298404</v>
      </c>
      <c r="V40" s="259">
        <f t="shared" si="7"/>
        <v>8183.1071749784078</v>
      </c>
      <c r="W40" s="259">
        <f t="shared" si="7"/>
        <v>8450.4698438111191</v>
      </c>
      <c r="X40" s="259">
        <f t="shared" si="7"/>
        <v>11076.657872120764</v>
      </c>
      <c r="Y40" s="259">
        <f t="shared" si="7"/>
        <v>11188.777653814974</v>
      </c>
      <c r="Z40" s="113"/>
      <c r="AA40" s="113"/>
    </row>
    <row r="41" spans="1:27">
      <c r="A41" s="11"/>
      <c r="B41" s="72"/>
      <c r="K41" s="59"/>
    </row>
    <row r="42" spans="1:27">
      <c r="A42" s="117" t="s">
        <v>116</v>
      </c>
      <c r="B42" s="117"/>
      <c r="D42" s="32">
        <f>-Assumptions!$B$68*Assumptions!E11</f>
        <v>-15079.5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20"/>
    </row>
    <row r="43" spans="1:27">
      <c r="A43" s="117"/>
      <c r="B43" s="117"/>
      <c r="D43" s="3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</row>
    <row r="44" spans="1:27">
      <c r="A44" s="67"/>
      <c r="B44" s="67"/>
      <c r="C44" s="67"/>
      <c r="D44" s="327"/>
    </row>
    <row r="45" spans="1:27">
      <c r="A45" s="72" t="s">
        <v>276</v>
      </c>
      <c r="B45" s="14"/>
      <c r="D45" s="121"/>
      <c r="E45" s="121"/>
      <c r="F45" s="121"/>
      <c r="G45" s="121"/>
      <c r="H45" s="121"/>
      <c r="I45" s="121"/>
      <c r="J45" s="59"/>
    </row>
    <row r="46" spans="1:27">
      <c r="A46" s="17" t="s">
        <v>118</v>
      </c>
      <c r="D46" s="122">
        <f>D42+D40</f>
        <v>-15274.884431994671</v>
      </c>
      <c r="E46" s="122">
        <f t="shared" ref="E46:Y46" si="8">E42+E40</f>
        <v>1997.292555188568</v>
      </c>
      <c r="F46" s="122">
        <f t="shared" si="8"/>
        <v>1946.2354581887778</v>
      </c>
      <c r="G46" s="122">
        <f t="shared" si="8"/>
        <v>1918.6231233968247</v>
      </c>
      <c r="H46" s="122">
        <f t="shared" si="8"/>
        <v>3542.4731403704282</v>
      </c>
      <c r="I46" s="122">
        <f t="shared" si="8"/>
        <v>5307.7411492125757</v>
      </c>
      <c r="J46" s="122">
        <f t="shared" si="8"/>
        <v>5526.7910799963884</v>
      </c>
      <c r="K46" s="122">
        <f t="shared" si="8"/>
        <v>5826.7061787273551</v>
      </c>
      <c r="L46" s="122">
        <f t="shared" si="8"/>
        <v>6309.7483972900027</v>
      </c>
      <c r="M46" s="122">
        <f t="shared" si="8"/>
        <v>6610.1291646485388</v>
      </c>
      <c r="N46" s="122">
        <f t="shared" si="8"/>
        <v>7106.5494090699103</v>
      </c>
      <c r="O46" s="122">
        <f t="shared" si="8"/>
        <v>7168.5799350893485</v>
      </c>
      <c r="P46" s="122">
        <f t="shared" si="8"/>
        <v>7695.286165723347</v>
      </c>
      <c r="Q46" s="122">
        <f t="shared" si="8"/>
        <v>8020.2572871334551</v>
      </c>
      <c r="R46" s="122">
        <f t="shared" si="8"/>
        <v>8336.5480404085411</v>
      </c>
      <c r="S46" s="122">
        <f t="shared" si="8"/>
        <v>7944.0093429891667</v>
      </c>
      <c r="T46" s="122">
        <f t="shared" si="8"/>
        <v>7556.2504365527893</v>
      </c>
      <c r="U46" s="122">
        <f t="shared" si="8"/>
        <v>7873.8641829298404</v>
      </c>
      <c r="V46" s="122">
        <f t="shared" si="8"/>
        <v>8183.1071749784078</v>
      </c>
      <c r="W46" s="122">
        <f t="shared" si="8"/>
        <v>8450.4698438111191</v>
      </c>
      <c r="X46" s="122">
        <f t="shared" si="8"/>
        <v>11076.657872120764</v>
      </c>
      <c r="Y46" s="122">
        <f t="shared" si="8"/>
        <v>11188.777653814974</v>
      </c>
    </row>
    <row r="47" spans="1:27">
      <c r="A47" s="17" t="s">
        <v>7</v>
      </c>
      <c r="D47" s="494">
        <f>[1]!_xludf.xirr(D46:Y46,D33:Y33)</f>
        <v>0.2527119934558868</v>
      </c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</row>
    <row r="49" spans="1:26">
      <c r="A49" s="72" t="s">
        <v>117</v>
      </c>
    </row>
    <row r="50" spans="1:26">
      <c r="A50" s="17" t="s">
        <v>118</v>
      </c>
      <c r="D50" s="122">
        <f>D46</f>
        <v>-15274.884431994671</v>
      </c>
      <c r="E50" s="122">
        <f t="shared" ref="E50:Y50" si="9">E46</f>
        <v>1997.292555188568</v>
      </c>
      <c r="F50" s="122">
        <f t="shared" si="9"/>
        <v>1946.2354581887778</v>
      </c>
      <c r="G50" s="122">
        <f t="shared" si="9"/>
        <v>1918.6231233968247</v>
      </c>
      <c r="H50" s="122">
        <f t="shared" si="9"/>
        <v>3542.4731403704282</v>
      </c>
      <c r="I50" s="122">
        <f t="shared" si="9"/>
        <v>5307.7411492125757</v>
      </c>
      <c r="J50" s="122">
        <f t="shared" si="9"/>
        <v>5526.7910799963884</v>
      </c>
      <c r="K50" s="122">
        <f t="shared" si="9"/>
        <v>5826.7061787273551</v>
      </c>
      <c r="L50" s="122">
        <f t="shared" si="9"/>
        <v>6309.7483972900027</v>
      </c>
      <c r="M50" s="122">
        <f t="shared" si="9"/>
        <v>6610.1291646485388</v>
      </c>
      <c r="N50" s="122">
        <f t="shared" si="9"/>
        <v>7106.5494090699103</v>
      </c>
      <c r="O50" s="122">
        <f t="shared" si="9"/>
        <v>7168.5799350893485</v>
      </c>
      <c r="P50" s="122">
        <f t="shared" si="9"/>
        <v>7695.286165723347</v>
      </c>
      <c r="Q50" s="122">
        <f t="shared" si="9"/>
        <v>8020.2572871334551</v>
      </c>
      <c r="R50" s="122">
        <f t="shared" si="9"/>
        <v>8336.5480404085411</v>
      </c>
      <c r="S50" s="122">
        <f t="shared" si="9"/>
        <v>7944.0093429891667</v>
      </c>
      <c r="T50" s="122">
        <f t="shared" si="9"/>
        <v>7556.2504365527893</v>
      </c>
      <c r="U50" s="122">
        <f t="shared" si="9"/>
        <v>7873.8641829298404</v>
      </c>
      <c r="V50" s="122">
        <f t="shared" si="9"/>
        <v>8183.1071749784078</v>
      </c>
      <c r="W50" s="122">
        <f t="shared" si="9"/>
        <v>8450.4698438111191</v>
      </c>
      <c r="X50" s="122">
        <f t="shared" si="9"/>
        <v>11076.657872120764</v>
      </c>
      <c r="Y50" s="122">
        <f t="shared" si="9"/>
        <v>11188.777653814974</v>
      </c>
    </row>
    <row r="51" spans="1:26">
      <c r="A51" s="17" t="s">
        <v>119</v>
      </c>
      <c r="D51" s="122">
        <v>0</v>
      </c>
      <c r="E51" s="122">
        <v>0</v>
      </c>
      <c r="F51" s="122">
        <v>0</v>
      </c>
      <c r="G51" s="122">
        <v>0</v>
      </c>
      <c r="H51" s="122">
        <v>0</v>
      </c>
      <c r="I51" s="122">
        <v>0</v>
      </c>
      <c r="J51" s="122">
        <v>0</v>
      </c>
      <c r="K51" s="122">
        <v>0</v>
      </c>
      <c r="L51" s="122">
        <v>0</v>
      </c>
      <c r="M51" s="122">
        <v>0</v>
      </c>
      <c r="N51" s="122">
        <v>0</v>
      </c>
      <c r="O51" s="122">
        <v>0</v>
      </c>
      <c r="P51" s="122">
        <v>0</v>
      </c>
      <c r="Q51" s="122">
        <v>0</v>
      </c>
      <c r="R51" s="122">
        <v>0</v>
      </c>
      <c r="S51" s="122">
        <v>0</v>
      </c>
      <c r="T51" s="122">
        <v>0</v>
      </c>
      <c r="U51" s="122">
        <v>0</v>
      </c>
      <c r="V51" s="122">
        <v>0</v>
      </c>
      <c r="W51" s="122">
        <v>0</v>
      </c>
      <c r="X51" s="122">
        <v>0</v>
      </c>
      <c r="Y51" s="104">
        <f>5*Y12</f>
        <v>183122.3838594922</v>
      </c>
    </row>
    <row r="52" spans="1:26">
      <c r="A52" s="17" t="s">
        <v>120</v>
      </c>
      <c r="D52" s="122">
        <f t="shared" ref="D52:Y52" si="10">D50+D51</f>
        <v>-15274.884431994671</v>
      </c>
      <c r="E52" s="122">
        <f t="shared" si="10"/>
        <v>1997.292555188568</v>
      </c>
      <c r="F52" s="122">
        <f t="shared" si="10"/>
        <v>1946.2354581887778</v>
      </c>
      <c r="G52" s="122">
        <f t="shared" si="10"/>
        <v>1918.6231233968247</v>
      </c>
      <c r="H52" s="122">
        <f t="shared" si="10"/>
        <v>3542.4731403704282</v>
      </c>
      <c r="I52" s="122">
        <f t="shared" si="10"/>
        <v>5307.7411492125757</v>
      </c>
      <c r="J52" s="122">
        <f t="shared" si="10"/>
        <v>5526.7910799963884</v>
      </c>
      <c r="K52" s="122">
        <f t="shared" si="10"/>
        <v>5826.7061787273551</v>
      </c>
      <c r="L52" s="122">
        <f t="shared" si="10"/>
        <v>6309.7483972900027</v>
      </c>
      <c r="M52" s="122">
        <f t="shared" si="10"/>
        <v>6610.1291646485388</v>
      </c>
      <c r="N52" s="122">
        <f t="shared" si="10"/>
        <v>7106.5494090699103</v>
      </c>
      <c r="O52" s="122">
        <f t="shared" si="10"/>
        <v>7168.5799350893485</v>
      </c>
      <c r="P52" s="122">
        <f t="shared" si="10"/>
        <v>7695.286165723347</v>
      </c>
      <c r="Q52" s="122">
        <f t="shared" si="10"/>
        <v>8020.2572871334551</v>
      </c>
      <c r="R52" s="122">
        <f t="shared" si="10"/>
        <v>8336.5480404085411</v>
      </c>
      <c r="S52" s="122">
        <f t="shared" si="10"/>
        <v>7944.0093429891667</v>
      </c>
      <c r="T52" s="122">
        <f t="shared" si="10"/>
        <v>7556.2504365527893</v>
      </c>
      <c r="U52" s="122">
        <f t="shared" si="10"/>
        <v>7873.8641829298404</v>
      </c>
      <c r="V52" s="122">
        <f t="shared" si="10"/>
        <v>8183.1071749784078</v>
      </c>
      <c r="W52" s="122">
        <f t="shared" si="10"/>
        <v>8450.4698438111191</v>
      </c>
      <c r="X52" s="122">
        <f t="shared" si="10"/>
        <v>11076.657872120764</v>
      </c>
      <c r="Y52" s="122">
        <f t="shared" si="10"/>
        <v>194311.16151330716</v>
      </c>
    </row>
    <row r="53" spans="1:26">
      <c r="A53" s="58" t="s">
        <v>121</v>
      </c>
      <c r="D53" s="494">
        <f>[1]!_xludf.xirr(D52:Y52,D33:Y33)</f>
        <v>0.26851438879966738</v>
      </c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</row>
    <row r="54" spans="1:26">
      <c r="A54" s="58"/>
      <c r="C54" s="149"/>
    </row>
    <row r="55" spans="1:26">
      <c r="A55" s="72" t="s">
        <v>122</v>
      </c>
    </row>
    <row r="56" spans="1:26">
      <c r="A56" s="17" t="s">
        <v>118</v>
      </c>
      <c r="D56" s="122">
        <f>D46</f>
        <v>-15274.884431994671</v>
      </c>
      <c r="E56" s="122">
        <f t="shared" ref="E56:Y56" si="11">E46</f>
        <v>1997.292555188568</v>
      </c>
      <c r="F56" s="122">
        <f t="shared" si="11"/>
        <v>1946.2354581887778</v>
      </c>
      <c r="G56" s="122">
        <f t="shared" si="11"/>
        <v>1918.6231233968247</v>
      </c>
      <c r="H56" s="122">
        <f t="shared" si="11"/>
        <v>3542.4731403704282</v>
      </c>
      <c r="I56" s="122">
        <f t="shared" si="11"/>
        <v>5307.7411492125757</v>
      </c>
      <c r="J56" s="122">
        <f t="shared" si="11"/>
        <v>5526.7910799963884</v>
      </c>
      <c r="K56" s="122">
        <f t="shared" si="11"/>
        <v>5826.7061787273551</v>
      </c>
      <c r="L56" s="122">
        <f t="shared" si="11"/>
        <v>6309.7483972900027</v>
      </c>
      <c r="M56" s="122">
        <f t="shared" si="11"/>
        <v>6610.1291646485388</v>
      </c>
      <c r="N56" s="122">
        <f t="shared" si="11"/>
        <v>7106.5494090699103</v>
      </c>
      <c r="O56" s="122">
        <f t="shared" si="11"/>
        <v>7168.5799350893485</v>
      </c>
      <c r="P56" s="122">
        <f t="shared" si="11"/>
        <v>7695.286165723347</v>
      </c>
      <c r="Q56" s="122">
        <f t="shared" si="11"/>
        <v>8020.2572871334551</v>
      </c>
      <c r="R56" s="122">
        <f t="shared" si="11"/>
        <v>8336.5480404085411</v>
      </c>
      <c r="S56" s="122">
        <f t="shared" si="11"/>
        <v>7944.0093429891667</v>
      </c>
      <c r="T56" s="122">
        <f t="shared" si="11"/>
        <v>7556.2504365527893</v>
      </c>
      <c r="U56" s="122">
        <f t="shared" si="11"/>
        <v>7873.8641829298404</v>
      </c>
      <c r="V56" s="122">
        <f t="shared" si="11"/>
        <v>8183.1071749784078</v>
      </c>
      <c r="W56" s="122">
        <f t="shared" si="11"/>
        <v>8450.4698438111191</v>
      </c>
      <c r="X56" s="122">
        <f t="shared" si="11"/>
        <v>11076.657872120764</v>
      </c>
      <c r="Y56" s="122">
        <f t="shared" si="11"/>
        <v>11188.777653814974</v>
      </c>
    </row>
    <row r="57" spans="1:26">
      <c r="A57" s="17" t="s">
        <v>123</v>
      </c>
      <c r="D57" s="122">
        <v>0</v>
      </c>
      <c r="E57" s="122">
        <v>0</v>
      </c>
      <c r="F57" s="122">
        <v>0</v>
      </c>
      <c r="G57" s="122">
        <v>0</v>
      </c>
      <c r="H57" s="122">
        <v>0</v>
      </c>
      <c r="I57" s="122">
        <v>0</v>
      </c>
      <c r="J57" s="122">
        <v>0</v>
      </c>
      <c r="K57" s="122">
        <v>0</v>
      </c>
      <c r="L57" s="122">
        <v>0</v>
      </c>
      <c r="M57" s="122">
        <v>0</v>
      </c>
      <c r="N57" s="122">
        <v>0</v>
      </c>
      <c r="O57" s="122">
        <v>0</v>
      </c>
      <c r="P57" s="122">
        <v>0</v>
      </c>
      <c r="Q57" s="122">
        <v>0</v>
      </c>
      <c r="R57" s="122">
        <v>0</v>
      </c>
      <c r="S57" s="122">
        <v>0</v>
      </c>
      <c r="T57" s="122">
        <v>0</v>
      </c>
      <c r="U57" s="122">
        <v>0</v>
      </c>
      <c r="V57" s="122">
        <v>0</v>
      </c>
      <c r="W57" s="122">
        <v>0</v>
      </c>
      <c r="X57" s="122">
        <v>0</v>
      </c>
      <c r="Y57" s="104">
        <f>0.5*Assumptions!$E$14</f>
        <v>63967</v>
      </c>
    </row>
    <row r="58" spans="1:26">
      <c r="A58" s="17" t="s">
        <v>120</v>
      </c>
      <c r="B58" s="13"/>
      <c r="D58" s="122">
        <f t="shared" ref="D58:X58" si="12">D56+D57</f>
        <v>-15274.884431994671</v>
      </c>
      <c r="E58" s="122">
        <f t="shared" si="12"/>
        <v>1997.292555188568</v>
      </c>
      <c r="F58" s="122">
        <f t="shared" si="12"/>
        <v>1946.2354581887778</v>
      </c>
      <c r="G58" s="122">
        <f t="shared" si="12"/>
        <v>1918.6231233968247</v>
      </c>
      <c r="H58" s="122">
        <f t="shared" si="12"/>
        <v>3542.4731403704282</v>
      </c>
      <c r="I58" s="122">
        <f t="shared" si="12"/>
        <v>5307.7411492125757</v>
      </c>
      <c r="J58" s="122">
        <f t="shared" si="12"/>
        <v>5526.7910799963884</v>
      </c>
      <c r="K58" s="122">
        <f t="shared" si="12"/>
        <v>5826.7061787273551</v>
      </c>
      <c r="L58" s="122">
        <f t="shared" si="12"/>
        <v>6309.7483972900027</v>
      </c>
      <c r="M58" s="122">
        <f t="shared" si="12"/>
        <v>6610.1291646485388</v>
      </c>
      <c r="N58" s="122">
        <f t="shared" si="12"/>
        <v>7106.5494090699103</v>
      </c>
      <c r="O58" s="122">
        <f t="shared" si="12"/>
        <v>7168.5799350893485</v>
      </c>
      <c r="P58" s="122">
        <f t="shared" si="12"/>
        <v>7695.286165723347</v>
      </c>
      <c r="Q58" s="122">
        <f t="shared" si="12"/>
        <v>8020.2572871334551</v>
      </c>
      <c r="R58" s="122">
        <f t="shared" si="12"/>
        <v>8336.5480404085411</v>
      </c>
      <c r="S58" s="122">
        <f t="shared" si="12"/>
        <v>7944.0093429891667</v>
      </c>
      <c r="T58" s="122">
        <f t="shared" si="12"/>
        <v>7556.2504365527893</v>
      </c>
      <c r="U58" s="122">
        <f t="shared" si="12"/>
        <v>7873.8641829298404</v>
      </c>
      <c r="V58" s="122">
        <f t="shared" si="12"/>
        <v>8183.1071749784078</v>
      </c>
      <c r="W58" s="122">
        <f t="shared" si="12"/>
        <v>8450.4698438111191</v>
      </c>
      <c r="X58" s="122">
        <f t="shared" si="12"/>
        <v>11076.657872120764</v>
      </c>
      <c r="Y58" s="122">
        <f>Y56+Y57</f>
        <v>75155.777653814977</v>
      </c>
      <c r="Z58" s="120"/>
    </row>
    <row r="59" spans="1:26">
      <c r="A59" s="58" t="s">
        <v>124</v>
      </c>
      <c r="D59" s="494">
        <f>[1]!_xludf.xirr(D58:Y58,D33:Y33)</f>
        <v>0.25893039107322702</v>
      </c>
    </row>
    <row r="80" spans="1:87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</row>
    <row r="81" spans="1:87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</row>
    <row r="82" spans="1:87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</row>
    <row r="83" spans="1:87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</row>
    <row r="84" spans="1:87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</row>
    <row r="85" spans="1:87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</row>
    <row r="86" spans="1:87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</row>
    <row r="87" spans="1:87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</row>
    <row r="88" spans="1:87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</row>
    <row r="89" spans="1:87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</row>
    <row r="90" spans="1:87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</row>
    <row r="91" spans="1:87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</row>
    <row r="92" spans="1:87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</row>
    <row r="93" spans="1:87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</row>
    <row r="94" spans="1:87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</row>
  </sheetData>
  <pageMargins left="0.18" right="0.17" top="0.37" bottom="0.4" header="0.17" footer="0.21"/>
  <pageSetup scale="32" orientation="landscape" r:id="rId1"/>
  <headerFooter alignWithMargins="0">
    <oddFooter>&amp;L&amp;T, &amp;D&amp;C&amp;F&amp;RPage &amp;P</oddFooter>
  </headerFooter>
  <colBreaks count="1" manualBreakCount="1">
    <brk id="14" min="1" max="5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39"/>
  <sheetViews>
    <sheetView topLeftCell="A47" zoomScale="75" zoomScaleNormal="75" workbookViewId="0">
      <selection activeCell="A47" sqref="A47"/>
    </sheetView>
  </sheetViews>
  <sheetFormatPr defaultRowHeight="12.75"/>
  <cols>
    <col min="1" max="1" width="36" style="17" customWidth="1"/>
    <col min="2" max="2" width="18.42578125" style="17" customWidth="1"/>
    <col min="3" max="6" width="14.5703125" style="17" customWidth="1"/>
    <col min="7" max="7" width="17.5703125" style="17" customWidth="1"/>
    <col min="8" max="8" width="16.140625" style="17" customWidth="1"/>
    <col min="9" max="9" width="16.28515625" style="17" customWidth="1"/>
    <col min="10" max="22" width="14.5703125" style="17" customWidth="1"/>
    <col min="23" max="26" width="14.42578125" style="17" customWidth="1"/>
    <col min="27" max="28" width="14.42578125" style="7" customWidth="1"/>
    <col min="29" max="42" width="14.42578125" style="17" customWidth="1"/>
    <col min="43" max="16384" width="9.140625" style="17"/>
  </cols>
  <sheetData>
    <row r="1" spans="1:24" ht="18.75">
      <c r="A1" s="111"/>
    </row>
    <row r="2" spans="1:24" ht="18.75">
      <c r="A2" s="111"/>
    </row>
    <row r="4" spans="1:24" ht="15.75">
      <c r="A4" s="64"/>
      <c r="C4" s="92" t="s">
        <v>37</v>
      </c>
      <c r="D4" s="93"/>
      <c r="E4" s="93"/>
      <c r="F4" s="94"/>
      <c r="I4" s="92" t="s">
        <v>38</v>
      </c>
      <c r="J4" s="93"/>
      <c r="K4" s="93"/>
      <c r="L4" s="94"/>
      <c r="O4" s="92" t="s">
        <v>39</v>
      </c>
      <c r="P4" s="93"/>
      <c r="Q4" s="93"/>
      <c r="R4" s="94"/>
    </row>
    <row r="5" spans="1:24">
      <c r="A5" s="64"/>
      <c r="C5" s="95" t="s">
        <v>207</v>
      </c>
      <c r="D5" s="96"/>
      <c r="E5" s="96"/>
      <c r="F5" s="447">
        <f>Assumptions!B57</f>
        <v>4.48E-2</v>
      </c>
      <c r="G5" s="448"/>
      <c r="H5" s="6"/>
      <c r="I5" s="449" t="s">
        <v>208</v>
      </c>
      <c r="J5" s="450"/>
      <c r="K5" s="450"/>
      <c r="L5" s="447">
        <f>Assumptions!C57</f>
        <v>4.07E-2</v>
      </c>
      <c r="M5" s="6"/>
      <c r="N5" s="6"/>
      <c r="O5" s="449" t="s">
        <v>209</v>
      </c>
      <c r="P5" s="450"/>
      <c r="Q5" s="450"/>
      <c r="R5" s="447">
        <f>Assumptions!D57</f>
        <v>4.0549999999999996E-2</v>
      </c>
      <c r="S5" s="6"/>
      <c r="T5" s="6"/>
      <c r="U5" s="6"/>
      <c r="V5" s="6"/>
      <c r="W5" s="6"/>
    </row>
    <row r="6" spans="1:24">
      <c r="A6" s="64"/>
      <c r="C6" s="95" t="s">
        <v>125</v>
      </c>
      <c r="D6" s="96"/>
      <c r="E6" s="96"/>
      <c r="F6" s="447">
        <f>Assumptions!B58</f>
        <v>2.2499999999999999E-2</v>
      </c>
      <c r="G6" s="6"/>
      <c r="H6" s="6"/>
      <c r="I6" s="449" t="s">
        <v>126</v>
      </c>
      <c r="J6" s="450"/>
      <c r="K6" s="450"/>
      <c r="L6" s="447">
        <f>Assumptions!C58</f>
        <v>3.5000000000000003E-2</v>
      </c>
      <c r="M6" s="6"/>
      <c r="N6" s="6"/>
      <c r="O6" s="449" t="s">
        <v>126</v>
      </c>
      <c r="P6" s="450"/>
      <c r="Q6" s="450"/>
      <c r="R6" s="447">
        <f>Assumptions!D58</f>
        <v>4.1250000000000002E-2</v>
      </c>
      <c r="S6" s="6"/>
      <c r="T6" s="6"/>
      <c r="U6" s="6"/>
      <c r="V6" s="6"/>
      <c r="W6" s="6"/>
    </row>
    <row r="7" spans="1:24">
      <c r="A7" s="64"/>
      <c r="C7" s="97" t="s">
        <v>127</v>
      </c>
      <c r="D7" s="98"/>
      <c r="E7" s="98"/>
      <c r="F7" s="99">
        <f>F6+F5</f>
        <v>6.7299999999999999E-2</v>
      </c>
      <c r="I7" s="97" t="s">
        <v>127</v>
      </c>
      <c r="J7" s="98"/>
      <c r="K7" s="98"/>
      <c r="L7" s="99">
        <f>L5+L6</f>
        <v>7.5700000000000003E-2</v>
      </c>
      <c r="O7" s="97" t="s">
        <v>127</v>
      </c>
      <c r="P7" s="98"/>
      <c r="Q7" s="98"/>
      <c r="R7" s="99">
        <f>R5+R6</f>
        <v>8.1799999999999998E-2</v>
      </c>
    </row>
    <row r="8" spans="1:24" ht="15.75">
      <c r="A8" s="64"/>
      <c r="C8" s="79" t="s">
        <v>128</v>
      </c>
      <c r="D8" s="100"/>
      <c r="E8" s="101"/>
      <c r="F8" s="83">
        <f>(Assumptions!B53-Assumptions!B47)/365.25</f>
        <v>2.9952087611225187</v>
      </c>
      <c r="I8" s="79" t="s">
        <v>129</v>
      </c>
      <c r="J8" s="84"/>
      <c r="K8" s="84"/>
      <c r="L8" s="83">
        <f>(Assumptions!C53-Assumptions!B47)/365.25</f>
        <v>9.9958932238193015</v>
      </c>
      <c r="O8" s="79" t="s">
        <v>129</v>
      </c>
      <c r="P8" s="84"/>
      <c r="Q8" s="84"/>
      <c r="R8" s="83">
        <f>(Assumptions!D53-Assumptions!B47)/365.25</f>
        <v>19.997262149212869</v>
      </c>
    </row>
    <row r="9" spans="1:24" ht="15.75">
      <c r="A9" s="64"/>
      <c r="C9" s="85" t="s">
        <v>130</v>
      </c>
      <c r="D9" s="102"/>
      <c r="E9" s="102"/>
      <c r="F9" s="86">
        <f>B123</f>
        <v>9.7625000000000011</v>
      </c>
      <c r="I9" s="85" t="s">
        <v>131</v>
      </c>
      <c r="J9" s="87"/>
      <c r="K9" s="87"/>
      <c r="L9" s="86">
        <f>B124</f>
        <v>9.7625000000000011</v>
      </c>
      <c r="O9" s="85" t="s">
        <v>212</v>
      </c>
      <c r="P9" s="87"/>
      <c r="Q9" s="87"/>
      <c r="R9" s="86">
        <f>B125</f>
        <v>9.7625000000000011</v>
      </c>
    </row>
    <row r="10" spans="1:24">
      <c r="A10" s="64"/>
      <c r="C10" s="108" t="s">
        <v>132</v>
      </c>
      <c r="D10" s="109"/>
      <c r="E10" s="109"/>
      <c r="F10" s="442">
        <f>Assumptions!B51</f>
        <v>15926</v>
      </c>
      <c r="G10" s="6"/>
      <c r="H10" s="6"/>
      <c r="I10" s="443" t="s">
        <v>132</v>
      </c>
      <c r="J10" s="444"/>
      <c r="K10" s="444"/>
      <c r="L10" s="442">
        <f>Assumptions!C51</f>
        <v>29302</v>
      </c>
      <c r="M10" s="6"/>
      <c r="N10" s="6"/>
      <c r="O10" s="443" t="s">
        <v>132</v>
      </c>
      <c r="P10" s="444"/>
      <c r="Q10" s="444"/>
      <c r="R10" s="442">
        <f>Assumptions!D51</f>
        <v>52547</v>
      </c>
      <c r="S10" s="6"/>
      <c r="T10" s="6"/>
    </row>
    <row r="11" spans="1:24">
      <c r="A11" s="64"/>
      <c r="C11" s="110"/>
      <c r="D11" s="96"/>
      <c r="E11" s="96"/>
      <c r="F11" s="191"/>
      <c r="I11" s="110"/>
      <c r="J11" s="110"/>
      <c r="K11" s="110"/>
      <c r="L11" s="191"/>
      <c r="O11" s="110"/>
      <c r="P11" s="110"/>
      <c r="Q11" s="110"/>
      <c r="R11"/>
    </row>
    <row r="12" spans="1:24">
      <c r="A12" s="64"/>
      <c r="C12" s="110"/>
      <c r="D12" s="96"/>
      <c r="E12" s="96"/>
      <c r="F12" s="191"/>
      <c r="I12" s="110"/>
      <c r="J12" s="110"/>
      <c r="K12" s="110"/>
      <c r="L12" s="191"/>
      <c r="O12" s="110"/>
      <c r="P12" s="110"/>
      <c r="Q12" s="110"/>
      <c r="R12" s="191"/>
    </row>
    <row r="13" spans="1:24">
      <c r="A13" s="64"/>
      <c r="C13" s="110"/>
      <c r="D13" s="96"/>
      <c r="E13" s="96"/>
      <c r="F13"/>
      <c r="I13" s="110"/>
      <c r="J13" s="110"/>
      <c r="K13" s="110"/>
      <c r="L13" s="191"/>
      <c r="O13" s="110"/>
      <c r="P13" s="110"/>
      <c r="Q13" s="110"/>
      <c r="R13"/>
    </row>
    <row r="14" spans="1:24" ht="18.75">
      <c r="A14" s="471" t="str">
        <f>Assumptions!A3</f>
        <v>PROJECT NAME:</v>
      </c>
      <c r="C14" s="110"/>
      <c r="D14" s="96"/>
      <c r="E14" s="96"/>
      <c r="F14" s="191"/>
      <c r="G14" s="6"/>
      <c r="H14" s="6"/>
      <c r="I14" s="3"/>
      <c r="J14" s="3"/>
      <c r="K14" s="3"/>
      <c r="L14" s="191"/>
      <c r="M14" s="6"/>
      <c r="N14" s="6"/>
      <c r="O14" s="3"/>
      <c r="P14" s="3"/>
      <c r="Q14" s="3"/>
      <c r="R14" s="191"/>
      <c r="S14" s="6"/>
      <c r="T14" s="6"/>
      <c r="U14" s="6"/>
      <c r="V14" s="6"/>
      <c r="W14" s="6"/>
      <c r="X14" s="6"/>
    </row>
    <row r="15" spans="1:24">
      <c r="A15" s="64"/>
      <c r="C15" s="110"/>
      <c r="D15" s="96"/>
      <c r="E15" s="96"/>
      <c r="F15" s="191"/>
      <c r="G15" s="6"/>
      <c r="H15" s="6"/>
      <c r="I15" s="3"/>
      <c r="J15" s="3"/>
      <c r="K15" s="3"/>
      <c r="L15" s="191"/>
      <c r="M15" s="6"/>
      <c r="N15" s="6"/>
      <c r="O15" s="3"/>
      <c r="P15" s="3"/>
      <c r="Q15" s="3"/>
      <c r="R15" s="191"/>
      <c r="S15" s="6"/>
      <c r="T15" s="6"/>
      <c r="U15" s="6"/>
      <c r="V15" s="6"/>
      <c r="W15" s="6"/>
      <c r="X15" s="6"/>
    </row>
    <row r="16" spans="1:24" ht="18.75">
      <c r="A16" s="106" t="s">
        <v>264</v>
      </c>
      <c r="C16" s="110"/>
      <c r="D16" s="96"/>
      <c r="E16" s="96"/>
      <c r="F16" s="191"/>
      <c r="I16" s="110"/>
      <c r="J16" s="110"/>
      <c r="K16" s="110"/>
      <c r="L16" s="191"/>
      <c r="O16" s="110"/>
      <c r="P16" s="110"/>
      <c r="Q16" s="110"/>
      <c r="R16" s="191"/>
    </row>
    <row r="17" spans="1:34" s="18" customFormat="1">
      <c r="A17" s="3"/>
      <c r="P17" s="337"/>
      <c r="Q17" s="337"/>
      <c r="R17" s="337"/>
      <c r="S17" s="337"/>
      <c r="T17" s="337"/>
      <c r="U17" s="337"/>
      <c r="V17" s="337"/>
      <c r="W17" s="337"/>
      <c r="X17" s="337"/>
      <c r="Y17" s="337"/>
      <c r="Z17" s="337"/>
      <c r="AA17" s="7"/>
      <c r="AB17" s="7"/>
    </row>
    <row r="18" spans="1:34" s="338" customFormat="1" ht="13.5">
      <c r="A18" s="66"/>
      <c r="B18" s="538">
        <f>'Power Price Assumption'!F9</f>
        <v>0.5</v>
      </c>
      <c r="C18" s="538">
        <f>'Power Price Assumption'!G9</f>
        <v>1.5</v>
      </c>
      <c r="D18" s="538">
        <f>'Power Price Assumption'!H9</f>
        <v>2.5</v>
      </c>
      <c r="E18" s="538">
        <f>'Power Price Assumption'!I9</f>
        <v>3.5</v>
      </c>
      <c r="F18" s="538">
        <f>'Power Price Assumption'!J9</f>
        <v>4.5</v>
      </c>
      <c r="G18" s="538">
        <f>'Power Price Assumption'!K9</f>
        <v>5.5</v>
      </c>
      <c r="H18" s="538">
        <f>'Power Price Assumption'!L9</f>
        <v>6.5</v>
      </c>
      <c r="I18" s="538">
        <f>'Power Price Assumption'!M9</f>
        <v>7.5</v>
      </c>
      <c r="J18" s="538">
        <f>'Power Price Assumption'!N9</f>
        <v>8.5</v>
      </c>
      <c r="K18" s="538">
        <f>'Power Price Assumption'!O9</f>
        <v>9.5</v>
      </c>
      <c r="L18" s="538">
        <f>'Power Price Assumption'!P9</f>
        <v>10.5</v>
      </c>
      <c r="M18" s="538">
        <f>'Power Price Assumption'!Q9</f>
        <v>11.5</v>
      </c>
      <c r="N18" s="538">
        <f>'Power Price Assumption'!R9</f>
        <v>12.5</v>
      </c>
      <c r="O18" s="538">
        <f>'Power Price Assumption'!S9</f>
        <v>13.5</v>
      </c>
      <c r="P18" s="538">
        <f>'Power Price Assumption'!T9</f>
        <v>14.5</v>
      </c>
      <c r="Q18" s="538">
        <f>'Power Price Assumption'!U9</f>
        <v>15.5</v>
      </c>
      <c r="R18" s="538">
        <f>'Power Price Assumption'!V9</f>
        <v>16.5</v>
      </c>
      <c r="S18" s="538">
        <f>'Power Price Assumption'!W9</f>
        <v>17.5</v>
      </c>
      <c r="T18" s="538">
        <f>'Power Price Assumption'!X9</f>
        <v>18.5</v>
      </c>
      <c r="U18" s="538">
        <f>'Power Price Assumption'!Y9</f>
        <v>19.5</v>
      </c>
      <c r="V18" s="538">
        <f>'Power Price Assumption'!Z9</f>
        <v>20.5</v>
      </c>
      <c r="W18" s="538">
        <f>'Power Price Assumption'!AA9</f>
        <v>21.5</v>
      </c>
      <c r="X18" s="534"/>
      <c r="Y18" s="534"/>
      <c r="Z18" s="534"/>
      <c r="AA18" s="118"/>
      <c r="AB18" s="151"/>
    </row>
    <row r="19" spans="1:34" ht="13.5" thickBot="1">
      <c r="A19" s="256" t="s">
        <v>87</v>
      </c>
      <c r="B19" s="457">
        <f>'Power Price Assumption'!F10</f>
        <v>1999</v>
      </c>
      <c r="C19" s="457">
        <f>'Power Price Assumption'!G10</f>
        <v>2000</v>
      </c>
      <c r="D19" s="457">
        <f>'Power Price Assumption'!H10</f>
        <v>2001</v>
      </c>
      <c r="E19" s="457">
        <f>'Power Price Assumption'!I10</f>
        <v>2002</v>
      </c>
      <c r="F19" s="457">
        <f>'Power Price Assumption'!J10</f>
        <v>2003</v>
      </c>
      <c r="G19" s="457">
        <f>'Power Price Assumption'!K10</f>
        <v>2004</v>
      </c>
      <c r="H19" s="457">
        <f>'Power Price Assumption'!L10</f>
        <v>2005</v>
      </c>
      <c r="I19" s="457">
        <f>'Power Price Assumption'!M10</f>
        <v>2006</v>
      </c>
      <c r="J19" s="457">
        <f>'Power Price Assumption'!N10</f>
        <v>2007</v>
      </c>
      <c r="K19" s="457">
        <f>'Power Price Assumption'!O10</f>
        <v>2008</v>
      </c>
      <c r="L19" s="457">
        <f>'Power Price Assumption'!P10</f>
        <v>2009</v>
      </c>
      <c r="M19" s="457">
        <f>'Power Price Assumption'!Q10</f>
        <v>2010</v>
      </c>
      <c r="N19" s="457">
        <f>'Power Price Assumption'!R10</f>
        <v>2011</v>
      </c>
      <c r="O19" s="457">
        <f>'Power Price Assumption'!S10</f>
        <v>2012</v>
      </c>
      <c r="P19" s="457">
        <f>'Power Price Assumption'!T10</f>
        <v>2013</v>
      </c>
      <c r="Q19" s="457">
        <f>'Power Price Assumption'!U10</f>
        <v>2014</v>
      </c>
      <c r="R19" s="457">
        <f>'Power Price Assumption'!V10</f>
        <v>2015</v>
      </c>
      <c r="S19" s="457">
        <f>'Power Price Assumption'!W10</f>
        <v>2016</v>
      </c>
      <c r="T19" s="457">
        <f>'Power Price Assumption'!X10</f>
        <v>2017</v>
      </c>
      <c r="U19" s="457">
        <f>'Power Price Assumption'!Y10</f>
        <v>2018</v>
      </c>
      <c r="V19" s="457">
        <f>'Power Price Assumption'!Z10</f>
        <v>2019</v>
      </c>
      <c r="W19" s="457">
        <v>2021</v>
      </c>
      <c r="X19"/>
      <c r="Y19"/>
      <c r="Z19"/>
      <c r="AA19" s="16"/>
      <c r="AB19" s="113"/>
      <c r="AC19" s="16"/>
      <c r="AD19" s="16"/>
      <c r="AE19" s="16"/>
      <c r="AF19" s="16"/>
      <c r="AG19" s="16"/>
      <c r="AH19" s="16"/>
    </row>
    <row r="20" spans="1:34" s="76" customFormat="1">
      <c r="A20" s="339"/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/>
      <c r="Y20"/>
      <c r="Z20"/>
      <c r="AA20" s="10"/>
      <c r="AB20" s="113"/>
      <c r="AC20" s="16"/>
      <c r="AD20" s="16"/>
      <c r="AE20" s="16"/>
      <c r="AF20" s="16"/>
      <c r="AG20" s="16"/>
      <c r="AH20" s="16"/>
    </row>
    <row r="21" spans="1:34">
      <c r="R21" s="18"/>
      <c r="S21" s="18"/>
      <c r="T21" s="18"/>
      <c r="U21" s="18"/>
      <c r="V21" s="18"/>
      <c r="W21" s="18"/>
      <c r="X21"/>
      <c r="Y21"/>
      <c r="Z21"/>
    </row>
    <row r="22" spans="1:34">
      <c r="A22" s="64" t="s">
        <v>133</v>
      </c>
      <c r="B22" s="477">
        <f>B106</f>
        <v>0.05</v>
      </c>
      <c r="C22" s="477">
        <f t="shared" ref="C22:W22" si="0">C106</f>
        <v>0.05</v>
      </c>
      <c r="D22" s="477">
        <f t="shared" si="0"/>
        <v>0.05</v>
      </c>
      <c r="E22" s="477">
        <f t="shared" si="0"/>
        <v>0.05</v>
      </c>
      <c r="F22" s="477">
        <f t="shared" si="0"/>
        <v>0.05</v>
      </c>
      <c r="G22" s="477">
        <f t="shared" si="0"/>
        <v>0.05</v>
      </c>
      <c r="H22" s="477">
        <f t="shared" si="0"/>
        <v>0.05</v>
      </c>
      <c r="I22" s="477">
        <f t="shared" si="0"/>
        <v>0.05</v>
      </c>
      <c r="J22" s="477">
        <f t="shared" si="0"/>
        <v>0.05</v>
      </c>
      <c r="K22" s="477">
        <f t="shared" si="0"/>
        <v>0.05</v>
      </c>
      <c r="L22" s="477">
        <f t="shared" si="0"/>
        <v>0.05</v>
      </c>
      <c r="M22" s="477">
        <f t="shared" si="0"/>
        <v>0.05</v>
      </c>
      <c r="N22" s="477">
        <f t="shared" si="0"/>
        <v>0.05</v>
      </c>
      <c r="O22" s="477">
        <f t="shared" si="0"/>
        <v>0.05</v>
      </c>
      <c r="P22" s="477">
        <f t="shared" si="0"/>
        <v>0.05</v>
      </c>
      <c r="Q22" s="477">
        <f t="shared" si="0"/>
        <v>0.05</v>
      </c>
      <c r="R22" s="477">
        <f t="shared" si="0"/>
        <v>0.05</v>
      </c>
      <c r="S22" s="477">
        <f t="shared" si="0"/>
        <v>0.05</v>
      </c>
      <c r="T22" s="477">
        <f t="shared" si="0"/>
        <v>0.05</v>
      </c>
      <c r="U22" s="477">
        <f t="shared" si="0"/>
        <v>0.05</v>
      </c>
      <c r="V22" s="477">
        <f t="shared" si="0"/>
        <v>0</v>
      </c>
      <c r="W22" s="477">
        <f t="shared" si="0"/>
        <v>0</v>
      </c>
      <c r="X22"/>
      <c r="Y22"/>
      <c r="Z22"/>
      <c r="AA22" s="172"/>
      <c r="AB22" s="115"/>
      <c r="AC22" s="68"/>
      <c r="AD22" s="68"/>
      <c r="AE22" s="68"/>
      <c r="AF22" s="68"/>
      <c r="AG22" s="68"/>
      <c r="AH22" s="68"/>
    </row>
    <row r="23" spans="1:34">
      <c r="A23" s="69" t="str">
        <f>IF(SUM(B22:W22)&lt;&gt;1,"CHECK!","")</f>
        <v/>
      </c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1"/>
      <c r="W23" s="351"/>
      <c r="X23"/>
      <c r="Y23"/>
      <c r="Z23"/>
    </row>
    <row r="24" spans="1:34">
      <c r="A24" s="64" t="s">
        <v>134</v>
      </c>
      <c r="B24" s="478">
        <f>B111</f>
        <v>0.05</v>
      </c>
      <c r="C24" s="478">
        <f t="shared" ref="C24:W24" si="1">C111</f>
        <v>0.05</v>
      </c>
      <c r="D24" s="478">
        <f t="shared" si="1"/>
        <v>0.05</v>
      </c>
      <c r="E24" s="478">
        <f t="shared" si="1"/>
        <v>0.05</v>
      </c>
      <c r="F24" s="478">
        <f t="shared" si="1"/>
        <v>0.05</v>
      </c>
      <c r="G24" s="478">
        <f t="shared" si="1"/>
        <v>0.05</v>
      </c>
      <c r="H24" s="478">
        <f t="shared" si="1"/>
        <v>0.05</v>
      </c>
      <c r="I24" s="478">
        <f t="shared" si="1"/>
        <v>0.05</v>
      </c>
      <c r="J24" s="478">
        <f t="shared" si="1"/>
        <v>0.05</v>
      </c>
      <c r="K24" s="478">
        <f t="shared" si="1"/>
        <v>0.05</v>
      </c>
      <c r="L24" s="478">
        <f t="shared" si="1"/>
        <v>0.05</v>
      </c>
      <c r="M24" s="478">
        <f t="shared" si="1"/>
        <v>0.05</v>
      </c>
      <c r="N24" s="478">
        <f t="shared" si="1"/>
        <v>0.05</v>
      </c>
      <c r="O24" s="478">
        <f t="shared" si="1"/>
        <v>0.05</v>
      </c>
      <c r="P24" s="478">
        <f t="shared" si="1"/>
        <v>0.05</v>
      </c>
      <c r="Q24" s="478">
        <f t="shared" si="1"/>
        <v>0.05</v>
      </c>
      <c r="R24" s="478">
        <f t="shared" si="1"/>
        <v>0.05</v>
      </c>
      <c r="S24" s="478">
        <f t="shared" si="1"/>
        <v>0.05</v>
      </c>
      <c r="T24" s="478">
        <f t="shared" si="1"/>
        <v>0.05</v>
      </c>
      <c r="U24" s="478">
        <f t="shared" si="1"/>
        <v>0.05</v>
      </c>
      <c r="V24" s="478">
        <f t="shared" si="1"/>
        <v>0</v>
      </c>
      <c r="W24" s="478">
        <f t="shared" si="1"/>
        <v>0</v>
      </c>
      <c r="X24"/>
      <c r="Y24"/>
      <c r="Z24"/>
      <c r="AA24" s="173"/>
    </row>
    <row r="25" spans="1:34">
      <c r="A25" s="69" t="str">
        <f>IF(SUM(B24:W24)&lt;&gt;1,"CHECK!","")</f>
        <v/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/>
      <c r="Y25"/>
      <c r="Z25"/>
    </row>
    <row r="26" spans="1:34">
      <c r="A26" s="64" t="s">
        <v>135</v>
      </c>
      <c r="B26" s="478">
        <f>B116</f>
        <v>0.05</v>
      </c>
      <c r="C26" s="478">
        <f t="shared" ref="C26:W26" si="2">C116</f>
        <v>0.05</v>
      </c>
      <c r="D26" s="478">
        <f t="shared" si="2"/>
        <v>0.05</v>
      </c>
      <c r="E26" s="478">
        <f t="shared" si="2"/>
        <v>0.05</v>
      </c>
      <c r="F26" s="478">
        <f t="shared" si="2"/>
        <v>0.05</v>
      </c>
      <c r="G26" s="478">
        <f t="shared" si="2"/>
        <v>0.05</v>
      </c>
      <c r="H26" s="478">
        <f t="shared" si="2"/>
        <v>0.05</v>
      </c>
      <c r="I26" s="478">
        <f t="shared" si="2"/>
        <v>0.05</v>
      </c>
      <c r="J26" s="478">
        <f t="shared" si="2"/>
        <v>0.05</v>
      </c>
      <c r="K26" s="478">
        <f t="shared" si="2"/>
        <v>0.05</v>
      </c>
      <c r="L26" s="478">
        <f t="shared" si="2"/>
        <v>0.05</v>
      </c>
      <c r="M26" s="478">
        <f t="shared" si="2"/>
        <v>0.05</v>
      </c>
      <c r="N26" s="478">
        <f t="shared" si="2"/>
        <v>0.05</v>
      </c>
      <c r="O26" s="478">
        <f t="shared" si="2"/>
        <v>0.05</v>
      </c>
      <c r="P26" s="478">
        <f t="shared" si="2"/>
        <v>0.05</v>
      </c>
      <c r="Q26" s="478">
        <f t="shared" si="2"/>
        <v>0.05</v>
      </c>
      <c r="R26" s="478">
        <f t="shared" si="2"/>
        <v>0.05</v>
      </c>
      <c r="S26" s="478">
        <f t="shared" si="2"/>
        <v>0.05</v>
      </c>
      <c r="T26" s="478">
        <f t="shared" si="2"/>
        <v>0.05</v>
      </c>
      <c r="U26" s="478">
        <f t="shared" si="2"/>
        <v>0.05</v>
      </c>
      <c r="V26" s="478">
        <f t="shared" si="2"/>
        <v>0</v>
      </c>
      <c r="W26" s="478">
        <f t="shared" si="2"/>
        <v>0</v>
      </c>
      <c r="X26"/>
      <c r="Y26"/>
      <c r="Z26"/>
      <c r="AA26" s="173"/>
      <c r="AC26" s="6"/>
      <c r="AD26" s="6"/>
      <c r="AE26" s="6"/>
      <c r="AF26" s="6"/>
      <c r="AG26" s="6"/>
      <c r="AH26" s="6"/>
    </row>
    <row r="27" spans="1:34">
      <c r="A27" s="69" t="str">
        <f>IF(SUM(B26:W26)&lt;&gt;1,"CHECK!","")</f>
        <v/>
      </c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/>
      <c r="Y27"/>
      <c r="Z27"/>
    </row>
    <row r="28" spans="1:34">
      <c r="A28" s="6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/>
      <c r="Y28"/>
      <c r="Z28"/>
    </row>
    <row r="29" spans="1:34">
      <c r="A29" s="70" t="str">
        <f>CONCATENATE("Tranche 1 @ ",F7*100,"%")</f>
        <v>Tranche 1 @ 6.73%</v>
      </c>
      <c r="C29" s="71"/>
      <c r="X29"/>
      <c r="Y29"/>
      <c r="Z29"/>
    </row>
    <row r="30" spans="1:34">
      <c r="A30" s="476">
        <f>Assumptions!B47</f>
        <v>36739</v>
      </c>
      <c r="B30" s="73"/>
      <c r="X30"/>
      <c r="Y30"/>
      <c r="Z30"/>
    </row>
    <row r="31" spans="1:34">
      <c r="A31" s="73" t="s">
        <v>136</v>
      </c>
      <c r="B31" s="392">
        <f>F10</f>
        <v>15926</v>
      </c>
      <c r="C31" s="73">
        <f>B39</f>
        <v>15129.7</v>
      </c>
      <c r="D31" s="73">
        <f t="shared" ref="D31:W31" si="3">C39</f>
        <v>14333.400000000001</v>
      </c>
      <c r="E31" s="73">
        <f t="shared" si="3"/>
        <v>13537.100000000002</v>
      </c>
      <c r="F31" s="73">
        <f t="shared" si="3"/>
        <v>12740.800000000003</v>
      </c>
      <c r="G31" s="73">
        <f t="shared" si="3"/>
        <v>11944.500000000004</v>
      </c>
      <c r="H31" s="73">
        <f t="shared" si="3"/>
        <v>11148.200000000004</v>
      </c>
      <c r="I31" s="73">
        <f t="shared" si="3"/>
        <v>10351.900000000005</v>
      </c>
      <c r="J31" s="73">
        <f t="shared" si="3"/>
        <v>9555.6000000000058</v>
      </c>
      <c r="K31" s="73">
        <f t="shared" si="3"/>
        <v>8759.3000000000065</v>
      </c>
      <c r="L31" s="73">
        <f t="shared" si="3"/>
        <v>7963.0000000000073</v>
      </c>
      <c r="M31" s="73">
        <f t="shared" si="3"/>
        <v>7166.700000000008</v>
      </c>
      <c r="N31" s="73">
        <f t="shared" si="3"/>
        <v>6370.4000000000087</v>
      </c>
      <c r="O31" s="73">
        <f t="shared" si="3"/>
        <v>5574.1000000000095</v>
      </c>
      <c r="P31" s="73">
        <f t="shared" si="3"/>
        <v>4777.8000000000102</v>
      </c>
      <c r="Q31" s="73">
        <f t="shared" si="3"/>
        <v>3981.5000000000105</v>
      </c>
      <c r="R31" s="73">
        <f t="shared" si="3"/>
        <v>3185.2000000000103</v>
      </c>
      <c r="S31" s="73">
        <f t="shared" si="3"/>
        <v>2388.9000000000101</v>
      </c>
      <c r="T31" s="73">
        <f t="shared" si="3"/>
        <v>1592.6000000000099</v>
      </c>
      <c r="U31" s="73">
        <f t="shared" si="3"/>
        <v>796.30000000000973</v>
      </c>
      <c r="V31" s="73">
        <f t="shared" si="3"/>
        <v>9.6633812063373625E-12</v>
      </c>
      <c r="W31" s="73">
        <f t="shared" si="3"/>
        <v>9.6633812063373625E-12</v>
      </c>
      <c r="X31"/>
      <c r="Y31"/>
      <c r="Z31"/>
      <c r="AA31" s="174"/>
      <c r="AB31" s="174"/>
      <c r="AC31" s="73"/>
      <c r="AD31" s="73"/>
      <c r="AE31" s="73"/>
      <c r="AF31" s="73"/>
      <c r="AG31" s="73"/>
      <c r="AH31" s="73"/>
    </row>
    <row r="32" spans="1:34">
      <c r="A32" s="73" t="s">
        <v>137</v>
      </c>
      <c r="B32" s="73">
        <v>0</v>
      </c>
      <c r="C32" s="73">
        <f>$B$31*C22/2</f>
        <v>398.15000000000003</v>
      </c>
      <c r="D32" s="73">
        <f t="shared" ref="D32:W32" si="4">$B$31*D22/2</f>
        <v>398.15000000000003</v>
      </c>
      <c r="E32" s="73">
        <f t="shared" si="4"/>
        <v>398.15000000000003</v>
      </c>
      <c r="F32" s="73">
        <f t="shared" si="4"/>
        <v>398.15000000000003</v>
      </c>
      <c r="G32" s="73">
        <f t="shared" si="4"/>
        <v>398.15000000000003</v>
      </c>
      <c r="H32" s="73">
        <f t="shared" si="4"/>
        <v>398.15000000000003</v>
      </c>
      <c r="I32" s="73">
        <f t="shared" si="4"/>
        <v>398.15000000000003</v>
      </c>
      <c r="J32" s="73">
        <f t="shared" si="4"/>
        <v>398.15000000000003</v>
      </c>
      <c r="K32" s="73">
        <f t="shared" si="4"/>
        <v>398.15000000000003</v>
      </c>
      <c r="L32" s="73">
        <f t="shared" si="4"/>
        <v>398.15000000000003</v>
      </c>
      <c r="M32" s="73">
        <f t="shared" si="4"/>
        <v>398.15000000000003</v>
      </c>
      <c r="N32" s="73">
        <f t="shared" si="4"/>
        <v>398.15000000000003</v>
      </c>
      <c r="O32" s="73">
        <f t="shared" si="4"/>
        <v>398.15000000000003</v>
      </c>
      <c r="P32" s="73">
        <f t="shared" si="4"/>
        <v>398.15000000000003</v>
      </c>
      <c r="Q32" s="73">
        <f t="shared" si="4"/>
        <v>398.15000000000003</v>
      </c>
      <c r="R32" s="73">
        <f t="shared" si="4"/>
        <v>398.15000000000003</v>
      </c>
      <c r="S32" s="73">
        <f t="shared" si="4"/>
        <v>398.15000000000003</v>
      </c>
      <c r="T32" s="73">
        <f t="shared" si="4"/>
        <v>398.15000000000003</v>
      </c>
      <c r="U32" s="73">
        <f t="shared" si="4"/>
        <v>398.15000000000003</v>
      </c>
      <c r="V32" s="73">
        <f t="shared" si="4"/>
        <v>0</v>
      </c>
      <c r="W32" s="73">
        <f t="shared" si="4"/>
        <v>0</v>
      </c>
      <c r="X32"/>
      <c r="Y32"/>
      <c r="Z32"/>
      <c r="AA32" s="174"/>
      <c r="AB32" s="174"/>
      <c r="AC32" s="73"/>
      <c r="AD32" s="73"/>
      <c r="AE32" s="73"/>
      <c r="AF32" s="73"/>
      <c r="AG32" s="73"/>
      <c r="AH32" s="73"/>
    </row>
    <row r="33" spans="1:34">
      <c r="A33" s="73" t="s">
        <v>138</v>
      </c>
      <c r="B33" s="395">
        <v>0</v>
      </c>
      <c r="C33" s="73">
        <f>C31*$F$7/2</f>
        <v>509.11440500000003</v>
      </c>
      <c r="D33" s="73">
        <f t="shared" ref="D33:W33" si="5">D31*$F$7/2</f>
        <v>482.31891000000002</v>
      </c>
      <c r="E33" s="73">
        <f t="shared" si="5"/>
        <v>455.52341500000006</v>
      </c>
      <c r="F33" s="73">
        <f t="shared" si="5"/>
        <v>428.7279200000001</v>
      </c>
      <c r="G33" s="73">
        <f t="shared" si="5"/>
        <v>401.93242500000014</v>
      </c>
      <c r="H33" s="73">
        <f t="shared" si="5"/>
        <v>375.13693000000012</v>
      </c>
      <c r="I33" s="73">
        <f t="shared" si="5"/>
        <v>348.34143500000016</v>
      </c>
      <c r="J33" s="73">
        <f t="shared" si="5"/>
        <v>321.5459400000002</v>
      </c>
      <c r="K33" s="73">
        <f t="shared" si="5"/>
        <v>294.75044500000024</v>
      </c>
      <c r="L33" s="73">
        <f t="shared" si="5"/>
        <v>267.95495000000022</v>
      </c>
      <c r="M33" s="73">
        <f t="shared" si="5"/>
        <v>241.15945500000026</v>
      </c>
      <c r="N33" s="73">
        <f t="shared" si="5"/>
        <v>214.36396000000028</v>
      </c>
      <c r="O33" s="73">
        <f t="shared" si="5"/>
        <v>187.56846500000032</v>
      </c>
      <c r="P33" s="73">
        <f t="shared" si="5"/>
        <v>160.77297000000033</v>
      </c>
      <c r="Q33" s="73">
        <f t="shared" si="5"/>
        <v>133.97747500000034</v>
      </c>
      <c r="R33" s="73">
        <f t="shared" si="5"/>
        <v>107.18198000000034</v>
      </c>
      <c r="S33" s="73">
        <f t="shared" si="5"/>
        <v>80.386485000000334</v>
      </c>
      <c r="T33" s="73">
        <f t="shared" si="5"/>
        <v>53.590990000000332</v>
      </c>
      <c r="U33" s="73">
        <f t="shared" si="5"/>
        <v>26.795495000000326</v>
      </c>
      <c r="V33" s="73">
        <f t="shared" si="5"/>
        <v>3.2517277759325222E-13</v>
      </c>
      <c r="W33" s="73">
        <f t="shared" si="5"/>
        <v>3.2517277759325222E-13</v>
      </c>
      <c r="X33"/>
      <c r="Y33"/>
      <c r="Z33"/>
      <c r="AA33" s="174"/>
      <c r="AB33" s="174"/>
      <c r="AC33" s="73"/>
      <c r="AD33" s="73"/>
      <c r="AE33" s="73"/>
      <c r="AF33" s="73"/>
      <c r="AG33" s="73"/>
      <c r="AH33" s="73"/>
    </row>
    <row r="34" spans="1:34">
      <c r="A34" s="73" t="s">
        <v>139</v>
      </c>
      <c r="B34" s="395">
        <f>B31-B32</f>
        <v>15926</v>
      </c>
      <c r="C34" s="73">
        <f>C31-C32</f>
        <v>14731.550000000001</v>
      </c>
      <c r="D34" s="73">
        <f t="shared" ref="D34:W34" si="6">D31-D32</f>
        <v>13935.250000000002</v>
      </c>
      <c r="E34" s="73">
        <f t="shared" si="6"/>
        <v>13138.950000000003</v>
      </c>
      <c r="F34" s="73">
        <f t="shared" si="6"/>
        <v>12342.650000000003</v>
      </c>
      <c r="G34" s="73">
        <f t="shared" si="6"/>
        <v>11546.350000000004</v>
      </c>
      <c r="H34" s="73">
        <f t="shared" si="6"/>
        <v>10750.050000000005</v>
      </c>
      <c r="I34" s="73">
        <f t="shared" si="6"/>
        <v>9953.7500000000055</v>
      </c>
      <c r="J34" s="73">
        <f t="shared" si="6"/>
        <v>9157.4500000000062</v>
      </c>
      <c r="K34" s="73">
        <f t="shared" si="6"/>
        <v>8361.1500000000069</v>
      </c>
      <c r="L34" s="73">
        <f t="shared" si="6"/>
        <v>7564.8500000000076</v>
      </c>
      <c r="M34" s="73">
        <f t="shared" si="6"/>
        <v>6768.5500000000084</v>
      </c>
      <c r="N34" s="73">
        <f t="shared" si="6"/>
        <v>5972.2500000000091</v>
      </c>
      <c r="O34" s="73">
        <f t="shared" si="6"/>
        <v>5175.9500000000098</v>
      </c>
      <c r="P34" s="73">
        <f t="shared" si="6"/>
        <v>4379.6500000000106</v>
      </c>
      <c r="Q34" s="73">
        <f t="shared" si="6"/>
        <v>3583.3500000000104</v>
      </c>
      <c r="R34" s="73">
        <f t="shared" si="6"/>
        <v>2787.0500000000102</v>
      </c>
      <c r="S34" s="73">
        <f t="shared" si="6"/>
        <v>1990.75000000001</v>
      </c>
      <c r="T34" s="73">
        <f t="shared" si="6"/>
        <v>1194.4500000000098</v>
      </c>
      <c r="U34" s="73">
        <f t="shared" si="6"/>
        <v>398.1500000000097</v>
      </c>
      <c r="V34" s="73">
        <f t="shared" si="6"/>
        <v>9.6633812063373625E-12</v>
      </c>
      <c r="W34" s="73">
        <f t="shared" si="6"/>
        <v>9.6633812063373625E-12</v>
      </c>
      <c r="X34"/>
      <c r="Y34"/>
      <c r="Z34"/>
      <c r="AA34" s="174"/>
      <c r="AB34" s="174"/>
      <c r="AC34" s="73"/>
      <c r="AD34" s="73"/>
      <c r="AE34" s="73"/>
      <c r="AF34" s="73"/>
      <c r="AG34" s="73"/>
      <c r="AH34" s="73"/>
    </row>
    <row r="35" spans="1:34">
      <c r="A35" s="476">
        <v>36557</v>
      </c>
      <c r="B35" s="395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/>
      <c r="Y35"/>
      <c r="Z35"/>
      <c r="AA35" s="174"/>
      <c r="AB35" s="174"/>
      <c r="AC35" s="73"/>
      <c r="AD35" s="73"/>
      <c r="AE35" s="73"/>
      <c r="AF35" s="73"/>
      <c r="AG35" s="73"/>
      <c r="AH35" s="73"/>
    </row>
    <row r="36" spans="1:34">
      <c r="A36" s="73" t="s">
        <v>136</v>
      </c>
      <c r="B36" s="395">
        <f>B34</f>
        <v>15926</v>
      </c>
      <c r="C36" s="73">
        <f t="shared" ref="C36:V36" si="7">C34</f>
        <v>14731.550000000001</v>
      </c>
      <c r="D36" s="73">
        <f t="shared" si="7"/>
        <v>13935.250000000002</v>
      </c>
      <c r="E36" s="73">
        <f t="shared" si="7"/>
        <v>13138.950000000003</v>
      </c>
      <c r="F36" s="73">
        <f t="shared" si="7"/>
        <v>12342.650000000003</v>
      </c>
      <c r="G36" s="73">
        <f t="shared" si="7"/>
        <v>11546.350000000004</v>
      </c>
      <c r="H36" s="73">
        <f t="shared" si="7"/>
        <v>10750.050000000005</v>
      </c>
      <c r="I36" s="73">
        <f t="shared" si="7"/>
        <v>9953.7500000000055</v>
      </c>
      <c r="J36" s="73">
        <f t="shared" si="7"/>
        <v>9157.4500000000062</v>
      </c>
      <c r="K36" s="73">
        <f t="shared" si="7"/>
        <v>8361.1500000000069</v>
      </c>
      <c r="L36" s="73">
        <f t="shared" si="7"/>
        <v>7564.8500000000076</v>
      </c>
      <c r="M36" s="73">
        <f t="shared" si="7"/>
        <v>6768.5500000000084</v>
      </c>
      <c r="N36" s="73">
        <f t="shared" si="7"/>
        <v>5972.2500000000091</v>
      </c>
      <c r="O36" s="73">
        <f t="shared" si="7"/>
        <v>5175.9500000000098</v>
      </c>
      <c r="P36" s="73">
        <f t="shared" si="7"/>
        <v>4379.6500000000106</v>
      </c>
      <c r="Q36" s="73">
        <f t="shared" si="7"/>
        <v>3583.3500000000104</v>
      </c>
      <c r="R36" s="73">
        <f t="shared" si="7"/>
        <v>2787.0500000000102</v>
      </c>
      <c r="S36" s="73">
        <f t="shared" si="7"/>
        <v>1990.75000000001</v>
      </c>
      <c r="T36" s="73">
        <f t="shared" si="7"/>
        <v>1194.4500000000098</v>
      </c>
      <c r="U36" s="73">
        <f t="shared" si="7"/>
        <v>398.1500000000097</v>
      </c>
      <c r="V36" s="73">
        <f t="shared" si="7"/>
        <v>9.6633812063373625E-12</v>
      </c>
      <c r="W36" s="73">
        <f>W34</f>
        <v>9.6633812063373625E-12</v>
      </c>
      <c r="X36"/>
      <c r="Y36"/>
      <c r="Z36"/>
      <c r="AA36" s="174"/>
      <c r="AB36" s="174"/>
      <c r="AC36" s="73"/>
      <c r="AD36" s="73"/>
      <c r="AE36" s="73"/>
      <c r="AF36" s="73"/>
      <c r="AG36" s="73"/>
      <c r="AH36" s="73"/>
    </row>
    <row r="37" spans="1:34">
      <c r="A37" s="73" t="s">
        <v>137</v>
      </c>
      <c r="B37" s="395">
        <f>$B$31*B22</f>
        <v>796.30000000000007</v>
      </c>
      <c r="C37" s="73">
        <f>$B$31*C22/2</f>
        <v>398.15000000000003</v>
      </c>
      <c r="D37" s="73">
        <f t="shared" ref="D37:W37" si="8">$B$31*D22/2</f>
        <v>398.15000000000003</v>
      </c>
      <c r="E37" s="73">
        <f t="shared" si="8"/>
        <v>398.15000000000003</v>
      </c>
      <c r="F37" s="73">
        <f t="shared" si="8"/>
        <v>398.15000000000003</v>
      </c>
      <c r="G37" s="73">
        <f t="shared" si="8"/>
        <v>398.15000000000003</v>
      </c>
      <c r="H37" s="73">
        <f t="shared" si="8"/>
        <v>398.15000000000003</v>
      </c>
      <c r="I37" s="73">
        <f t="shared" si="8"/>
        <v>398.15000000000003</v>
      </c>
      <c r="J37" s="73">
        <f t="shared" si="8"/>
        <v>398.15000000000003</v>
      </c>
      <c r="K37" s="73">
        <f t="shared" si="8"/>
        <v>398.15000000000003</v>
      </c>
      <c r="L37" s="73">
        <f t="shared" si="8"/>
        <v>398.15000000000003</v>
      </c>
      <c r="M37" s="73">
        <f t="shared" si="8"/>
        <v>398.15000000000003</v>
      </c>
      <c r="N37" s="73">
        <f t="shared" si="8"/>
        <v>398.15000000000003</v>
      </c>
      <c r="O37" s="73">
        <f t="shared" si="8"/>
        <v>398.15000000000003</v>
      </c>
      <c r="P37" s="73">
        <f t="shared" si="8"/>
        <v>398.15000000000003</v>
      </c>
      <c r="Q37" s="73">
        <f t="shared" si="8"/>
        <v>398.15000000000003</v>
      </c>
      <c r="R37" s="73">
        <f t="shared" si="8"/>
        <v>398.15000000000003</v>
      </c>
      <c r="S37" s="73">
        <f t="shared" si="8"/>
        <v>398.15000000000003</v>
      </c>
      <c r="T37" s="73">
        <f t="shared" si="8"/>
        <v>398.15000000000003</v>
      </c>
      <c r="U37" s="73">
        <f t="shared" si="8"/>
        <v>398.15000000000003</v>
      </c>
      <c r="V37" s="73">
        <f t="shared" si="8"/>
        <v>0</v>
      </c>
      <c r="W37" s="73">
        <f t="shared" si="8"/>
        <v>0</v>
      </c>
      <c r="X37"/>
      <c r="Y37"/>
      <c r="Z37"/>
      <c r="AA37" s="174"/>
      <c r="AB37" s="174"/>
      <c r="AC37" s="73"/>
      <c r="AD37" s="73"/>
      <c r="AE37" s="73"/>
      <c r="AF37" s="73"/>
      <c r="AG37" s="73"/>
      <c r="AH37" s="73"/>
    </row>
    <row r="38" spans="1:34">
      <c r="A38" s="73" t="s">
        <v>138</v>
      </c>
      <c r="B38" s="395">
        <f>B36*$F$7/2</f>
        <v>535.90989999999999</v>
      </c>
      <c r="C38" s="395">
        <f t="shared" ref="C38:W38" si="9">C36*$F$7/2</f>
        <v>495.71665750000005</v>
      </c>
      <c r="D38" s="395">
        <f t="shared" si="9"/>
        <v>468.92116250000004</v>
      </c>
      <c r="E38" s="395">
        <f t="shared" si="9"/>
        <v>442.12566750000008</v>
      </c>
      <c r="F38" s="395">
        <f t="shared" si="9"/>
        <v>415.33017250000012</v>
      </c>
      <c r="G38" s="395">
        <f t="shared" si="9"/>
        <v>388.5346775000001</v>
      </c>
      <c r="H38" s="395">
        <f t="shared" si="9"/>
        <v>361.73918250000014</v>
      </c>
      <c r="I38" s="395">
        <f t="shared" si="9"/>
        <v>334.94368750000018</v>
      </c>
      <c r="J38" s="395">
        <f t="shared" si="9"/>
        <v>308.14819250000022</v>
      </c>
      <c r="K38" s="395">
        <f t="shared" si="9"/>
        <v>281.3526975000002</v>
      </c>
      <c r="L38" s="395">
        <f t="shared" si="9"/>
        <v>254.55720250000024</v>
      </c>
      <c r="M38" s="395">
        <f t="shared" si="9"/>
        <v>227.76170750000028</v>
      </c>
      <c r="N38" s="395">
        <f t="shared" si="9"/>
        <v>200.9662125000003</v>
      </c>
      <c r="O38" s="395">
        <f t="shared" si="9"/>
        <v>174.17071750000034</v>
      </c>
      <c r="P38" s="395">
        <f t="shared" si="9"/>
        <v>147.37522250000035</v>
      </c>
      <c r="Q38" s="395">
        <f t="shared" si="9"/>
        <v>120.57972750000035</v>
      </c>
      <c r="R38" s="395">
        <f t="shared" si="9"/>
        <v>93.784232500000343</v>
      </c>
      <c r="S38" s="395">
        <f t="shared" si="9"/>
        <v>66.98873750000034</v>
      </c>
      <c r="T38" s="395">
        <f t="shared" si="9"/>
        <v>40.193242500000331</v>
      </c>
      <c r="U38" s="395">
        <f t="shared" si="9"/>
        <v>13.397747500000326</v>
      </c>
      <c r="V38" s="395">
        <f t="shared" si="9"/>
        <v>3.2517277759325222E-13</v>
      </c>
      <c r="W38" s="395">
        <f t="shared" si="9"/>
        <v>3.2517277759325222E-13</v>
      </c>
      <c r="X38"/>
      <c r="Y38"/>
      <c r="Z38"/>
      <c r="AA38" s="174"/>
      <c r="AB38" s="174"/>
      <c r="AC38" s="73"/>
      <c r="AD38" s="73"/>
      <c r="AE38" s="73"/>
      <c r="AF38" s="73"/>
      <c r="AG38" s="73"/>
      <c r="AH38" s="73"/>
    </row>
    <row r="39" spans="1:34">
      <c r="A39" s="73" t="s">
        <v>139</v>
      </c>
      <c r="B39" s="395">
        <f>B36-B37</f>
        <v>15129.7</v>
      </c>
      <c r="C39" s="73">
        <f t="shared" ref="C39:R39" si="10">C36-C37</f>
        <v>14333.400000000001</v>
      </c>
      <c r="D39" s="73">
        <f t="shared" si="10"/>
        <v>13537.100000000002</v>
      </c>
      <c r="E39" s="73">
        <f t="shared" si="10"/>
        <v>12740.800000000003</v>
      </c>
      <c r="F39" s="73">
        <f t="shared" si="10"/>
        <v>11944.500000000004</v>
      </c>
      <c r="G39" s="73">
        <f t="shared" si="10"/>
        <v>11148.200000000004</v>
      </c>
      <c r="H39" s="73">
        <f t="shared" si="10"/>
        <v>10351.900000000005</v>
      </c>
      <c r="I39" s="73">
        <f t="shared" si="10"/>
        <v>9555.6000000000058</v>
      </c>
      <c r="J39" s="73">
        <f t="shared" si="10"/>
        <v>8759.3000000000065</v>
      </c>
      <c r="K39" s="73">
        <f t="shared" si="10"/>
        <v>7963.0000000000073</v>
      </c>
      <c r="L39" s="73">
        <f t="shared" si="10"/>
        <v>7166.700000000008</v>
      </c>
      <c r="M39" s="73">
        <f t="shared" si="10"/>
        <v>6370.4000000000087</v>
      </c>
      <c r="N39" s="73">
        <f t="shared" si="10"/>
        <v>5574.1000000000095</v>
      </c>
      <c r="O39" s="73">
        <f t="shared" si="10"/>
        <v>4777.8000000000102</v>
      </c>
      <c r="P39" s="73">
        <f t="shared" si="10"/>
        <v>3981.5000000000105</v>
      </c>
      <c r="Q39" s="73">
        <f t="shared" si="10"/>
        <v>3185.2000000000103</v>
      </c>
      <c r="R39" s="73">
        <f t="shared" si="10"/>
        <v>2388.9000000000101</v>
      </c>
      <c r="S39" s="73">
        <f>S36-S37</f>
        <v>1592.6000000000099</v>
      </c>
      <c r="T39" s="73">
        <f>T36-T37</f>
        <v>796.30000000000973</v>
      </c>
      <c r="U39" s="73">
        <f>U36-U37</f>
        <v>9.6633812063373625E-12</v>
      </c>
      <c r="V39" s="73">
        <f>V36-V37</f>
        <v>9.6633812063373625E-12</v>
      </c>
      <c r="W39" s="73">
        <f>W36-W37</f>
        <v>9.6633812063373625E-12</v>
      </c>
      <c r="X39"/>
      <c r="Y39"/>
      <c r="Z39"/>
      <c r="AA39" s="174"/>
      <c r="AB39" s="174"/>
      <c r="AC39" s="73"/>
      <c r="AD39" s="73"/>
      <c r="AE39" s="73"/>
      <c r="AF39" s="73"/>
      <c r="AG39" s="73"/>
      <c r="AH39" s="73"/>
    </row>
    <row r="40" spans="1:34">
      <c r="A40" s="73"/>
      <c r="B40" s="395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/>
      <c r="Y40"/>
      <c r="Z40"/>
      <c r="AA40" s="174"/>
      <c r="AB40" s="174"/>
      <c r="AC40" s="73"/>
      <c r="AD40" s="73"/>
      <c r="AE40" s="73"/>
      <c r="AF40" s="73"/>
      <c r="AG40" s="73"/>
      <c r="AH40" s="73"/>
    </row>
    <row r="41" spans="1:34">
      <c r="A41" s="75" t="s">
        <v>191</v>
      </c>
      <c r="B41" s="395">
        <f>B33+B38</f>
        <v>535.90989999999999</v>
      </c>
      <c r="C41" s="395">
        <f t="shared" ref="C41:W41" si="11">C33+C38</f>
        <v>1004.8310625000001</v>
      </c>
      <c r="D41" s="395">
        <f t="shared" si="11"/>
        <v>951.2400725</v>
      </c>
      <c r="E41" s="395">
        <f t="shared" si="11"/>
        <v>897.64908250000008</v>
      </c>
      <c r="F41" s="395">
        <f t="shared" si="11"/>
        <v>844.05809250000016</v>
      </c>
      <c r="G41" s="395">
        <f t="shared" si="11"/>
        <v>790.46710250000024</v>
      </c>
      <c r="H41" s="395">
        <f t="shared" si="11"/>
        <v>736.87611250000032</v>
      </c>
      <c r="I41" s="395">
        <f t="shared" si="11"/>
        <v>683.2851225000004</v>
      </c>
      <c r="J41" s="395">
        <f t="shared" si="11"/>
        <v>629.69413250000048</v>
      </c>
      <c r="K41" s="395">
        <f t="shared" si="11"/>
        <v>576.10314250000044</v>
      </c>
      <c r="L41" s="395">
        <f t="shared" si="11"/>
        <v>522.51215250000041</v>
      </c>
      <c r="M41" s="395">
        <f t="shared" si="11"/>
        <v>468.92116250000055</v>
      </c>
      <c r="N41" s="395">
        <f t="shared" si="11"/>
        <v>415.33017250000057</v>
      </c>
      <c r="O41" s="395">
        <f t="shared" si="11"/>
        <v>361.73918250000065</v>
      </c>
      <c r="P41" s="395">
        <f t="shared" si="11"/>
        <v>308.14819250000068</v>
      </c>
      <c r="Q41" s="395">
        <f t="shared" si="11"/>
        <v>254.5572025000007</v>
      </c>
      <c r="R41" s="395">
        <f t="shared" si="11"/>
        <v>200.96621250000067</v>
      </c>
      <c r="S41" s="395">
        <f t="shared" si="11"/>
        <v>147.37522250000069</v>
      </c>
      <c r="T41" s="395">
        <f t="shared" si="11"/>
        <v>93.784232500000655</v>
      </c>
      <c r="U41" s="395">
        <f t="shared" si="11"/>
        <v>40.19324250000065</v>
      </c>
      <c r="V41" s="395">
        <f t="shared" si="11"/>
        <v>6.5034555518650444E-13</v>
      </c>
      <c r="W41" s="395">
        <f t="shared" si="11"/>
        <v>6.5034555518650444E-13</v>
      </c>
      <c r="X41"/>
      <c r="Y41"/>
      <c r="Z41"/>
      <c r="AA41" s="174"/>
      <c r="AB41" s="174"/>
      <c r="AC41" s="73"/>
      <c r="AD41" s="73"/>
      <c r="AE41" s="73"/>
      <c r="AF41" s="73"/>
      <c r="AG41" s="73"/>
      <c r="AH41" s="73"/>
    </row>
    <row r="42" spans="1:34">
      <c r="A42" s="16" t="s">
        <v>192</v>
      </c>
      <c r="B42" s="395">
        <v>0</v>
      </c>
      <c r="C42" s="73">
        <v>0</v>
      </c>
      <c r="D42" s="73">
        <v>0</v>
      </c>
      <c r="E42" s="73">
        <v>0</v>
      </c>
      <c r="F42" s="73">
        <v>0</v>
      </c>
      <c r="G42" s="73">
        <v>0</v>
      </c>
      <c r="H42" s="73">
        <v>0</v>
      </c>
      <c r="I42" s="73">
        <v>0</v>
      </c>
      <c r="J42" s="73">
        <v>0</v>
      </c>
      <c r="K42" s="73">
        <v>0</v>
      </c>
      <c r="L42" s="73">
        <v>0</v>
      </c>
      <c r="M42" s="73">
        <v>0</v>
      </c>
      <c r="N42" s="73">
        <v>0</v>
      </c>
      <c r="O42" s="73">
        <v>0</v>
      </c>
      <c r="P42" s="73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73">
        <v>0</v>
      </c>
      <c r="W42" s="73">
        <v>0</v>
      </c>
      <c r="X42"/>
      <c r="Y42"/>
      <c r="Z42"/>
      <c r="AA42" s="17"/>
      <c r="AB42" s="17"/>
    </row>
    <row r="43" spans="1:34">
      <c r="A43" s="75" t="s">
        <v>199</v>
      </c>
      <c r="B43" s="395">
        <f>B32+B37</f>
        <v>796.30000000000007</v>
      </c>
      <c r="C43" s="395">
        <f t="shared" ref="C43:W43" si="12">C32+C37</f>
        <v>796.30000000000007</v>
      </c>
      <c r="D43" s="395">
        <f t="shared" si="12"/>
        <v>796.30000000000007</v>
      </c>
      <c r="E43" s="395">
        <f t="shared" si="12"/>
        <v>796.30000000000007</v>
      </c>
      <c r="F43" s="395">
        <f t="shared" si="12"/>
        <v>796.30000000000007</v>
      </c>
      <c r="G43" s="395">
        <f t="shared" si="12"/>
        <v>796.30000000000007</v>
      </c>
      <c r="H43" s="395">
        <f t="shared" si="12"/>
        <v>796.30000000000007</v>
      </c>
      <c r="I43" s="395">
        <f t="shared" si="12"/>
        <v>796.30000000000007</v>
      </c>
      <c r="J43" s="395">
        <f t="shared" si="12"/>
        <v>796.30000000000007</v>
      </c>
      <c r="K43" s="395">
        <f t="shared" si="12"/>
        <v>796.30000000000007</v>
      </c>
      <c r="L43" s="395">
        <f t="shared" si="12"/>
        <v>796.30000000000007</v>
      </c>
      <c r="M43" s="395">
        <f t="shared" si="12"/>
        <v>796.30000000000007</v>
      </c>
      <c r="N43" s="395">
        <f t="shared" si="12"/>
        <v>796.30000000000007</v>
      </c>
      <c r="O43" s="395">
        <f t="shared" si="12"/>
        <v>796.30000000000007</v>
      </c>
      <c r="P43" s="395">
        <f t="shared" si="12"/>
        <v>796.30000000000007</v>
      </c>
      <c r="Q43" s="395">
        <f t="shared" si="12"/>
        <v>796.30000000000007</v>
      </c>
      <c r="R43" s="395">
        <f t="shared" si="12"/>
        <v>796.30000000000007</v>
      </c>
      <c r="S43" s="395">
        <f t="shared" si="12"/>
        <v>796.30000000000007</v>
      </c>
      <c r="T43" s="395">
        <f t="shared" si="12"/>
        <v>796.30000000000007</v>
      </c>
      <c r="U43" s="395">
        <f t="shared" si="12"/>
        <v>796.30000000000007</v>
      </c>
      <c r="V43" s="395">
        <f t="shared" si="12"/>
        <v>0</v>
      </c>
      <c r="W43" s="395">
        <f t="shared" si="12"/>
        <v>0</v>
      </c>
      <c r="X43"/>
      <c r="Y43"/>
      <c r="Z43"/>
      <c r="AA43" s="17"/>
      <c r="AB43" s="17"/>
    </row>
    <row r="44" spans="1:34">
      <c r="B44" s="18"/>
      <c r="X44"/>
      <c r="Y44"/>
      <c r="Z44"/>
      <c r="AA44" s="17"/>
      <c r="AB44" s="17"/>
    </row>
    <row r="45" spans="1:34">
      <c r="B45" s="18"/>
      <c r="X45"/>
      <c r="Y45"/>
      <c r="Z45"/>
      <c r="AA45" s="17"/>
      <c r="AB45" s="17"/>
    </row>
    <row r="46" spans="1:34">
      <c r="A46" s="70" t="str">
        <f>CONCATENATE("Tranche 2 @ ",L7*100,"%")</f>
        <v>Tranche 2 @ 7.57%</v>
      </c>
      <c r="B46" s="18"/>
      <c r="C46" s="71"/>
      <c r="AA46" s="17"/>
      <c r="AB46" s="17"/>
      <c r="AF46" s="6"/>
    </row>
    <row r="47" spans="1:34">
      <c r="A47" s="475">
        <f>A30</f>
        <v>36739</v>
      </c>
      <c r="B47" s="395"/>
      <c r="AA47" s="17"/>
      <c r="AB47" s="17"/>
      <c r="AF47" s="6"/>
    </row>
    <row r="48" spans="1:34">
      <c r="A48" s="73" t="s">
        <v>136</v>
      </c>
      <c r="B48" s="177">
        <f>L10</f>
        <v>29302</v>
      </c>
      <c r="C48" s="73">
        <f>B56</f>
        <v>27836.9</v>
      </c>
      <c r="D48" s="73">
        <f t="shared" ref="D48:W48" si="13">C56</f>
        <v>26371.800000000003</v>
      </c>
      <c r="E48" s="73">
        <f t="shared" si="13"/>
        <v>24906.700000000004</v>
      </c>
      <c r="F48" s="73">
        <f t="shared" si="13"/>
        <v>23441.600000000006</v>
      </c>
      <c r="G48" s="73">
        <f t="shared" si="13"/>
        <v>21976.500000000007</v>
      </c>
      <c r="H48" s="73">
        <f t="shared" si="13"/>
        <v>20511.400000000009</v>
      </c>
      <c r="I48" s="73">
        <f t="shared" si="13"/>
        <v>19046.30000000001</v>
      </c>
      <c r="J48" s="73">
        <f t="shared" si="13"/>
        <v>17581.200000000012</v>
      </c>
      <c r="K48" s="73">
        <f t="shared" si="13"/>
        <v>16116.100000000013</v>
      </c>
      <c r="L48" s="73">
        <f t="shared" si="13"/>
        <v>14651.000000000015</v>
      </c>
      <c r="M48" s="73">
        <f t="shared" si="13"/>
        <v>13185.900000000016</v>
      </c>
      <c r="N48" s="73">
        <f t="shared" si="13"/>
        <v>11720.800000000017</v>
      </c>
      <c r="O48" s="73">
        <f t="shared" si="13"/>
        <v>10255.700000000019</v>
      </c>
      <c r="P48" s="73">
        <f t="shared" si="13"/>
        <v>8790.6000000000204</v>
      </c>
      <c r="Q48" s="73">
        <f t="shared" si="13"/>
        <v>7325.50000000002</v>
      </c>
      <c r="R48" s="73">
        <f t="shared" si="13"/>
        <v>5860.4000000000196</v>
      </c>
      <c r="S48" s="73">
        <f t="shared" si="13"/>
        <v>4395.3000000000193</v>
      </c>
      <c r="T48" s="73">
        <f t="shared" si="13"/>
        <v>2930.2000000000189</v>
      </c>
      <c r="U48" s="73">
        <f t="shared" si="13"/>
        <v>1465.1000000000186</v>
      </c>
      <c r="V48" s="73">
        <f t="shared" si="13"/>
        <v>1.8417267710901797E-11</v>
      </c>
      <c r="W48" s="73">
        <f t="shared" si="13"/>
        <v>1.8417267710901797E-11</v>
      </c>
      <c r="X48" s="73"/>
      <c r="Y48" s="73"/>
      <c r="Z48" s="73"/>
      <c r="AA48" s="174"/>
      <c r="AB48" s="174"/>
      <c r="AC48" s="73"/>
      <c r="AD48" s="73"/>
      <c r="AE48" s="73"/>
      <c r="AF48" s="392"/>
      <c r="AG48" s="73"/>
      <c r="AH48" s="25"/>
    </row>
    <row r="49" spans="1:34">
      <c r="A49" s="73" t="s">
        <v>137</v>
      </c>
      <c r="B49" s="395">
        <v>0</v>
      </c>
      <c r="C49" s="73">
        <f>$B$48*C24/2</f>
        <v>732.55000000000007</v>
      </c>
      <c r="D49" s="73">
        <f t="shared" ref="D49:W49" si="14">$B$48*D24/2</f>
        <v>732.55000000000007</v>
      </c>
      <c r="E49" s="73">
        <f t="shared" si="14"/>
        <v>732.55000000000007</v>
      </c>
      <c r="F49" s="73">
        <f t="shared" si="14"/>
        <v>732.55000000000007</v>
      </c>
      <c r="G49" s="73">
        <f t="shared" si="14"/>
        <v>732.55000000000007</v>
      </c>
      <c r="H49" s="73">
        <f t="shared" si="14"/>
        <v>732.55000000000007</v>
      </c>
      <c r="I49" s="73">
        <f t="shared" si="14"/>
        <v>732.55000000000007</v>
      </c>
      <c r="J49" s="73">
        <f t="shared" si="14"/>
        <v>732.55000000000007</v>
      </c>
      <c r="K49" s="73">
        <f t="shared" si="14"/>
        <v>732.55000000000007</v>
      </c>
      <c r="L49" s="73">
        <f t="shared" si="14"/>
        <v>732.55000000000007</v>
      </c>
      <c r="M49" s="73">
        <f t="shared" si="14"/>
        <v>732.55000000000007</v>
      </c>
      <c r="N49" s="73">
        <f t="shared" si="14"/>
        <v>732.55000000000007</v>
      </c>
      <c r="O49" s="73">
        <f t="shared" si="14"/>
        <v>732.55000000000007</v>
      </c>
      <c r="P49" s="73">
        <f t="shared" si="14"/>
        <v>732.55000000000007</v>
      </c>
      <c r="Q49" s="73">
        <f t="shared" si="14"/>
        <v>732.55000000000007</v>
      </c>
      <c r="R49" s="73">
        <f t="shared" si="14"/>
        <v>732.55000000000007</v>
      </c>
      <c r="S49" s="73">
        <f t="shared" si="14"/>
        <v>732.55000000000007</v>
      </c>
      <c r="T49" s="73">
        <f t="shared" si="14"/>
        <v>732.55000000000007</v>
      </c>
      <c r="U49" s="73">
        <f t="shared" si="14"/>
        <v>732.55000000000007</v>
      </c>
      <c r="V49" s="73">
        <f t="shared" si="14"/>
        <v>0</v>
      </c>
      <c r="W49" s="73">
        <f t="shared" si="14"/>
        <v>0</v>
      </c>
      <c r="X49" s="73"/>
      <c r="Y49" s="73"/>
      <c r="Z49" s="73"/>
      <c r="AA49" s="174"/>
      <c r="AB49" s="174"/>
      <c r="AC49" s="73"/>
      <c r="AD49" s="73"/>
      <c r="AE49" s="73"/>
      <c r="AF49" s="393"/>
      <c r="AG49" s="73"/>
      <c r="AH49" s="25"/>
    </row>
    <row r="50" spans="1:34">
      <c r="A50" s="73" t="s">
        <v>138</v>
      </c>
      <c r="B50" s="395">
        <v>0</v>
      </c>
      <c r="C50" s="73">
        <f>C48*$L$7/2</f>
        <v>1053.626665</v>
      </c>
      <c r="D50" s="73">
        <f t="shared" ref="D50:W50" si="15">D48*$L$7/2</f>
        <v>998.17263000000014</v>
      </c>
      <c r="E50" s="73">
        <f t="shared" si="15"/>
        <v>942.71859500000016</v>
      </c>
      <c r="F50" s="73">
        <f t="shared" si="15"/>
        <v>887.2645600000003</v>
      </c>
      <c r="G50" s="73">
        <f t="shared" si="15"/>
        <v>831.81052500000033</v>
      </c>
      <c r="H50" s="73">
        <f t="shared" si="15"/>
        <v>776.35649000000035</v>
      </c>
      <c r="I50" s="73">
        <f t="shared" si="15"/>
        <v>720.90245500000037</v>
      </c>
      <c r="J50" s="73">
        <f t="shared" si="15"/>
        <v>665.44842000000051</v>
      </c>
      <c r="K50" s="73">
        <f t="shared" si="15"/>
        <v>609.99438500000053</v>
      </c>
      <c r="L50" s="73">
        <f t="shared" si="15"/>
        <v>554.54035000000056</v>
      </c>
      <c r="M50" s="73">
        <f t="shared" si="15"/>
        <v>499.08631500000064</v>
      </c>
      <c r="N50" s="73">
        <f t="shared" si="15"/>
        <v>443.63228000000066</v>
      </c>
      <c r="O50" s="73">
        <f t="shared" si="15"/>
        <v>388.17824500000074</v>
      </c>
      <c r="P50" s="73">
        <f t="shared" si="15"/>
        <v>332.72421000000077</v>
      </c>
      <c r="Q50" s="73">
        <f t="shared" si="15"/>
        <v>277.27017500000079</v>
      </c>
      <c r="R50" s="73">
        <f t="shared" si="15"/>
        <v>221.81614000000076</v>
      </c>
      <c r="S50" s="73">
        <f t="shared" si="15"/>
        <v>166.36210500000072</v>
      </c>
      <c r="T50" s="73">
        <f t="shared" si="15"/>
        <v>110.90807000000072</v>
      </c>
      <c r="U50" s="73">
        <f t="shared" si="15"/>
        <v>55.454035000000708</v>
      </c>
      <c r="V50" s="73">
        <f t="shared" si="15"/>
        <v>6.9709358285763305E-13</v>
      </c>
      <c r="W50" s="73">
        <f t="shared" si="15"/>
        <v>6.9709358285763305E-13</v>
      </c>
      <c r="X50" s="73"/>
      <c r="Y50" s="73"/>
      <c r="Z50" s="73"/>
      <c r="AA50" s="174"/>
      <c r="AB50" s="174"/>
      <c r="AC50" s="73"/>
      <c r="AD50" s="73"/>
      <c r="AE50" s="73"/>
      <c r="AF50" s="393"/>
      <c r="AG50" s="73"/>
      <c r="AH50" s="25"/>
    </row>
    <row r="51" spans="1:34">
      <c r="A51" s="73" t="s">
        <v>139</v>
      </c>
      <c r="B51" s="395">
        <f>B48-B49</f>
        <v>29302</v>
      </c>
      <c r="C51" s="73">
        <f t="shared" ref="C51:R51" si="16">C48-C49</f>
        <v>27104.350000000002</v>
      </c>
      <c r="D51" s="73">
        <f t="shared" si="16"/>
        <v>25639.250000000004</v>
      </c>
      <c r="E51" s="73">
        <f t="shared" si="16"/>
        <v>24174.150000000005</v>
      </c>
      <c r="F51" s="73">
        <f t="shared" si="16"/>
        <v>22709.050000000007</v>
      </c>
      <c r="G51" s="73">
        <f t="shared" si="16"/>
        <v>21243.950000000008</v>
      </c>
      <c r="H51" s="73">
        <f t="shared" si="16"/>
        <v>19778.850000000009</v>
      </c>
      <c r="I51" s="73">
        <f t="shared" si="16"/>
        <v>18313.750000000011</v>
      </c>
      <c r="J51" s="73">
        <f t="shared" si="16"/>
        <v>16848.650000000012</v>
      </c>
      <c r="K51" s="73">
        <f t="shared" si="16"/>
        <v>15383.550000000014</v>
      </c>
      <c r="L51" s="73">
        <f t="shared" si="16"/>
        <v>13918.450000000015</v>
      </c>
      <c r="M51" s="73">
        <f t="shared" si="16"/>
        <v>12453.350000000017</v>
      </c>
      <c r="N51" s="73">
        <f t="shared" si="16"/>
        <v>10988.250000000018</v>
      </c>
      <c r="O51" s="73">
        <f t="shared" si="16"/>
        <v>9523.1500000000196</v>
      </c>
      <c r="P51" s="73">
        <f t="shared" si="16"/>
        <v>8058.0500000000202</v>
      </c>
      <c r="Q51" s="73">
        <f t="shared" si="16"/>
        <v>6592.9500000000198</v>
      </c>
      <c r="R51" s="73">
        <f t="shared" si="16"/>
        <v>5127.8500000000195</v>
      </c>
      <c r="S51" s="73">
        <f>S48-S49</f>
        <v>3662.7500000000191</v>
      </c>
      <c r="T51" s="73">
        <f>T48-T49</f>
        <v>2197.6500000000187</v>
      </c>
      <c r="U51" s="73">
        <f>U48-U49</f>
        <v>732.55000000001849</v>
      </c>
      <c r="V51" s="73">
        <f>V48-V49</f>
        <v>1.8417267710901797E-11</v>
      </c>
      <c r="W51" s="73">
        <f>W48-W49</f>
        <v>1.8417267710901797E-11</v>
      </c>
      <c r="X51" s="73"/>
      <c r="Y51" s="73"/>
      <c r="Z51" s="73"/>
      <c r="AA51" s="174"/>
      <c r="AB51" s="174"/>
      <c r="AC51" s="73"/>
      <c r="AD51" s="73"/>
      <c r="AE51" s="73"/>
      <c r="AF51" s="393"/>
      <c r="AG51" s="73"/>
      <c r="AH51" s="25"/>
    </row>
    <row r="52" spans="1:34">
      <c r="A52" s="475">
        <f>A35</f>
        <v>36557</v>
      </c>
      <c r="B52" s="395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174"/>
      <c r="AB52" s="174"/>
      <c r="AC52" s="73"/>
      <c r="AD52" s="73"/>
      <c r="AE52" s="73"/>
      <c r="AF52" s="393"/>
      <c r="AG52" s="73"/>
      <c r="AH52" s="25"/>
    </row>
    <row r="53" spans="1:34">
      <c r="A53" s="73" t="s">
        <v>136</v>
      </c>
      <c r="B53" s="395">
        <f>B51</f>
        <v>29302</v>
      </c>
      <c r="C53" s="395">
        <f t="shared" ref="C53:W53" si="17">C51</f>
        <v>27104.350000000002</v>
      </c>
      <c r="D53" s="395">
        <f t="shared" si="17"/>
        <v>25639.250000000004</v>
      </c>
      <c r="E53" s="395">
        <f t="shared" si="17"/>
        <v>24174.150000000005</v>
      </c>
      <c r="F53" s="395">
        <f t="shared" si="17"/>
        <v>22709.050000000007</v>
      </c>
      <c r="G53" s="395">
        <f t="shared" si="17"/>
        <v>21243.950000000008</v>
      </c>
      <c r="H53" s="395">
        <f t="shared" si="17"/>
        <v>19778.850000000009</v>
      </c>
      <c r="I53" s="395">
        <f t="shared" si="17"/>
        <v>18313.750000000011</v>
      </c>
      <c r="J53" s="395">
        <f t="shared" si="17"/>
        <v>16848.650000000012</v>
      </c>
      <c r="K53" s="395">
        <f t="shared" si="17"/>
        <v>15383.550000000014</v>
      </c>
      <c r="L53" s="395">
        <f t="shared" si="17"/>
        <v>13918.450000000015</v>
      </c>
      <c r="M53" s="395">
        <f t="shared" si="17"/>
        <v>12453.350000000017</v>
      </c>
      <c r="N53" s="395">
        <f t="shared" si="17"/>
        <v>10988.250000000018</v>
      </c>
      <c r="O53" s="395">
        <f t="shared" si="17"/>
        <v>9523.1500000000196</v>
      </c>
      <c r="P53" s="395">
        <f t="shared" si="17"/>
        <v>8058.0500000000202</v>
      </c>
      <c r="Q53" s="395">
        <f t="shared" si="17"/>
        <v>6592.9500000000198</v>
      </c>
      <c r="R53" s="395">
        <f t="shared" si="17"/>
        <v>5127.8500000000195</v>
      </c>
      <c r="S53" s="395">
        <f t="shared" si="17"/>
        <v>3662.7500000000191</v>
      </c>
      <c r="T53" s="395">
        <f t="shared" si="17"/>
        <v>2197.6500000000187</v>
      </c>
      <c r="U53" s="395">
        <f t="shared" si="17"/>
        <v>732.55000000001849</v>
      </c>
      <c r="V53" s="395">
        <f t="shared" si="17"/>
        <v>1.8417267710901797E-11</v>
      </c>
      <c r="W53" s="395">
        <f t="shared" si="17"/>
        <v>1.8417267710901797E-11</v>
      </c>
      <c r="X53" s="73"/>
      <c r="Y53" s="73"/>
      <c r="Z53" s="73"/>
      <c r="AA53" s="174"/>
      <c r="AB53" s="174"/>
      <c r="AC53" s="73"/>
      <c r="AD53" s="73"/>
      <c r="AE53" s="73"/>
      <c r="AF53" s="393"/>
      <c r="AG53" s="73"/>
      <c r="AH53" s="25"/>
    </row>
    <row r="54" spans="1:34">
      <c r="A54" s="73" t="s">
        <v>137</v>
      </c>
      <c r="B54" s="395">
        <f>B24*$B$48</f>
        <v>1465.1000000000001</v>
      </c>
      <c r="C54" s="395">
        <f>C24*$B$48/2</f>
        <v>732.55000000000007</v>
      </c>
      <c r="D54" s="395">
        <f t="shared" ref="D54:W54" si="18">D24*$B$48/2</f>
        <v>732.55000000000007</v>
      </c>
      <c r="E54" s="395">
        <f t="shared" si="18"/>
        <v>732.55000000000007</v>
      </c>
      <c r="F54" s="395">
        <f t="shared" si="18"/>
        <v>732.55000000000007</v>
      </c>
      <c r="G54" s="395">
        <f t="shared" si="18"/>
        <v>732.55000000000007</v>
      </c>
      <c r="H54" s="395">
        <f t="shared" si="18"/>
        <v>732.55000000000007</v>
      </c>
      <c r="I54" s="395">
        <f t="shared" si="18"/>
        <v>732.55000000000007</v>
      </c>
      <c r="J54" s="395">
        <f t="shared" si="18"/>
        <v>732.55000000000007</v>
      </c>
      <c r="K54" s="395">
        <f t="shared" si="18"/>
        <v>732.55000000000007</v>
      </c>
      <c r="L54" s="395">
        <f t="shared" si="18"/>
        <v>732.55000000000007</v>
      </c>
      <c r="M54" s="395">
        <f t="shared" si="18"/>
        <v>732.55000000000007</v>
      </c>
      <c r="N54" s="395">
        <f t="shared" si="18"/>
        <v>732.55000000000007</v>
      </c>
      <c r="O54" s="395">
        <f t="shared" si="18"/>
        <v>732.55000000000007</v>
      </c>
      <c r="P54" s="395">
        <f t="shared" si="18"/>
        <v>732.55000000000007</v>
      </c>
      <c r="Q54" s="395">
        <f t="shared" si="18"/>
        <v>732.55000000000007</v>
      </c>
      <c r="R54" s="395">
        <f t="shared" si="18"/>
        <v>732.55000000000007</v>
      </c>
      <c r="S54" s="395">
        <f t="shared" si="18"/>
        <v>732.55000000000007</v>
      </c>
      <c r="T54" s="395">
        <f t="shared" si="18"/>
        <v>732.55000000000007</v>
      </c>
      <c r="U54" s="395">
        <f t="shared" si="18"/>
        <v>732.55000000000007</v>
      </c>
      <c r="V54" s="395">
        <f t="shared" si="18"/>
        <v>0</v>
      </c>
      <c r="W54" s="395">
        <f t="shared" si="18"/>
        <v>0</v>
      </c>
      <c r="X54" s="73"/>
      <c r="Y54" s="73"/>
      <c r="Z54" s="73"/>
      <c r="AA54" s="174"/>
      <c r="AB54" s="174"/>
      <c r="AC54" s="73"/>
      <c r="AD54" s="73"/>
      <c r="AE54" s="73"/>
      <c r="AF54" s="393"/>
      <c r="AG54" s="73"/>
      <c r="AH54" s="25"/>
    </row>
    <row r="55" spans="1:34">
      <c r="A55" s="73" t="s">
        <v>138</v>
      </c>
      <c r="B55" s="395">
        <f>B53*$L$7/2</f>
        <v>1109.0807</v>
      </c>
      <c r="C55" s="395">
        <f t="shared" ref="C55:W55" si="19">C53*$L$7/2</f>
        <v>1025.8996475000001</v>
      </c>
      <c r="D55" s="395">
        <f t="shared" si="19"/>
        <v>970.44561250000015</v>
      </c>
      <c r="E55" s="395">
        <f t="shared" si="19"/>
        <v>914.99157750000029</v>
      </c>
      <c r="F55" s="395">
        <f t="shared" si="19"/>
        <v>859.53754250000031</v>
      </c>
      <c r="G55" s="395">
        <f t="shared" si="19"/>
        <v>804.08350750000034</v>
      </c>
      <c r="H55" s="395">
        <f t="shared" si="19"/>
        <v>748.62947250000036</v>
      </c>
      <c r="I55" s="395">
        <f t="shared" si="19"/>
        <v>693.1754375000005</v>
      </c>
      <c r="J55" s="395">
        <f t="shared" si="19"/>
        <v>637.72140250000052</v>
      </c>
      <c r="K55" s="395">
        <f t="shared" si="19"/>
        <v>582.26736750000055</v>
      </c>
      <c r="L55" s="395">
        <f t="shared" si="19"/>
        <v>526.81333250000057</v>
      </c>
      <c r="M55" s="395">
        <f t="shared" si="19"/>
        <v>471.35929750000065</v>
      </c>
      <c r="N55" s="395">
        <f t="shared" si="19"/>
        <v>415.90526250000073</v>
      </c>
      <c r="O55" s="395">
        <f t="shared" si="19"/>
        <v>360.45122750000075</v>
      </c>
      <c r="P55" s="395">
        <f t="shared" si="19"/>
        <v>304.99719250000078</v>
      </c>
      <c r="Q55" s="395">
        <f t="shared" si="19"/>
        <v>249.54315750000077</v>
      </c>
      <c r="R55" s="395">
        <f t="shared" si="19"/>
        <v>194.08912250000074</v>
      </c>
      <c r="S55" s="395">
        <f t="shared" si="19"/>
        <v>138.63508750000074</v>
      </c>
      <c r="T55" s="395">
        <f t="shared" si="19"/>
        <v>83.181052500000717</v>
      </c>
      <c r="U55" s="395">
        <f t="shared" si="19"/>
        <v>27.727017500000702</v>
      </c>
      <c r="V55" s="395">
        <f t="shared" si="19"/>
        <v>6.9709358285763305E-13</v>
      </c>
      <c r="W55" s="395">
        <f t="shared" si="19"/>
        <v>6.9709358285763305E-13</v>
      </c>
      <c r="X55" s="73"/>
      <c r="Y55" s="73"/>
      <c r="Z55" s="73"/>
      <c r="AA55" s="174"/>
      <c r="AB55" s="174"/>
      <c r="AC55" s="73"/>
      <c r="AD55" s="73"/>
      <c r="AE55" s="73"/>
      <c r="AF55" s="393"/>
      <c r="AG55" s="73"/>
      <c r="AH55" s="25"/>
    </row>
    <row r="56" spans="1:34">
      <c r="A56" s="73" t="s">
        <v>139</v>
      </c>
      <c r="B56" s="395">
        <f>B53-B54</f>
        <v>27836.9</v>
      </c>
      <c r="C56" s="73">
        <f t="shared" ref="C56:R56" si="20">C53-C54</f>
        <v>26371.800000000003</v>
      </c>
      <c r="D56" s="73">
        <f t="shared" si="20"/>
        <v>24906.700000000004</v>
      </c>
      <c r="E56" s="73">
        <f t="shared" si="20"/>
        <v>23441.600000000006</v>
      </c>
      <c r="F56" s="73">
        <f t="shared" si="20"/>
        <v>21976.500000000007</v>
      </c>
      <c r="G56" s="73">
        <f t="shared" si="20"/>
        <v>20511.400000000009</v>
      </c>
      <c r="H56" s="73">
        <f t="shared" si="20"/>
        <v>19046.30000000001</v>
      </c>
      <c r="I56" s="73">
        <f t="shared" si="20"/>
        <v>17581.200000000012</v>
      </c>
      <c r="J56" s="73">
        <f t="shared" si="20"/>
        <v>16116.100000000013</v>
      </c>
      <c r="K56" s="73">
        <f t="shared" si="20"/>
        <v>14651.000000000015</v>
      </c>
      <c r="L56" s="73">
        <f t="shared" si="20"/>
        <v>13185.900000000016</v>
      </c>
      <c r="M56" s="73">
        <f t="shared" si="20"/>
        <v>11720.800000000017</v>
      </c>
      <c r="N56" s="73">
        <f t="shared" si="20"/>
        <v>10255.700000000019</v>
      </c>
      <c r="O56" s="73">
        <f t="shared" si="20"/>
        <v>8790.6000000000204</v>
      </c>
      <c r="P56" s="73">
        <f t="shared" si="20"/>
        <v>7325.50000000002</v>
      </c>
      <c r="Q56" s="73">
        <f t="shared" si="20"/>
        <v>5860.4000000000196</v>
      </c>
      <c r="R56" s="73">
        <f t="shared" si="20"/>
        <v>4395.3000000000193</v>
      </c>
      <c r="S56" s="73">
        <f>S53-S54</f>
        <v>2930.2000000000189</v>
      </c>
      <c r="T56" s="73">
        <f>T53-T54</f>
        <v>1465.1000000000186</v>
      </c>
      <c r="U56" s="73">
        <f>U53-U54</f>
        <v>1.8417267710901797E-11</v>
      </c>
      <c r="V56" s="73">
        <f>V53-V54</f>
        <v>1.8417267710901797E-11</v>
      </c>
      <c r="W56" s="73">
        <f>W53-W54</f>
        <v>1.8417267710901797E-11</v>
      </c>
      <c r="X56" s="73"/>
      <c r="Y56" s="73"/>
      <c r="Z56" s="73"/>
      <c r="AA56" s="174"/>
      <c r="AB56" s="174"/>
      <c r="AC56" s="73"/>
      <c r="AD56" s="73"/>
      <c r="AE56" s="73"/>
      <c r="AF56" s="393"/>
      <c r="AG56" s="73"/>
      <c r="AH56" s="25"/>
    </row>
    <row r="57" spans="1:34">
      <c r="A57" s="73"/>
      <c r="B57" s="395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174"/>
      <c r="AB57" s="174"/>
      <c r="AC57" s="73"/>
      <c r="AD57" s="73"/>
      <c r="AE57" s="73"/>
      <c r="AF57" s="393"/>
      <c r="AG57" s="73"/>
      <c r="AH57" s="25"/>
    </row>
    <row r="58" spans="1:34">
      <c r="A58" s="75" t="s">
        <v>191</v>
      </c>
      <c r="B58" s="395">
        <f>B55+B50</f>
        <v>1109.0807</v>
      </c>
      <c r="C58" s="395">
        <f t="shared" ref="C58:W58" si="21">C55+C50</f>
        <v>2079.5263125000001</v>
      </c>
      <c r="D58" s="395">
        <f t="shared" si="21"/>
        <v>1968.6182425000002</v>
      </c>
      <c r="E58" s="395">
        <f t="shared" si="21"/>
        <v>1857.7101725000005</v>
      </c>
      <c r="F58" s="395">
        <f t="shared" si="21"/>
        <v>1746.8021025000007</v>
      </c>
      <c r="G58" s="395">
        <f t="shared" si="21"/>
        <v>1635.8940325000008</v>
      </c>
      <c r="H58" s="395">
        <f t="shared" si="21"/>
        <v>1524.9859625000008</v>
      </c>
      <c r="I58" s="395">
        <f t="shared" si="21"/>
        <v>1414.0778925000009</v>
      </c>
      <c r="J58" s="395">
        <f t="shared" si="21"/>
        <v>1303.1698225000009</v>
      </c>
      <c r="K58" s="395">
        <f t="shared" si="21"/>
        <v>1192.261752500001</v>
      </c>
      <c r="L58" s="395">
        <f t="shared" si="21"/>
        <v>1081.353682500001</v>
      </c>
      <c r="M58" s="395">
        <f t="shared" si="21"/>
        <v>970.44561250000129</v>
      </c>
      <c r="N58" s="395">
        <f t="shared" si="21"/>
        <v>859.53754250000134</v>
      </c>
      <c r="O58" s="395">
        <f t="shared" si="21"/>
        <v>748.6294725000015</v>
      </c>
      <c r="P58" s="395">
        <f t="shared" si="21"/>
        <v>637.72140250000155</v>
      </c>
      <c r="Q58" s="395">
        <f t="shared" si="21"/>
        <v>526.81333250000159</v>
      </c>
      <c r="R58" s="395">
        <f t="shared" si="21"/>
        <v>415.90526250000153</v>
      </c>
      <c r="S58" s="395">
        <f t="shared" si="21"/>
        <v>304.99719250000146</v>
      </c>
      <c r="T58" s="395">
        <f t="shared" si="21"/>
        <v>194.08912250000145</v>
      </c>
      <c r="U58" s="395">
        <f t="shared" si="21"/>
        <v>83.181052500001414</v>
      </c>
      <c r="V58" s="395">
        <f t="shared" si="21"/>
        <v>1.3941871657152661E-12</v>
      </c>
      <c r="W58" s="395">
        <f t="shared" si="21"/>
        <v>1.3941871657152661E-12</v>
      </c>
      <c r="X58" s="73"/>
      <c r="Y58" s="73"/>
      <c r="Z58" s="73"/>
      <c r="AA58" s="174"/>
      <c r="AB58" s="174"/>
      <c r="AC58" s="73"/>
      <c r="AD58" s="73"/>
      <c r="AE58" s="73"/>
      <c r="AF58" s="393"/>
      <c r="AG58" s="73"/>
      <c r="AH58" s="25"/>
    </row>
    <row r="59" spans="1:34">
      <c r="A59" s="16" t="s">
        <v>192</v>
      </c>
      <c r="B59" s="395">
        <v>0</v>
      </c>
      <c r="C59" s="73">
        <v>0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  <c r="N59" s="73">
        <v>0</v>
      </c>
      <c r="O59" s="73">
        <v>0</v>
      </c>
      <c r="P59" s="73">
        <v>0</v>
      </c>
      <c r="Q59" s="73">
        <v>0</v>
      </c>
      <c r="R59" s="73">
        <v>0</v>
      </c>
      <c r="S59" s="73">
        <v>0</v>
      </c>
      <c r="T59" s="73">
        <v>0</v>
      </c>
      <c r="U59" s="73">
        <v>0</v>
      </c>
      <c r="V59" s="73">
        <v>0</v>
      </c>
      <c r="W59" s="73">
        <v>0</v>
      </c>
      <c r="AA59" s="17"/>
      <c r="AB59" s="17"/>
      <c r="AF59" s="6"/>
      <c r="AG59" s="73"/>
      <c r="AH59" s="25"/>
    </row>
    <row r="60" spans="1:34">
      <c r="A60" s="75" t="s">
        <v>199</v>
      </c>
      <c r="B60" s="395">
        <f>B54+B49</f>
        <v>1465.1000000000001</v>
      </c>
      <c r="C60" s="395">
        <f t="shared" ref="C60:W60" si="22">C54+C49</f>
        <v>1465.1000000000001</v>
      </c>
      <c r="D60" s="395">
        <f t="shared" si="22"/>
        <v>1465.1000000000001</v>
      </c>
      <c r="E60" s="395">
        <f t="shared" si="22"/>
        <v>1465.1000000000001</v>
      </c>
      <c r="F60" s="395">
        <f t="shared" si="22"/>
        <v>1465.1000000000001</v>
      </c>
      <c r="G60" s="395">
        <f t="shared" si="22"/>
        <v>1465.1000000000001</v>
      </c>
      <c r="H60" s="395">
        <f t="shared" si="22"/>
        <v>1465.1000000000001</v>
      </c>
      <c r="I60" s="395">
        <f t="shared" si="22"/>
        <v>1465.1000000000001</v>
      </c>
      <c r="J60" s="395">
        <f t="shared" si="22"/>
        <v>1465.1000000000001</v>
      </c>
      <c r="K60" s="395">
        <f t="shared" si="22"/>
        <v>1465.1000000000001</v>
      </c>
      <c r="L60" s="395">
        <f t="shared" si="22"/>
        <v>1465.1000000000001</v>
      </c>
      <c r="M60" s="395">
        <f t="shared" si="22"/>
        <v>1465.1000000000001</v>
      </c>
      <c r="N60" s="395">
        <f t="shared" si="22"/>
        <v>1465.1000000000001</v>
      </c>
      <c r="O60" s="395">
        <f t="shared" si="22"/>
        <v>1465.1000000000001</v>
      </c>
      <c r="P60" s="395">
        <f t="shared" si="22"/>
        <v>1465.1000000000001</v>
      </c>
      <c r="Q60" s="395">
        <f t="shared" si="22"/>
        <v>1465.1000000000001</v>
      </c>
      <c r="R60" s="395">
        <f t="shared" si="22"/>
        <v>1465.1000000000001</v>
      </c>
      <c r="S60" s="395">
        <f t="shared" si="22"/>
        <v>1465.1000000000001</v>
      </c>
      <c r="T60" s="395">
        <f t="shared" si="22"/>
        <v>1465.1000000000001</v>
      </c>
      <c r="U60" s="395">
        <f t="shared" si="22"/>
        <v>1465.1000000000001</v>
      </c>
      <c r="V60" s="395">
        <f t="shared" si="22"/>
        <v>0</v>
      </c>
      <c r="W60" s="395">
        <f t="shared" si="22"/>
        <v>0</v>
      </c>
      <c r="AA60" s="17"/>
      <c r="AB60" s="17"/>
      <c r="AF60" s="6"/>
      <c r="AG60" s="73"/>
      <c r="AH60" s="25"/>
    </row>
    <row r="61" spans="1:34">
      <c r="B61" s="177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174"/>
      <c r="AB61" s="174"/>
      <c r="AC61" s="73"/>
      <c r="AD61" s="73"/>
      <c r="AE61" s="73"/>
      <c r="AF61" s="392"/>
      <c r="AG61" s="73"/>
      <c r="AH61" s="25"/>
    </row>
    <row r="62" spans="1:34">
      <c r="B62" s="395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174"/>
      <c r="AB62" s="174"/>
      <c r="AC62" s="73"/>
      <c r="AD62" s="73"/>
      <c r="AE62" s="73"/>
      <c r="AF62" s="393"/>
      <c r="AG62" s="73"/>
      <c r="AH62" s="25"/>
    </row>
    <row r="63" spans="1:34">
      <c r="A63" s="70" t="str">
        <f>CONCATENATE("Tranche 3 @ ",R7*100,"%")</f>
        <v>Tranche 3 @ 8.18%</v>
      </c>
      <c r="B63" s="18"/>
      <c r="C63" s="71"/>
      <c r="AA63" s="17"/>
      <c r="AB63" s="17"/>
      <c r="AF63" s="6"/>
    </row>
    <row r="64" spans="1:34">
      <c r="A64" s="475">
        <f>A30</f>
        <v>36739</v>
      </c>
      <c r="B64" s="395"/>
      <c r="AA64" s="17"/>
      <c r="AB64" s="17"/>
      <c r="AF64" s="6"/>
    </row>
    <row r="65" spans="1:39">
      <c r="A65" s="73" t="s">
        <v>136</v>
      </c>
      <c r="B65" s="177">
        <f>R10</f>
        <v>52547</v>
      </c>
      <c r="C65" s="73">
        <f>B73</f>
        <v>49919.65</v>
      </c>
      <c r="D65" s="73">
        <f t="shared" ref="D65:W65" si="23">C73</f>
        <v>47292.299999999996</v>
      </c>
      <c r="E65" s="73">
        <f t="shared" si="23"/>
        <v>44664.94999999999</v>
      </c>
      <c r="F65" s="73">
        <f t="shared" si="23"/>
        <v>42037.599999999984</v>
      </c>
      <c r="G65" s="73">
        <f t="shared" si="23"/>
        <v>39410.249999999978</v>
      </c>
      <c r="H65" s="73">
        <f t="shared" si="23"/>
        <v>36782.899999999972</v>
      </c>
      <c r="I65" s="73">
        <f t="shared" si="23"/>
        <v>34155.549999999967</v>
      </c>
      <c r="J65" s="73">
        <f t="shared" si="23"/>
        <v>31528.199999999964</v>
      </c>
      <c r="K65" s="73">
        <f t="shared" si="23"/>
        <v>28900.849999999966</v>
      </c>
      <c r="L65" s="73">
        <f t="shared" si="23"/>
        <v>26273.499999999967</v>
      </c>
      <c r="M65" s="73">
        <f t="shared" si="23"/>
        <v>23646.149999999969</v>
      </c>
      <c r="N65" s="73">
        <f t="shared" si="23"/>
        <v>21018.79999999997</v>
      </c>
      <c r="O65" s="73">
        <f t="shared" si="23"/>
        <v>18391.449999999972</v>
      </c>
      <c r="P65" s="73">
        <f t="shared" si="23"/>
        <v>15764.099999999973</v>
      </c>
      <c r="Q65" s="73">
        <f t="shared" si="23"/>
        <v>13136.749999999975</v>
      </c>
      <c r="R65" s="73">
        <f t="shared" si="23"/>
        <v>10509.399999999976</v>
      </c>
      <c r="S65" s="73">
        <f t="shared" si="23"/>
        <v>7882.0499999999765</v>
      </c>
      <c r="T65" s="73">
        <f t="shared" si="23"/>
        <v>5254.6999999999762</v>
      </c>
      <c r="U65" s="73">
        <f t="shared" si="23"/>
        <v>2627.3499999999758</v>
      </c>
      <c r="V65" s="73">
        <f t="shared" si="23"/>
        <v>-2.4556356947869062E-11</v>
      </c>
      <c r="W65" s="73">
        <f t="shared" si="23"/>
        <v>-2.4556356947869062E-11</v>
      </c>
      <c r="X65" s="73"/>
      <c r="Y65" s="73"/>
      <c r="Z65" s="73"/>
      <c r="AA65" s="174"/>
      <c r="AB65" s="174"/>
      <c r="AC65" s="73"/>
      <c r="AD65" s="73"/>
      <c r="AE65" s="73"/>
      <c r="AF65" s="392"/>
      <c r="AG65" s="73"/>
      <c r="AH65" s="25"/>
    </row>
    <row r="66" spans="1:39">
      <c r="A66" s="73" t="s">
        <v>137</v>
      </c>
      <c r="B66" s="395">
        <v>0</v>
      </c>
      <c r="C66" s="73">
        <f>$B$65*C26/2</f>
        <v>1313.6750000000002</v>
      </c>
      <c r="D66" s="73">
        <f t="shared" ref="D66:W66" si="24">$B$65*D26/2</f>
        <v>1313.6750000000002</v>
      </c>
      <c r="E66" s="73">
        <f t="shared" si="24"/>
        <v>1313.6750000000002</v>
      </c>
      <c r="F66" s="73">
        <f t="shared" si="24"/>
        <v>1313.6750000000002</v>
      </c>
      <c r="G66" s="73">
        <f t="shared" si="24"/>
        <v>1313.6750000000002</v>
      </c>
      <c r="H66" s="73">
        <f t="shared" si="24"/>
        <v>1313.6750000000002</v>
      </c>
      <c r="I66" s="73">
        <f t="shared" si="24"/>
        <v>1313.6750000000002</v>
      </c>
      <c r="J66" s="73">
        <f t="shared" si="24"/>
        <v>1313.6750000000002</v>
      </c>
      <c r="K66" s="73">
        <f t="shared" si="24"/>
        <v>1313.6750000000002</v>
      </c>
      <c r="L66" s="73">
        <f t="shared" si="24"/>
        <v>1313.6750000000002</v>
      </c>
      <c r="M66" s="73">
        <f t="shared" si="24"/>
        <v>1313.6750000000002</v>
      </c>
      <c r="N66" s="73">
        <f t="shared" si="24"/>
        <v>1313.6750000000002</v>
      </c>
      <c r="O66" s="73">
        <f t="shared" si="24"/>
        <v>1313.6750000000002</v>
      </c>
      <c r="P66" s="73">
        <f t="shared" si="24"/>
        <v>1313.6750000000002</v>
      </c>
      <c r="Q66" s="73">
        <f t="shared" si="24"/>
        <v>1313.6750000000002</v>
      </c>
      <c r="R66" s="73">
        <f t="shared" si="24"/>
        <v>1313.6750000000002</v>
      </c>
      <c r="S66" s="73">
        <f t="shared" si="24"/>
        <v>1313.6750000000002</v>
      </c>
      <c r="T66" s="73">
        <f t="shared" si="24"/>
        <v>1313.6750000000002</v>
      </c>
      <c r="U66" s="73">
        <f t="shared" si="24"/>
        <v>1313.6750000000002</v>
      </c>
      <c r="V66" s="73">
        <f t="shared" si="24"/>
        <v>0</v>
      </c>
      <c r="W66" s="73">
        <f t="shared" si="24"/>
        <v>0</v>
      </c>
      <c r="X66" s="393"/>
      <c r="Y66" s="393"/>
      <c r="Z66" s="393"/>
      <c r="AA66" s="174"/>
      <c r="AB66" s="174"/>
      <c r="AC66" s="393"/>
      <c r="AD66" s="393"/>
      <c r="AE66" s="393"/>
      <c r="AF66" s="393"/>
      <c r="AG66" s="393"/>
      <c r="AH66" s="25"/>
    </row>
    <row r="67" spans="1:39">
      <c r="A67" s="73" t="s">
        <v>138</v>
      </c>
      <c r="B67" s="395">
        <v>0</v>
      </c>
      <c r="C67" s="73">
        <f>C65*$R$7/2</f>
        <v>2041.7136849999999</v>
      </c>
      <c r="D67" s="73">
        <f t="shared" ref="D67:W67" si="25">D65*$R$7/2</f>
        <v>1934.2550699999997</v>
      </c>
      <c r="E67" s="73">
        <f t="shared" si="25"/>
        <v>1826.7964549999995</v>
      </c>
      <c r="F67" s="73">
        <f t="shared" si="25"/>
        <v>1719.3378399999992</v>
      </c>
      <c r="G67" s="73">
        <f t="shared" si="25"/>
        <v>1611.879224999999</v>
      </c>
      <c r="H67" s="73">
        <f t="shared" si="25"/>
        <v>1504.4206099999988</v>
      </c>
      <c r="I67" s="73">
        <f t="shared" si="25"/>
        <v>1396.9619949999985</v>
      </c>
      <c r="J67" s="73">
        <f t="shared" si="25"/>
        <v>1289.5033799999985</v>
      </c>
      <c r="K67" s="73">
        <f t="shared" si="25"/>
        <v>1182.0447649999985</v>
      </c>
      <c r="L67" s="73">
        <f t="shared" si="25"/>
        <v>1074.5861499999987</v>
      </c>
      <c r="M67" s="73">
        <f t="shared" si="25"/>
        <v>967.12753499999872</v>
      </c>
      <c r="N67" s="73">
        <f t="shared" si="25"/>
        <v>859.66891999999871</v>
      </c>
      <c r="O67" s="73">
        <f t="shared" si="25"/>
        <v>752.21030499999881</v>
      </c>
      <c r="P67" s="73">
        <f t="shared" si="25"/>
        <v>644.75168999999892</v>
      </c>
      <c r="Q67" s="73">
        <f t="shared" si="25"/>
        <v>537.29307499999891</v>
      </c>
      <c r="R67" s="73">
        <f t="shared" si="25"/>
        <v>429.83445999999901</v>
      </c>
      <c r="S67" s="73">
        <f t="shared" si="25"/>
        <v>322.375844999999</v>
      </c>
      <c r="T67" s="73">
        <f t="shared" si="25"/>
        <v>214.91722999999902</v>
      </c>
      <c r="U67" s="73">
        <f t="shared" si="25"/>
        <v>107.45861499999901</v>
      </c>
      <c r="V67" s="73">
        <f t="shared" si="25"/>
        <v>-1.0043549991678447E-12</v>
      </c>
      <c r="W67" s="73">
        <f t="shared" si="25"/>
        <v>-1.0043549991678447E-12</v>
      </c>
      <c r="X67" s="393"/>
      <c r="Y67" s="393"/>
      <c r="Z67" s="393"/>
      <c r="AA67" s="174"/>
      <c r="AB67" s="174"/>
      <c r="AC67" s="393"/>
      <c r="AD67" s="393"/>
      <c r="AE67" s="393"/>
      <c r="AF67" s="393"/>
      <c r="AG67" s="393"/>
      <c r="AH67" s="25"/>
    </row>
    <row r="68" spans="1:39">
      <c r="A68" s="73" t="s">
        <v>139</v>
      </c>
      <c r="B68" s="395">
        <f>B65-B66</f>
        <v>52547</v>
      </c>
      <c r="C68" s="73">
        <f t="shared" ref="C68:R68" si="26">C65-C66</f>
        <v>48605.974999999999</v>
      </c>
      <c r="D68" s="73">
        <f t="shared" si="26"/>
        <v>45978.624999999993</v>
      </c>
      <c r="E68" s="73">
        <f t="shared" si="26"/>
        <v>43351.274999999987</v>
      </c>
      <c r="F68" s="73">
        <f t="shared" si="26"/>
        <v>40723.924999999981</v>
      </c>
      <c r="G68" s="73">
        <f t="shared" si="26"/>
        <v>38096.574999999975</v>
      </c>
      <c r="H68" s="73">
        <f t="shared" si="26"/>
        <v>35469.224999999969</v>
      </c>
      <c r="I68" s="73">
        <f t="shared" si="26"/>
        <v>32841.874999999964</v>
      </c>
      <c r="J68" s="73">
        <f t="shared" si="26"/>
        <v>30214.524999999965</v>
      </c>
      <c r="K68" s="73">
        <f t="shared" si="26"/>
        <v>27587.174999999967</v>
      </c>
      <c r="L68" s="73">
        <f t="shared" si="26"/>
        <v>24959.824999999968</v>
      </c>
      <c r="M68" s="393">
        <f t="shared" si="26"/>
        <v>22332.474999999969</v>
      </c>
      <c r="N68" s="393">
        <f t="shared" si="26"/>
        <v>19705.124999999971</v>
      </c>
      <c r="O68" s="393">
        <f t="shared" si="26"/>
        <v>17077.774999999972</v>
      </c>
      <c r="P68" s="393">
        <f t="shared" si="26"/>
        <v>14450.424999999974</v>
      </c>
      <c r="Q68" s="393">
        <f t="shared" si="26"/>
        <v>11823.074999999975</v>
      </c>
      <c r="R68" s="393">
        <f t="shared" si="26"/>
        <v>9195.7249999999767</v>
      </c>
      <c r="S68" s="393">
        <f>S65-S66</f>
        <v>6568.3749999999764</v>
      </c>
      <c r="T68" s="393">
        <f>T65-T66</f>
        <v>3941.024999999976</v>
      </c>
      <c r="U68" s="393">
        <f>U65-U66</f>
        <v>1313.6749999999756</v>
      </c>
      <c r="V68" s="393">
        <f>V65-V66</f>
        <v>-2.4556356947869062E-11</v>
      </c>
      <c r="W68" s="393">
        <f>W65-W66</f>
        <v>-2.4556356947869062E-11</v>
      </c>
      <c r="X68" s="393"/>
      <c r="Y68" s="393"/>
      <c r="Z68" s="393"/>
      <c r="AA68" s="174"/>
      <c r="AB68" s="174"/>
      <c r="AC68" s="393"/>
      <c r="AD68" s="393"/>
      <c r="AE68" s="393"/>
      <c r="AF68" s="393"/>
      <c r="AG68" s="393"/>
      <c r="AH68" s="25"/>
    </row>
    <row r="69" spans="1:39">
      <c r="A69" s="475">
        <f>A35</f>
        <v>36557</v>
      </c>
      <c r="B69" s="395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393"/>
      <c r="U69" s="393"/>
      <c r="V69" s="393"/>
      <c r="W69" s="393"/>
      <c r="X69" s="73"/>
      <c r="Y69" s="73"/>
      <c r="Z69" s="73"/>
      <c r="AA69" s="174"/>
      <c r="AB69" s="174"/>
      <c r="AC69" s="73"/>
      <c r="AD69" s="73"/>
      <c r="AE69" s="73"/>
      <c r="AF69" s="393"/>
      <c r="AG69" s="73"/>
      <c r="AH69" s="25"/>
    </row>
    <row r="70" spans="1:39">
      <c r="A70" s="73" t="s">
        <v>136</v>
      </c>
      <c r="B70" s="395">
        <f>B68</f>
        <v>52547</v>
      </c>
      <c r="C70" s="73">
        <f>C68</f>
        <v>48605.974999999999</v>
      </c>
      <c r="D70" s="73">
        <f t="shared" ref="D70:W70" si="27">D68</f>
        <v>45978.624999999993</v>
      </c>
      <c r="E70" s="73">
        <f t="shared" si="27"/>
        <v>43351.274999999987</v>
      </c>
      <c r="F70" s="73">
        <f t="shared" si="27"/>
        <v>40723.924999999981</v>
      </c>
      <c r="G70" s="73">
        <f t="shared" si="27"/>
        <v>38096.574999999975</v>
      </c>
      <c r="H70" s="73">
        <f t="shared" si="27"/>
        <v>35469.224999999969</v>
      </c>
      <c r="I70" s="73">
        <f t="shared" si="27"/>
        <v>32841.874999999964</v>
      </c>
      <c r="J70" s="73">
        <f t="shared" si="27"/>
        <v>30214.524999999965</v>
      </c>
      <c r="K70" s="73">
        <f t="shared" si="27"/>
        <v>27587.174999999967</v>
      </c>
      <c r="L70" s="73">
        <f t="shared" si="27"/>
        <v>24959.824999999968</v>
      </c>
      <c r="M70" s="73">
        <f t="shared" si="27"/>
        <v>22332.474999999969</v>
      </c>
      <c r="N70" s="73">
        <f t="shared" si="27"/>
        <v>19705.124999999971</v>
      </c>
      <c r="O70" s="73">
        <f t="shared" si="27"/>
        <v>17077.774999999972</v>
      </c>
      <c r="P70" s="73">
        <f t="shared" si="27"/>
        <v>14450.424999999974</v>
      </c>
      <c r="Q70" s="73">
        <f t="shared" si="27"/>
        <v>11823.074999999975</v>
      </c>
      <c r="R70" s="73">
        <f t="shared" si="27"/>
        <v>9195.7249999999767</v>
      </c>
      <c r="S70" s="73">
        <f t="shared" si="27"/>
        <v>6568.3749999999764</v>
      </c>
      <c r="T70" s="73">
        <f t="shared" si="27"/>
        <v>3941.024999999976</v>
      </c>
      <c r="U70" s="73">
        <f t="shared" si="27"/>
        <v>1313.6749999999756</v>
      </c>
      <c r="V70" s="73">
        <f t="shared" si="27"/>
        <v>-2.4556356947869062E-11</v>
      </c>
      <c r="W70" s="73">
        <f t="shared" si="27"/>
        <v>-2.4556356947869062E-11</v>
      </c>
      <c r="X70" s="73"/>
      <c r="Y70" s="73"/>
      <c r="Z70" s="73"/>
      <c r="AA70" s="174"/>
      <c r="AB70" s="174"/>
      <c r="AC70" s="73"/>
      <c r="AD70" s="73"/>
      <c r="AE70" s="73"/>
      <c r="AF70" s="393"/>
      <c r="AG70" s="73"/>
      <c r="AH70" s="25"/>
    </row>
    <row r="71" spans="1:39">
      <c r="A71" s="73" t="s">
        <v>137</v>
      </c>
      <c r="B71" s="395">
        <f>B65*B26</f>
        <v>2627.3500000000004</v>
      </c>
      <c r="C71" s="73">
        <f>$B$65*C26/2</f>
        <v>1313.6750000000002</v>
      </c>
      <c r="D71" s="73">
        <f t="shared" ref="D71:W71" si="28">$B$65*D26/2</f>
        <v>1313.6750000000002</v>
      </c>
      <c r="E71" s="73">
        <f t="shared" si="28"/>
        <v>1313.6750000000002</v>
      </c>
      <c r="F71" s="73">
        <f t="shared" si="28"/>
        <v>1313.6750000000002</v>
      </c>
      <c r="G71" s="73">
        <f t="shared" si="28"/>
        <v>1313.6750000000002</v>
      </c>
      <c r="H71" s="73">
        <f t="shared" si="28"/>
        <v>1313.6750000000002</v>
      </c>
      <c r="I71" s="73">
        <f t="shared" si="28"/>
        <v>1313.6750000000002</v>
      </c>
      <c r="J71" s="73">
        <f t="shared" si="28"/>
        <v>1313.6750000000002</v>
      </c>
      <c r="K71" s="73">
        <f t="shared" si="28"/>
        <v>1313.6750000000002</v>
      </c>
      <c r="L71" s="73">
        <f t="shared" si="28"/>
        <v>1313.6750000000002</v>
      </c>
      <c r="M71" s="73">
        <f t="shared" si="28"/>
        <v>1313.6750000000002</v>
      </c>
      <c r="N71" s="73">
        <f t="shared" si="28"/>
        <v>1313.6750000000002</v>
      </c>
      <c r="O71" s="73">
        <f t="shared" si="28"/>
        <v>1313.6750000000002</v>
      </c>
      <c r="P71" s="73">
        <f t="shared" si="28"/>
        <v>1313.6750000000002</v>
      </c>
      <c r="Q71" s="73">
        <f t="shared" si="28"/>
        <v>1313.6750000000002</v>
      </c>
      <c r="R71" s="73">
        <f t="shared" si="28"/>
        <v>1313.6750000000002</v>
      </c>
      <c r="S71" s="73">
        <f t="shared" si="28"/>
        <v>1313.6750000000002</v>
      </c>
      <c r="T71" s="73">
        <f t="shared" si="28"/>
        <v>1313.6750000000002</v>
      </c>
      <c r="U71" s="73">
        <f t="shared" si="28"/>
        <v>1313.6750000000002</v>
      </c>
      <c r="V71" s="73">
        <f t="shared" si="28"/>
        <v>0</v>
      </c>
      <c r="W71" s="73">
        <f t="shared" si="28"/>
        <v>0</v>
      </c>
      <c r="X71" s="73"/>
      <c r="Y71" s="73"/>
      <c r="Z71" s="73"/>
      <c r="AA71" s="174"/>
      <c r="AB71" s="174"/>
      <c r="AC71" s="73"/>
      <c r="AD71" s="73"/>
      <c r="AE71" s="73"/>
      <c r="AF71" s="393"/>
      <c r="AG71" s="73"/>
      <c r="AH71" s="25"/>
    </row>
    <row r="72" spans="1:39">
      <c r="A72" s="73" t="s">
        <v>138</v>
      </c>
      <c r="B72" s="395">
        <f>B70*$R$7/2</f>
        <v>2149.1722999999997</v>
      </c>
      <c r="C72" s="395">
        <f t="shared" ref="C72:W72" si="29">C70*$R$7/2</f>
        <v>1987.9843774999999</v>
      </c>
      <c r="D72" s="395">
        <f t="shared" si="29"/>
        <v>1880.5257624999997</v>
      </c>
      <c r="E72" s="395">
        <f t="shared" si="29"/>
        <v>1773.0671474999995</v>
      </c>
      <c r="F72" s="395">
        <f t="shared" si="29"/>
        <v>1665.6085324999992</v>
      </c>
      <c r="G72" s="395">
        <f t="shared" si="29"/>
        <v>1558.149917499999</v>
      </c>
      <c r="H72" s="395">
        <f t="shared" si="29"/>
        <v>1450.6913024999988</v>
      </c>
      <c r="I72" s="395">
        <f t="shared" si="29"/>
        <v>1343.2326874999985</v>
      </c>
      <c r="J72" s="395">
        <f t="shared" si="29"/>
        <v>1235.7740724999985</v>
      </c>
      <c r="K72" s="395">
        <f t="shared" si="29"/>
        <v>1128.3154574999985</v>
      </c>
      <c r="L72" s="395">
        <f t="shared" si="29"/>
        <v>1020.8568424999986</v>
      </c>
      <c r="M72" s="395">
        <f t="shared" si="29"/>
        <v>913.39822749999871</v>
      </c>
      <c r="N72" s="395">
        <f t="shared" si="29"/>
        <v>805.93961249999882</v>
      </c>
      <c r="O72" s="395">
        <f t="shared" si="29"/>
        <v>698.48099749999881</v>
      </c>
      <c r="P72" s="395">
        <f t="shared" si="29"/>
        <v>591.02238249999891</v>
      </c>
      <c r="Q72" s="395">
        <f t="shared" si="29"/>
        <v>483.56376749999896</v>
      </c>
      <c r="R72" s="395">
        <f t="shared" si="29"/>
        <v>376.10515249999906</v>
      </c>
      <c r="S72" s="395">
        <f t="shared" si="29"/>
        <v>268.646537499999</v>
      </c>
      <c r="T72" s="395">
        <f t="shared" si="29"/>
        <v>161.18792249999902</v>
      </c>
      <c r="U72" s="395">
        <f t="shared" si="29"/>
        <v>53.729307499999003</v>
      </c>
      <c r="V72" s="395">
        <f t="shared" si="29"/>
        <v>-1.0043549991678447E-12</v>
      </c>
      <c r="W72" s="395">
        <f t="shared" si="29"/>
        <v>-1.0043549991678447E-12</v>
      </c>
      <c r="X72" s="73"/>
      <c r="Y72" s="73"/>
      <c r="Z72" s="73"/>
      <c r="AA72" s="174"/>
      <c r="AB72" s="174"/>
      <c r="AC72" s="73"/>
      <c r="AD72" s="73"/>
      <c r="AE72" s="73"/>
      <c r="AF72" s="393"/>
      <c r="AG72" s="73"/>
      <c r="AH72" s="25"/>
    </row>
    <row r="73" spans="1:39">
      <c r="A73" s="73" t="s">
        <v>139</v>
      </c>
      <c r="B73" s="73">
        <f>B70-B71</f>
        <v>49919.65</v>
      </c>
      <c r="C73" s="73">
        <f t="shared" ref="C73:R73" si="30">C70-C71</f>
        <v>47292.299999999996</v>
      </c>
      <c r="D73" s="73">
        <f t="shared" si="30"/>
        <v>44664.94999999999</v>
      </c>
      <c r="E73" s="73">
        <f t="shared" si="30"/>
        <v>42037.599999999984</v>
      </c>
      <c r="F73" s="73">
        <f t="shared" si="30"/>
        <v>39410.249999999978</v>
      </c>
      <c r="G73" s="73">
        <f t="shared" si="30"/>
        <v>36782.899999999972</v>
      </c>
      <c r="H73" s="73">
        <f t="shared" si="30"/>
        <v>34155.549999999967</v>
      </c>
      <c r="I73" s="73">
        <f t="shared" si="30"/>
        <v>31528.199999999964</v>
      </c>
      <c r="J73" s="73">
        <f t="shared" si="30"/>
        <v>28900.849999999966</v>
      </c>
      <c r="K73" s="73">
        <f t="shared" si="30"/>
        <v>26273.499999999967</v>
      </c>
      <c r="L73" s="73">
        <f t="shared" si="30"/>
        <v>23646.149999999969</v>
      </c>
      <c r="M73" s="73">
        <f t="shared" si="30"/>
        <v>21018.79999999997</v>
      </c>
      <c r="N73" s="73">
        <f t="shared" si="30"/>
        <v>18391.449999999972</v>
      </c>
      <c r="O73" s="73">
        <f t="shared" si="30"/>
        <v>15764.099999999973</v>
      </c>
      <c r="P73" s="73">
        <f t="shared" si="30"/>
        <v>13136.749999999975</v>
      </c>
      <c r="Q73" s="73">
        <f t="shared" si="30"/>
        <v>10509.399999999976</v>
      </c>
      <c r="R73" s="73">
        <f t="shared" si="30"/>
        <v>7882.0499999999765</v>
      </c>
      <c r="S73" s="73">
        <f>S70-S71</f>
        <v>5254.6999999999762</v>
      </c>
      <c r="T73" s="393">
        <f>T70-T71</f>
        <v>2627.3499999999758</v>
      </c>
      <c r="U73" s="393">
        <f>U70-U71</f>
        <v>-2.4556356947869062E-11</v>
      </c>
      <c r="V73" s="393">
        <f>V70-V71</f>
        <v>-2.4556356947869062E-11</v>
      </c>
      <c r="W73" s="393">
        <f>W70-W71</f>
        <v>-2.4556356947869062E-11</v>
      </c>
      <c r="X73" s="73"/>
      <c r="Y73" s="73"/>
      <c r="Z73" s="73"/>
      <c r="AA73" s="174"/>
      <c r="AB73" s="174"/>
      <c r="AC73" s="73"/>
      <c r="AD73" s="73"/>
      <c r="AE73" s="73"/>
      <c r="AF73" s="393"/>
      <c r="AG73" s="73"/>
      <c r="AH73" s="25"/>
    </row>
    <row r="74" spans="1:39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393"/>
      <c r="U74" s="393"/>
      <c r="V74" s="393"/>
      <c r="W74" s="393"/>
      <c r="X74" s="73"/>
      <c r="Y74" s="73"/>
      <c r="Z74" s="73"/>
      <c r="AA74" s="174"/>
      <c r="AB74" s="174"/>
      <c r="AC74" s="73"/>
      <c r="AD74" s="73"/>
      <c r="AE74" s="73"/>
      <c r="AF74" s="393"/>
      <c r="AG74" s="73"/>
      <c r="AH74" s="25"/>
    </row>
    <row r="75" spans="1:39">
      <c r="A75" s="75" t="s">
        <v>191</v>
      </c>
      <c r="B75" s="73">
        <f>B72+B67</f>
        <v>2149.1722999999997</v>
      </c>
      <c r="C75" s="73">
        <f t="shared" ref="C75:W75" si="31">C72+C67</f>
        <v>4029.6980624999997</v>
      </c>
      <c r="D75" s="73">
        <f t="shared" si="31"/>
        <v>3814.7808324999996</v>
      </c>
      <c r="E75" s="73">
        <f t="shared" si="31"/>
        <v>3599.8636024999987</v>
      </c>
      <c r="F75" s="73">
        <f t="shared" si="31"/>
        <v>3384.9463724999987</v>
      </c>
      <c r="G75" s="73">
        <f t="shared" si="31"/>
        <v>3170.0291424999978</v>
      </c>
      <c r="H75" s="73">
        <f t="shared" si="31"/>
        <v>2955.1119124999977</v>
      </c>
      <c r="I75" s="73">
        <f t="shared" si="31"/>
        <v>2740.1946824999968</v>
      </c>
      <c r="J75" s="73">
        <f t="shared" si="31"/>
        <v>2525.2774524999968</v>
      </c>
      <c r="K75" s="73">
        <f t="shared" si="31"/>
        <v>2310.3602224999968</v>
      </c>
      <c r="L75" s="73">
        <f t="shared" si="31"/>
        <v>2095.4429924999972</v>
      </c>
      <c r="M75" s="73">
        <f t="shared" si="31"/>
        <v>1880.5257624999974</v>
      </c>
      <c r="N75" s="73">
        <f t="shared" si="31"/>
        <v>1665.6085324999976</v>
      </c>
      <c r="O75" s="73">
        <f t="shared" si="31"/>
        <v>1450.6913024999976</v>
      </c>
      <c r="P75" s="73">
        <f t="shared" si="31"/>
        <v>1235.7740724999978</v>
      </c>
      <c r="Q75" s="73">
        <f t="shared" si="31"/>
        <v>1020.8568424999978</v>
      </c>
      <c r="R75" s="73">
        <f t="shared" si="31"/>
        <v>805.93961249999802</v>
      </c>
      <c r="S75" s="73">
        <f t="shared" si="31"/>
        <v>591.022382499998</v>
      </c>
      <c r="T75" s="73">
        <f t="shared" si="31"/>
        <v>376.10515249999804</v>
      </c>
      <c r="U75" s="73">
        <f t="shared" si="31"/>
        <v>161.18792249999802</v>
      </c>
      <c r="V75" s="73">
        <f t="shared" si="31"/>
        <v>-2.0087099983356894E-12</v>
      </c>
      <c r="W75" s="73">
        <f t="shared" si="31"/>
        <v>-2.0087099983356894E-12</v>
      </c>
      <c r="X75" s="73"/>
      <c r="Y75" s="73"/>
      <c r="Z75" s="73"/>
      <c r="AA75" s="174"/>
      <c r="AB75" s="174"/>
      <c r="AC75" s="73"/>
      <c r="AD75" s="73"/>
      <c r="AE75" s="73"/>
      <c r="AF75" s="393"/>
      <c r="AG75" s="73"/>
      <c r="AH75" s="25"/>
    </row>
    <row r="76" spans="1:39">
      <c r="A76" s="16" t="s">
        <v>192</v>
      </c>
      <c r="B76" s="73">
        <v>0</v>
      </c>
      <c r="C76" s="73">
        <v>0</v>
      </c>
      <c r="D76" s="73">
        <v>0</v>
      </c>
      <c r="E76" s="73">
        <v>0</v>
      </c>
      <c r="F76" s="73">
        <v>0</v>
      </c>
      <c r="G76" s="73">
        <v>0</v>
      </c>
      <c r="H76" s="73">
        <v>0</v>
      </c>
      <c r="I76" s="73">
        <v>0</v>
      </c>
      <c r="J76" s="73">
        <v>0</v>
      </c>
      <c r="K76" s="73">
        <v>0</v>
      </c>
      <c r="L76" s="73">
        <v>0</v>
      </c>
      <c r="M76" s="73">
        <v>0</v>
      </c>
      <c r="N76" s="73">
        <v>0</v>
      </c>
      <c r="O76" s="73">
        <v>0</v>
      </c>
      <c r="P76" s="73">
        <v>0</v>
      </c>
      <c r="Q76" s="73">
        <v>0</v>
      </c>
      <c r="R76" s="73">
        <v>0</v>
      </c>
      <c r="S76" s="73">
        <v>0</v>
      </c>
      <c r="T76" s="393">
        <v>0</v>
      </c>
      <c r="U76" s="393">
        <v>0</v>
      </c>
      <c r="V76" s="393">
        <v>0</v>
      </c>
      <c r="W76" s="393">
        <v>0</v>
      </c>
      <c r="AA76" s="17"/>
      <c r="AB76" s="17"/>
      <c r="AF76" s="6"/>
      <c r="AG76" s="73"/>
      <c r="AH76" s="25"/>
    </row>
    <row r="77" spans="1:39">
      <c r="A77" s="75" t="s">
        <v>199</v>
      </c>
      <c r="B77" s="395">
        <f>B71+B66</f>
        <v>2627.3500000000004</v>
      </c>
      <c r="C77" s="395">
        <f t="shared" ref="C77:W77" si="32">C71+C66</f>
        <v>2627.3500000000004</v>
      </c>
      <c r="D77" s="395">
        <f t="shared" si="32"/>
        <v>2627.3500000000004</v>
      </c>
      <c r="E77" s="395">
        <f t="shared" si="32"/>
        <v>2627.3500000000004</v>
      </c>
      <c r="F77" s="395">
        <f t="shared" si="32"/>
        <v>2627.3500000000004</v>
      </c>
      <c r="G77" s="395">
        <f t="shared" si="32"/>
        <v>2627.3500000000004</v>
      </c>
      <c r="H77" s="395">
        <f t="shared" si="32"/>
        <v>2627.3500000000004</v>
      </c>
      <c r="I77" s="395">
        <f t="shared" si="32"/>
        <v>2627.3500000000004</v>
      </c>
      <c r="J77" s="395">
        <f t="shared" si="32"/>
        <v>2627.3500000000004</v>
      </c>
      <c r="K77" s="395">
        <f t="shared" si="32"/>
        <v>2627.3500000000004</v>
      </c>
      <c r="L77" s="395">
        <f t="shared" si="32"/>
        <v>2627.3500000000004</v>
      </c>
      <c r="M77" s="395">
        <f t="shared" si="32"/>
        <v>2627.3500000000004</v>
      </c>
      <c r="N77" s="395">
        <f t="shared" si="32"/>
        <v>2627.3500000000004</v>
      </c>
      <c r="O77" s="395">
        <f t="shared" si="32"/>
        <v>2627.3500000000004</v>
      </c>
      <c r="P77" s="395">
        <f t="shared" si="32"/>
        <v>2627.3500000000004</v>
      </c>
      <c r="Q77" s="395">
        <f t="shared" si="32"/>
        <v>2627.3500000000004</v>
      </c>
      <c r="R77" s="395">
        <f t="shared" si="32"/>
        <v>2627.3500000000004</v>
      </c>
      <c r="S77" s="395">
        <f t="shared" si="32"/>
        <v>2627.3500000000004</v>
      </c>
      <c r="T77" s="395">
        <f t="shared" si="32"/>
        <v>2627.3500000000004</v>
      </c>
      <c r="U77" s="395">
        <f t="shared" si="32"/>
        <v>2627.3500000000004</v>
      </c>
      <c r="V77" s="395">
        <f t="shared" si="32"/>
        <v>0</v>
      </c>
      <c r="W77" s="395">
        <f t="shared" si="32"/>
        <v>0</v>
      </c>
      <c r="AA77" s="17"/>
      <c r="AB77" s="17"/>
      <c r="AF77" s="6"/>
      <c r="AG77" s="73"/>
      <c r="AH77" s="25"/>
    </row>
    <row r="78" spans="1:39">
      <c r="T78" s="6"/>
      <c r="U78" s="6"/>
      <c r="V78" s="6"/>
      <c r="W78" s="6"/>
    </row>
    <row r="80" spans="1:39">
      <c r="A80" s="88" t="s">
        <v>100</v>
      </c>
      <c r="B80" s="89">
        <f>IS!D42</f>
        <v>9632.6488821778366</v>
      </c>
      <c r="C80" s="89">
        <f>IS!E42</f>
        <v>18696.866694684348</v>
      </c>
      <c r="D80" s="89">
        <f>IS!F42</f>
        <v>18653.794981252136</v>
      </c>
      <c r="E80" s="89">
        <f>IS!G42</f>
        <v>18609.041265038704</v>
      </c>
      <c r="F80" s="89">
        <f>IS!H42</f>
        <v>23907.316879494854</v>
      </c>
      <c r="G80" s="89">
        <f>IS!I42</f>
        <v>29613.602189624631</v>
      </c>
      <c r="H80" s="89">
        <f>IS!J42</f>
        <v>29968.44740132205</v>
      </c>
      <c r="I80" s="89">
        <f>IS!K42</f>
        <v>30321.347867198383</v>
      </c>
      <c r="J80" s="89">
        <f>IS!L42</f>
        <v>31289.367294263509</v>
      </c>
      <c r="K80" s="89">
        <f>IS!M42</f>
        <v>31643.792043699796</v>
      </c>
      <c r="L80" s="89">
        <f>IS!N42</f>
        <v>32655.60206277384</v>
      </c>
      <c r="M80" s="89">
        <f>IS!O42</f>
        <v>32229.829622884117</v>
      </c>
      <c r="N80" s="89">
        <f>IS!P42</f>
        <v>33340.775439708174</v>
      </c>
      <c r="O80" s="89">
        <f>IS!Q42</f>
        <v>33775.692346432748</v>
      </c>
      <c r="P80" s="89">
        <f>IS!R42</f>
        <v>34197.88046322763</v>
      </c>
      <c r="Q80" s="89">
        <f>IS!S42</f>
        <v>34605.514742366337</v>
      </c>
      <c r="R80" s="89">
        <f>IS!T42</f>
        <v>35028.794818503397</v>
      </c>
      <c r="S80" s="89">
        <f>IS!U42</f>
        <v>35447.471091423373</v>
      </c>
      <c r="T80" s="89">
        <f>IS!V42</f>
        <v>35838.747186508699</v>
      </c>
      <c r="U80" s="89">
        <f>IS!W42</f>
        <v>36092.935480560132</v>
      </c>
      <c r="V80" s="89">
        <f>IS!X42</f>
        <v>36257.472576500048</v>
      </c>
      <c r="W80" s="89">
        <f>IS!Y42</f>
        <v>36624.476771898437</v>
      </c>
      <c r="X80"/>
      <c r="Y80"/>
      <c r="Z80"/>
      <c r="AA80"/>
      <c r="AB80" s="113"/>
      <c r="AC80" s="89"/>
      <c r="AD80" s="89"/>
      <c r="AE80" s="89"/>
      <c r="AF80" s="89"/>
      <c r="AG80" s="89"/>
      <c r="AH80" s="1"/>
      <c r="AI80" s="1"/>
      <c r="AJ80" s="1"/>
      <c r="AK80" s="1"/>
      <c r="AL80" s="1"/>
      <c r="AM80" s="1"/>
    </row>
    <row r="81" spans="1:39">
      <c r="A81" s="67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/>
      <c r="Y81"/>
      <c r="Z81"/>
      <c r="AA81"/>
      <c r="AB81" s="175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</row>
    <row r="82" spans="1:39">
      <c r="A82" s="74" t="s">
        <v>196</v>
      </c>
      <c r="B82" s="74">
        <f>B32+B33+B37+B38</f>
        <v>1332.2099000000001</v>
      </c>
      <c r="C82" s="74">
        <f t="shared" ref="C82:W82" si="33">C32+C33+C37+C38</f>
        <v>1801.1310625000003</v>
      </c>
      <c r="D82" s="74">
        <f t="shared" si="33"/>
        <v>1747.5400725000002</v>
      </c>
      <c r="E82" s="74">
        <f t="shared" si="33"/>
        <v>1693.9490825000003</v>
      </c>
      <c r="F82" s="74">
        <f t="shared" si="33"/>
        <v>1640.3580925000003</v>
      </c>
      <c r="G82" s="74">
        <f t="shared" si="33"/>
        <v>1586.7671025000002</v>
      </c>
      <c r="H82" s="74">
        <f t="shared" si="33"/>
        <v>1533.1761125000005</v>
      </c>
      <c r="I82" s="74">
        <f t="shared" si="33"/>
        <v>1479.5851225000004</v>
      </c>
      <c r="J82" s="74">
        <f t="shared" si="33"/>
        <v>1425.9941325000007</v>
      </c>
      <c r="K82" s="74">
        <f t="shared" si="33"/>
        <v>1372.4031425000005</v>
      </c>
      <c r="L82" s="74">
        <f t="shared" si="33"/>
        <v>1318.8121525000006</v>
      </c>
      <c r="M82" s="74">
        <f t="shared" si="33"/>
        <v>1265.2211625000007</v>
      </c>
      <c r="N82" s="74">
        <f t="shared" si="33"/>
        <v>1211.6301725000005</v>
      </c>
      <c r="O82" s="74">
        <f t="shared" si="33"/>
        <v>1158.0391825000008</v>
      </c>
      <c r="P82" s="74">
        <f t="shared" si="33"/>
        <v>1104.4481925000007</v>
      </c>
      <c r="Q82" s="74">
        <f t="shared" si="33"/>
        <v>1050.8572025000008</v>
      </c>
      <c r="R82" s="74">
        <f t="shared" si="33"/>
        <v>997.26621250000085</v>
      </c>
      <c r="S82" s="74">
        <f t="shared" si="33"/>
        <v>943.6752225000007</v>
      </c>
      <c r="T82" s="74">
        <f t="shared" si="33"/>
        <v>890.08423250000067</v>
      </c>
      <c r="U82" s="74">
        <f t="shared" si="33"/>
        <v>836.49324250000075</v>
      </c>
      <c r="V82" s="74">
        <f t="shared" si="33"/>
        <v>6.5034555518650444E-13</v>
      </c>
      <c r="W82" s="74">
        <f t="shared" si="33"/>
        <v>6.5034555518650444E-13</v>
      </c>
      <c r="X82"/>
      <c r="Y82"/>
      <c r="Z82"/>
      <c r="AA82"/>
      <c r="AB82" s="176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</row>
    <row r="83" spans="1:39">
      <c r="A83" s="74" t="s">
        <v>197</v>
      </c>
      <c r="B83" s="74">
        <f>B49+B50+B54+B55</f>
        <v>2574.1806999999999</v>
      </c>
      <c r="C83" s="74">
        <f t="shared" ref="C83:W83" si="34">C49+C50+C54+C55</f>
        <v>3544.6263125000005</v>
      </c>
      <c r="D83" s="74">
        <f t="shared" si="34"/>
        <v>3433.7182425000005</v>
      </c>
      <c r="E83" s="74">
        <f t="shared" si="34"/>
        <v>3322.8101725000006</v>
      </c>
      <c r="F83" s="74">
        <f t="shared" si="34"/>
        <v>3211.9021025000006</v>
      </c>
      <c r="G83" s="74">
        <f t="shared" si="34"/>
        <v>3100.9940325000011</v>
      </c>
      <c r="H83" s="74">
        <f t="shared" si="34"/>
        <v>2990.0859625000007</v>
      </c>
      <c r="I83" s="74">
        <f t="shared" si="34"/>
        <v>2879.1778925000012</v>
      </c>
      <c r="J83" s="74">
        <f t="shared" si="34"/>
        <v>2768.2698225000013</v>
      </c>
      <c r="K83" s="74">
        <f t="shared" si="34"/>
        <v>2657.3617525000013</v>
      </c>
      <c r="L83" s="74">
        <f t="shared" si="34"/>
        <v>2546.4536825000014</v>
      </c>
      <c r="M83" s="74">
        <f t="shared" si="34"/>
        <v>2435.5456125000014</v>
      </c>
      <c r="N83" s="74">
        <f t="shared" si="34"/>
        <v>2324.6375425000015</v>
      </c>
      <c r="O83" s="74">
        <f t="shared" si="34"/>
        <v>2213.7294725000015</v>
      </c>
      <c r="P83" s="74">
        <f t="shared" si="34"/>
        <v>2102.821402500002</v>
      </c>
      <c r="Q83" s="74">
        <f t="shared" si="34"/>
        <v>1991.9133325000016</v>
      </c>
      <c r="R83" s="74">
        <f t="shared" si="34"/>
        <v>1881.0052625000014</v>
      </c>
      <c r="S83" s="74">
        <f t="shared" si="34"/>
        <v>1770.0971925000017</v>
      </c>
      <c r="T83" s="74">
        <f t="shared" si="34"/>
        <v>1659.1891225000015</v>
      </c>
      <c r="U83" s="74">
        <f t="shared" si="34"/>
        <v>1548.2810525000016</v>
      </c>
      <c r="V83" s="74">
        <f t="shared" si="34"/>
        <v>1.3941871657152661E-12</v>
      </c>
      <c r="W83" s="74">
        <f t="shared" si="34"/>
        <v>1.3941871657152661E-12</v>
      </c>
      <c r="X83"/>
      <c r="Y83"/>
      <c r="Z83"/>
      <c r="AA83"/>
      <c r="AB83" s="176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</row>
    <row r="84" spans="1:39">
      <c r="A84" s="74" t="s">
        <v>198</v>
      </c>
      <c r="B84" s="74">
        <f>B66+B67+B71+B72</f>
        <v>4776.5223000000005</v>
      </c>
      <c r="C84" s="74">
        <f t="shared" ref="C84:W84" si="35">C66+C67+C71+C72</f>
        <v>6657.0480625</v>
      </c>
      <c r="D84" s="74">
        <f t="shared" si="35"/>
        <v>6442.1308324999991</v>
      </c>
      <c r="E84" s="74">
        <f t="shared" si="35"/>
        <v>6227.2136025</v>
      </c>
      <c r="F84" s="74">
        <f t="shared" si="35"/>
        <v>6012.2963724999991</v>
      </c>
      <c r="G84" s="74">
        <f t="shared" si="35"/>
        <v>5797.3791424999981</v>
      </c>
      <c r="H84" s="74">
        <f t="shared" si="35"/>
        <v>5582.4619124999981</v>
      </c>
      <c r="I84" s="74">
        <f t="shared" si="35"/>
        <v>5367.5446824999981</v>
      </c>
      <c r="J84" s="74">
        <f t="shared" si="35"/>
        <v>5152.6274524999972</v>
      </c>
      <c r="K84" s="74">
        <f t="shared" si="35"/>
        <v>4937.7102224999981</v>
      </c>
      <c r="L84" s="74">
        <f t="shared" si="35"/>
        <v>4722.792992499998</v>
      </c>
      <c r="M84" s="74">
        <f t="shared" si="35"/>
        <v>4507.875762499998</v>
      </c>
      <c r="N84" s="74">
        <f t="shared" si="35"/>
        <v>4292.958532499998</v>
      </c>
      <c r="O84" s="74">
        <f t="shared" si="35"/>
        <v>4078.041302499998</v>
      </c>
      <c r="P84" s="74">
        <f t="shared" si="35"/>
        <v>3863.1240724999984</v>
      </c>
      <c r="Q84" s="74">
        <f t="shared" si="35"/>
        <v>3648.2068424999979</v>
      </c>
      <c r="R84" s="74">
        <f t="shared" si="35"/>
        <v>3433.2896124999984</v>
      </c>
      <c r="S84" s="74">
        <f t="shared" si="35"/>
        <v>3218.3723824999984</v>
      </c>
      <c r="T84" s="74">
        <f t="shared" si="35"/>
        <v>3003.4551524999983</v>
      </c>
      <c r="U84" s="74">
        <f t="shared" si="35"/>
        <v>2788.5379224999983</v>
      </c>
      <c r="V84" s="74">
        <f t="shared" si="35"/>
        <v>-2.0087099983356894E-12</v>
      </c>
      <c r="W84" s="74">
        <f t="shared" si="35"/>
        <v>-2.0087099983356894E-12</v>
      </c>
      <c r="X84"/>
      <c r="Y84"/>
      <c r="Z84"/>
      <c r="AA84"/>
      <c r="AB84" s="176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</row>
    <row r="85" spans="1:39">
      <c r="A85" s="67" t="s">
        <v>205</v>
      </c>
      <c r="B85" s="491">
        <v>0</v>
      </c>
      <c r="C85" s="491">
        <v>0</v>
      </c>
      <c r="D85" s="492">
        <v>0</v>
      </c>
      <c r="E85" s="492">
        <v>0</v>
      </c>
      <c r="F85" s="492">
        <v>0</v>
      </c>
      <c r="G85" s="492">
        <v>0</v>
      </c>
      <c r="H85" s="492">
        <v>0</v>
      </c>
      <c r="I85" s="492">
        <v>0</v>
      </c>
      <c r="J85" s="492">
        <v>0</v>
      </c>
      <c r="K85" s="492">
        <v>0</v>
      </c>
      <c r="L85" s="492">
        <v>0</v>
      </c>
      <c r="M85" s="492">
        <v>0</v>
      </c>
      <c r="N85" s="492">
        <v>0</v>
      </c>
      <c r="O85" s="492">
        <v>0</v>
      </c>
      <c r="P85" s="492">
        <v>0</v>
      </c>
      <c r="Q85" s="492">
        <v>0</v>
      </c>
      <c r="R85" s="492">
        <v>0</v>
      </c>
      <c r="S85" s="492">
        <v>0</v>
      </c>
      <c r="T85" s="492">
        <v>0</v>
      </c>
      <c r="U85" s="492">
        <v>0</v>
      </c>
      <c r="V85" s="492">
        <v>0</v>
      </c>
      <c r="W85" s="492">
        <v>0</v>
      </c>
      <c r="X85"/>
      <c r="Y85"/>
      <c r="Z85"/>
      <c r="AA85"/>
      <c r="AB85" s="176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</row>
    <row r="86" spans="1:39"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/>
      <c r="Y86"/>
      <c r="Z86"/>
      <c r="AA86"/>
      <c r="AB86" s="176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</row>
    <row r="87" spans="1:39">
      <c r="A87" s="75" t="s">
        <v>140</v>
      </c>
      <c r="B87" s="75">
        <f>SUM(B82:B84)-B85</f>
        <v>8682.9128999999994</v>
      </c>
      <c r="C87" s="75">
        <f t="shared" ref="C87:W87" si="36">SUM(C82:C84)-C85</f>
        <v>12002.805437500001</v>
      </c>
      <c r="D87" s="75">
        <f t="shared" si="36"/>
        <v>11623.3891475</v>
      </c>
      <c r="E87" s="75">
        <f t="shared" si="36"/>
        <v>11243.972857500001</v>
      </c>
      <c r="F87" s="75">
        <f t="shared" si="36"/>
        <v>10864.5565675</v>
      </c>
      <c r="G87" s="75">
        <f t="shared" si="36"/>
        <v>10485.140277499999</v>
      </c>
      <c r="H87" s="75">
        <f t="shared" si="36"/>
        <v>10105.7239875</v>
      </c>
      <c r="I87" s="75">
        <f t="shared" si="36"/>
        <v>9726.3076975000004</v>
      </c>
      <c r="J87" s="75">
        <f t="shared" si="36"/>
        <v>9346.8914074999993</v>
      </c>
      <c r="K87" s="75">
        <f t="shared" si="36"/>
        <v>8967.4751175000001</v>
      </c>
      <c r="L87" s="75">
        <f t="shared" si="36"/>
        <v>8588.0588275000009</v>
      </c>
      <c r="M87" s="75">
        <f t="shared" si="36"/>
        <v>8208.6425374999999</v>
      </c>
      <c r="N87" s="75">
        <f t="shared" si="36"/>
        <v>7829.2262474999998</v>
      </c>
      <c r="O87" s="75">
        <f t="shared" si="36"/>
        <v>7449.8099575000006</v>
      </c>
      <c r="P87" s="75">
        <f t="shared" si="36"/>
        <v>7070.3936675000004</v>
      </c>
      <c r="Q87" s="75">
        <f t="shared" si="36"/>
        <v>6690.9773775000003</v>
      </c>
      <c r="R87" s="75">
        <f t="shared" si="36"/>
        <v>6311.5610875000002</v>
      </c>
      <c r="S87" s="75">
        <f t="shared" si="36"/>
        <v>5932.144797500001</v>
      </c>
      <c r="T87" s="75">
        <f t="shared" si="36"/>
        <v>5552.7285075</v>
      </c>
      <c r="U87" s="75">
        <f t="shared" si="36"/>
        <v>5173.3122175000008</v>
      </c>
      <c r="V87" s="75">
        <f t="shared" si="36"/>
        <v>3.5822722566080926E-14</v>
      </c>
      <c r="W87" s="75">
        <f t="shared" si="36"/>
        <v>3.5822722566080926E-14</v>
      </c>
      <c r="X87"/>
      <c r="Y87"/>
      <c r="Z87"/>
      <c r="AA87"/>
      <c r="AB87" s="177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</row>
    <row r="88" spans="1:39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/>
      <c r="Y88"/>
      <c r="Z88"/>
      <c r="AA88"/>
      <c r="AB88" s="177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</row>
    <row r="89" spans="1:39">
      <c r="A89" s="75" t="s">
        <v>194</v>
      </c>
      <c r="B89" s="75">
        <f t="shared" ref="B89:W89" si="37">B41+B58+B75</f>
        <v>3794.1628999999998</v>
      </c>
      <c r="C89" s="75">
        <f t="shared" si="37"/>
        <v>7114.0554375000002</v>
      </c>
      <c r="D89" s="75">
        <f t="shared" si="37"/>
        <v>6734.6391475</v>
      </c>
      <c r="E89" s="75">
        <f t="shared" si="37"/>
        <v>6355.222857499999</v>
      </c>
      <c r="F89" s="75">
        <f t="shared" si="37"/>
        <v>5975.8065674999998</v>
      </c>
      <c r="G89" s="75">
        <f t="shared" si="37"/>
        <v>5596.3902774999988</v>
      </c>
      <c r="H89" s="75">
        <f t="shared" si="37"/>
        <v>5216.9739874999987</v>
      </c>
      <c r="I89" s="75">
        <f t="shared" si="37"/>
        <v>4837.5576974999985</v>
      </c>
      <c r="J89" s="75">
        <f t="shared" si="37"/>
        <v>4458.1414074999984</v>
      </c>
      <c r="K89" s="75">
        <f t="shared" si="37"/>
        <v>4078.7251174999983</v>
      </c>
      <c r="L89" s="75">
        <f t="shared" si="37"/>
        <v>3699.3088274999986</v>
      </c>
      <c r="M89" s="75">
        <f t="shared" si="37"/>
        <v>3319.892537499999</v>
      </c>
      <c r="N89" s="75">
        <f t="shared" si="37"/>
        <v>2940.4762474999998</v>
      </c>
      <c r="O89" s="75">
        <f t="shared" si="37"/>
        <v>2561.0599574999997</v>
      </c>
      <c r="P89" s="75">
        <f t="shared" si="37"/>
        <v>2181.6436675</v>
      </c>
      <c r="Q89" s="75">
        <f t="shared" si="37"/>
        <v>1802.2273775000001</v>
      </c>
      <c r="R89" s="75">
        <f t="shared" si="37"/>
        <v>1422.8110875000002</v>
      </c>
      <c r="S89" s="75">
        <f t="shared" si="37"/>
        <v>1043.3947975000001</v>
      </c>
      <c r="T89" s="75">
        <f t="shared" si="37"/>
        <v>663.97850750000021</v>
      </c>
      <c r="U89" s="75">
        <f t="shared" si="37"/>
        <v>284.56221750000009</v>
      </c>
      <c r="V89" s="75">
        <f t="shared" si="37"/>
        <v>3.5822722566080926E-14</v>
      </c>
      <c r="W89" s="75">
        <f t="shared" si="37"/>
        <v>3.5822722566080926E-14</v>
      </c>
      <c r="X89"/>
      <c r="Y89"/>
      <c r="Z89"/>
      <c r="AA89"/>
      <c r="AB89" s="177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</row>
    <row r="90" spans="1:39">
      <c r="A90" s="75" t="s">
        <v>195</v>
      </c>
      <c r="B90" s="75">
        <f t="shared" ref="B90:W90" si="38">B42+B59+B76</f>
        <v>0</v>
      </c>
      <c r="C90" s="75">
        <f t="shared" si="38"/>
        <v>0</v>
      </c>
      <c r="D90" s="75">
        <f t="shared" si="38"/>
        <v>0</v>
      </c>
      <c r="E90" s="75">
        <f t="shared" si="38"/>
        <v>0</v>
      </c>
      <c r="F90" s="75">
        <f t="shared" si="38"/>
        <v>0</v>
      </c>
      <c r="G90" s="75">
        <f t="shared" si="38"/>
        <v>0</v>
      </c>
      <c r="H90" s="75">
        <f t="shared" si="38"/>
        <v>0</v>
      </c>
      <c r="I90" s="75">
        <f t="shared" si="38"/>
        <v>0</v>
      </c>
      <c r="J90" s="75">
        <f t="shared" si="38"/>
        <v>0</v>
      </c>
      <c r="K90" s="75">
        <f t="shared" si="38"/>
        <v>0</v>
      </c>
      <c r="L90" s="75">
        <f t="shared" si="38"/>
        <v>0</v>
      </c>
      <c r="M90" s="75">
        <f t="shared" si="38"/>
        <v>0</v>
      </c>
      <c r="N90" s="75">
        <f t="shared" si="38"/>
        <v>0</v>
      </c>
      <c r="O90" s="75">
        <f t="shared" si="38"/>
        <v>0</v>
      </c>
      <c r="P90" s="75">
        <f t="shared" si="38"/>
        <v>0</v>
      </c>
      <c r="Q90" s="75">
        <f t="shared" si="38"/>
        <v>0</v>
      </c>
      <c r="R90" s="75">
        <f t="shared" si="38"/>
        <v>0</v>
      </c>
      <c r="S90" s="75">
        <f t="shared" si="38"/>
        <v>0</v>
      </c>
      <c r="T90" s="75">
        <f t="shared" si="38"/>
        <v>0</v>
      </c>
      <c r="U90" s="75">
        <f t="shared" si="38"/>
        <v>0</v>
      </c>
      <c r="V90" s="75">
        <f t="shared" si="38"/>
        <v>0</v>
      </c>
      <c r="W90" s="75">
        <f t="shared" si="38"/>
        <v>0</v>
      </c>
      <c r="X90"/>
      <c r="Y90"/>
      <c r="Z90"/>
      <c r="AA90"/>
      <c r="AB90" s="177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</row>
    <row r="91" spans="1:39">
      <c r="A91" s="75" t="s">
        <v>199</v>
      </c>
      <c r="B91" s="75">
        <f t="shared" ref="B91:W91" si="39">B77+B60+B43</f>
        <v>4888.7500000000009</v>
      </c>
      <c r="C91" s="75">
        <f t="shared" si="39"/>
        <v>4888.7500000000009</v>
      </c>
      <c r="D91" s="75">
        <f t="shared" si="39"/>
        <v>4888.7500000000009</v>
      </c>
      <c r="E91" s="75">
        <f t="shared" si="39"/>
        <v>4888.7500000000009</v>
      </c>
      <c r="F91" s="75">
        <f t="shared" si="39"/>
        <v>4888.7500000000009</v>
      </c>
      <c r="G91" s="75">
        <f t="shared" si="39"/>
        <v>4888.7500000000009</v>
      </c>
      <c r="H91" s="75">
        <f t="shared" si="39"/>
        <v>4888.7500000000009</v>
      </c>
      <c r="I91" s="75">
        <f t="shared" si="39"/>
        <v>4888.7500000000009</v>
      </c>
      <c r="J91" s="75">
        <f t="shared" si="39"/>
        <v>4888.7500000000009</v>
      </c>
      <c r="K91" s="75">
        <f t="shared" si="39"/>
        <v>4888.7500000000009</v>
      </c>
      <c r="L91" s="75">
        <f t="shared" si="39"/>
        <v>4888.7500000000009</v>
      </c>
      <c r="M91" s="75">
        <f t="shared" si="39"/>
        <v>4888.7500000000009</v>
      </c>
      <c r="N91" s="75">
        <f t="shared" si="39"/>
        <v>4888.7500000000009</v>
      </c>
      <c r="O91" s="75">
        <f t="shared" si="39"/>
        <v>4888.7500000000009</v>
      </c>
      <c r="P91" s="75">
        <f t="shared" si="39"/>
        <v>4888.7500000000009</v>
      </c>
      <c r="Q91" s="75">
        <f t="shared" si="39"/>
        <v>4888.7500000000009</v>
      </c>
      <c r="R91" s="75">
        <f t="shared" si="39"/>
        <v>4888.7500000000009</v>
      </c>
      <c r="S91" s="75">
        <f t="shared" si="39"/>
        <v>4888.7500000000009</v>
      </c>
      <c r="T91" s="75">
        <f t="shared" si="39"/>
        <v>4888.7500000000009</v>
      </c>
      <c r="U91" s="75">
        <f t="shared" si="39"/>
        <v>4888.7500000000009</v>
      </c>
      <c r="V91" s="75">
        <f t="shared" si="39"/>
        <v>0</v>
      </c>
      <c r="W91" s="75">
        <f t="shared" si="39"/>
        <v>0</v>
      </c>
      <c r="X91"/>
      <c r="Y91"/>
      <c r="Z91"/>
      <c r="AA91"/>
      <c r="AB91" s="177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</row>
    <row r="92" spans="1:39">
      <c r="A92" s="74"/>
      <c r="B92" s="74"/>
      <c r="C92" s="74"/>
      <c r="D92" s="74"/>
      <c r="E92" s="74"/>
      <c r="F92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/>
      <c r="Y92"/>
      <c r="Z92"/>
      <c r="AA92"/>
      <c r="AB92" s="176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</row>
    <row r="93" spans="1:39">
      <c r="A93" s="455" t="s">
        <v>141</v>
      </c>
      <c r="B93" s="456">
        <f>IF(B87&gt;0,B80/B87," ")</f>
        <v>1.1093798812812965</v>
      </c>
      <c r="C93" s="456">
        <f t="shared" ref="C93:W93" si="40">IF(C87&gt;0,C80/C87," ")</f>
        <v>1.5577080535080818</v>
      </c>
      <c r="D93" s="456">
        <f t="shared" si="40"/>
        <v>1.6048499060417556</v>
      </c>
      <c r="E93" s="456">
        <f t="shared" si="40"/>
        <v>1.6550236736498367</v>
      </c>
      <c r="F93" s="456">
        <f t="shared" si="40"/>
        <v>2.2004871281181129</v>
      </c>
      <c r="G93" s="456">
        <f t="shared" si="40"/>
        <v>2.8243401047454069</v>
      </c>
      <c r="H93" s="456">
        <f t="shared" si="40"/>
        <v>2.9654923722823527</v>
      </c>
      <c r="I93" s="456">
        <f t="shared" si="40"/>
        <v>3.1174571903572437</v>
      </c>
      <c r="J93" s="456">
        <f t="shared" si="40"/>
        <v>3.3475693607777171</v>
      </c>
      <c r="K93" s="456">
        <f t="shared" si="40"/>
        <v>3.5287292832234387</v>
      </c>
      <c r="L93" s="456">
        <f t="shared" si="40"/>
        <v>3.8024427543750239</v>
      </c>
      <c r="M93" s="456">
        <f t="shared" si="40"/>
        <v>3.9263288023137548</v>
      </c>
      <c r="N93" s="456">
        <f t="shared" si="40"/>
        <v>4.2585019752564222</v>
      </c>
      <c r="O93" s="456">
        <f t="shared" si="40"/>
        <v>4.5337656314882908</v>
      </c>
      <c r="P93" s="456">
        <f t="shared" si="40"/>
        <v>4.8367717656829647</v>
      </c>
      <c r="Q93" s="456">
        <f t="shared" si="40"/>
        <v>5.1719670819297034</v>
      </c>
      <c r="R93" s="456">
        <f t="shared" si="40"/>
        <v>5.5499415014579618</v>
      </c>
      <c r="S93" s="456">
        <f t="shared" si="40"/>
        <v>5.9754898609963281</v>
      </c>
      <c r="T93" s="456">
        <f t="shared" si="40"/>
        <v>6.4542588635662197</v>
      </c>
      <c r="U93" s="456">
        <f t="shared" si="40"/>
        <v>6.9767556959865873</v>
      </c>
      <c r="V93" s="456">
        <f t="shared" si="40"/>
        <v>1.0121361521201286E+18</v>
      </c>
      <c r="W93" s="456">
        <f t="shared" si="40"/>
        <v>1.0223811633618451E+18</v>
      </c>
      <c r="X93"/>
      <c r="Y93"/>
      <c r="Z93"/>
      <c r="AA93"/>
      <c r="AB93" s="178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</row>
    <row r="94" spans="1:39">
      <c r="A94" s="77"/>
      <c r="B94" s="454"/>
      <c r="C94" s="454"/>
      <c r="D94" s="454"/>
      <c r="E94" s="454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/>
      <c r="X94"/>
      <c r="Y94"/>
      <c r="Z94"/>
      <c r="AA94"/>
      <c r="AB94" s="178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</row>
    <row r="95" spans="1:39">
      <c r="A95" s="77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/>
      <c r="X95"/>
      <c r="Y95"/>
      <c r="Z95"/>
      <c r="AA95"/>
      <c r="AB95" s="178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</row>
    <row r="96" spans="1:39">
      <c r="A96" s="79" t="s">
        <v>222</v>
      </c>
      <c r="B96" s="80">
        <f>AVERAGE(B93:W93)</f>
        <v>9.2478059794635168E+16</v>
      </c>
      <c r="C96"/>
      <c r="F96" s="76"/>
      <c r="G96"/>
      <c r="H96"/>
      <c r="I96"/>
      <c r="J96"/>
      <c r="K96" s="76"/>
      <c r="L96" s="76"/>
      <c r="M96" s="81"/>
      <c r="N96" s="76"/>
      <c r="O96" s="76"/>
      <c r="P96" s="82"/>
      <c r="Q96" s="82"/>
      <c r="R96" s="82"/>
      <c r="S96" s="76"/>
      <c r="T96" s="76"/>
      <c r="U96" s="76"/>
      <c r="V96" s="76"/>
      <c r="W96"/>
      <c r="X96"/>
      <c r="Y96"/>
      <c r="Z96"/>
      <c r="AA96"/>
      <c r="AB96" s="178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</row>
    <row r="97" spans="1:39">
      <c r="A97" s="85" t="s">
        <v>223</v>
      </c>
      <c r="B97" s="103">
        <f>MIN(B93:W93)</f>
        <v>1.1093798812812965</v>
      </c>
      <c r="C97"/>
      <c r="F97" s="77"/>
      <c r="G97"/>
      <c r="H97"/>
      <c r="I97"/>
      <c r="J97"/>
      <c r="K97" s="77"/>
      <c r="L97" s="77"/>
      <c r="M97" s="77"/>
      <c r="N97" s="77"/>
      <c r="O97" s="77"/>
      <c r="P97" s="82"/>
      <c r="Q97" s="82"/>
      <c r="R97" s="82"/>
      <c r="S97" s="76"/>
      <c r="T97" s="76"/>
      <c r="U97" s="76"/>
      <c r="V97" s="76"/>
      <c r="W97"/>
      <c r="X97"/>
      <c r="Y97"/>
      <c r="Z97"/>
      <c r="AA97"/>
      <c r="AB97" s="178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</row>
    <row r="100" spans="1:39" ht="13.5" thickBo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</row>
    <row r="102" spans="1:39">
      <c r="A102" s="72" t="s">
        <v>271</v>
      </c>
      <c r="B102" s="487">
        <v>2</v>
      </c>
    </row>
    <row r="103" spans="1:39">
      <c r="A103" s="328" t="s">
        <v>37</v>
      </c>
      <c r="C103" s="479"/>
      <c r="D103" s="479"/>
      <c r="E103" s="479"/>
      <c r="F103" s="479"/>
      <c r="G103" s="479"/>
      <c r="H103" s="479"/>
      <c r="I103" s="479"/>
      <c r="J103" s="479"/>
      <c r="K103" s="479"/>
      <c r="L103" s="479"/>
      <c r="M103" s="479"/>
      <c r="N103" s="479"/>
      <c r="O103" s="479"/>
      <c r="P103" s="479"/>
      <c r="Q103" s="479"/>
      <c r="R103" s="479"/>
      <c r="S103" s="479"/>
      <c r="T103" s="479"/>
      <c r="U103" s="479"/>
      <c r="V103" s="479"/>
      <c r="W103" s="479"/>
      <c r="X103" s="479"/>
      <c r="Y103" s="479"/>
      <c r="Z103" s="479"/>
      <c r="AA103" s="479"/>
      <c r="AB103" s="479"/>
    </row>
    <row r="104" spans="1:39">
      <c r="A104" s="484" t="s">
        <v>86</v>
      </c>
      <c r="B104" s="482">
        <v>0.03</v>
      </c>
      <c r="C104" s="482">
        <v>0.03</v>
      </c>
      <c r="D104" s="482">
        <v>0.03</v>
      </c>
      <c r="E104" s="482">
        <v>0.03</v>
      </c>
      <c r="F104" s="482">
        <v>0.03</v>
      </c>
      <c r="G104" s="482">
        <v>0.03</v>
      </c>
      <c r="H104" s="482">
        <v>0.03</v>
      </c>
      <c r="I104" s="482">
        <v>0.03</v>
      </c>
      <c r="J104" s="482">
        <v>0.03</v>
      </c>
      <c r="K104" s="482">
        <v>0.03</v>
      </c>
      <c r="L104" s="482">
        <v>0.03</v>
      </c>
      <c r="M104" s="482">
        <v>0.03</v>
      </c>
      <c r="N104" s="482">
        <v>0.03</v>
      </c>
      <c r="O104" s="482">
        <v>0.03</v>
      </c>
      <c r="P104" s="482">
        <v>0.03</v>
      </c>
      <c r="Q104" s="482">
        <v>0.03</v>
      </c>
      <c r="R104" s="482">
        <v>0.03</v>
      </c>
      <c r="S104" s="482">
        <v>0.03</v>
      </c>
      <c r="T104" s="482">
        <v>0.03</v>
      </c>
      <c r="U104" s="482">
        <v>0.03</v>
      </c>
      <c r="V104" s="482">
        <v>0.03</v>
      </c>
      <c r="W104" s="482">
        <f>1-SUM(B104:V104)</f>
        <v>0.36999999999999966</v>
      </c>
      <c r="X104" s="479"/>
      <c r="Y104" s="479"/>
      <c r="AA104" s="17"/>
      <c r="AB104" s="17"/>
    </row>
    <row r="105" spans="1:39">
      <c r="A105" s="484" t="s">
        <v>269</v>
      </c>
      <c r="B105" s="482">
        <f t="shared" ref="B105:U105" si="41">100%/20</f>
        <v>0.05</v>
      </c>
      <c r="C105" s="482">
        <f t="shared" si="41"/>
        <v>0.05</v>
      </c>
      <c r="D105" s="482">
        <f t="shared" si="41"/>
        <v>0.05</v>
      </c>
      <c r="E105" s="482">
        <f t="shared" si="41"/>
        <v>0.05</v>
      </c>
      <c r="F105" s="482">
        <f t="shared" si="41"/>
        <v>0.05</v>
      </c>
      <c r="G105" s="482">
        <f t="shared" si="41"/>
        <v>0.05</v>
      </c>
      <c r="H105" s="482">
        <f t="shared" si="41"/>
        <v>0.05</v>
      </c>
      <c r="I105" s="482">
        <f t="shared" si="41"/>
        <v>0.05</v>
      </c>
      <c r="J105" s="482">
        <f t="shared" si="41"/>
        <v>0.05</v>
      </c>
      <c r="K105" s="482">
        <f t="shared" si="41"/>
        <v>0.05</v>
      </c>
      <c r="L105" s="482">
        <f t="shared" si="41"/>
        <v>0.05</v>
      </c>
      <c r="M105" s="482">
        <f t="shared" si="41"/>
        <v>0.05</v>
      </c>
      <c r="N105" s="482">
        <f t="shared" si="41"/>
        <v>0.05</v>
      </c>
      <c r="O105" s="482">
        <f t="shared" si="41"/>
        <v>0.05</v>
      </c>
      <c r="P105" s="482">
        <f t="shared" si="41"/>
        <v>0.05</v>
      </c>
      <c r="Q105" s="483">
        <f t="shared" si="41"/>
        <v>0.05</v>
      </c>
      <c r="R105" s="483">
        <f t="shared" si="41"/>
        <v>0.05</v>
      </c>
      <c r="S105" s="483">
        <f t="shared" si="41"/>
        <v>0.05</v>
      </c>
      <c r="T105" s="483">
        <f t="shared" si="41"/>
        <v>0.05</v>
      </c>
      <c r="U105" s="483">
        <f t="shared" si="41"/>
        <v>0.05</v>
      </c>
      <c r="V105" s="483">
        <v>0</v>
      </c>
      <c r="W105" s="483">
        <v>0</v>
      </c>
      <c r="X105" s="479"/>
      <c r="Y105" s="479"/>
      <c r="AA105" s="17"/>
      <c r="AB105" s="17"/>
    </row>
    <row r="106" spans="1:39">
      <c r="A106" s="484" t="s">
        <v>270</v>
      </c>
      <c r="B106" s="480">
        <f>CHOOSE($B$102,B104,B105)</f>
        <v>0.05</v>
      </c>
      <c r="C106" s="480">
        <f t="shared" ref="C106:W106" si="42">CHOOSE($B$102,C104,C105)</f>
        <v>0.05</v>
      </c>
      <c r="D106" s="480">
        <f t="shared" si="42"/>
        <v>0.05</v>
      </c>
      <c r="E106" s="480">
        <f t="shared" si="42"/>
        <v>0.05</v>
      </c>
      <c r="F106" s="480">
        <f t="shared" si="42"/>
        <v>0.05</v>
      </c>
      <c r="G106" s="480">
        <f t="shared" si="42"/>
        <v>0.05</v>
      </c>
      <c r="H106" s="480">
        <f t="shared" si="42"/>
        <v>0.05</v>
      </c>
      <c r="I106" s="480">
        <f t="shared" si="42"/>
        <v>0.05</v>
      </c>
      <c r="J106" s="480">
        <f t="shared" si="42"/>
        <v>0.05</v>
      </c>
      <c r="K106" s="480">
        <f t="shared" si="42"/>
        <v>0.05</v>
      </c>
      <c r="L106" s="480">
        <f t="shared" si="42"/>
        <v>0.05</v>
      </c>
      <c r="M106" s="480">
        <f t="shared" si="42"/>
        <v>0.05</v>
      </c>
      <c r="N106" s="480">
        <f t="shared" si="42"/>
        <v>0.05</v>
      </c>
      <c r="O106" s="480">
        <f t="shared" si="42"/>
        <v>0.05</v>
      </c>
      <c r="P106" s="480">
        <f t="shared" si="42"/>
        <v>0.05</v>
      </c>
      <c r="Q106" s="480">
        <f t="shared" si="42"/>
        <v>0.05</v>
      </c>
      <c r="R106" s="480">
        <f t="shared" si="42"/>
        <v>0.05</v>
      </c>
      <c r="S106" s="480">
        <f t="shared" si="42"/>
        <v>0.05</v>
      </c>
      <c r="T106" s="480">
        <f t="shared" si="42"/>
        <v>0.05</v>
      </c>
      <c r="U106" s="480">
        <f t="shared" si="42"/>
        <v>0.05</v>
      </c>
      <c r="V106" s="480">
        <f t="shared" si="42"/>
        <v>0</v>
      </c>
      <c r="W106" s="480">
        <f t="shared" si="42"/>
        <v>0</v>
      </c>
      <c r="X106" s="479"/>
      <c r="Y106" s="479"/>
      <c r="AA106" s="17"/>
      <c r="AB106" s="17"/>
    </row>
    <row r="107" spans="1:39"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7"/>
      <c r="Y107" s="7"/>
      <c r="AA107" s="17"/>
      <c r="AB107" s="17"/>
    </row>
    <row r="108" spans="1:39">
      <c r="A108" s="328" t="s">
        <v>38</v>
      </c>
      <c r="B108" s="481"/>
      <c r="C108" s="481"/>
      <c r="D108" s="481"/>
      <c r="E108" s="481"/>
      <c r="F108" s="481"/>
      <c r="G108" s="481"/>
      <c r="H108" s="481"/>
      <c r="I108" s="481"/>
      <c r="J108" s="481"/>
      <c r="K108" s="481"/>
      <c r="L108" s="481"/>
      <c r="M108" s="481"/>
      <c r="N108" s="481"/>
      <c r="O108" s="481"/>
      <c r="P108" s="481"/>
      <c r="Q108" s="481"/>
      <c r="R108" s="481"/>
      <c r="S108" s="481"/>
      <c r="T108" s="481"/>
      <c r="U108" s="481"/>
      <c r="V108" s="481"/>
      <c r="W108" s="481"/>
      <c r="X108" s="479"/>
      <c r="Y108" s="479"/>
      <c r="AA108" s="17"/>
      <c r="AB108" s="17"/>
    </row>
    <row r="109" spans="1:39">
      <c r="A109" s="484" t="s">
        <v>86</v>
      </c>
      <c r="B109" s="482">
        <v>0.03</v>
      </c>
      <c r="C109" s="482">
        <v>0.03</v>
      </c>
      <c r="D109" s="482">
        <v>0.03</v>
      </c>
      <c r="E109" s="482">
        <v>0.03</v>
      </c>
      <c r="F109" s="482">
        <v>0.03</v>
      </c>
      <c r="G109" s="482">
        <v>0.03</v>
      </c>
      <c r="H109" s="482">
        <v>0.03</v>
      </c>
      <c r="I109" s="482">
        <v>0.03</v>
      </c>
      <c r="J109" s="482">
        <v>0.03</v>
      </c>
      <c r="K109" s="482">
        <v>0.03</v>
      </c>
      <c r="L109" s="482">
        <v>0.03</v>
      </c>
      <c r="M109" s="482">
        <v>0.03</v>
      </c>
      <c r="N109" s="482">
        <v>0.03</v>
      </c>
      <c r="O109" s="482">
        <v>0.03</v>
      </c>
      <c r="P109" s="482">
        <v>0.03</v>
      </c>
      <c r="Q109" s="482">
        <v>0.03</v>
      </c>
      <c r="R109" s="482">
        <v>0.03</v>
      </c>
      <c r="S109" s="482">
        <v>0.03</v>
      </c>
      <c r="T109" s="482">
        <v>0.03</v>
      </c>
      <c r="U109" s="482">
        <v>0.03</v>
      </c>
      <c r="V109" s="482">
        <v>0.03</v>
      </c>
      <c r="W109" s="482">
        <f>1-SUM(B109:V109)</f>
        <v>0.36999999999999966</v>
      </c>
      <c r="X109" s="479"/>
      <c r="Y109" s="479"/>
      <c r="AA109" s="17"/>
      <c r="AB109" s="17"/>
    </row>
    <row r="110" spans="1:39">
      <c r="A110" s="484" t="s">
        <v>269</v>
      </c>
      <c r="B110" s="482">
        <f t="shared" ref="B110:U110" si="43">100%/20</f>
        <v>0.05</v>
      </c>
      <c r="C110" s="482">
        <f t="shared" si="43"/>
        <v>0.05</v>
      </c>
      <c r="D110" s="482">
        <f t="shared" si="43"/>
        <v>0.05</v>
      </c>
      <c r="E110" s="482">
        <f t="shared" si="43"/>
        <v>0.05</v>
      </c>
      <c r="F110" s="482">
        <f t="shared" si="43"/>
        <v>0.05</v>
      </c>
      <c r="G110" s="482">
        <f t="shared" si="43"/>
        <v>0.05</v>
      </c>
      <c r="H110" s="482">
        <f t="shared" si="43"/>
        <v>0.05</v>
      </c>
      <c r="I110" s="482">
        <f t="shared" si="43"/>
        <v>0.05</v>
      </c>
      <c r="J110" s="482">
        <f t="shared" si="43"/>
        <v>0.05</v>
      </c>
      <c r="K110" s="482">
        <f t="shared" si="43"/>
        <v>0.05</v>
      </c>
      <c r="L110" s="482">
        <f t="shared" si="43"/>
        <v>0.05</v>
      </c>
      <c r="M110" s="482">
        <f t="shared" si="43"/>
        <v>0.05</v>
      </c>
      <c r="N110" s="482">
        <f t="shared" si="43"/>
        <v>0.05</v>
      </c>
      <c r="O110" s="482">
        <f t="shared" si="43"/>
        <v>0.05</v>
      </c>
      <c r="P110" s="482">
        <f t="shared" si="43"/>
        <v>0.05</v>
      </c>
      <c r="Q110" s="483">
        <f t="shared" si="43"/>
        <v>0.05</v>
      </c>
      <c r="R110" s="483">
        <f t="shared" si="43"/>
        <v>0.05</v>
      </c>
      <c r="S110" s="483">
        <f t="shared" si="43"/>
        <v>0.05</v>
      </c>
      <c r="T110" s="483">
        <f t="shared" si="43"/>
        <v>0.05</v>
      </c>
      <c r="U110" s="483">
        <f t="shared" si="43"/>
        <v>0.05</v>
      </c>
      <c r="V110" s="483">
        <v>0</v>
      </c>
      <c r="W110" s="483">
        <v>0</v>
      </c>
      <c r="X110" s="479"/>
      <c r="Y110" s="479"/>
      <c r="AA110" s="17"/>
      <c r="AB110" s="17"/>
    </row>
    <row r="111" spans="1:39">
      <c r="A111" s="484" t="s">
        <v>270</v>
      </c>
      <c r="B111" s="480">
        <f>CHOOSE($B$102,B109,B110)</f>
        <v>0.05</v>
      </c>
      <c r="C111" s="480">
        <f t="shared" ref="C111:W111" si="44">CHOOSE($B$102,C109,C110)</f>
        <v>0.05</v>
      </c>
      <c r="D111" s="480">
        <f t="shared" si="44"/>
        <v>0.05</v>
      </c>
      <c r="E111" s="480">
        <f t="shared" si="44"/>
        <v>0.05</v>
      </c>
      <c r="F111" s="480">
        <f t="shared" si="44"/>
        <v>0.05</v>
      </c>
      <c r="G111" s="480">
        <f t="shared" si="44"/>
        <v>0.05</v>
      </c>
      <c r="H111" s="480">
        <f t="shared" si="44"/>
        <v>0.05</v>
      </c>
      <c r="I111" s="480">
        <f t="shared" si="44"/>
        <v>0.05</v>
      </c>
      <c r="J111" s="480">
        <f t="shared" si="44"/>
        <v>0.05</v>
      </c>
      <c r="K111" s="480">
        <f t="shared" si="44"/>
        <v>0.05</v>
      </c>
      <c r="L111" s="480">
        <f t="shared" si="44"/>
        <v>0.05</v>
      </c>
      <c r="M111" s="480">
        <f t="shared" si="44"/>
        <v>0.05</v>
      </c>
      <c r="N111" s="480">
        <f t="shared" si="44"/>
        <v>0.05</v>
      </c>
      <c r="O111" s="480">
        <f t="shared" si="44"/>
        <v>0.05</v>
      </c>
      <c r="P111" s="480">
        <f t="shared" si="44"/>
        <v>0.05</v>
      </c>
      <c r="Q111" s="480">
        <f t="shared" si="44"/>
        <v>0.05</v>
      </c>
      <c r="R111" s="480">
        <f t="shared" si="44"/>
        <v>0.05</v>
      </c>
      <c r="S111" s="480">
        <f t="shared" si="44"/>
        <v>0.05</v>
      </c>
      <c r="T111" s="480">
        <f t="shared" si="44"/>
        <v>0.05</v>
      </c>
      <c r="U111" s="480">
        <f t="shared" si="44"/>
        <v>0.05</v>
      </c>
      <c r="V111" s="480">
        <f t="shared" si="44"/>
        <v>0</v>
      </c>
      <c r="W111" s="480">
        <f t="shared" si="44"/>
        <v>0</v>
      </c>
      <c r="X111" s="479"/>
      <c r="Y111" s="479"/>
      <c r="AA111" s="17"/>
      <c r="AB111" s="17"/>
    </row>
    <row r="112" spans="1:39"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7"/>
      <c r="Y112" s="7"/>
      <c r="AA112" s="17"/>
      <c r="AB112" s="17"/>
    </row>
    <row r="113" spans="1:48">
      <c r="A113" s="328" t="s">
        <v>39</v>
      </c>
      <c r="B113" s="481"/>
      <c r="C113" s="481"/>
      <c r="D113" s="481"/>
      <c r="E113" s="481"/>
      <c r="F113" s="481"/>
      <c r="G113" s="481"/>
      <c r="H113" s="481"/>
      <c r="I113" s="481"/>
      <c r="J113" s="481"/>
      <c r="K113" s="481"/>
      <c r="L113" s="481"/>
      <c r="M113" s="481"/>
      <c r="N113" s="481"/>
      <c r="O113" s="481"/>
      <c r="P113" s="481"/>
      <c r="Q113" s="481"/>
      <c r="R113" s="481"/>
      <c r="S113" s="481"/>
      <c r="T113" s="481"/>
      <c r="U113" s="481"/>
      <c r="V113" s="481"/>
      <c r="W113" s="481"/>
      <c r="X113" s="479"/>
      <c r="Y113" s="479"/>
      <c r="AA113" s="17"/>
      <c r="AB113" s="17"/>
    </row>
    <row r="114" spans="1:48">
      <c r="A114" s="484" t="s">
        <v>86</v>
      </c>
      <c r="B114" s="482">
        <v>0.03</v>
      </c>
      <c r="C114" s="482">
        <v>0.03</v>
      </c>
      <c r="D114" s="482">
        <v>0.03</v>
      </c>
      <c r="E114" s="482">
        <v>0.03</v>
      </c>
      <c r="F114" s="482">
        <v>0.03</v>
      </c>
      <c r="G114" s="482">
        <v>0.03</v>
      </c>
      <c r="H114" s="482">
        <v>0.03</v>
      </c>
      <c r="I114" s="482">
        <v>0.03</v>
      </c>
      <c r="J114" s="482">
        <v>0.03</v>
      </c>
      <c r="K114" s="482">
        <v>0.03</v>
      </c>
      <c r="L114" s="482">
        <v>0.03</v>
      </c>
      <c r="M114" s="482">
        <v>0.03</v>
      </c>
      <c r="N114" s="482">
        <v>0.03</v>
      </c>
      <c r="O114" s="482">
        <v>0.03</v>
      </c>
      <c r="P114" s="482">
        <v>0.03</v>
      </c>
      <c r="Q114" s="482">
        <v>0.03</v>
      </c>
      <c r="R114" s="482">
        <v>0.03</v>
      </c>
      <c r="S114" s="482">
        <v>0.03</v>
      </c>
      <c r="T114" s="482">
        <v>0.03</v>
      </c>
      <c r="U114" s="482">
        <v>0.03</v>
      </c>
      <c r="V114" s="482">
        <v>0.03</v>
      </c>
      <c r="W114" s="482">
        <f>1-SUM(B114:V114)</f>
        <v>0.36999999999999966</v>
      </c>
      <c r="X114" s="479"/>
      <c r="Y114" s="479"/>
      <c r="AA114" s="17"/>
      <c r="AB114" s="17"/>
    </row>
    <row r="115" spans="1:48">
      <c r="A115" s="484" t="s">
        <v>269</v>
      </c>
      <c r="B115" s="482">
        <f t="shared" ref="B115:U115" si="45">100%/20</f>
        <v>0.05</v>
      </c>
      <c r="C115" s="482">
        <f t="shared" si="45"/>
        <v>0.05</v>
      </c>
      <c r="D115" s="482">
        <f t="shared" si="45"/>
        <v>0.05</v>
      </c>
      <c r="E115" s="482">
        <f t="shared" si="45"/>
        <v>0.05</v>
      </c>
      <c r="F115" s="482">
        <f t="shared" si="45"/>
        <v>0.05</v>
      </c>
      <c r="G115" s="482">
        <f t="shared" si="45"/>
        <v>0.05</v>
      </c>
      <c r="H115" s="482">
        <f t="shared" si="45"/>
        <v>0.05</v>
      </c>
      <c r="I115" s="482">
        <f t="shared" si="45"/>
        <v>0.05</v>
      </c>
      <c r="J115" s="482">
        <f t="shared" si="45"/>
        <v>0.05</v>
      </c>
      <c r="K115" s="482">
        <f t="shared" si="45"/>
        <v>0.05</v>
      </c>
      <c r="L115" s="482">
        <f t="shared" si="45"/>
        <v>0.05</v>
      </c>
      <c r="M115" s="482">
        <f t="shared" si="45"/>
        <v>0.05</v>
      </c>
      <c r="N115" s="482">
        <f t="shared" si="45"/>
        <v>0.05</v>
      </c>
      <c r="O115" s="482">
        <f t="shared" si="45"/>
        <v>0.05</v>
      </c>
      <c r="P115" s="482">
        <f t="shared" si="45"/>
        <v>0.05</v>
      </c>
      <c r="Q115" s="483">
        <f t="shared" si="45"/>
        <v>0.05</v>
      </c>
      <c r="R115" s="483">
        <f t="shared" si="45"/>
        <v>0.05</v>
      </c>
      <c r="S115" s="483">
        <f t="shared" si="45"/>
        <v>0.05</v>
      </c>
      <c r="T115" s="483">
        <f t="shared" si="45"/>
        <v>0.05</v>
      </c>
      <c r="U115" s="483">
        <f t="shared" si="45"/>
        <v>0.05</v>
      </c>
      <c r="V115" s="483">
        <v>0</v>
      </c>
      <c r="W115" s="483">
        <v>0</v>
      </c>
      <c r="X115" s="479"/>
      <c r="Y115" s="479"/>
      <c r="AA115" s="17"/>
      <c r="AB115" s="17"/>
    </row>
    <row r="116" spans="1:48">
      <c r="A116" s="484" t="s">
        <v>270</v>
      </c>
      <c r="B116" s="480">
        <f>CHOOSE($B$102,B114,B115)</f>
        <v>0.05</v>
      </c>
      <c r="C116" s="480">
        <f t="shared" ref="C116:W116" si="46">CHOOSE($B$102,C114,C115)</f>
        <v>0.05</v>
      </c>
      <c r="D116" s="480">
        <f t="shared" si="46"/>
        <v>0.05</v>
      </c>
      <c r="E116" s="480">
        <f t="shared" si="46"/>
        <v>0.05</v>
      </c>
      <c r="F116" s="480">
        <f t="shared" si="46"/>
        <v>0.05</v>
      </c>
      <c r="G116" s="480">
        <f t="shared" si="46"/>
        <v>0.05</v>
      </c>
      <c r="H116" s="480">
        <f t="shared" si="46"/>
        <v>0.05</v>
      </c>
      <c r="I116" s="480">
        <f t="shared" si="46"/>
        <v>0.05</v>
      </c>
      <c r="J116" s="480">
        <f t="shared" si="46"/>
        <v>0.05</v>
      </c>
      <c r="K116" s="480">
        <f t="shared" si="46"/>
        <v>0.05</v>
      </c>
      <c r="L116" s="480">
        <f t="shared" si="46"/>
        <v>0.05</v>
      </c>
      <c r="M116" s="480">
        <f t="shared" si="46"/>
        <v>0.05</v>
      </c>
      <c r="N116" s="480">
        <f t="shared" si="46"/>
        <v>0.05</v>
      </c>
      <c r="O116" s="480">
        <f t="shared" si="46"/>
        <v>0.05</v>
      </c>
      <c r="P116" s="480">
        <f t="shared" si="46"/>
        <v>0.05</v>
      </c>
      <c r="Q116" s="480">
        <f t="shared" si="46"/>
        <v>0.05</v>
      </c>
      <c r="R116" s="480">
        <f t="shared" si="46"/>
        <v>0.05</v>
      </c>
      <c r="S116" s="480">
        <f t="shared" si="46"/>
        <v>0.05</v>
      </c>
      <c r="T116" s="480">
        <f t="shared" si="46"/>
        <v>0.05</v>
      </c>
      <c r="U116" s="480">
        <f t="shared" si="46"/>
        <v>0.05</v>
      </c>
      <c r="V116" s="480">
        <f t="shared" si="46"/>
        <v>0</v>
      </c>
      <c r="W116" s="480">
        <f t="shared" si="46"/>
        <v>0</v>
      </c>
      <c r="X116" s="479"/>
      <c r="Y116" s="479"/>
      <c r="AA116" s="17"/>
      <c r="AB116" s="17"/>
    </row>
    <row r="117" spans="1:48">
      <c r="X117" s="7"/>
      <c r="Y117" s="7"/>
      <c r="AA117" s="17"/>
      <c r="AB117" s="17"/>
    </row>
    <row r="118" spans="1:48">
      <c r="X118" s="7"/>
      <c r="Y118" s="7"/>
      <c r="AA118" s="17"/>
      <c r="AB118" s="17"/>
    </row>
    <row r="119" spans="1:48">
      <c r="B119" s="394"/>
      <c r="C119" s="394"/>
      <c r="D119" s="394"/>
      <c r="E119" s="394"/>
      <c r="F119" s="394"/>
      <c r="G119" s="394"/>
      <c r="H119" s="394"/>
      <c r="I119" s="394"/>
      <c r="J119" s="394"/>
      <c r="K119" s="394"/>
      <c r="L119" s="394"/>
      <c r="M119" s="394"/>
      <c r="N119" s="394"/>
      <c r="O119" s="394"/>
      <c r="P119" s="394"/>
      <c r="Q119" s="394"/>
      <c r="R119" s="394"/>
      <c r="S119" s="394"/>
      <c r="T119" s="394"/>
      <c r="U119" s="394"/>
      <c r="V119" s="394"/>
      <c r="W119" s="394"/>
      <c r="X119" s="394"/>
      <c r="Y119" s="394"/>
      <c r="Z119" s="394"/>
      <c r="AA119" s="394"/>
      <c r="AB119" s="394"/>
      <c r="AC119" s="394"/>
      <c r="AD119" s="394"/>
      <c r="AE119" s="394"/>
      <c r="AF119" s="394"/>
      <c r="AG119" s="394"/>
      <c r="AH119" s="394"/>
      <c r="AI119" s="394"/>
      <c r="AJ119" s="394"/>
      <c r="AK119" s="394"/>
      <c r="AL119" s="394"/>
      <c r="AM119" s="394"/>
      <c r="AN119" s="394"/>
      <c r="AO119" s="394"/>
      <c r="AP119" s="394"/>
      <c r="AQ119" s="394"/>
      <c r="AR119" s="394"/>
      <c r="AS119" s="394"/>
      <c r="AT119" s="394"/>
      <c r="AU119" s="394"/>
      <c r="AV119" s="394"/>
    </row>
    <row r="120" spans="1:48">
      <c r="A120" s="16" t="s">
        <v>272</v>
      </c>
      <c r="B120" s="159">
        <v>0</v>
      </c>
      <c r="C120" s="159">
        <v>1</v>
      </c>
      <c r="D120" s="159">
        <v>2</v>
      </c>
      <c r="E120" s="159">
        <v>3</v>
      </c>
      <c r="F120" s="159">
        <v>4</v>
      </c>
      <c r="G120" s="159">
        <v>5</v>
      </c>
      <c r="H120" s="159">
        <v>6</v>
      </c>
      <c r="I120" s="159">
        <v>7</v>
      </c>
      <c r="J120" s="159">
        <v>8</v>
      </c>
      <c r="K120" s="159">
        <v>9</v>
      </c>
      <c r="L120" s="159">
        <v>10</v>
      </c>
      <c r="M120" s="159">
        <v>11</v>
      </c>
      <c r="N120" s="159">
        <v>12</v>
      </c>
      <c r="O120" s="159">
        <v>13</v>
      </c>
      <c r="P120" s="159">
        <v>14</v>
      </c>
      <c r="Q120" s="159">
        <v>15</v>
      </c>
      <c r="R120" s="159">
        <v>16</v>
      </c>
      <c r="S120" s="159">
        <v>17</v>
      </c>
      <c r="T120" s="159">
        <v>18</v>
      </c>
      <c r="U120" s="159">
        <v>19</v>
      </c>
      <c r="V120" s="159">
        <v>20</v>
      </c>
      <c r="W120" s="159">
        <v>21</v>
      </c>
      <c r="X120" s="485"/>
      <c r="Y120" s="485"/>
      <c r="Z120" s="485"/>
      <c r="AA120" s="485"/>
      <c r="AB120" s="485"/>
      <c r="AC120" s="485"/>
      <c r="AD120" s="485"/>
      <c r="AE120" s="485"/>
      <c r="AF120" s="485"/>
      <c r="AG120" s="485"/>
      <c r="AH120" s="485"/>
      <c r="AI120" s="485"/>
      <c r="AJ120" s="485"/>
      <c r="AK120" s="485"/>
      <c r="AL120" s="485"/>
      <c r="AM120" s="485"/>
      <c r="AN120" s="485"/>
      <c r="AO120" s="485"/>
      <c r="AP120" s="485"/>
      <c r="AQ120" s="485"/>
    </row>
    <row r="121" spans="1:48">
      <c r="B121" s="159">
        <v>0.5</v>
      </c>
      <c r="C121" s="159">
        <v>1.5</v>
      </c>
      <c r="D121" s="159">
        <v>2.5</v>
      </c>
      <c r="E121" s="159">
        <v>3.5</v>
      </c>
      <c r="F121" s="159">
        <v>4.5</v>
      </c>
      <c r="G121" s="159">
        <v>5.5</v>
      </c>
      <c r="H121" s="159">
        <v>6.5</v>
      </c>
      <c r="I121" s="159">
        <v>7.5</v>
      </c>
      <c r="J121" s="159">
        <v>8.5</v>
      </c>
      <c r="K121" s="159">
        <v>9.5</v>
      </c>
      <c r="L121" s="159">
        <v>10.5</v>
      </c>
      <c r="M121" s="159">
        <v>11.5</v>
      </c>
      <c r="N121" s="159">
        <v>12.5</v>
      </c>
      <c r="O121" s="159">
        <v>13.5</v>
      </c>
      <c r="P121" s="159">
        <v>14.5</v>
      </c>
      <c r="Q121" s="159">
        <v>15.5</v>
      </c>
      <c r="R121" s="159">
        <v>16.5</v>
      </c>
      <c r="S121" s="159">
        <v>17.5</v>
      </c>
      <c r="T121" s="159">
        <v>18.5</v>
      </c>
      <c r="U121" s="159">
        <v>19.5</v>
      </c>
      <c r="V121" s="159">
        <v>20.5</v>
      </c>
      <c r="W121" s="159">
        <v>21.5</v>
      </c>
      <c r="X121" s="159"/>
      <c r="Y121" s="159"/>
      <c r="Z121" s="159"/>
      <c r="AA121" s="159"/>
      <c r="AB121" s="159"/>
      <c r="AC121" s="159"/>
      <c r="AD121" s="159"/>
      <c r="AE121" s="159"/>
      <c r="AF121" s="159"/>
      <c r="AG121" s="159"/>
      <c r="AH121" s="159"/>
      <c r="AI121" s="159"/>
      <c r="AJ121" s="159"/>
      <c r="AK121" s="159"/>
      <c r="AL121" s="159"/>
      <c r="AM121" s="159"/>
      <c r="AN121" s="159"/>
      <c r="AO121" s="73"/>
      <c r="AP121" s="73"/>
    </row>
    <row r="122" spans="1:48">
      <c r="A122" s="16" t="s">
        <v>193</v>
      </c>
      <c r="B122" s="486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</row>
    <row r="123" spans="1:48">
      <c r="A123" t="s">
        <v>37</v>
      </c>
      <c r="B123" s="488">
        <f>(SUMPRODUCT(B120:W120,B32:W32)+SUMPRODUCT(B121:W121,B37:W37))/B31</f>
        <v>9.7625000000000011</v>
      </c>
      <c r="C123"/>
      <c r="D123"/>
      <c r="E12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174"/>
      <c r="AB123" s="174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</row>
    <row r="124" spans="1:48">
      <c r="A124" t="s">
        <v>38</v>
      </c>
      <c r="B124" s="488">
        <f>(SUMPRODUCT(B49:W49,B120:W120)+SUMPRODUCT(B121:W121,B54:W54))/B48</f>
        <v>9.7625000000000011</v>
      </c>
      <c r="C124"/>
      <c r="D124"/>
      <c r="E124"/>
    </row>
    <row r="125" spans="1:48">
      <c r="A125" t="s">
        <v>39</v>
      </c>
      <c r="B125" s="488">
        <f>(SUMPRODUCT(B120:W120,B66:W66)+SUMPRODUCT(B121:W121,B71:W71))/B65</f>
        <v>9.7625000000000011</v>
      </c>
      <c r="C125"/>
      <c r="D125"/>
      <c r="E125"/>
    </row>
    <row r="126" spans="1:48">
      <c r="A126"/>
      <c r="B126"/>
      <c r="C126"/>
      <c r="D126"/>
      <c r="E126"/>
    </row>
    <row r="127" spans="1:48">
      <c r="A127"/>
      <c r="B127"/>
      <c r="C127"/>
      <c r="D127"/>
      <c r="E127"/>
    </row>
    <row r="128" spans="1:48">
      <c r="A128"/>
      <c r="B128"/>
      <c r="C128"/>
      <c r="D128"/>
      <c r="E128"/>
    </row>
    <row r="129" spans="1:31">
      <c r="A129"/>
      <c r="B129"/>
      <c r="C129"/>
      <c r="D129"/>
      <c r="E129"/>
    </row>
    <row r="130" spans="1:31">
      <c r="A130"/>
      <c r="B130"/>
      <c r="C130"/>
      <c r="D130"/>
      <c r="E130"/>
    </row>
    <row r="131" spans="1:3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>
      <c r="A132"/>
      <c r="B132"/>
      <c r="C132"/>
      <c r="D132"/>
      <c r="E132"/>
      <c r="F132" s="372"/>
      <c r="G132" s="372"/>
      <c r="H132" s="372"/>
      <c r="I132" s="372"/>
      <c r="J132" s="372"/>
      <c r="K132" s="372"/>
      <c r="L132" s="372"/>
      <c r="M132" s="372"/>
      <c r="N132" s="372"/>
      <c r="O132" s="372"/>
      <c r="P132" s="372"/>
      <c r="Q132" s="372"/>
      <c r="R132" s="372"/>
      <c r="S132" s="372"/>
      <c r="T132" s="372"/>
      <c r="U132" s="372"/>
      <c r="V132" s="372"/>
      <c r="W132"/>
      <c r="X132"/>
      <c r="Y132"/>
      <c r="Z132"/>
      <c r="AA132"/>
      <c r="AB132"/>
      <c r="AC132"/>
      <c r="AD132"/>
      <c r="AE132"/>
    </row>
    <row r="133" spans="1:3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>
      <c r="A135"/>
      <c r="B135"/>
      <c r="C135"/>
      <c r="D135"/>
      <c r="E135"/>
    </row>
    <row r="136" spans="1:31">
      <c r="A136"/>
      <c r="B136"/>
      <c r="C136"/>
      <c r="D136"/>
      <c r="E136"/>
    </row>
    <row r="137" spans="1:31">
      <c r="A137"/>
      <c r="B137"/>
      <c r="C137"/>
      <c r="D137"/>
      <c r="E137"/>
    </row>
    <row r="138" spans="1:31">
      <c r="A138"/>
      <c r="B138"/>
      <c r="C138"/>
      <c r="D138"/>
      <c r="E138"/>
    </row>
    <row r="139" spans="1:31">
      <c r="A139"/>
      <c r="B139"/>
      <c r="C139"/>
      <c r="D139"/>
      <c r="E139"/>
    </row>
  </sheetData>
  <pageMargins left="0.18" right="0.17" top="0.37" bottom="0.4" header="0.17" footer="0.21"/>
  <pageSetup scale="35" orientation="landscape" r:id="rId1"/>
  <headerFooter alignWithMargins="0">
    <oddFooter>&amp;L&amp;T, &amp;D&amp;C&amp;F&amp;RPage &amp;P</oddFooter>
  </headerFooter>
  <colBreaks count="1" manualBreakCount="1">
    <brk id="1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C45"/>
  <sheetViews>
    <sheetView topLeftCell="A48" zoomScale="75" zoomScaleNormal="75" workbookViewId="0">
      <selection activeCell="A48" sqref="A48"/>
    </sheetView>
  </sheetViews>
  <sheetFormatPr defaultRowHeight="12.75"/>
  <cols>
    <col min="1" max="1" width="55.7109375" style="17" customWidth="1"/>
    <col min="2" max="2" width="9.7109375" style="17" customWidth="1"/>
    <col min="3" max="4" width="9" style="34" customWidth="1"/>
    <col min="5" max="5" width="14.85546875" style="17" customWidth="1"/>
    <col min="6" max="6" width="14.140625" style="17" customWidth="1"/>
    <col min="7" max="7" width="11.140625" style="17" customWidth="1"/>
    <col min="8" max="10" width="11.5703125" style="17" customWidth="1"/>
    <col min="11" max="11" width="11.28515625" style="17" customWidth="1"/>
    <col min="12" max="12" width="11.5703125" style="17" customWidth="1"/>
    <col min="13" max="13" width="11.28515625" style="17" customWidth="1"/>
    <col min="14" max="15" width="11.5703125" style="17" customWidth="1"/>
    <col min="16" max="16" width="11.140625" style="17" customWidth="1"/>
    <col min="17" max="17" width="10.5703125" style="17" customWidth="1"/>
    <col min="18" max="20" width="11.140625" style="17" customWidth="1"/>
    <col min="21" max="21" width="10.85546875" style="17" customWidth="1"/>
    <col min="22" max="22" width="11.140625" style="17" customWidth="1"/>
    <col min="23" max="23" width="10.85546875" style="17" customWidth="1"/>
    <col min="24" max="25" width="11.140625" style="17" customWidth="1"/>
    <col min="26" max="27" width="11.5703125" style="17" customWidth="1"/>
    <col min="28" max="28" width="12.140625" style="17" customWidth="1"/>
    <col min="29" max="29" width="11.7109375" style="17" customWidth="1"/>
    <col min="30" max="16384" width="9.140625" style="17"/>
  </cols>
  <sheetData>
    <row r="2" spans="1:29" ht="21" customHeight="1">
      <c r="A2" s="160" t="str">
        <f>Assumptions!A3</f>
        <v>PROJECT NAME:</v>
      </c>
    </row>
    <row r="4" spans="1:29" ht="18.75">
      <c r="A4" s="106" t="s">
        <v>265</v>
      </c>
    </row>
    <row r="5" spans="1:29">
      <c r="AA5" s="398"/>
    </row>
    <row r="6" spans="1:29">
      <c r="E6" s="537">
        <f>'Power Price Assumption'!F9</f>
        <v>0.5</v>
      </c>
      <c r="F6" s="537">
        <f>'Power Price Assumption'!G9</f>
        <v>1.5</v>
      </c>
      <c r="G6" s="537">
        <f>'Power Price Assumption'!H9</f>
        <v>2.5</v>
      </c>
      <c r="H6" s="537">
        <f>'Power Price Assumption'!I9</f>
        <v>3.5</v>
      </c>
      <c r="I6" s="537">
        <f>'Power Price Assumption'!J9</f>
        <v>4.5</v>
      </c>
      <c r="J6" s="537">
        <f>'Power Price Assumption'!K9</f>
        <v>5.5</v>
      </c>
      <c r="K6" s="537">
        <f>'Power Price Assumption'!L9</f>
        <v>6.5</v>
      </c>
      <c r="L6" s="537">
        <f>'Power Price Assumption'!M9</f>
        <v>7.5</v>
      </c>
      <c r="M6" s="537">
        <f>'Power Price Assumption'!N9</f>
        <v>8.5</v>
      </c>
      <c r="N6" s="537">
        <f>'Power Price Assumption'!O9</f>
        <v>9.5</v>
      </c>
      <c r="O6" s="537">
        <f>'Power Price Assumption'!P9</f>
        <v>10.5</v>
      </c>
      <c r="P6" s="537">
        <f>'Power Price Assumption'!Q9</f>
        <v>11.5</v>
      </c>
      <c r="Q6" s="537">
        <f>'Power Price Assumption'!R9</f>
        <v>12.5</v>
      </c>
      <c r="R6" s="537">
        <f>'Power Price Assumption'!S9</f>
        <v>13.5</v>
      </c>
      <c r="S6" s="537">
        <f>'Power Price Assumption'!T9</f>
        <v>14.5</v>
      </c>
      <c r="T6" s="537">
        <f>'Power Price Assumption'!U9</f>
        <v>15.5</v>
      </c>
      <c r="U6" s="537">
        <f>'Power Price Assumption'!V9</f>
        <v>16.5</v>
      </c>
      <c r="V6" s="537">
        <f>'Power Price Assumption'!W9</f>
        <v>17.5</v>
      </c>
      <c r="W6" s="537">
        <f>'Power Price Assumption'!X9</f>
        <v>18.5</v>
      </c>
      <c r="X6" s="537">
        <f>'Power Price Assumption'!Y9</f>
        <v>19.5</v>
      </c>
      <c r="Y6" s="537">
        <f>'Power Price Assumption'!Z9</f>
        <v>20.5</v>
      </c>
      <c r="Z6" s="537">
        <f>'Power Price Assumption'!AA9</f>
        <v>21.5</v>
      </c>
      <c r="AA6" s="398"/>
    </row>
    <row r="7" spans="1:29" s="35" customFormat="1" ht="13.5" thickBot="1">
      <c r="A7" s="256" t="s">
        <v>87</v>
      </c>
      <c r="B7" s="340"/>
      <c r="C7" s="340"/>
      <c r="D7" s="340"/>
      <c r="E7" s="8">
        <f>'Power Price Assumption'!F10</f>
        <v>1999</v>
      </c>
      <c r="F7" s="8">
        <f>'Power Price Assumption'!G10</f>
        <v>2000</v>
      </c>
      <c r="G7" s="8">
        <f>'Power Price Assumption'!H10</f>
        <v>2001</v>
      </c>
      <c r="H7" s="8">
        <f>'Power Price Assumption'!I10</f>
        <v>2002</v>
      </c>
      <c r="I7" s="8">
        <f>'Power Price Assumption'!J10</f>
        <v>2003</v>
      </c>
      <c r="J7" s="8">
        <f>'Power Price Assumption'!K10</f>
        <v>2004</v>
      </c>
      <c r="K7" s="8">
        <f>'Power Price Assumption'!L10</f>
        <v>2005</v>
      </c>
      <c r="L7" s="8">
        <f>'Power Price Assumption'!M10</f>
        <v>2006</v>
      </c>
      <c r="M7" s="8">
        <f>'Power Price Assumption'!N10</f>
        <v>2007</v>
      </c>
      <c r="N7" s="8">
        <f>'Power Price Assumption'!O10</f>
        <v>2008</v>
      </c>
      <c r="O7" s="8">
        <f>'Power Price Assumption'!P10</f>
        <v>2009</v>
      </c>
      <c r="P7" s="8">
        <f>'Power Price Assumption'!Q10</f>
        <v>2010</v>
      </c>
      <c r="Q7" s="8">
        <f>'Power Price Assumption'!R10</f>
        <v>2011</v>
      </c>
      <c r="R7" s="8">
        <f>'Power Price Assumption'!S10</f>
        <v>2012</v>
      </c>
      <c r="S7" s="8">
        <f>'Power Price Assumption'!T10</f>
        <v>2013</v>
      </c>
      <c r="T7" s="8">
        <f>'Power Price Assumption'!U10</f>
        <v>2014</v>
      </c>
      <c r="U7" s="8">
        <f>'Power Price Assumption'!V10</f>
        <v>2015</v>
      </c>
      <c r="V7" s="8">
        <f>'Power Price Assumption'!W10</f>
        <v>2016</v>
      </c>
      <c r="W7" s="8">
        <f>'Power Price Assumption'!X10</f>
        <v>2017</v>
      </c>
      <c r="X7" s="8">
        <f>'Power Price Assumption'!Y10</f>
        <v>2018</v>
      </c>
      <c r="Y7" s="8">
        <f>'Power Price Assumption'!Z10</f>
        <v>2019</v>
      </c>
      <c r="Z7" s="8">
        <f>'Power Price Assumption'!AA10</f>
        <v>2020</v>
      </c>
      <c r="AA7" s="10"/>
    </row>
    <row r="8" spans="1:29" s="35" customFormat="1">
      <c r="A8" s="36" t="s">
        <v>239</v>
      </c>
      <c r="B8" s="36"/>
      <c r="C8" s="34"/>
      <c r="D8" s="34"/>
      <c r="E8" s="18">
        <f>Assumptions!I17</f>
        <v>6</v>
      </c>
      <c r="F8" s="18">
        <v>12</v>
      </c>
      <c r="G8" s="18">
        <v>12</v>
      </c>
      <c r="H8" s="18">
        <v>12</v>
      </c>
      <c r="I8" s="18">
        <v>12</v>
      </c>
      <c r="J8" s="18">
        <v>12</v>
      </c>
      <c r="K8" s="18">
        <v>12</v>
      </c>
      <c r="L8" s="18">
        <v>12</v>
      </c>
      <c r="M8" s="18">
        <v>12</v>
      </c>
      <c r="N8" s="18">
        <v>12</v>
      </c>
      <c r="O8" s="18">
        <v>12</v>
      </c>
      <c r="P8" s="18">
        <v>12</v>
      </c>
      <c r="Q8" s="18">
        <v>12</v>
      </c>
      <c r="R8" s="18">
        <v>12</v>
      </c>
      <c r="S8" s="18">
        <v>12</v>
      </c>
      <c r="T8" s="18">
        <v>12</v>
      </c>
      <c r="U8" s="18">
        <v>12</v>
      </c>
      <c r="V8" s="18">
        <v>12</v>
      </c>
      <c r="W8" s="18">
        <v>12</v>
      </c>
      <c r="X8" s="18">
        <v>12</v>
      </c>
      <c r="Y8" s="18">
        <v>12</v>
      </c>
      <c r="Z8" s="37">
        <v>12</v>
      </c>
      <c r="AA8" s="37"/>
      <c r="AB8"/>
      <c r="AC8"/>
    </row>
    <row r="9" spans="1:29" s="35" customFormat="1">
      <c r="A9" s="36"/>
      <c r="B9" s="36"/>
      <c r="C9" s="34"/>
      <c r="D9" s="34"/>
      <c r="E9" s="18"/>
      <c r="F9" s="18"/>
      <c r="G9" s="18"/>
      <c r="H9" s="18"/>
      <c r="I9" s="18"/>
      <c r="AB9"/>
      <c r="AC9"/>
    </row>
    <row r="10" spans="1:29" ht="15.75">
      <c r="A10" s="38"/>
      <c r="AB10"/>
      <c r="AC10"/>
    </row>
    <row r="11" spans="1:29" s="15" customFormat="1">
      <c r="A11" s="39" t="s">
        <v>142</v>
      </c>
      <c r="B11" s="17"/>
      <c r="C11" s="40"/>
      <c r="D11" s="4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/>
      <c r="AC11"/>
    </row>
    <row r="12" spans="1:29" s="15" customFormat="1">
      <c r="A12" s="17"/>
      <c r="B12" s="41" t="s">
        <v>143</v>
      </c>
      <c r="C12" s="34"/>
      <c r="D12" s="34"/>
      <c r="E12" s="45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17"/>
      <c r="U12" s="17"/>
      <c r="V12" s="17"/>
      <c r="W12" s="17"/>
      <c r="X12" s="17"/>
      <c r="Y12" s="17"/>
      <c r="Z12" s="17"/>
      <c r="AA12" s="17"/>
      <c r="AB12"/>
      <c r="AC12"/>
    </row>
    <row r="13" spans="1:29" s="15" customFormat="1">
      <c r="A13" s="29" t="s">
        <v>144</v>
      </c>
      <c r="B13" s="43">
        <f>Assumptions!$C$75</f>
        <v>15</v>
      </c>
      <c r="C13" s="44"/>
      <c r="D13" s="44"/>
      <c r="E13" s="489">
        <v>0.05</v>
      </c>
      <c r="F13" s="489">
        <v>9.5000000000000001E-2</v>
      </c>
      <c r="G13" s="489">
        <v>8.5500000000000007E-2</v>
      </c>
      <c r="H13" s="489">
        <v>7.6999999999999999E-2</v>
      </c>
      <c r="I13" s="489">
        <v>6.93E-2</v>
      </c>
      <c r="J13" s="489">
        <v>6.2300000000000001E-2</v>
      </c>
      <c r="K13" s="489">
        <v>5.8999999999999997E-2</v>
      </c>
      <c r="L13" s="489">
        <v>5.91E-2</v>
      </c>
      <c r="M13" s="489">
        <v>5.8999999999999997E-2</v>
      </c>
      <c r="N13" s="489">
        <v>5.91E-2</v>
      </c>
      <c r="O13" s="489">
        <v>5.8999999999999997E-2</v>
      </c>
      <c r="P13" s="489">
        <v>5.91E-2</v>
      </c>
      <c r="Q13" s="489">
        <v>5.8999999999999997E-2</v>
      </c>
      <c r="R13" s="489">
        <v>5.91E-2</v>
      </c>
      <c r="S13" s="489">
        <v>5.8999999999999997E-2</v>
      </c>
      <c r="T13" s="489">
        <v>2.9499999999999998E-2</v>
      </c>
      <c r="U13" s="489">
        <v>0</v>
      </c>
      <c r="V13" s="489">
        <v>0</v>
      </c>
      <c r="W13" s="489">
        <v>0</v>
      </c>
      <c r="X13" s="489">
        <v>0</v>
      </c>
      <c r="Y13" s="489">
        <v>0</v>
      </c>
      <c r="Z13" s="489">
        <v>0</v>
      </c>
      <c r="AA13" s="45"/>
      <c r="AB13"/>
      <c r="AC13"/>
    </row>
    <row r="14" spans="1:29" s="127" customFormat="1">
      <c r="A14" s="30" t="s">
        <v>145</v>
      </c>
      <c r="B14" s="124">
        <f>Assumptions!$C$76</f>
        <v>20</v>
      </c>
      <c r="C14" s="125"/>
      <c r="D14" s="125"/>
      <c r="E14" s="489">
        <f>1/Assumptions!$C$76*E8/12</f>
        <v>2.5000000000000005E-2</v>
      </c>
      <c r="F14" s="489">
        <f>IF(F6=Assumptions!$C$76,1/Assumptions!$C$76-Depreciation!$E$14,IF(F6&lt;Assumptions!$C$76,1/Assumptions!$C$76,0))</f>
        <v>0.05</v>
      </c>
      <c r="G14" s="489">
        <f>IF(G6=Assumptions!$C$76,1/Assumptions!$C$76-Depreciation!$E$14,IF(G6&lt;Assumptions!$C$76,1/Assumptions!$C$76,0))</f>
        <v>0.05</v>
      </c>
      <c r="H14" s="489">
        <f>IF(H6=Assumptions!$C$76,1/Assumptions!$C$76-Depreciation!$E$14,IF(H6&lt;Assumptions!$C$76,1/Assumptions!$C$76,0))</f>
        <v>0.05</v>
      </c>
      <c r="I14" s="489">
        <f>IF(I6=Assumptions!$C$76,1/Assumptions!$C$76-Depreciation!$E$14,IF(I6&lt;Assumptions!$C$76,1/Assumptions!$C$76,0))</f>
        <v>0.05</v>
      </c>
      <c r="J14" s="489">
        <f>IF(J6=Assumptions!$C$76,1/Assumptions!$C$76-Depreciation!$E$14,IF(J6&lt;Assumptions!$C$76,1/Assumptions!$C$76,0))</f>
        <v>0.05</v>
      </c>
      <c r="K14" s="489">
        <f>IF(K6=Assumptions!$C$76,1/Assumptions!$C$76-Depreciation!$E$14,IF(K6&lt;Assumptions!$C$76,1/Assumptions!$C$76,0))</f>
        <v>0.05</v>
      </c>
      <c r="L14" s="489">
        <f>IF(L6=Assumptions!$C$76,1/Assumptions!$C$76-Depreciation!$E$14,IF(L6&lt;Assumptions!$C$76,1/Assumptions!$C$76,0))</f>
        <v>0.05</v>
      </c>
      <c r="M14" s="489">
        <f>IF(M6=Assumptions!$C$76,1/Assumptions!$C$76-Depreciation!$E$14,IF(M6&lt;Assumptions!$C$76,1/Assumptions!$C$76,0))</f>
        <v>0.05</v>
      </c>
      <c r="N14" s="489">
        <f>IF(N6=Assumptions!$C$76,1/Assumptions!$C$76-Depreciation!$E$14,IF(N6&lt;Assumptions!$C$76,1/Assumptions!$C$76,0))</f>
        <v>0.05</v>
      </c>
      <c r="O14" s="489">
        <f>IF(O6=Assumptions!$C$76,1/Assumptions!$C$76-Depreciation!$E$14,IF(O6&lt;Assumptions!$C$76,1/Assumptions!$C$76,0))</f>
        <v>0.05</v>
      </c>
      <c r="P14" s="489">
        <f>IF(P6=Assumptions!$C$76,1/Assumptions!$C$76-Depreciation!$E$14,IF(P6&lt;Assumptions!$C$76,1/Assumptions!$C$76,0))</f>
        <v>0.05</v>
      </c>
      <c r="Q14" s="489">
        <f>IF(Q6=Assumptions!$C$76,1/Assumptions!$C$76-Depreciation!$E$14,IF(Q6&lt;Assumptions!$C$76,1/Assumptions!$C$76,0))</f>
        <v>0.05</v>
      </c>
      <c r="R14" s="489">
        <f>IF(R6=Assumptions!$C$76,1/Assumptions!$C$76-Depreciation!$E$14,IF(R6&lt;Assumptions!$C$76,1/Assumptions!$C$76,0))</f>
        <v>0.05</v>
      </c>
      <c r="S14" s="489">
        <f>IF(S6=Assumptions!$C$76,1/Assumptions!$C$76-Depreciation!$E$14,IF(S6&lt;Assumptions!$C$76,1/Assumptions!$C$76,0))</f>
        <v>0.05</v>
      </c>
      <c r="T14" s="489">
        <f>IF(T6=Assumptions!$C$76,1/Assumptions!$C$76-Depreciation!$E$14,IF(T6&lt;Assumptions!$C$76,1/Assumptions!$C$76,0))</f>
        <v>0.05</v>
      </c>
      <c r="U14" s="489">
        <f>IF(U6=Assumptions!$C$76,1/Assumptions!$C$76-Depreciation!$E$14,IF(U6&lt;Assumptions!$C$76,1/Assumptions!$C$76,0))</f>
        <v>0.05</v>
      </c>
      <c r="V14" s="489">
        <f>IF(V6=Assumptions!$C$76,1/Assumptions!$C$76-Depreciation!$E$14,IF(V6&lt;Assumptions!$C$76,1/Assumptions!$C$76,0))</f>
        <v>0.05</v>
      </c>
      <c r="W14" s="489">
        <f>IF(W6=Assumptions!$C$76,1/Assumptions!$C$76-Depreciation!$E$14,IF(W6&lt;Assumptions!$C$76,1/Assumptions!$C$76,0))</f>
        <v>0.05</v>
      </c>
      <c r="X14" s="489">
        <f>IF(X6=Assumptions!$C$76,1/Assumptions!$C$76-Depreciation!$E$14,IF(X6&lt;Assumptions!$C$76,1/Assumptions!$C$76,0))</f>
        <v>0.05</v>
      </c>
      <c r="Y14" s="489">
        <f>IF(Y6=Assumptions!$C$76,1/Assumptions!$C$76-Depreciation!$E$14,IF(Y6&lt;Assumptions!$C$76,1/Assumptions!$C$76,0))</f>
        <v>0</v>
      </c>
      <c r="Z14" s="489">
        <f>IF(Z6=Assumptions!$C$76,1/Assumptions!$C$76-Depreciation!$E$14,IF(Z6&lt;Assumptions!$C$76,1/Assumptions!$C$76,0))</f>
        <v>0</v>
      </c>
      <c r="AA14" s="126"/>
      <c r="AB14"/>
      <c r="AC14"/>
    </row>
    <row r="15" spans="1:29" s="15" customFormat="1">
      <c r="A15" s="17"/>
      <c r="B15" s="46"/>
      <c r="C15" s="34"/>
      <c r="D15" s="34"/>
      <c r="E15" s="4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/>
      <c r="AC15"/>
    </row>
    <row r="16" spans="1:29" s="15" customFormat="1">
      <c r="A16" s="29" t="s">
        <v>146</v>
      </c>
      <c r="B16" s="133">
        <f>Assumptions!E43-Assumptions!E39-Assumptions!E40</f>
        <v>123180.53499999999</v>
      </c>
      <c r="C16" s="134"/>
      <c r="D16" s="134"/>
      <c r="E16" s="135">
        <f>$B$16*E13</f>
        <v>6159.02675</v>
      </c>
      <c r="F16" s="135">
        <f t="shared" ref="F16:Z16" si="0">$B$16*F13</f>
        <v>11702.150824999999</v>
      </c>
      <c r="G16" s="135">
        <f t="shared" si="0"/>
        <v>10531.9357425</v>
      </c>
      <c r="H16" s="135">
        <f t="shared" si="0"/>
        <v>9484.9011949999986</v>
      </c>
      <c r="I16" s="135">
        <f t="shared" si="0"/>
        <v>8536.4110755000002</v>
      </c>
      <c r="J16" s="135">
        <f t="shared" si="0"/>
        <v>7674.147330499999</v>
      </c>
      <c r="K16" s="135">
        <f t="shared" si="0"/>
        <v>7267.6515649999992</v>
      </c>
      <c r="L16" s="135">
        <f t="shared" si="0"/>
        <v>7279.9696184999993</v>
      </c>
      <c r="M16" s="135">
        <f t="shared" si="0"/>
        <v>7267.6515649999992</v>
      </c>
      <c r="N16" s="135">
        <f t="shared" si="0"/>
        <v>7279.9696184999993</v>
      </c>
      <c r="O16" s="135">
        <f t="shared" si="0"/>
        <v>7267.6515649999992</v>
      </c>
      <c r="P16" s="135">
        <f t="shared" si="0"/>
        <v>7279.9696184999993</v>
      </c>
      <c r="Q16" s="135">
        <f t="shared" si="0"/>
        <v>7267.6515649999992</v>
      </c>
      <c r="R16" s="135">
        <f t="shared" si="0"/>
        <v>7279.9696184999993</v>
      </c>
      <c r="S16" s="135">
        <f t="shared" si="0"/>
        <v>7267.6515649999992</v>
      </c>
      <c r="T16" s="135">
        <f t="shared" si="0"/>
        <v>3633.8257824999996</v>
      </c>
      <c r="U16" s="135">
        <f t="shared" si="0"/>
        <v>0</v>
      </c>
      <c r="V16" s="135">
        <f t="shared" si="0"/>
        <v>0</v>
      </c>
      <c r="W16" s="135">
        <f t="shared" si="0"/>
        <v>0</v>
      </c>
      <c r="X16" s="135">
        <f t="shared" si="0"/>
        <v>0</v>
      </c>
      <c r="Y16" s="135">
        <f t="shared" si="0"/>
        <v>0</v>
      </c>
      <c r="Z16" s="135">
        <f t="shared" si="0"/>
        <v>0</v>
      </c>
      <c r="AA16" s="135"/>
      <c r="AB16"/>
      <c r="AC16"/>
    </row>
    <row r="17" spans="1:29" s="15" customFormat="1" ht="15">
      <c r="A17" s="30" t="s">
        <v>145</v>
      </c>
      <c r="B17" s="136">
        <f>SUM(Assumptions!E34:E36)</f>
        <v>1103.77</v>
      </c>
      <c r="C17" s="134"/>
      <c r="D17" s="134"/>
      <c r="E17" s="137">
        <f>$B$17*E14</f>
        <v>27.594250000000006</v>
      </c>
      <c r="F17" s="137">
        <f t="shared" ref="F17:Z17" si="1">$B$17*F14</f>
        <v>55.188500000000005</v>
      </c>
      <c r="G17" s="137">
        <f t="shared" si="1"/>
        <v>55.188500000000005</v>
      </c>
      <c r="H17" s="137">
        <f t="shared" si="1"/>
        <v>55.188500000000005</v>
      </c>
      <c r="I17" s="137">
        <f t="shared" si="1"/>
        <v>55.188500000000005</v>
      </c>
      <c r="J17" s="137">
        <f t="shared" si="1"/>
        <v>55.188500000000005</v>
      </c>
      <c r="K17" s="137">
        <f t="shared" si="1"/>
        <v>55.188500000000005</v>
      </c>
      <c r="L17" s="137">
        <f t="shared" si="1"/>
        <v>55.188500000000005</v>
      </c>
      <c r="M17" s="137">
        <f t="shared" si="1"/>
        <v>55.188500000000005</v>
      </c>
      <c r="N17" s="137">
        <f t="shared" si="1"/>
        <v>55.188500000000005</v>
      </c>
      <c r="O17" s="137">
        <f t="shared" si="1"/>
        <v>55.188500000000005</v>
      </c>
      <c r="P17" s="137">
        <f t="shared" si="1"/>
        <v>55.188500000000005</v>
      </c>
      <c r="Q17" s="137">
        <f t="shared" si="1"/>
        <v>55.188500000000005</v>
      </c>
      <c r="R17" s="137">
        <f t="shared" si="1"/>
        <v>55.188500000000005</v>
      </c>
      <c r="S17" s="137">
        <f t="shared" si="1"/>
        <v>55.188500000000005</v>
      </c>
      <c r="T17" s="137">
        <f t="shared" si="1"/>
        <v>55.188500000000005</v>
      </c>
      <c r="U17" s="137">
        <f t="shared" si="1"/>
        <v>55.188500000000005</v>
      </c>
      <c r="V17" s="137">
        <f t="shared" si="1"/>
        <v>55.188500000000005</v>
      </c>
      <c r="W17" s="137">
        <f t="shared" si="1"/>
        <v>55.188500000000005</v>
      </c>
      <c r="X17" s="137">
        <f t="shared" si="1"/>
        <v>55.188500000000005</v>
      </c>
      <c r="Y17" s="137">
        <f t="shared" si="1"/>
        <v>0</v>
      </c>
      <c r="Z17" s="137">
        <f t="shared" si="1"/>
        <v>0</v>
      </c>
      <c r="AA17" s="137"/>
      <c r="AB17"/>
      <c r="AC17"/>
    </row>
    <row r="18" spans="1:29" s="15" customFormat="1">
      <c r="A18" s="30" t="s">
        <v>147</v>
      </c>
      <c r="B18" s="135">
        <f>SUM(B16:B17)</f>
        <v>124284.30499999999</v>
      </c>
      <c r="C18" s="359"/>
      <c r="D18" s="134"/>
      <c r="E18" s="135">
        <f t="shared" ref="E18:Z18" si="2">SUM(E16:E17)</f>
        <v>6186.6210000000001</v>
      </c>
      <c r="F18" s="135">
        <f t="shared" si="2"/>
        <v>11757.339324999999</v>
      </c>
      <c r="G18" s="135">
        <f t="shared" si="2"/>
        <v>10587.1242425</v>
      </c>
      <c r="H18" s="135">
        <f t="shared" si="2"/>
        <v>9540.0896949999988</v>
      </c>
      <c r="I18" s="135">
        <f t="shared" si="2"/>
        <v>8591.5995755000004</v>
      </c>
      <c r="J18" s="135">
        <f t="shared" si="2"/>
        <v>7729.3358304999992</v>
      </c>
      <c r="K18" s="135">
        <f t="shared" si="2"/>
        <v>7322.8400649999994</v>
      </c>
      <c r="L18" s="135">
        <f t="shared" si="2"/>
        <v>7335.1581184999995</v>
      </c>
      <c r="M18" s="135">
        <f t="shared" si="2"/>
        <v>7322.8400649999994</v>
      </c>
      <c r="N18" s="135">
        <f t="shared" si="2"/>
        <v>7335.1581184999995</v>
      </c>
      <c r="O18" s="135">
        <f t="shared" si="2"/>
        <v>7322.8400649999994</v>
      </c>
      <c r="P18" s="135">
        <f t="shared" si="2"/>
        <v>7335.1581184999995</v>
      </c>
      <c r="Q18" s="135">
        <f t="shared" si="2"/>
        <v>7322.8400649999994</v>
      </c>
      <c r="R18" s="135">
        <f t="shared" si="2"/>
        <v>7335.1581184999995</v>
      </c>
      <c r="S18" s="135">
        <f t="shared" si="2"/>
        <v>7322.8400649999994</v>
      </c>
      <c r="T18" s="135">
        <f t="shared" si="2"/>
        <v>3689.0142824999998</v>
      </c>
      <c r="U18" s="135">
        <f t="shared" si="2"/>
        <v>55.188500000000005</v>
      </c>
      <c r="V18" s="135">
        <f t="shared" si="2"/>
        <v>55.188500000000005</v>
      </c>
      <c r="W18" s="135">
        <f t="shared" si="2"/>
        <v>55.188500000000005</v>
      </c>
      <c r="X18" s="135">
        <f t="shared" si="2"/>
        <v>55.188500000000005</v>
      </c>
      <c r="Y18" s="135">
        <f t="shared" si="2"/>
        <v>0</v>
      </c>
      <c r="Z18" s="135">
        <f t="shared" si="2"/>
        <v>0</v>
      </c>
      <c r="AA18" s="135"/>
      <c r="AB18"/>
      <c r="AC18"/>
    </row>
    <row r="19" spans="1:29" s="15" customFormat="1">
      <c r="B19" s="135"/>
      <c r="C19" s="134"/>
      <c r="D19" s="134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/>
      <c r="AC19"/>
    </row>
    <row r="20" spans="1:29" s="15" customFormat="1">
      <c r="A20" s="17" t="s">
        <v>148</v>
      </c>
      <c r="B20" s="135">
        <f>B18</f>
        <v>124284.30499999999</v>
      </c>
      <c r="C20" s="134"/>
      <c r="D20" s="134"/>
      <c r="E20" s="135">
        <f>B18-E18</f>
        <v>118097.68399999999</v>
      </c>
      <c r="F20" s="135">
        <f>E20-F18</f>
        <v>106340.344675</v>
      </c>
      <c r="G20" s="135">
        <f t="shared" ref="G20:Y20" si="3">F20-G18</f>
        <v>95753.220432500006</v>
      </c>
      <c r="H20" s="135">
        <f t="shared" si="3"/>
        <v>86213.130737500003</v>
      </c>
      <c r="I20" s="135">
        <f t="shared" si="3"/>
        <v>77621.531161999999</v>
      </c>
      <c r="J20" s="135">
        <f t="shared" si="3"/>
        <v>69892.195331499999</v>
      </c>
      <c r="K20" s="135">
        <f t="shared" si="3"/>
        <v>62569.355266500002</v>
      </c>
      <c r="L20" s="135">
        <f t="shared" si="3"/>
        <v>55234.197148000007</v>
      </c>
      <c r="M20" s="135">
        <f t="shared" si="3"/>
        <v>47911.35708300001</v>
      </c>
      <c r="N20" s="135">
        <f t="shared" si="3"/>
        <v>40576.198964500014</v>
      </c>
      <c r="O20" s="135">
        <f t="shared" si="3"/>
        <v>33253.358899500017</v>
      </c>
      <c r="P20" s="135">
        <f t="shared" si="3"/>
        <v>25918.200781000018</v>
      </c>
      <c r="Q20" s="135">
        <f t="shared" si="3"/>
        <v>18595.360716000017</v>
      </c>
      <c r="R20" s="135">
        <f t="shared" si="3"/>
        <v>11260.202597500018</v>
      </c>
      <c r="S20" s="135">
        <f t="shared" si="3"/>
        <v>3937.3625325000185</v>
      </c>
      <c r="T20" s="135">
        <f t="shared" si="3"/>
        <v>248.34825000001865</v>
      </c>
      <c r="U20" s="135">
        <f t="shared" si="3"/>
        <v>193.15975000001865</v>
      </c>
      <c r="V20" s="135">
        <f t="shared" si="3"/>
        <v>137.97125000001864</v>
      </c>
      <c r="W20" s="135">
        <f t="shared" si="3"/>
        <v>82.782750000018638</v>
      </c>
      <c r="X20" s="135">
        <f t="shared" si="3"/>
        <v>27.594250000018633</v>
      </c>
      <c r="Y20" s="135">
        <f t="shared" si="3"/>
        <v>27.594250000018633</v>
      </c>
      <c r="Z20" s="135">
        <f>Y20-Z18</f>
        <v>27.594250000018633</v>
      </c>
      <c r="AA20" s="135"/>
      <c r="AB20"/>
      <c r="AC20"/>
    </row>
    <row r="21" spans="1:29" s="15" customFormat="1">
      <c r="A21" s="21"/>
      <c r="B21" s="23"/>
      <c r="C21" s="47"/>
      <c r="D21" s="4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/>
      <c r="AC21"/>
    </row>
    <row r="22" spans="1:29" s="15" customFormat="1">
      <c r="A22" s="39" t="s">
        <v>149</v>
      </c>
      <c r="B22" s="48"/>
      <c r="C22" s="34"/>
      <c r="D22" s="34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/>
      <c r="AC22"/>
    </row>
    <row r="23" spans="1:29" s="15" customFormat="1">
      <c r="A23" s="39"/>
      <c r="B23" s="41" t="s">
        <v>143</v>
      </c>
      <c r="C23" s="34"/>
      <c r="D23" s="34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/>
      <c r="AC23"/>
    </row>
    <row r="24" spans="1:29" s="15" customFormat="1">
      <c r="A24" s="29" t="s">
        <v>144</v>
      </c>
      <c r="B24" s="43">
        <f>Assumptions!$C$75</f>
        <v>15</v>
      </c>
      <c r="C24" s="44"/>
      <c r="D24" s="44"/>
      <c r="E24" s="45">
        <f>E13</f>
        <v>0.05</v>
      </c>
      <c r="F24" s="45">
        <f t="shared" ref="F24:Z24" si="4">F13</f>
        <v>9.5000000000000001E-2</v>
      </c>
      <c r="G24" s="45">
        <f t="shared" si="4"/>
        <v>8.5500000000000007E-2</v>
      </c>
      <c r="H24" s="45">
        <f t="shared" si="4"/>
        <v>7.6999999999999999E-2</v>
      </c>
      <c r="I24" s="45">
        <f t="shared" si="4"/>
        <v>6.93E-2</v>
      </c>
      <c r="J24" s="45">
        <f t="shared" si="4"/>
        <v>6.2300000000000001E-2</v>
      </c>
      <c r="K24" s="45">
        <f t="shared" si="4"/>
        <v>5.8999999999999997E-2</v>
      </c>
      <c r="L24" s="45">
        <f t="shared" si="4"/>
        <v>5.91E-2</v>
      </c>
      <c r="M24" s="45">
        <f t="shared" si="4"/>
        <v>5.8999999999999997E-2</v>
      </c>
      <c r="N24" s="45">
        <f t="shared" si="4"/>
        <v>5.91E-2</v>
      </c>
      <c r="O24" s="45">
        <f t="shared" si="4"/>
        <v>5.8999999999999997E-2</v>
      </c>
      <c r="P24" s="45">
        <f t="shared" si="4"/>
        <v>5.91E-2</v>
      </c>
      <c r="Q24" s="45">
        <f t="shared" si="4"/>
        <v>5.8999999999999997E-2</v>
      </c>
      <c r="R24" s="45">
        <f t="shared" si="4"/>
        <v>5.91E-2</v>
      </c>
      <c r="S24" s="45">
        <f t="shared" si="4"/>
        <v>5.8999999999999997E-2</v>
      </c>
      <c r="T24" s="45">
        <f t="shared" si="4"/>
        <v>2.9499999999999998E-2</v>
      </c>
      <c r="U24" s="45">
        <f t="shared" si="4"/>
        <v>0</v>
      </c>
      <c r="V24" s="45">
        <f t="shared" si="4"/>
        <v>0</v>
      </c>
      <c r="W24" s="45">
        <f t="shared" si="4"/>
        <v>0</v>
      </c>
      <c r="X24" s="45">
        <f t="shared" si="4"/>
        <v>0</v>
      </c>
      <c r="Y24" s="45">
        <f t="shared" si="4"/>
        <v>0</v>
      </c>
      <c r="Z24" s="45">
        <f t="shared" si="4"/>
        <v>0</v>
      </c>
      <c r="AA24" s="45"/>
      <c r="AB24"/>
      <c r="AC24"/>
    </row>
    <row r="25" spans="1:29" s="15" customFormat="1">
      <c r="A25" s="30" t="s">
        <v>145</v>
      </c>
      <c r="B25" s="124">
        <f>Assumptions!$C$76</f>
        <v>20</v>
      </c>
      <c r="C25" s="44"/>
      <c r="D25" s="44"/>
      <c r="E25" s="45">
        <f>E14</f>
        <v>2.5000000000000005E-2</v>
      </c>
      <c r="F25" s="45">
        <f t="shared" ref="F25:Z25" si="5">F14</f>
        <v>0.05</v>
      </c>
      <c r="G25" s="45">
        <f t="shared" si="5"/>
        <v>0.05</v>
      </c>
      <c r="H25" s="45">
        <f t="shared" si="5"/>
        <v>0.05</v>
      </c>
      <c r="I25" s="45">
        <f t="shared" si="5"/>
        <v>0.05</v>
      </c>
      <c r="J25" s="45">
        <f t="shared" si="5"/>
        <v>0.05</v>
      </c>
      <c r="K25" s="45">
        <f t="shared" si="5"/>
        <v>0.05</v>
      </c>
      <c r="L25" s="45">
        <f t="shared" si="5"/>
        <v>0.05</v>
      </c>
      <c r="M25" s="45">
        <f t="shared" si="5"/>
        <v>0.05</v>
      </c>
      <c r="N25" s="45">
        <f t="shared" si="5"/>
        <v>0.05</v>
      </c>
      <c r="O25" s="45">
        <f t="shared" si="5"/>
        <v>0.05</v>
      </c>
      <c r="P25" s="45">
        <f t="shared" si="5"/>
        <v>0.05</v>
      </c>
      <c r="Q25" s="45">
        <f t="shared" si="5"/>
        <v>0.05</v>
      </c>
      <c r="R25" s="45">
        <f t="shared" si="5"/>
        <v>0.05</v>
      </c>
      <c r="S25" s="45">
        <f t="shared" si="5"/>
        <v>0.05</v>
      </c>
      <c r="T25" s="45">
        <f t="shared" si="5"/>
        <v>0.05</v>
      </c>
      <c r="U25" s="45">
        <f t="shared" si="5"/>
        <v>0.05</v>
      </c>
      <c r="V25" s="45">
        <f t="shared" si="5"/>
        <v>0.05</v>
      </c>
      <c r="W25" s="45">
        <f t="shared" si="5"/>
        <v>0.05</v>
      </c>
      <c r="X25" s="45">
        <f t="shared" si="5"/>
        <v>0.05</v>
      </c>
      <c r="Y25" s="45">
        <f t="shared" si="5"/>
        <v>0</v>
      </c>
      <c r="Z25" s="45">
        <f t="shared" si="5"/>
        <v>0</v>
      </c>
      <c r="AA25" s="45"/>
      <c r="AB25"/>
      <c r="AC25"/>
    </row>
    <row r="26" spans="1:29" s="15" customFormat="1">
      <c r="A26" s="21"/>
      <c r="B26" s="43"/>
      <c r="C26" s="34"/>
      <c r="D26" s="34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/>
      <c r="AC26"/>
    </row>
    <row r="27" spans="1:29" s="15" customFormat="1">
      <c r="A27" s="17"/>
      <c r="B27" s="41"/>
      <c r="C27" s="34"/>
      <c r="D27" s="34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/>
      <c r="AC27"/>
    </row>
    <row r="28" spans="1:29" s="27" customFormat="1">
      <c r="A28" s="29" t="s">
        <v>146</v>
      </c>
      <c r="B28" s="133">
        <f>B16</f>
        <v>123180.53499999999</v>
      </c>
      <c r="C28" s="134"/>
      <c r="D28" s="134"/>
      <c r="E28" s="135">
        <f>$B$28*E24</f>
        <v>6159.02675</v>
      </c>
      <c r="F28" s="135">
        <f t="shared" ref="F28:Z28" si="6">$B$28*F24</f>
        <v>11702.150824999999</v>
      </c>
      <c r="G28" s="135">
        <f t="shared" si="6"/>
        <v>10531.9357425</v>
      </c>
      <c r="H28" s="135">
        <f t="shared" si="6"/>
        <v>9484.9011949999986</v>
      </c>
      <c r="I28" s="135">
        <f t="shared" si="6"/>
        <v>8536.4110755000002</v>
      </c>
      <c r="J28" s="135">
        <f t="shared" si="6"/>
        <v>7674.147330499999</v>
      </c>
      <c r="K28" s="135">
        <f t="shared" si="6"/>
        <v>7267.6515649999992</v>
      </c>
      <c r="L28" s="135">
        <f t="shared" si="6"/>
        <v>7279.9696184999993</v>
      </c>
      <c r="M28" s="135">
        <f t="shared" si="6"/>
        <v>7267.6515649999992</v>
      </c>
      <c r="N28" s="135">
        <f t="shared" si="6"/>
        <v>7279.9696184999993</v>
      </c>
      <c r="O28" s="135">
        <f t="shared" si="6"/>
        <v>7267.6515649999992</v>
      </c>
      <c r="P28" s="135">
        <f t="shared" si="6"/>
        <v>7279.9696184999993</v>
      </c>
      <c r="Q28" s="135">
        <f t="shared" si="6"/>
        <v>7267.6515649999992</v>
      </c>
      <c r="R28" s="135">
        <f t="shared" si="6"/>
        <v>7279.9696184999993</v>
      </c>
      <c r="S28" s="135">
        <f t="shared" si="6"/>
        <v>7267.6515649999992</v>
      </c>
      <c r="T28" s="135">
        <f t="shared" si="6"/>
        <v>3633.8257824999996</v>
      </c>
      <c r="U28" s="135">
        <f t="shared" si="6"/>
        <v>0</v>
      </c>
      <c r="V28" s="135">
        <f t="shared" si="6"/>
        <v>0</v>
      </c>
      <c r="W28" s="135">
        <f t="shared" si="6"/>
        <v>0</v>
      </c>
      <c r="X28" s="135">
        <f t="shared" si="6"/>
        <v>0</v>
      </c>
      <c r="Y28" s="135">
        <f t="shared" si="6"/>
        <v>0</v>
      </c>
      <c r="Z28" s="135">
        <f t="shared" si="6"/>
        <v>0</v>
      </c>
      <c r="AA28" s="135"/>
      <c r="AB28"/>
      <c r="AC28"/>
    </row>
    <row r="29" spans="1:29" s="15" customFormat="1" ht="15">
      <c r="A29" s="30" t="s">
        <v>145</v>
      </c>
      <c r="B29" s="136">
        <f>B17</f>
        <v>1103.77</v>
      </c>
      <c r="C29" s="134"/>
      <c r="D29" s="134"/>
      <c r="E29" s="137">
        <f t="shared" ref="E29:Z29" si="7">$B29*E25</f>
        <v>27.594250000000006</v>
      </c>
      <c r="F29" s="137">
        <f t="shared" si="7"/>
        <v>55.188500000000005</v>
      </c>
      <c r="G29" s="137">
        <f t="shared" si="7"/>
        <v>55.188500000000005</v>
      </c>
      <c r="H29" s="137">
        <f t="shared" si="7"/>
        <v>55.188500000000005</v>
      </c>
      <c r="I29" s="137">
        <f t="shared" si="7"/>
        <v>55.188500000000005</v>
      </c>
      <c r="J29" s="137">
        <f t="shared" si="7"/>
        <v>55.188500000000005</v>
      </c>
      <c r="K29" s="137">
        <f t="shared" si="7"/>
        <v>55.188500000000005</v>
      </c>
      <c r="L29" s="137">
        <f t="shared" si="7"/>
        <v>55.188500000000005</v>
      </c>
      <c r="M29" s="137">
        <f t="shared" si="7"/>
        <v>55.188500000000005</v>
      </c>
      <c r="N29" s="137">
        <f t="shared" si="7"/>
        <v>55.188500000000005</v>
      </c>
      <c r="O29" s="137">
        <f t="shared" si="7"/>
        <v>55.188500000000005</v>
      </c>
      <c r="P29" s="137">
        <f t="shared" si="7"/>
        <v>55.188500000000005</v>
      </c>
      <c r="Q29" s="137">
        <f t="shared" si="7"/>
        <v>55.188500000000005</v>
      </c>
      <c r="R29" s="137">
        <f t="shared" si="7"/>
        <v>55.188500000000005</v>
      </c>
      <c r="S29" s="137">
        <f t="shared" si="7"/>
        <v>55.188500000000005</v>
      </c>
      <c r="T29" s="137">
        <f t="shared" si="7"/>
        <v>55.188500000000005</v>
      </c>
      <c r="U29" s="137">
        <f t="shared" si="7"/>
        <v>55.188500000000005</v>
      </c>
      <c r="V29" s="137">
        <f t="shared" si="7"/>
        <v>55.188500000000005</v>
      </c>
      <c r="W29" s="137">
        <f t="shared" si="7"/>
        <v>55.188500000000005</v>
      </c>
      <c r="X29" s="137">
        <f t="shared" si="7"/>
        <v>55.188500000000005</v>
      </c>
      <c r="Y29" s="137">
        <f t="shared" si="7"/>
        <v>0</v>
      </c>
      <c r="Z29" s="137">
        <f t="shared" si="7"/>
        <v>0</v>
      </c>
      <c r="AA29" s="137"/>
      <c r="AB29"/>
      <c r="AC29"/>
    </row>
    <row r="30" spans="1:29" s="15" customFormat="1">
      <c r="A30" s="21" t="s">
        <v>147</v>
      </c>
      <c r="B30" s="135">
        <f>SUM(B28:B29)</f>
        <v>124284.30499999999</v>
      </c>
      <c r="C30" s="134"/>
      <c r="D30" s="134"/>
      <c r="E30" s="135">
        <f t="shared" ref="E30:Z30" si="8">SUM(E28:E29)</f>
        <v>6186.6210000000001</v>
      </c>
      <c r="F30" s="135">
        <f t="shared" si="8"/>
        <v>11757.339324999999</v>
      </c>
      <c r="G30" s="135">
        <f t="shared" si="8"/>
        <v>10587.1242425</v>
      </c>
      <c r="H30" s="135">
        <f t="shared" si="8"/>
        <v>9540.0896949999988</v>
      </c>
      <c r="I30" s="135">
        <f t="shared" si="8"/>
        <v>8591.5995755000004</v>
      </c>
      <c r="J30" s="135">
        <f t="shared" si="8"/>
        <v>7729.3358304999992</v>
      </c>
      <c r="K30" s="135">
        <f t="shared" si="8"/>
        <v>7322.8400649999994</v>
      </c>
      <c r="L30" s="135">
        <f t="shared" si="8"/>
        <v>7335.1581184999995</v>
      </c>
      <c r="M30" s="135">
        <f t="shared" si="8"/>
        <v>7322.8400649999994</v>
      </c>
      <c r="N30" s="135">
        <f t="shared" si="8"/>
        <v>7335.1581184999995</v>
      </c>
      <c r="O30" s="135">
        <f t="shared" si="8"/>
        <v>7322.8400649999994</v>
      </c>
      <c r="P30" s="135">
        <f t="shared" si="8"/>
        <v>7335.1581184999995</v>
      </c>
      <c r="Q30" s="135">
        <f t="shared" si="8"/>
        <v>7322.8400649999994</v>
      </c>
      <c r="R30" s="135">
        <f t="shared" si="8"/>
        <v>7335.1581184999995</v>
      </c>
      <c r="S30" s="135">
        <f t="shared" si="8"/>
        <v>7322.8400649999994</v>
      </c>
      <c r="T30" s="135">
        <f t="shared" si="8"/>
        <v>3689.0142824999998</v>
      </c>
      <c r="U30" s="135">
        <f t="shared" si="8"/>
        <v>55.188500000000005</v>
      </c>
      <c r="V30" s="135">
        <f t="shared" si="8"/>
        <v>55.188500000000005</v>
      </c>
      <c r="W30" s="135">
        <f t="shared" si="8"/>
        <v>55.188500000000005</v>
      </c>
      <c r="X30" s="135">
        <f t="shared" si="8"/>
        <v>55.188500000000005</v>
      </c>
      <c r="Y30" s="135">
        <f t="shared" si="8"/>
        <v>0</v>
      </c>
      <c r="Z30" s="135">
        <f t="shared" si="8"/>
        <v>0</v>
      </c>
      <c r="AA30" s="135"/>
      <c r="AB30"/>
      <c r="AC30"/>
    </row>
    <row r="31" spans="1:29" s="15" customFormat="1">
      <c r="A31" s="21"/>
      <c r="B31" s="17"/>
      <c r="C31" s="34"/>
      <c r="D31" s="34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/>
      <c r="AC31"/>
    </row>
    <row r="32" spans="1:29" s="15" customFormat="1">
      <c r="A32" s="17" t="s">
        <v>148</v>
      </c>
      <c r="B32" s="121">
        <f>B30</f>
        <v>124284.30499999999</v>
      </c>
      <c r="C32" s="34"/>
      <c r="D32" s="34"/>
      <c r="E32" s="25">
        <f>B30-E30</f>
        <v>118097.68399999999</v>
      </c>
      <c r="F32" s="25">
        <f>E32-F30</f>
        <v>106340.344675</v>
      </c>
      <c r="G32" s="25">
        <f t="shared" ref="G32:X32" si="9">F32-G30</f>
        <v>95753.220432500006</v>
      </c>
      <c r="H32" s="25">
        <f t="shared" si="9"/>
        <v>86213.130737500003</v>
      </c>
      <c r="I32" s="25">
        <f t="shared" si="9"/>
        <v>77621.531161999999</v>
      </c>
      <c r="J32" s="25">
        <f t="shared" si="9"/>
        <v>69892.195331499999</v>
      </c>
      <c r="K32" s="25">
        <f t="shared" si="9"/>
        <v>62569.355266500002</v>
      </c>
      <c r="L32" s="25">
        <f t="shared" si="9"/>
        <v>55234.197148000007</v>
      </c>
      <c r="M32" s="25">
        <f t="shared" si="9"/>
        <v>47911.35708300001</v>
      </c>
      <c r="N32" s="25">
        <f t="shared" si="9"/>
        <v>40576.198964500014</v>
      </c>
      <c r="O32" s="25">
        <f t="shared" si="9"/>
        <v>33253.358899500017</v>
      </c>
      <c r="P32" s="25">
        <f t="shared" si="9"/>
        <v>25918.200781000018</v>
      </c>
      <c r="Q32" s="25">
        <f t="shared" si="9"/>
        <v>18595.360716000017</v>
      </c>
      <c r="R32" s="25">
        <f t="shared" si="9"/>
        <v>11260.202597500018</v>
      </c>
      <c r="S32" s="25">
        <f t="shared" si="9"/>
        <v>3937.3625325000185</v>
      </c>
      <c r="T32" s="25">
        <f t="shared" si="9"/>
        <v>248.34825000001865</v>
      </c>
      <c r="U32" s="25">
        <f t="shared" si="9"/>
        <v>193.15975000001865</v>
      </c>
      <c r="V32" s="25">
        <f t="shared" si="9"/>
        <v>137.97125000001864</v>
      </c>
      <c r="W32" s="25">
        <f t="shared" si="9"/>
        <v>82.782750000018638</v>
      </c>
      <c r="X32" s="25">
        <f t="shared" si="9"/>
        <v>27.594250000018633</v>
      </c>
      <c r="Y32" s="25">
        <f>X32-Y30</f>
        <v>27.594250000018633</v>
      </c>
      <c r="Z32" s="25">
        <f>Y32-Z30</f>
        <v>27.594250000018633</v>
      </c>
      <c r="AA32" s="25"/>
    </row>
    <row r="33" spans="1:29" s="15" customFormat="1">
      <c r="A33" s="17"/>
      <c r="B33" s="17"/>
      <c r="C33" s="34"/>
      <c r="D33" s="34"/>
      <c r="E33" s="50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9" s="15" customFormat="1">
      <c r="A34" s="17"/>
      <c r="D34" s="51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9" s="15" customFormat="1">
      <c r="A35" s="39" t="s">
        <v>150</v>
      </c>
      <c r="D35" s="298"/>
      <c r="AA35" s="45"/>
    </row>
    <row r="36" spans="1:29" s="15" customFormat="1">
      <c r="A36" s="39"/>
      <c r="B36" s="41" t="s">
        <v>143</v>
      </c>
      <c r="C36" s="51" t="s">
        <v>151</v>
      </c>
      <c r="D36" s="34"/>
      <c r="AA36" s="45"/>
    </row>
    <row r="37" spans="1:29" s="15" customFormat="1">
      <c r="A37" s="29" t="s">
        <v>152</v>
      </c>
      <c r="B37" s="43">
        <f>Assumptions!$C$79</f>
        <v>30</v>
      </c>
      <c r="C37" s="52">
        <f>Assumptions!E79</f>
        <v>0.1</v>
      </c>
      <c r="D37" s="34"/>
      <c r="E37" s="489">
        <f>1/Assumptions!$C$79*E8/12*(1-$C$37)</f>
        <v>1.4999999999999999E-2</v>
      </c>
      <c r="F37" s="489">
        <f>IF(F6=Assumptions!$C$79,1/Assumptions!$C$79*(1-$C$37)-Depreciation!$E$37,IF(F6&lt;Assumptions!$C$79,1/Assumptions!$C$76*(1-$C$37),0))</f>
        <v>4.5000000000000005E-2</v>
      </c>
      <c r="G37" s="489">
        <f>IF(G6=Assumptions!$C$79,1/Assumptions!$C$79*(1-$C$37)-Depreciation!$E$37,IF(G6&lt;Assumptions!$C$79,1/Assumptions!$C$76*(1-$C$37),0))</f>
        <v>4.5000000000000005E-2</v>
      </c>
      <c r="H37" s="489">
        <f>IF(H6=Assumptions!$C$79,1/Assumptions!$C$79*(1-$C$37)-Depreciation!$E$37,IF(H6&lt;Assumptions!$C$79,1/Assumptions!$C$76*(1-$C$37),0))</f>
        <v>4.5000000000000005E-2</v>
      </c>
      <c r="I37" s="489">
        <f>IF(I6=Assumptions!$C$79,1/Assumptions!$C$79*(1-$C$37)-Depreciation!$E$37,IF(I6&lt;Assumptions!$C$79,1/Assumptions!$C$76*(1-$C$37),0))</f>
        <v>4.5000000000000005E-2</v>
      </c>
      <c r="J37" s="489">
        <f>IF(J6=Assumptions!$C$79,1/Assumptions!$C$79*(1-$C$37)-Depreciation!$E$37,IF(J6&lt;Assumptions!$C$79,1/Assumptions!$C$76*(1-$C$37),0))</f>
        <v>4.5000000000000005E-2</v>
      </c>
      <c r="K37" s="489">
        <f>IF(K6=Assumptions!$C$79,1/Assumptions!$C$79*(1-$C$37)-Depreciation!$E$37,IF(K6&lt;Assumptions!$C$79,1/Assumptions!$C$76*(1-$C$37),0))</f>
        <v>4.5000000000000005E-2</v>
      </c>
      <c r="L37" s="489">
        <f>IF(L6=Assumptions!$C$79,1/Assumptions!$C$79*(1-$C$37)-Depreciation!$E$37,IF(L6&lt;Assumptions!$C$79,1/Assumptions!$C$76*(1-$C$37),0))</f>
        <v>4.5000000000000005E-2</v>
      </c>
      <c r="M37" s="489">
        <f>IF(M6=Assumptions!$C$79,1/Assumptions!$C$79*(1-$C$37)-Depreciation!$E$37,IF(M6&lt;Assumptions!$C$79,1/Assumptions!$C$76*(1-$C$37),0))</f>
        <v>4.5000000000000005E-2</v>
      </c>
      <c r="N37" s="489">
        <f>IF(N6=Assumptions!$C$79,1/Assumptions!$C$79*(1-$C$37)-Depreciation!$E$37,IF(N6&lt;Assumptions!$C$79,1/Assumptions!$C$76*(1-$C$37),0))</f>
        <v>4.5000000000000005E-2</v>
      </c>
      <c r="O37" s="489">
        <f>IF(O6=Assumptions!$C$79,1/Assumptions!$C$79*(1-$C$37)-Depreciation!$E$37,IF(O6&lt;Assumptions!$C$79,1/Assumptions!$C$76*(1-$C$37),0))</f>
        <v>4.5000000000000005E-2</v>
      </c>
      <c r="P37" s="489">
        <f>IF(P6=Assumptions!$C$79,1/Assumptions!$C$79*(1-$C$37)-Depreciation!$E$37,IF(P6&lt;Assumptions!$C$79,1/Assumptions!$C$76*(1-$C$37),0))</f>
        <v>4.5000000000000005E-2</v>
      </c>
      <c r="Q37" s="489">
        <f>IF(Q6=Assumptions!$C$79,1/Assumptions!$C$79*(1-$C$37)-Depreciation!$E$37,IF(Q6&lt;Assumptions!$C$79,1/Assumptions!$C$76*(1-$C$37),0))</f>
        <v>4.5000000000000005E-2</v>
      </c>
      <c r="R37" s="489">
        <f>IF(R6=Assumptions!$C$79,1/Assumptions!$C$79*(1-$C$37)-Depreciation!$E$37,IF(R6&lt;Assumptions!$C$79,1/Assumptions!$C$76*(1-$C$37),0))</f>
        <v>4.5000000000000005E-2</v>
      </c>
      <c r="S37" s="489">
        <f>IF(S6=Assumptions!$C$79,1/Assumptions!$C$79*(1-$C$37)-Depreciation!$E$37,IF(S6&lt;Assumptions!$C$79,1/Assumptions!$C$76*(1-$C$37),0))</f>
        <v>4.5000000000000005E-2</v>
      </c>
      <c r="T37" s="489">
        <f>IF(T6=Assumptions!$C$79,1/Assumptions!$C$79*(1-$C$37)-Depreciation!$E$37,IF(T6&lt;Assumptions!$C$79,1/Assumptions!$C$76*(1-$C$37),0))</f>
        <v>4.5000000000000005E-2</v>
      </c>
      <c r="U37" s="489">
        <f>IF(U6=Assumptions!$C$79,1/Assumptions!$C$79*(1-$C$37)-Depreciation!$E$37,IF(U6&lt;Assumptions!$C$79,1/Assumptions!$C$76*(1-$C$37),0))</f>
        <v>4.5000000000000005E-2</v>
      </c>
      <c r="V37" s="489">
        <f>IF(V6=Assumptions!$C$79,1/Assumptions!$C$79*(1-$C$37)-Depreciation!$E$37,IF(V6&lt;Assumptions!$C$79,1/Assumptions!$C$76*(1-$C$37),0))</f>
        <v>4.5000000000000005E-2</v>
      </c>
      <c r="W37" s="489">
        <f>IF(W6=Assumptions!$C$79,1/Assumptions!$C$79*(1-$C$37)-Depreciation!$E$37,IF(W6&lt;Assumptions!$C$79,1/Assumptions!$C$76*(1-$C$37),0))</f>
        <v>4.5000000000000005E-2</v>
      </c>
      <c r="X37" s="489">
        <f>IF(X6=Assumptions!$C$79,1/Assumptions!$C$79*(1-$C$37)-Depreciation!$E$37,IF(X6&lt;Assumptions!$C$79,1/Assumptions!$C$76*(1-$C$37),0))</f>
        <v>4.5000000000000005E-2</v>
      </c>
      <c r="Y37" s="489">
        <f>IF(Y6=Assumptions!$C$79,1/Assumptions!$C$79*(1-$C$37)-Depreciation!$E$37,IF(Y6&lt;Assumptions!$C$79,1/Assumptions!$C$76*(1-$C$37),0))</f>
        <v>4.5000000000000005E-2</v>
      </c>
      <c r="Z37" s="489">
        <f>IF(Z6=Assumptions!$C$79,1/Assumptions!$C$79*(1-$C$37)-Depreciation!$E$37,IF(Z6&lt;Assumptions!$C$79,1/Assumptions!$C$76*(1-$C$37),0))</f>
        <v>4.5000000000000005E-2</v>
      </c>
      <c r="AA37" s="17"/>
    </row>
    <row r="38" spans="1:29" s="15" customFormat="1">
      <c r="A38" s="30" t="s">
        <v>145</v>
      </c>
      <c r="B38" s="46">
        <f>Assumptions!$C$80</f>
        <v>20</v>
      </c>
      <c r="C38" s="34"/>
      <c r="D38" s="134"/>
      <c r="E38" s="489">
        <f>1/Assumptions!$C$80*E8/12</f>
        <v>2.5000000000000005E-2</v>
      </c>
      <c r="F38" s="489">
        <f>IF(F6=Assumptions!$C$80,1/Assumptions!$C$80-Depreciation!$E$38,IF(F6&lt;Assumptions!$C$80,1/Assumptions!$C$80,0))</f>
        <v>0.05</v>
      </c>
      <c r="G38" s="489">
        <f>IF(G6=Assumptions!$C$80,1/Assumptions!$C$80-Depreciation!$E$38,IF(G6&lt;Assumptions!$C$80,1/Assumptions!$C$80,0))</f>
        <v>0.05</v>
      </c>
      <c r="H38" s="489">
        <f>IF(H6=Assumptions!$C$80,1/Assumptions!$C$80-Depreciation!$E$38,IF(H6&lt;Assumptions!$C$80,1/Assumptions!$C$80,0))</f>
        <v>0.05</v>
      </c>
      <c r="I38" s="489">
        <f>IF(I6=Assumptions!$C$80,1/Assumptions!$C$80-Depreciation!$E$38,IF(I6&lt;Assumptions!$C$80,1/Assumptions!$C$80,0))</f>
        <v>0.05</v>
      </c>
      <c r="J38" s="489">
        <f>IF(J6=Assumptions!$C$80,1/Assumptions!$C$80-Depreciation!$E$38,IF(J6&lt;Assumptions!$C$80,1/Assumptions!$C$80,0))</f>
        <v>0.05</v>
      </c>
      <c r="K38" s="489">
        <f>IF(K6=Assumptions!$C$80,1/Assumptions!$C$80-Depreciation!$E$38,IF(K6&lt;Assumptions!$C$80,1/Assumptions!$C$80,0))</f>
        <v>0.05</v>
      </c>
      <c r="L38" s="489">
        <f>IF(L6=Assumptions!$C$80,1/Assumptions!$C$80-Depreciation!$E$38,IF(L6&lt;Assumptions!$C$80,1/Assumptions!$C$80,0))</f>
        <v>0.05</v>
      </c>
      <c r="M38" s="489">
        <f>IF(M6=Assumptions!$C$80,1/Assumptions!$C$80-Depreciation!$E$38,IF(M6&lt;Assumptions!$C$80,1/Assumptions!$C$80,0))</f>
        <v>0.05</v>
      </c>
      <c r="N38" s="489">
        <f>IF(N6=Assumptions!$C$80,1/Assumptions!$C$80-Depreciation!$E$38,IF(N6&lt;Assumptions!$C$80,1/Assumptions!$C$80,0))</f>
        <v>0.05</v>
      </c>
      <c r="O38" s="489">
        <f>IF(O6=Assumptions!$C$80,1/Assumptions!$C$80-Depreciation!$E$38,IF(O6&lt;Assumptions!$C$80,1/Assumptions!$C$80,0))</f>
        <v>0.05</v>
      </c>
      <c r="P38" s="489">
        <f>IF(P6=Assumptions!$C$80,1/Assumptions!$C$80-Depreciation!$E$38,IF(P6&lt;Assumptions!$C$80,1/Assumptions!$C$80,0))</f>
        <v>0.05</v>
      </c>
      <c r="Q38" s="489">
        <f>IF(Q6=Assumptions!$C$80,1/Assumptions!$C$80-Depreciation!$E$38,IF(Q6&lt;Assumptions!$C$80,1/Assumptions!$C$80,0))</f>
        <v>0.05</v>
      </c>
      <c r="R38" s="489">
        <f>IF(R6=Assumptions!$C$80,1/Assumptions!$C$80-Depreciation!$E$38,IF(R6&lt;Assumptions!$C$80,1/Assumptions!$C$80,0))</f>
        <v>0.05</v>
      </c>
      <c r="S38" s="489">
        <f>IF(S6=Assumptions!$C$80,1/Assumptions!$C$80-Depreciation!$E$38,IF(S6&lt;Assumptions!$C$80,1/Assumptions!$C$80,0))</f>
        <v>0.05</v>
      </c>
      <c r="T38" s="489">
        <f>IF(T6=Assumptions!$C$80,1/Assumptions!$C$80-Depreciation!$E$38,IF(T6&lt;Assumptions!$C$80,1/Assumptions!$C$80,0))</f>
        <v>0.05</v>
      </c>
      <c r="U38" s="489">
        <f>IF(U6=Assumptions!$C$80,1/Assumptions!$C$80-Depreciation!$E$38,IF(U6&lt;Assumptions!$C$80,1/Assumptions!$C$80,0))</f>
        <v>0.05</v>
      </c>
      <c r="V38" s="489">
        <f>IF(V6=Assumptions!$C$80,1/Assumptions!$C$80-Depreciation!$E$38,IF(V6&lt;Assumptions!$C$80,1/Assumptions!$C$80,0))</f>
        <v>0.05</v>
      </c>
      <c r="W38" s="489">
        <f>IF(W6=Assumptions!$C$80,1/Assumptions!$C$80-Depreciation!$E$38,IF(W6&lt;Assumptions!$C$80,1/Assumptions!$C$80,0))</f>
        <v>0.05</v>
      </c>
      <c r="X38" s="489">
        <f>IF(X6=Assumptions!$C$80,1/Assumptions!$C$80-Depreciation!$E$38,IF(X6&lt;Assumptions!$C$80,1/Assumptions!$C$80,0))</f>
        <v>0.05</v>
      </c>
      <c r="Y38" s="489">
        <f>IF(Y6=Assumptions!$C$80,1/Assumptions!$C$80-Depreciation!$E$38,IF(Y6&lt;Assumptions!$C$80,1/Assumptions!$C$80,0))</f>
        <v>0</v>
      </c>
      <c r="Z38" s="489">
        <f>IF(Z6=Assumptions!$C$80,1/Assumptions!$C$80-Depreciation!$E$38,IF(Z6&lt;Assumptions!$C$80,1/Assumptions!$C$80,0))</f>
        <v>0</v>
      </c>
      <c r="AA38" s="135"/>
    </row>
    <row r="39" spans="1:29" s="15" customFormat="1" ht="15">
      <c r="A39" s="17"/>
      <c r="B39" s="41"/>
      <c r="C39" s="34"/>
      <c r="D39" s="134"/>
      <c r="AA39" s="137"/>
    </row>
    <row r="40" spans="1:29" s="15" customFormat="1">
      <c r="A40" s="29" t="s">
        <v>152</v>
      </c>
      <c r="B40" s="133">
        <f>B16</f>
        <v>123180.53499999999</v>
      </c>
      <c r="C40" s="134"/>
      <c r="D40" s="134"/>
      <c r="E40" s="135">
        <f t="shared" ref="E40:Z40" si="10">E37*$B$40</f>
        <v>1847.7080249999997</v>
      </c>
      <c r="F40" s="135">
        <f t="shared" si="10"/>
        <v>5543.1240749999997</v>
      </c>
      <c r="G40" s="135">
        <f t="shared" si="10"/>
        <v>5543.1240749999997</v>
      </c>
      <c r="H40" s="135">
        <f t="shared" si="10"/>
        <v>5543.1240749999997</v>
      </c>
      <c r="I40" s="135">
        <f t="shared" si="10"/>
        <v>5543.1240749999997</v>
      </c>
      <c r="J40" s="135">
        <f t="shared" si="10"/>
        <v>5543.1240749999997</v>
      </c>
      <c r="K40" s="135">
        <f t="shared" si="10"/>
        <v>5543.1240749999997</v>
      </c>
      <c r="L40" s="135">
        <f t="shared" si="10"/>
        <v>5543.1240749999997</v>
      </c>
      <c r="M40" s="135">
        <f t="shared" si="10"/>
        <v>5543.1240749999997</v>
      </c>
      <c r="N40" s="135">
        <f t="shared" si="10"/>
        <v>5543.1240749999997</v>
      </c>
      <c r="O40" s="135">
        <f t="shared" si="10"/>
        <v>5543.1240749999997</v>
      </c>
      <c r="P40" s="135">
        <f t="shared" si="10"/>
        <v>5543.1240749999997</v>
      </c>
      <c r="Q40" s="135">
        <f t="shared" si="10"/>
        <v>5543.1240749999997</v>
      </c>
      <c r="R40" s="135">
        <f t="shared" si="10"/>
        <v>5543.1240749999997</v>
      </c>
      <c r="S40" s="135">
        <f t="shared" si="10"/>
        <v>5543.1240749999997</v>
      </c>
      <c r="T40" s="135">
        <f t="shared" si="10"/>
        <v>5543.1240749999997</v>
      </c>
      <c r="U40" s="135">
        <f t="shared" si="10"/>
        <v>5543.1240749999997</v>
      </c>
      <c r="V40" s="135">
        <f t="shared" si="10"/>
        <v>5543.1240749999997</v>
      </c>
      <c r="W40" s="135">
        <f t="shared" si="10"/>
        <v>5543.1240749999997</v>
      </c>
      <c r="X40" s="135">
        <f t="shared" si="10"/>
        <v>5543.1240749999997</v>
      </c>
      <c r="Y40" s="135">
        <f t="shared" si="10"/>
        <v>5543.1240749999997</v>
      </c>
      <c r="Z40" s="135">
        <f t="shared" si="10"/>
        <v>5543.1240749999997</v>
      </c>
      <c r="AA40" s="135"/>
    </row>
    <row r="41" spans="1:29" s="15" customFormat="1" ht="15">
      <c r="A41" s="30" t="s">
        <v>145</v>
      </c>
      <c r="B41" s="136">
        <f>B17</f>
        <v>1103.77</v>
      </c>
      <c r="C41" s="134"/>
      <c r="D41" s="49"/>
      <c r="E41" s="137">
        <f t="shared" ref="E41:Z41" si="11">E38*$B$41</f>
        <v>27.594250000000006</v>
      </c>
      <c r="F41" s="137">
        <f t="shared" si="11"/>
        <v>55.188500000000005</v>
      </c>
      <c r="G41" s="137">
        <f t="shared" si="11"/>
        <v>55.188500000000005</v>
      </c>
      <c r="H41" s="137">
        <f t="shared" si="11"/>
        <v>55.188500000000005</v>
      </c>
      <c r="I41" s="137">
        <f t="shared" si="11"/>
        <v>55.188500000000005</v>
      </c>
      <c r="J41" s="137">
        <f t="shared" si="11"/>
        <v>55.188500000000005</v>
      </c>
      <c r="K41" s="137">
        <f t="shared" si="11"/>
        <v>55.188500000000005</v>
      </c>
      <c r="L41" s="137">
        <f t="shared" si="11"/>
        <v>55.188500000000005</v>
      </c>
      <c r="M41" s="137">
        <f t="shared" si="11"/>
        <v>55.188500000000005</v>
      </c>
      <c r="N41" s="137">
        <f t="shared" si="11"/>
        <v>55.188500000000005</v>
      </c>
      <c r="O41" s="137">
        <f t="shared" si="11"/>
        <v>55.188500000000005</v>
      </c>
      <c r="P41" s="137">
        <f t="shared" si="11"/>
        <v>55.188500000000005</v>
      </c>
      <c r="Q41" s="137">
        <f t="shared" si="11"/>
        <v>55.188500000000005</v>
      </c>
      <c r="R41" s="137">
        <f t="shared" si="11"/>
        <v>55.188500000000005</v>
      </c>
      <c r="S41" s="137">
        <f t="shared" si="11"/>
        <v>55.188500000000005</v>
      </c>
      <c r="T41" s="137">
        <f t="shared" si="11"/>
        <v>55.188500000000005</v>
      </c>
      <c r="U41" s="137">
        <f t="shared" si="11"/>
        <v>55.188500000000005</v>
      </c>
      <c r="V41" s="137">
        <f t="shared" si="11"/>
        <v>55.188500000000005</v>
      </c>
      <c r="W41" s="137">
        <f t="shared" si="11"/>
        <v>55.188500000000005</v>
      </c>
      <c r="X41" s="137">
        <f t="shared" si="11"/>
        <v>55.188500000000005</v>
      </c>
      <c r="Y41" s="137">
        <f t="shared" si="11"/>
        <v>0</v>
      </c>
      <c r="Z41" s="137">
        <f t="shared" si="11"/>
        <v>0</v>
      </c>
      <c r="AA41" s="17"/>
    </row>
    <row r="42" spans="1:29" s="15" customFormat="1">
      <c r="A42" s="21" t="s">
        <v>147</v>
      </c>
      <c r="B42" s="135">
        <f>SUM(B40:B41)</f>
        <v>124284.30499999999</v>
      </c>
      <c r="C42" s="134"/>
      <c r="D42" s="49"/>
      <c r="E42" s="135">
        <f t="shared" ref="E42:Z42" si="12">SUM(E40:E41)</f>
        <v>1875.3022749999998</v>
      </c>
      <c r="F42" s="135">
        <f t="shared" si="12"/>
        <v>5598.3125749999999</v>
      </c>
      <c r="G42" s="135">
        <f t="shared" si="12"/>
        <v>5598.3125749999999</v>
      </c>
      <c r="H42" s="135">
        <f t="shared" si="12"/>
        <v>5598.3125749999999</v>
      </c>
      <c r="I42" s="135">
        <f t="shared" si="12"/>
        <v>5598.3125749999999</v>
      </c>
      <c r="J42" s="135">
        <f t="shared" si="12"/>
        <v>5598.3125749999999</v>
      </c>
      <c r="K42" s="135">
        <f t="shared" si="12"/>
        <v>5598.3125749999999</v>
      </c>
      <c r="L42" s="135">
        <f t="shared" si="12"/>
        <v>5598.3125749999999</v>
      </c>
      <c r="M42" s="135">
        <f t="shared" si="12"/>
        <v>5598.3125749999999</v>
      </c>
      <c r="N42" s="135">
        <f t="shared" si="12"/>
        <v>5598.3125749999999</v>
      </c>
      <c r="O42" s="135">
        <f t="shared" si="12"/>
        <v>5598.3125749999999</v>
      </c>
      <c r="P42" s="135">
        <f t="shared" si="12"/>
        <v>5598.3125749999999</v>
      </c>
      <c r="Q42" s="135">
        <f t="shared" si="12"/>
        <v>5598.3125749999999</v>
      </c>
      <c r="R42" s="135">
        <f t="shared" si="12"/>
        <v>5598.3125749999999</v>
      </c>
      <c r="S42" s="135">
        <f t="shared" si="12"/>
        <v>5598.3125749999999</v>
      </c>
      <c r="T42" s="135">
        <f t="shared" si="12"/>
        <v>5598.3125749999999</v>
      </c>
      <c r="U42" s="135">
        <f t="shared" si="12"/>
        <v>5598.3125749999999</v>
      </c>
      <c r="V42" s="135">
        <f t="shared" si="12"/>
        <v>5598.3125749999999</v>
      </c>
      <c r="W42" s="135">
        <f t="shared" si="12"/>
        <v>5598.3125749999999</v>
      </c>
      <c r="X42" s="135">
        <f t="shared" si="12"/>
        <v>5598.3125749999999</v>
      </c>
      <c r="Y42" s="135">
        <f t="shared" si="12"/>
        <v>5543.1240749999997</v>
      </c>
      <c r="Z42" s="135">
        <f t="shared" si="12"/>
        <v>5543.1240749999997</v>
      </c>
      <c r="AA42" s="135"/>
    </row>
    <row r="43" spans="1:29">
      <c r="A43" s="30"/>
      <c r="AB43" s="15"/>
      <c r="AC43" s="15"/>
    </row>
    <row r="44" spans="1:29" s="35" customFormat="1">
      <c r="A44" s="21" t="s">
        <v>153</v>
      </c>
      <c r="B44" s="36">
        <f>B42</f>
        <v>124284.30499999999</v>
      </c>
      <c r="C44" s="34"/>
      <c r="D44" s="34"/>
      <c r="E44" s="135">
        <f>B42-E42</f>
        <v>122409.002725</v>
      </c>
      <c r="F44" s="135">
        <f>E44-F42</f>
        <v>116810.69014999999</v>
      </c>
      <c r="G44" s="135">
        <f t="shared" ref="G44:Z44" si="13">F44-G42</f>
        <v>111212.37757499999</v>
      </c>
      <c r="H44" s="135">
        <f t="shared" si="13"/>
        <v>105614.06499999999</v>
      </c>
      <c r="I44" s="135">
        <f t="shared" si="13"/>
        <v>100015.75242499998</v>
      </c>
      <c r="J44" s="135">
        <f t="shared" si="13"/>
        <v>94417.439849999981</v>
      </c>
      <c r="K44" s="135">
        <f t="shared" si="13"/>
        <v>88819.127274999977</v>
      </c>
      <c r="L44" s="135">
        <f t="shared" si="13"/>
        <v>83220.814699999974</v>
      </c>
      <c r="M44" s="135">
        <f t="shared" si="13"/>
        <v>77622.50212499997</v>
      </c>
      <c r="N44" s="135">
        <f t="shared" si="13"/>
        <v>72024.189549999966</v>
      </c>
      <c r="O44" s="135">
        <f t="shared" si="13"/>
        <v>66425.876974999963</v>
      </c>
      <c r="P44" s="135">
        <f t="shared" si="13"/>
        <v>60827.564399999959</v>
      </c>
      <c r="Q44" s="135">
        <f t="shared" si="13"/>
        <v>55229.251824999956</v>
      </c>
      <c r="R44" s="135">
        <f t="shared" si="13"/>
        <v>49630.939249999952</v>
      </c>
      <c r="S44" s="135">
        <f t="shared" si="13"/>
        <v>44032.626674999949</v>
      </c>
      <c r="T44" s="135">
        <f t="shared" si="13"/>
        <v>38434.314099999945</v>
      </c>
      <c r="U44" s="135">
        <f t="shared" si="13"/>
        <v>32836.001524999941</v>
      </c>
      <c r="V44" s="135">
        <f t="shared" si="13"/>
        <v>27237.688949999942</v>
      </c>
      <c r="W44" s="135">
        <f t="shared" si="13"/>
        <v>21639.376374999942</v>
      </c>
      <c r="X44" s="135">
        <f t="shared" si="13"/>
        <v>16041.063799999942</v>
      </c>
      <c r="Y44" s="135">
        <f t="shared" si="13"/>
        <v>10497.939724999942</v>
      </c>
      <c r="Z44" s="135">
        <f t="shared" si="13"/>
        <v>4954.8156499999423</v>
      </c>
      <c r="AA44" s="37"/>
      <c r="AB44" s="17"/>
      <c r="AC44" s="17"/>
    </row>
    <row r="45" spans="1:29">
      <c r="AB45" s="35"/>
      <c r="AC45" s="35"/>
    </row>
  </sheetData>
  <pageMargins left="0.18" right="0.17" top="0.37" bottom="0.4" header="0.17" footer="0.21"/>
  <pageSetup scale="34" orientation="landscape" r:id="rId1"/>
  <headerFooter alignWithMargins="0">
    <oddFooter>&amp;L&amp;T, &amp;D&amp;C&amp;F&amp;RPage &amp;P</oddFooter>
  </headerFooter>
  <colBreaks count="1" manualBreakCount="1">
    <brk id="1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58"/>
  <sheetViews>
    <sheetView zoomScale="75" zoomScaleNormal="75" workbookViewId="0"/>
  </sheetViews>
  <sheetFormatPr defaultRowHeight="12.75"/>
  <cols>
    <col min="1" max="1" width="38.28515625" style="17" customWidth="1"/>
    <col min="2" max="2" width="9.140625" style="17"/>
    <col min="3" max="3" width="16.85546875" style="17" customWidth="1"/>
    <col min="4" max="23" width="10.5703125" style="17" customWidth="1"/>
    <col min="24" max="24" width="12.7109375" style="17" bestFit="1" customWidth="1"/>
    <col min="25" max="25" width="13.140625" style="17" bestFit="1" customWidth="1"/>
    <col min="26" max="26" width="10.5703125" style="6" customWidth="1"/>
    <col min="27" max="27" width="10" style="6" customWidth="1"/>
    <col min="28" max="16384" width="9.140625" style="6"/>
  </cols>
  <sheetData>
    <row r="2" spans="1:28" ht="18.75">
      <c r="A2" s="160" t="str">
        <f>Assumptions!A3</f>
        <v>PROJECT NAME:</v>
      </c>
    </row>
    <row r="4" spans="1:28" ht="18.75">
      <c r="A4" s="107" t="s">
        <v>266</v>
      </c>
      <c r="B4" s="375"/>
      <c r="C4" s="143"/>
      <c r="D4" s="143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27"/>
      <c r="AA4" s="127"/>
    </row>
    <row r="5" spans="1:28">
      <c r="A5" s="113"/>
      <c r="B5" s="143"/>
      <c r="C5" s="143"/>
      <c r="D5" s="144"/>
      <c r="E5" s="19"/>
      <c r="F5" s="19"/>
      <c r="G5" s="19"/>
      <c r="H5" s="19"/>
      <c r="I5" s="19"/>
      <c r="J5" s="19"/>
      <c r="K5" s="141"/>
      <c r="L5" s="19"/>
      <c r="M5" s="19"/>
      <c r="N5" s="19"/>
      <c r="O5" s="19"/>
      <c r="P5" s="19"/>
      <c r="Q5" s="141"/>
      <c r="R5" s="19"/>
      <c r="S5" s="19"/>
      <c r="T5" s="19"/>
      <c r="U5" s="19"/>
      <c r="V5" s="19"/>
      <c r="W5" s="141"/>
      <c r="X5" s="19"/>
      <c r="Y5" s="19"/>
      <c r="Z5" s="180"/>
      <c r="AA5" s="180"/>
    </row>
    <row r="6" spans="1:28">
      <c r="A6" s="307"/>
      <c r="B6" s="18"/>
      <c r="C6" s="309"/>
      <c r="D6" s="539">
        <f>'Power Price Assumption'!F9</f>
        <v>0.5</v>
      </c>
      <c r="E6" s="539">
        <f>'Power Price Assumption'!G9</f>
        <v>1.5</v>
      </c>
      <c r="F6" s="539">
        <f>'Power Price Assumption'!H9</f>
        <v>2.5</v>
      </c>
      <c r="G6" s="539">
        <f>'Power Price Assumption'!I9</f>
        <v>3.5</v>
      </c>
      <c r="H6" s="539">
        <f>'Power Price Assumption'!J9</f>
        <v>4.5</v>
      </c>
      <c r="I6" s="539">
        <f>'Power Price Assumption'!K9</f>
        <v>5.5</v>
      </c>
      <c r="J6" s="539">
        <f>'Power Price Assumption'!L9</f>
        <v>6.5</v>
      </c>
      <c r="K6" s="539">
        <f>'Power Price Assumption'!M9</f>
        <v>7.5</v>
      </c>
      <c r="L6" s="539">
        <f>'Power Price Assumption'!N9</f>
        <v>8.5</v>
      </c>
      <c r="M6" s="539">
        <f>'Power Price Assumption'!O9</f>
        <v>9.5</v>
      </c>
      <c r="N6" s="539">
        <f>'Power Price Assumption'!P9</f>
        <v>10.5</v>
      </c>
      <c r="O6" s="539">
        <f>'Power Price Assumption'!Q9</f>
        <v>11.5</v>
      </c>
      <c r="P6" s="539">
        <f>'Power Price Assumption'!R9</f>
        <v>12.5</v>
      </c>
      <c r="Q6" s="539">
        <f>'Power Price Assumption'!S9</f>
        <v>13.5</v>
      </c>
      <c r="R6" s="539">
        <f>'Power Price Assumption'!T9</f>
        <v>14.5</v>
      </c>
      <c r="S6" s="539">
        <f>'Power Price Assumption'!U9</f>
        <v>15.5</v>
      </c>
      <c r="T6" s="539">
        <f>'Power Price Assumption'!V9</f>
        <v>16.5</v>
      </c>
      <c r="U6" s="539">
        <f>'Power Price Assumption'!W9</f>
        <v>17.5</v>
      </c>
      <c r="V6" s="539">
        <f>'Power Price Assumption'!X9</f>
        <v>18.5</v>
      </c>
      <c r="W6" s="539">
        <f>'Power Price Assumption'!Y9</f>
        <v>19.5</v>
      </c>
      <c r="X6" s="539">
        <f>'Power Price Assumption'!Z9</f>
        <v>20.5</v>
      </c>
      <c r="Y6" s="539">
        <f>'Power Price Assumption'!AA9</f>
        <v>21.5</v>
      </c>
      <c r="Z6" s="181"/>
      <c r="AA6" s="180"/>
    </row>
    <row r="7" spans="1:28" ht="13.5" thickBot="1">
      <c r="A7" s="256" t="s">
        <v>87</v>
      </c>
      <c r="B7" s="340"/>
      <c r="C7" s="340"/>
      <c r="D7" s="8">
        <f>'Power Price Assumption'!F10</f>
        <v>1999</v>
      </c>
      <c r="E7" s="8">
        <f>'Power Price Assumption'!G10</f>
        <v>2000</v>
      </c>
      <c r="F7" s="8">
        <f>'Power Price Assumption'!H10</f>
        <v>2001</v>
      </c>
      <c r="G7" s="8">
        <f>'Power Price Assumption'!I10</f>
        <v>2002</v>
      </c>
      <c r="H7" s="8">
        <f>'Power Price Assumption'!J10</f>
        <v>2003</v>
      </c>
      <c r="I7" s="8">
        <f>'Power Price Assumption'!K10</f>
        <v>2004</v>
      </c>
      <c r="J7" s="8">
        <f>'Power Price Assumption'!L10</f>
        <v>2005</v>
      </c>
      <c r="K7" s="8">
        <f>'Power Price Assumption'!M10</f>
        <v>2006</v>
      </c>
      <c r="L7" s="8">
        <f>'Power Price Assumption'!N10</f>
        <v>2007</v>
      </c>
      <c r="M7" s="8">
        <f>'Power Price Assumption'!O10</f>
        <v>2008</v>
      </c>
      <c r="N7" s="8">
        <f>'Power Price Assumption'!P10</f>
        <v>2009</v>
      </c>
      <c r="O7" s="8">
        <f>'Power Price Assumption'!Q10</f>
        <v>2010</v>
      </c>
      <c r="P7" s="8">
        <f>'Power Price Assumption'!R10</f>
        <v>2011</v>
      </c>
      <c r="Q7" s="8">
        <f>'Power Price Assumption'!S10</f>
        <v>2012</v>
      </c>
      <c r="R7" s="8">
        <f>'Power Price Assumption'!T10</f>
        <v>2013</v>
      </c>
      <c r="S7" s="8">
        <f>'Power Price Assumption'!U10</f>
        <v>2014</v>
      </c>
      <c r="T7" s="8">
        <f>'Power Price Assumption'!V10</f>
        <v>2015</v>
      </c>
      <c r="U7" s="8">
        <f>'Power Price Assumption'!W10</f>
        <v>2016</v>
      </c>
      <c r="V7" s="8">
        <f>'Power Price Assumption'!X10</f>
        <v>2017</v>
      </c>
      <c r="W7" s="8">
        <f>'Power Price Assumption'!Y10</f>
        <v>2018</v>
      </c>
      <c r="X7" s="8">
        <f>'Power Price Assumption'!Z10</f>
        <v>2019</v>
      </c>
      <c r="Y7" s="8">
        <f>'Power Price Assumption'!AA10</f>
        <v>2020</v>
      </c>
    </row>
    <row r="8" spans="1:28">
      <c r="A8" s="307"/>
      <c r="B8" s="341"/>
      <c r="C8" s="341"/>
      <c r="D8" s="341"/>
      <c r="E8" s="341"/>
      <c r="F8" s="341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>
      <c r="A9" s="311" t="s">
        <v>154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43"/>
      <c r="AA9" s="143"/>
    </row>
    <row r="10" spans="1:28">
      <c r="A10" s="311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43"/>
      <c r="AA10" s="143"/>
    </row>
    <row r="11" spans="1:28">
      <c r="A11" s="311"/>
      <c r="B11" s="18"/>
      <c r="C11" s="18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179"/>
      <c r="AA11" s="179"/>
    </row>
    <row r="12" spans="1:28" ht="13.5">
      <c r="A12" s="31" t="s">
        <v>155</v>
      </c>
      <c r="B12" s="18"/>
      <c r="C12" s="18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179"/>
      <c r="AA12" s="179"/>
    </row>
    <row r="13" spans="1:28">
      <c r="A13" s="29" t="s">
        <v>156</v>
      </c>
      <c r="B13" s="313"/>
      <c r="C13" s="22"/>
      <c r="D13" s="26">
        <f>IS!D50</f>
        <v>7757.3466071778366</v>
      </c>
      <c r="E13" s="26">
        <f>IS!E50</f>
        <v>13098.554119684348</v>
      </c>
      <c r="F13" s="26">
        <f>IS!F50</f>
        <v>13055.482406252137</v>
      </c>
      <c r="G13" s="26">
        <f>IS!G50</f>
        <v>13010.728690038704</v>
      </c>
      <c r="H13" s="26">
        <f>IS!H50</f>
        <v>18309.004304494854</v>
      </c>
      <c r="I13" s="26">
        <f>IS!I50</f>
        <v>24015.289614624631</v>
      </c>
      <c r="J13" s="26">
        <f>IS!J50</f>
        <v>24370.13482632205</v>
      </c>
      <c r="K13" s="26">
        <f>IS!K50</f>
        <v>24723.035292198383</v>
      </c>
      <c r="L13" s="26">
        <f>IS!L50</f>
        <v>25691.054719263509</v>
      </c>
      <c r="M13" s="26">
        <f>IS!M50</f>
        <v>26045.479468699796</v>
      </c>
      <c r="N13" s="26">
        <f>IS!N50</f>
        <v>27057.28948777384</v>
      </c>
      <c r="O13" s="26">
        <f>IS!O50</f>
        <v>26631.517047884117</v>
      </c>
      <c r="P13" s="26">
        <f>IS!P50</f>
        <v>27742.462864708174</v>
      </c>
      <c r="Q13" s="26">
        <f>IS!Q50</f>
        <v>28177.379771432748</v>
      </c>
      <c r="R13" s="26">
        <f>IS!R50</f>
        <v>28599.56788822763</v>
      </c>
      <c r="S13" s="26">
        <f>IS!S50</f>
        <v>29007.202167366337</v>
      </c>
      <c r="T13" s="26">
        <f>IS!T50</f>
        <v>29430.482243503397</v>
      </c>
      <c r="U13" s="26">
        <f>IS!U50</f>
        <v>29849.158516423373</v>
      </c>
      <c r="V13" s="26">
        <f>IS!V50</f>
        <v>30240.434611508699</v>
      </c>
      <c r="W13" s="26">
        <f>IS!W50</f>
        <v>30494.622905560132</v>
      </c>
      <c r="X13" s="26">
        <f>IS!X50</f>
        <v>30714.348501500048</v>
      </c>
      <c r="Y13" s="26">
        <f>IS!Y50</f>
        <v>31081.352696898437</v>
      </c>
      <c r="Z13" s="182"/>
      <c r="AA13" s="182"/>
    </row>
    <row r="14" spans="1:28">
      <c r="A14" s="29" t="s">
        <v>157</v>
      </c>
      <c r="B14" s="18"/>
      <c r="C14" s="24"/>
      <c r="D14" s="26">
        <f>IS!D44</f>
        <v>1875.3022749999998</v>
      </c>
      <c r="E14" s="26">
        <f>IS!E44</f>
        <v>5598.3125749999999</v>
      </c>
      <c r="F14" s="26">
        <f>IS!F44</f>
        <v>5598.3125749999999</v>
      </c>
      <c r="G14" s="26">
        <f>IS!G44</f>
        <v>5598.3125749999999</v>
      </c>
      <c r="H14" s="26">
        <f>IS!H44</f>
        <v>5598.3125749999999</v>
      </c>
      <c r="I14" s="26">
        <f>IS!I44</f>
        <v>5598.3125749999999</v>
      </c>
      <c r="J14" s="26">
        <f>IS!J44</f>
        <v>5598.3125749999999</v>
      </c>
      <c r="K14" s="26">
        <f>IS!K44</f>
        <v>5598.3125749999999</v>
      </c>
      <c r="L14" s="26">
        <f>IS!L44</f>
        <v>5598.3125749999999</v>
      </c>
      <c r="M14" s="26">
        <f>IS!M44</f>
        <v>5598.3125749999999</v>
      </c>
      <c r="N14" s="26">
        <f>IS!N44</f>
        <v>5598.3125749999999</v>
      </c>
      <c r="O14" s="26">
        <f>IS!O44</f>
        <v>5598.3125749999999</v>
      </c>
      <c r="P14" s="26">
        <f>IS!P44</f>
        <v>5598.3125749999999</v>
      </c>
      <c r="Q14" s="26">
        <f>IS!Q44</f>
        <v>5598.3125749999999</v>
      </c>
      <c r="R14" s="26">
        <f>IS!R44</f>
        <v>5598.3125749999999</v>
      </c>
      <c r="S14" s="26">
        <f>IS!S44</f>
        <v>5598.3125749999999</v>
      </c>
      <c r="T14" s="26">
        <f>IS!T44</f>
        <v>5598.3125749999999</v>
      </c>
      <c r="U14" s="26">
        <f>IS!U44</f>
        <v>5598.3125749999999</v>
      </c>
      <c r="V14" s="26">
        <f>IS!V44</f>
        <v>5598.3125749999999</v>
      </c>
      <c r="W14" s="26">
        <f>IS!W44</f>
        <v>5598.3125749999999</v>
      </c>
      <c r="X14" s="26">
        <f>IS!X44</f>
        <v>5543.1240749999997</v>
      </c>
      <c r="Y14" s="26">
        <f>IS!Y44</f>
        <v>5543.1240749999997</v>
      </c>
      <c r="Z14" s="182"/>
      <c r="AA14" s="182"/>
    </row>
    <row r="15" spans="1:28" ht="15">
      <c r="A15" s="29" t="s">
        <v>158</v>
      </c>
      <c r="B15" s="18"/>
      <c r="C15" s="18"/>
      <c r="D15" s="314">
        <f>-Depreciation!E30</f>
        <v>-6186.6210000000001</v>
      </c>
      <c r="E15" s="314">
        <f>-Depreciation!F30</f>
        <v>-11757.339324999999</v>
      </c>
      <c r="F15" s="314">
        <f>-Depreciation!G30</f>
        <v>-10587.1242425</v>
      </c>
      <c r="G15" s="314">
        <f>-Depreciation!H30</f>
        <v>-9540.0896949999988</v>
      </c>
      <c r="H15" s="314">
        <f>-Depreciation!I30</f>
        <v>-8591.5995755000004</v>
      </c>
      <c r="I15" s="314">
        <f>-Depreciation!J30</f>
        <v>-7729.3358304999992</v>
      </c>
      <c r="J15" s="314">
        <f>-Depreciation!K30</f>
        <v>-7322.8400649999994</v>
      </c>
      <c r="K15" s="314">
        <f>-Depreciation!L30</f>
        <v>-7335.1581184999995</v>
      </c>
      <c r="L15" s="314">
        <f>-Depreciation!M30</f>
        <v>-7322.8400649999994</v>
      </c>
      <c r="M15" s="314">
        <f>-Depreciation!N30</f>
        <v>-7335.1581184999995</v>
      </c>
      <c r="N15" s="314">
        <f>-Depreciation!O30</f>
        <v>-7322.8400649999994</v>
      </c>
      <c r="O15" s="314">
        <f>-Depreciation!P30</f>
        <v>-7335.1581184999995</v>
      </c>
      <c r="P15" s="314">
        <f>-Depreciation!Q30</f>
        <v>-7322.8400649999994</v>
      </c>
      <c r="Q15" s="314">
        <f>-Depreciation!R30</f>
        <v>-7335.1581184999995</v>
      </c>
      <c r="R15" s="314">
        <f>-Depreciation!S30</f>
        <v>-7322.8400649999994</v>
      </c>
      <c r="S15" s="314">
        <f>-Depreciation!T30</f>
        <v>-3689.0142824999998</v>
      </c>
      <c r="T15" s="314">
        <f>-Depreciation!U30</f>
        <v>-55.188500000000005</v>
      </c>
      <c r="U15" s="314">
        <f>-Depreciation!V30</f>
        <v>-55.188500000000005</v>
      </c>
      <c r="V15" s="314">
        <f>-Depreciation!W30</f>
        <v>-55.188500000000005</v>
      </c>
      <c r="W15" s="314">
        <f>-Depreciation!X30</f>
        <v>-55.188500000000005</v>
      </c>
      <c r="X15" s="314">
        <f>-Depreciation!Y30</f>
        <v>0</v>
      </c>
      <c r="Y15" s="314">
        <f>-Depreciation!Z30</f>
        <v>0</v>
      </c>
      <c r="Z15" s="185"/>
      <c r="AA15" s="185"/>
    </row>
    <row r="16" spans="1:28">
      <c r="A16" s="312" t="s">
        <v>159</v>
      </c>
      <c r="B16" s="18"/>
      <c r="C16" s="18"/>
      <c r="D16" s="32">
        <f>SUM(D13:D15)</f>
        <v>3446.0278821778365</v>
      </c>
      <c r="E16" s="32">
        <f t="shared" ref="E16:Y16" si="0">SUM(E13:E15)</f>
        <v>6939.5273696843487</v>
      </c>
      <c r="F16" s="32">
        <f t="shared" si="0"/>
        <v>8066.6707387521365</v>
      </c>
      <c r="G16" s="32">
        <f t="shared" si="0"/>
        <v>9068.9515700387055</v>
      </c>
      <c r="H16" s="32">
        <f t="shared" si="0"/>
        <v>15315.717303994854</v>
      </c>
      <c r="I16" s="32">
        <f t="shared" si="0"/>
        <v>21884.266359124631</v>
      </c>
      <c r="J16" s="32">
        <f t="shared" si="0"/>
        <v>22645.607336322049</v>
      </c>
      <c r="K16" s="32">
        <f t="shared" si="0"/>
        <v>22986.189748698383</v>
      </c>
      <c r="L16" s="32">
        <f t="shared" si="0"/>
        <v>23966.527229263509</v>
      </c>
      <c r="M16" s="32">
        <f t="shared" si="0"/>
        <v>24308.633925199796</v>
      </c>
      <c r="N16" s="32">
        <f t="shared" si="0"/>
        <v>25332.76199777384</v>
      </c>
      <c r="O16" s="32">
        <f t="shared" si="0"/>
        <v>24894.671504384118</v>
      </c>
      <c r="P16" s="32">
        <f t="shared" si="0"/>
        <v>26017.935374708173</v>
      </c>
      <c r="Q16" s="32">
        <f t="shared" si="0"/>
        <v>26440.534227932749</v>
      </c>
      <c r="R16" s="32">
        <f t="shared" si="0"/>
        <v>26875.040398227629</v>
      </c>
      <c r="S16" s="32">
        <f t="shared" si="0"/>
        <v>30916.500459866336</v>
      </c>
      <c r="T16" s="32">
        <f t="shared" si="0"/>
        <v>34973.6063185034</v>
      </c>
      <c r="U16" s="32">
        <f t="shared" si="0"/>
        <v>35392.282591423376</v>
      </c>
      <c r="V16" s="32">
        <f t="shared" si="0"/>
        <v>35783.558686508703</v>
      </c>
      <c r="W16" s="32">
        <f t="shared" si="0"/>
        <v>36037.746980560136</v>
      </c>
      <c r="X16" s="32">
        <f t="shared" si="0"/>
        <v>36257.472576500048</v>
      </c>
      <c r="Y16" s="32">
        <f t="shared" si="0"/>
        <v>36624.476771898437</v>
      </c>
      <c r="Z16" s="179"/>
      <c r="AA16" s="179"/>
    </row>
    <row r="17" spans="1:27">
      <c r="A17" s="29"/>
      <c r="B17" s="18"/>
      <c r="C17" s="18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179"/>
      <c r="AA17" s="179"/>
    </row>
    <row r="18" spans="1:27">
      <c r="A18" s="29" t="s">
        <v>159</v>
      </c>
      <c r="B18" s="18"/>
      <c r="C18" s="28"/>
      <c r="D18" s="26">
        <f>D16</f>
        <v>3446.0278821778365</v>
      </c>
      <c r="E18" s="26">
        <f t="shared" ref="E18:X18" si="1">E16</f>
        <v>6939.5273696843487</v>
      </c>
      <c r="F18" s="26">
        <f t="shared" si="1"/>
        <v>8066.6707387521365</v>
      </c>
      <c r="G18" s="26">
        <f t="shared" si="1"/>
        <v>9068.9515700387055</v>
      </c>
      <c r="H18" s="26">
        <f t="shared" si="1"/>
        <v>15315.717303994854</v>
      </c>
      <c r="I18" s="26">
        <f t="shared" si="1"/>
        <v>21884.266359124631</v>
      </c>
      <c r="J18" s="26">
        <f t="shared" si="1"/>
        <v>22645.607336322049</v>
      </c>
      <c r="K18" s="26">
        <f t="shared" si="1"/>
        <v>22986.189748698383</v>
      </c>
      <c r="L18" s="26">
        <f t="shared" si="1"/>
        <v>23966.527229263509</v>
      </c>
      <c r="M18" s="26">
        <f t="shared" si="1"/>
        <v>24308.633925199796</v>
      </c>
      <c r="N18" s="26">
        <f t="shared" si="1"/>
        <v>25332.76199777384</v>
      </c>
      <c r="O18" s="26">
        <f t="shared" si="1"/>
        <v>24894.671504384118</v>
      </c>
      <c r="P18" s="26">
        <f t="shared" si="1"/>
        <v>26017.935374708173</v>
      </c>
      <c r="Q18" s="26">
        <f t="shared" si="1"/>
        <v>26440.534227932749</v>
      </c>
      <c r="R18" s="26">
        <f t="shared" si="1"/>
        <v>26875.040398227629</v>
      </c>
      <c r="S18" s="26">
        <f t="shared" si="1"/>
        <v>30916.500459866336</v>
      </c>
      <c r="T18" s="26">
        <f t="shared" si="1"/>
        <v>34973.6063185034</v>
      </c>
      <c r="U18" s="26">
        <f t="shared" si="1"/>
        <v>35392.282591423376</v>
      </c>
      <c r="V18" s="26">
        <f t="shared" si="1"/>
        <v>35783.558686508703</v>
      </c>
      <c r="W18" s="26">
        <f t="shared" si="1"/>
        <v>36037.746980560136</v>
      </c>
      <c r="X18" s="26">
        <f t="shared" si="1"/>
        <v>36257.472576500048</v>
      </c>
      <c r="Y18" s="26">
        <f>Y16</f>
        <v>36624.476771898437</v>
      </c>
      <c r="Z18" s="182"/>
      <c r="AA18" s="182"/>
    </row>
    <row r="19" spans="1:27">
      <c r="A19" s="29" t="s">
        <v>273</v>
      </c>
      <c r="B19" s="18"/>
      <c r="C19" s="18"/>
      <c r="D19" s="315">
        <f>Assumptions!$I$62</f>
        <v>0.06</v>
      </c>
      <c r="E19" s="315">
        <f>Assumptions!$I$62</f>
        <v>0.06</v>
      </c>
      <c r="F19" s="315">
        <f>Assumptions!$I$62</f>
        <v>0.06</v>
      </c>
      <c r="G19" s="315">
        <f>Assumptions!$I$62</f>
        <v>0.06</v>
      </c>
      <c r="H19" s="315">
        <f>Assumptions!$I$62</f>
        <v>0.06</v>
      </c>
      <c r="I19" s="315">
        <f>Assumptions!$I$62</f>
        <v>0.06</v>
      </c>
      <c r="J19" s="315">
        <f>Assumptions!$I$62</f>
        <v>0.06</v>
      </c>
      <c r="K19" s="315">
        <f>Assumptions!$I$62</f>
        <v>0.06</v>
      </c>
      <c r="L19" s="315">
        <f>Assumptions!$I$62</f>
        <v>0.06</v>
      </c>
      <c r="M19" s="315">
        <f>Assumptions!$I$62</f>
        <v>0.06</v>
      </c>
      <c r="N19" s="315">
        <f>Assumptions!$I$62</f>
        <v>0.06</v>
      </c>
      <c r="O19" s="315">
        <f>Assumptions!$I$62</f>
        <v>0.06</v>
      </c>
      <c r="P19" s="315">
        <f>Assumptions!$I$62</f>
        <v>0.06</v>
      </c>
      <c r="Q19" s="315">
        <f>Assumptions!$I$62</f>
        <v>0.06</v>
      </c>
      <c r="R19" s="315">
        <f>Assumptions!$I$62</f>
        <v>0.06</v>
      </c>
      <c r="S19" s="315">
        <f>Assumptions!$I$62</f>
        <v>0.06</v>
      </c>
      <c r="T19" s="315">
        <f>Assumptions!$I$62</f>
        <v>0.06</v>
      </c>
      <c r="U19" s="315">
        <f>Assumptions!$I$62</f>
        <v>0.06</v>
      </c>
      <c r="V19" s="315">
        <f>Assumptions!$I$62</f>
        <v>0.06</v>
      </c>
      <c r="W19" s="315">
        <f>Assumptions!$I$62</f>
        <v>0.06</v>
      </c>
      <c r="X19" s="315">
        <f>Assumptions!$I$62</f>
        <v>0.06</v>
      </c>
      <c r="Y19" s="315">
        <f>Assumptions!$I$62</f>
        <v>0.06</v>
      </c>
      <c r="Z19" s="186"/>
      <c r="AA19" s="186"/>
    </row>
    <row r="20" spans="1:27">
      <c r="A20" s="29" t="s">
        <v>160</v>
      </c>
      <c r="B20" s="313"/>
      <c r="C20" s="22"/>
      <c r="D20" s="26">
        <f>D18*D19</f>
        <v>206.76167293067019</v>
      </c>
      <c r="E20" s="26">
        <f t="shared" ref="E20:Y20" si="2">E18*E19</f>
        <v>416.37164218106091</v>
      </c>
      <c r="F20" s="26">
        <f t="shared" si="2"/>
        <v>484.00024432512816</v>
      </c>
      <c r="G20" s="26">
        <f t="shared" si="2"/>
        <v>544.13709420232226</v>
      </c>
      <c r="H20" s="26">
        <f t="shared" si="2"/>
        <v>918.94303823969119</v>
      </c>
      <c r="I20" s="26">
        <f t="shared" si="2"/>
        <v>1313.0559815474778</v>
      </c>
      <c r="J20" s="26">
        <f t="shared" si="2"/>
        <v>1358.7364401793229</v>
      </c>
      <c r="K20" s="26">
        <f t="shared" si="2"/>
        <v>1379.1713849219029</v>
      </c>
      <c r="L20" s="26">
        <f t="shared" si="2"/>
        <v>1437.9916337558104</v>
      </c>
      <c r="M20" s="26">
        <f t="shared" si="2"/>
        <v>1458.5180355119878</v>
      </c>
      <c r="N20" s="26">
        <f t="shared" si="2"/>
        <v>1519.9657198664304</v>
      </c>
      <c r="O20" s="26">
        <f t="shared" si="2"/>
        <v>1493.680290263047</v>
      </c>
      <c r="P20" s="26">
        <f t="shared" si="2"/>
        <v>1561.0761224824903</v>
      </c>
      <c r="Q20" s="26">
        <f t="shared" si="2"/>
        <v>1586.4320536759649</v>
      </c>
      <c r="R20" s="26">
        <f t="shared" si="2"/>
        <v>1612.5024238936578</v>
      </c>
      <c r="S20" s="26">
        <f t="shared" si="2"/>
        <v>1854.9900275919802</v>
      </c>
      <c r="T20" s="26">
        <f t="shared" si="2"/>
        <v>2098.4163791102037</v>
      </c>
      <c r="U20" s="26">
        <f t="shared" si="2"/>
        <v>2123.5369554854024</v>
      </c>
      <c r="V20" s="26">
        <f t="shared" si="2"/>
        <v>2147.0135211905222</v>
      </c>
      <c r="W20" s="26">
        <f t="shared" si="2"/>
        <v>2162.2648188336079</v>
      </c>
      <c r="X20" s="26">
        <f t="shared" si="2"/>
        <v>2175.448354590003</v>
      </c>
      <c r="Y20" s="26">
        <f t="shared" si="2"/>
        <v>2197.4686063139061</v>
      </c>
      <c r="Z20" s="182"/>
      <c r="AA20" s="182"/>
    </row>
    <row r="21" spans="1:27">
      <c r="A21" s="29"/>
      <c r="B21" s="18"/>
      <c r="C21" s="18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179"/>
      <c r="AA21" s="179"/>
    </row>
    <row r="22" spans="1:27">
      <c r="A22" s="29" t="s">
        <v>161</v>
      </c>
      <c r="B22" s="313"/>
      <c r="C22" s="22"/>
      <c r="D22" s="26">
        <v>0</v>
      </c>
      <c r="E22" s="26">
        <f>D26</f>
        <v>0</v>
      </c>
      <c r="F22" s="26">
        <f t="shared" ref="F22:Y22" si="3">E26</f>
        <v>0</v>
      </c>
      <c r="G22" s="26">
        <f t="shared" si="3"/>
        <v>0</v>
      </c>
      <c r="H22" s="26">
        <f t="shared" si="3"/>
        <v>0</v>
      </c>
      <c r="I22" s="26">
        <f t="shared" si="3"/>
        <v>0</v>
      </c>
      <c r="J22" s="26">
        <f t="shared" si="3"/>
        <v>0</v>
      </c>
      <c r="K22" s="26">
        <f t="shared" si="3"/>
        <v>0</v>
      </c>
      <c r="L22" s="26">
        <f t="shared" si="3"/>
        <v>0</v>
      </c>
      <c r="M22" s="26">
        <f t="shared" si="3"/>
        <v>0</v>
      </c>
      <c r="N22" s="26">
        <f t="shared" si="3"/>
        <v>0</v>
      </c>
      <c r="O22" s="26">
        <f t="shared" si="3"/>
        <v>0</v>
      </c>
      <c r="P22" s="26">
        <f t="shared" si="3"/>
        <v>0</v>
      </c>
      <c r="Q22" s="26">
        <f t="shared" si="3"/>
        <v>0</v>
      </c>
      <c r="R22" s="26">
        <f>Q26</f>
        <v>0</v>
      </c>
      <c r="S22" s="26">
        <f t="shared" si="3"/>
        <v>0</v>
      </c>
      <c r="T22" s="26">
        <f t="shared" si="3"/>
        <v>0</v>
      </c>
      <c r="U22" s="26">
        <f t="shared" si="3"/>
        <v>0</v>
      </c>
      <c r="V22" s="26">
        <v>0</v>
      </c>
      <c r="W22" s="26">
        <f t="shared" si="3"/>
        <v>0</v>
      </c>
      <c r="X22" s="26">
        <f t="shared" si="3"/>
        <v>0</v>
      </c>
      <c r="Y22" s="26">
        <f t="shared" si="3"/>
        <v>0</v>
      </c>
      <c r="Z22" s="182"/>
      <c r="AA22" s="182"/>
    </row>
    <row r="23" spans="1:27">
      <c r="A23" s="29" t="s">
        <v>162</v>
      </c>
      <c r="B23" s="313"/>
      <c r="C23" s="22"/>
      <c r="D23" s="330">
        <f>IF(D20&lt;0,-D20,0)</f>
        <v>0</v>
      </c>
      <c r="E23" s="330">
        <f t="shared" ref="E23:Y23" si="4">IF(E20&lt;0,-E20,0)</f>
        <v>0</v>
      </c>
      <c r="F23" s="330">
        <f t="shared" si="4"/>
        <v>0</v>
      </c>
      <c r="G23" s="330">
        <f t="shared" si="4"/>
        <v>0</v>
      </c>
      <c r="H23" s="330">
        <f t="shared" si="4"/>
        <v>0</v>
      </c>
      <c r="I23" s="330">
        <f t="shared" si="4"/>
        <v>0</v>
      </c>
      <c r="J23" s="330">
        <f t="shared" si="4"/>
        <v>0</v>
      </c>
      <c r="K23" s="330">
        <f t="shared" si="4"/>
        <v>0</v>
      </c>
      <c r="L23" s="330">
        <f t="shared" si="4"/>
        <v>0</v>
      </c>
      <c r="M23" s="330">
        <f t="shared" si="4"/>
        <v>0</v>
      </c>
      <c r="N23" s="330">
        <f t="shared" si="4"/>
        <v>0</v>
      </c>
      <c r="O23" s="330">
        <f t="shared" si="4"/>
        <v>0</v>
      </c>
      <c r="P23" s="330">
        <f t="shared" si="4"/>
        <v>0</v>
      </c>
      <c r="Q23" s="330">
        <f t="shared" si="4"/>
        <v>0</v>
      </c>
      <c r="R23" s="330">
        <f t="shared" si="4"/>
        <v>0</v>
      </c>
      <c r="S23" s="330">
        <f t="shared" si="4"/>
        <v>0</v>
      </c>
      <c r="T23" s="330">
        <f t="shared" si="4"/>
        <v>0</v>
      </c>
      <c r="U23" s="330">
        <f t="shared" si="4"/>
        <v>0</v>
      </c>
      <c r="V23" s="330">
        <f t="shared" si="4"/>
        <v>0</v>
      </c>
      <c r="W23" s="330">
        <f t="shared" si="4"/>
        <v>0</v>
      </c>
      <c r="X23" s="330">
        <f t="shared" si="4"/>
        <v>0</v>
      </c>
      <c r="Y23" s="330">
        <f t="shared" si="4"/>
        <v>0</v>
      </c>
      <c r="Z23" s="182"/>
      <c r="AA23" s="182"/>
    </row>
    <row r="24" spans="1:27">
      <c r="A24" s="29" t="s">
        <v>163</v>
      </c>
      <c r="B24" s="313"/>
      <c r="C24" s="316"/>
      <c r="D24" s="317">
        <v>0</v>
      </c>
      <c r="E24" s="317">
        <v>0</v>
      </c>
      <c r="F24" s="317">
        <v>0</v>
      </c>
      <c r="G24" s="317">
        <v>0</v>
      </c>
      <c r="H24" s="317">
        <v>0</v>
      </c>
      <c r="I24" s="317">
        <v>0</v>
      </c>
      <c r="J24" s="317">
        <v>0</v>
      </c>
      <c r="K24" s="317">
        <v>0</v>
      </c>
      <c r="L24" s="317">
        <v>0</v>
      </c>
      <c r="M24" s="317">
        <v>0</v>
      </c>
      <c r="N24" s="317">
        <v>0</v>
      </c>
      <c r="O24" s="317">
        <v>0</v>
      </c>
      <c r="P24" s="317">
        <v>0</v>
      </c>
      <c r="Q24" s="317">
        <v>0</v>
      </c>
      <c r="R24" s="317">
        <v>0</v>
      </c>
      <c r="S24" s="317">
        <v>0</v>
      </c>
      <c r="T24" s="317">
        <v>0</v>
      </c>
      <c r="U24" s="317">
        <v>0</v>
      </c>
      <c r="V24" s="317">
        <v>0</v>
      </c>
      <c r="W24" s="317">
        <v>0</v>
      </c>
      <c r="X24" s="26">
        <f>IF(P23&gt;(SUM(Q25:W25)+SUM(P24:W24))*-1,P23-(SUM(P25:W25)+SUM(P24:W24))*-1,0)</f>
        <v>0</v>
      </c>
      <c r="Y24" s="26">
        <f>IF(Q23&gt;(SUM(R25:X25)+SUM(Q24:X24))*-1,Q23-(SUM(Q25:X25)+SUM(Q24:X24))*-1,0)</f>
        <v>0</v>
      </c>
      <c r="Z24" s="182"/>
      <c r="AA24" s="182"/>
    </row>
    <row r="25" spans="1:27">
      <c r="A25" s="18" t="s">
        <v>164</v>
      </c>
      <c r="B25" s="310"/>
      <c r="C25" s="18"/>
      <c r="D25" s="318">
        <f>IF(D20&lt;0,0,IF(D22&gt;D20,-D20,-D22))</f>
        <v>0</v>
      </c>
      <c r="E25" s="318">
        <f t="shared" ref="E25:X25" si="5">IF(E20&lt;0,0,IF(E22&gt;E20,-E20,-E22))</f>
        <v>0</v>
      </c>
      <c r="F25" s="318">
        <f t="shared" si="5"/>
        <v>0</v>
      </c>
      <c r="G25" s="318">
        <f t="shared" si="5"/>
        <v>0</v>
      </c>
      <c r="H25" s="318">
        <f t="shared" si="5"/>
        <v>0</v>
      </c>
      <c r="I25" s="318">
        <f t="shared" si="5"/>
        <v>0</v>
      </c>
      <c r="J25" s="318">
        <f t="shared" si="5"/>
        <v>0</v>
      </c>
      <c r="K25" s="318">
        <f t="shared" si="5"/>
        <v>0</v>
      </c>
      <c r="L25" s="318">
        <f t="shared" si="5"/>
        <v>0</v>
      </c>
      <c r="M25" s="318">
        <f t="shared" si="5"/>
        <v>0</v>
      </c>
      <c r="N25" s="318">
        <f t="shared" si="5"/>
        <v>0</v>
      </c>
      <c r="O25" s="318">
        <f t="shared" si="5"/>
        <v>0</v>
      </c>
      <c r="P25" s="318">
        <f t="shared" si="5"/>
        <v>0</v>
      </c>
      <c r="Q25" s="318">
        <f t="shared" si="5"/>
        <v>0</v>
      </c>
      <c r="R25" s="318">
        <f t="shared" si="5"/>
        <v>0</v>
      </c>
      <c r="S25" s="318">
        <f t="shared" si="5"/>
        <v>0</v>
      </c>
      <c r="T25" s="318">
        <f t="shared" si="5"/>
        <v>0</v>
      </c>
      <c r="U25" s="318">
        <f t="shared" si="5"/>
        <v>0</v>
      </c>
      <c r="V25" s="318">
        <f t="shared" si="5"/>
        <v>0</v>
      </c>
      <c r="W25" s="318">
        <f t="shared" si="5"/>
        <v>0</v>
      </c>
      <c r="X25" s="318">
        <f t="shared" si="5"/>
        <v>0</v>
      </c>
      <c r="Y25" s="318">
        <f>IF(Y20&lt;0,0,IF(Y22&gt;Y20,-Y20,-Y22))</f>
        <v>0</v>
      </c>
      <c r="Z25" s="187"/>
      <c r="AA25" s="187"/>
    </row>
    <row r="26" spans="1:27">
      <c r="A26" s="18" t="s">
        <v>165</v>
      </c>
      <c r="B26" s="310"/>
      <c r="C26" s="18"/>
      <c r="D26" s="318">
        <f t="shared" ref="D26:Y26" si="6">SUM(D22:D25)</f>
        <v>0</v>
      </c>
      <c r="E26" s="318">
        <f t="shared" si="6"/>
        <v>0</v>
      </c>
      <c r="F26" s="318">
        <f t="shared" si="6"/>
        <v>0</v>
      </c>
      <c r="G26" s="318">
        <f t="shared" si="6"/>
        <v>0</v>
      </c>
      <c r="H26" s="318">
        <f t="shared" si="6"/>
        <v>0</v>
      </c>
      <c r="I26" s="318">
        <f t="shared" si="6"/>
        <v>0</v>
      </c>
      <c r="J26" s="318">
        <f t="shared" si="6"/>
        <v>0</v>
      </c>
      <c r="K26" s="318">
        <f t="shared" si="6"/>
        <v>0</v>
      </c>
      <c r="L26" s="318">
        <f t="shared" si="6"/>
        <v>0</v>
      </c>
      <c r="M26" s="318">
        <f t="shared" si="6"/>
        <v>0</v>
      </c>
      <c r="N26" s="318">
        <f t="shared" si="6"/>
        <v>0</v>
      </c>
      <c r="O26" s="318">
        <f t="shared" si="6"/>
        <v>0</v>
      </c>
      <c r="P26" s="318">
        <f t="shared" si="6"/>
        <v>0</v>
      </c>
      <c r="Q26" s="318">
        <f t="shared" si="6"/>
        <v>0</v>
      </c>
      <c r="R26" s="318">
        <f t="shared" si="6"/>
        <v>0</v>
      </c>
      <c r="S26" s="318">
        <f t="shared" si="6"/>
        <v>0</v>
      </c>
      <c r="T26" s="318">
        <f t="shared" si="6"/>
        <v>0</v>
      </c>
      <c r="U26" s="318">
        <f t="shared" si="6"/>
        <v>0</v>
      </c>
      <c r="V26" s="318">
        <f t="shared" si="6"/>
        <v>0</v>
      </c>
      <c r="W26" s="318">
        <f t="shared" si="6"/>
        <v>0</v>
      </c>
      <c r="X26" s="318">
        <f t="shared" si="6"/>
        <v>0</v>
      </c>
      <c r="Y26" s="318">
        <f t="shared" si="6"/>
        <v>0</v>
      </c>
      <c r="Z26" s="187"/>
      <c r="AA26" s="187"/>
    </row>
    <row r="27" spans="1:27">
      <c r="A27" s="18"/>
      <c r="B27" s="18"/>
      <c r="C27" s="18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179"/>
      <c r="AA27" s="179"/>
    </row>
    <row r="28" spans="1:27">
      <c r="A28" s="61" t="s">
        <v>166</v>
      </c>
      <c r="B28" s="18"/>
      <c r="C28" s="18"/>
      <c r="D28" s="32">
        <f>IF(D20&lt;0,0,D20+D25)</f>
        <v>206.76167293067019</v>
      </c>
      <c r="E28" s="32">
        <f t="shared" ref="E28:X28" si="7">IF(E20&lt;0,0,E20+E25)</f>
        <v>416.37164218106091</v>
      </c>
      <c r="F28" s="32">
        <f t="shared" si="7"/>
        <v>484.00024432512816</v>
      </c>
      <c r="G28" s="32">
        <f t="shared" si="7"/>
        <v>544.13709420232226</v>
      </c>
      <c r="H28" s="32">
        <f t="shared" si="7"/>
        <v>918.94303823969119</v>
      </c>
      <c r="I28" s="32">
        <f t="shared" si="7"/>
        <v>1313.0559815474778</v>
      </c>
      <c r="J28" s="32">
        <f t="shared" si="7"/>
        <v>1358.7364401793229</v>
      </c>
      <c r="K28" s="32">
        <f t="shared" si="7"/>
        <v>1379.1713849219029</v>
      </c>
      <c r="L28" s="32">
        <f t="shared" si="7"/>
        <v>1437.9916337558104</v>
      </c>
      <c r="M28" s="32">
        <f t="shared" si="7"/>
        <v>1458.5180355119878</v>
      </c>
      <c r="N28" s="32">
        <f t="shared" si="7"/>
        <v>1519.9657198664304</v>
      </c>
      <c r="O28" s="32">
        <f t="shared" si="7"/>
        <v>1493.680290263047</v>
      </c>
      <c r="P28" s="32">
        <f t="shared" si="7"/>
        <v>1561.0761224824903</v>
      </c>
      <c r="Q28" s="32">
        <f t="shared" si="7"/>
        <v>1586.4320536759649</v>
      </c>
      <c r="R28" s="32">
        <f t="shared" si="7"/>
        <v>1612.5024238936578</v>
      </c>
      <c r="S28" s="32">
        <f t="shared" si="7"/>
        <v>1854.9900275919802</v>
      </c>
      <c r="T28" s="32">
        <f t="shared" si="7"/>
        <v>2098.4163791102037</v>
      </c>
      <c r="U28" s="32">
        <f t="shared" si="7"/>
        <v>2123.5369554854024</v>
      </c>
      <c r="V28" s="32">
        <f t="shared" si="7"/>
        <v>2147.0135211905222</v>
      </c>
      <c r="W28" s="32">
        <f t="shared" si="7"/>
        <v>2162.2648188336079</v>
      </c>
      <c r="X28" s="32">
        <f t="shared" si="7"/>
        <v>2175.448354590003</v>
      </c>
      <c r="Y28" s="32">
        <f>IF(Y20&lt;0,0,Y20+Y25)</f>
        <v>2197.4686063139061</v>
      </c>
      <c r="Z28" s="179"/>
      <c r="AA28" s="179"/>
    </row>
    <row r="29" spans="1:27">
      <c r="A29" s="18" t="s">
        <v>274</v>
      </c>
      <c r="B29" s="18"/>
      <c r="C29" s="18"/>
      <c r="D29" s="490">
        <v>0</v>
      </c>
      <c r="E29" s="490">
        <v>0</v>
      </c>
      <c r="F29" s="490">
        <v>0</v>
      </c>
      <c r="G29" s="490">
        <v>0</v>
      </c>
      <c r="H29" s="490">
        <v>0</v>
      </c>
      <c r="I29" s="490">
        <v>0</v>
      </c>
      <c r="J29" s="490">
        <v>0</v>
      </c>
      <c r="K29" s="490">
        <v>0</v>
      </c>
      <c r="L29" s="490">
        <v>0</v>
      </c>
      <c r="M29" s="490">
        <v>0</v>
      </c>
      <c r="N29" s="490">
        <v>0</v>
      </c>
      <c r="O29" s="490">
        <v>0</v>
      </c>
      <c r="P29" s="490">
        <v>0</v>
      </c>
      <c r="Q29" s="490">
        <v>0</v>
      </c>
      <c r="R29" s="490">
        <v>0</v>
      </c>
      <c r="S29" s="490">
        <v>0</v>
      </c>
      <c r="T29" s="490">
        <v>0</v>
      </c>
      <c r="U29" s="490">
        <v>0</v>
      </c>
      <c r="V29" s="490">
        <v>0</v>
      </c>
      <c r="W29" s="490">
        <v>0</v>
      </c>
      <c r="X29" s="490">
        <v>0</v>
      </c>
      <c r="Y29" s="490">
        <v>0</v>
      </c>
      <c r="Z29" s="184"/>
      <c r="AA29" s="184"/>
    </row>
    <row r="30" spans="1:27">
      <c r="A30" s="61" t="s">
        <v>167</v>
      </c>
      <c r="B30" s="18"/>
      <c r="C30" s="18"/>
      <c r="D30" s="331">
        <f t="shared" ref="D30:Y30" si="8">SUM(D28:D29)</f>
        <v>206.76167293067019</v>
      </c>
      <c r="E30" s="332">
        <f t="shared" si="8"/>
        <v>416.37164218106091</v>
      </c>
      <c r="F30" s="332">
        <f t="shared" si="8"/>
        <v>484.00024432512816</v>
      </c>
      <c r="G30" s="332">
        <f t="shared" si="8"/>
        <v>544.13709420232226</v>
      </c>
      <c r="H30" s="332">
        <f t="shared" si="8"/>
        <v>918.94303823969119</v>
      </c>
      <c r="I30" s="332">
        <f t="shared" si="8"/>
        <v>1313.0559815474778</v>
      </c>
      <c r="J30" s="332">
        <f t="shared" si="8"/>
        <v>1358.7364401793229</v>
      </c>
      <c r="K30" s="332">
        <f t="shared" si="8"/>
        <v>1379.1713849219029</v>
      </c>
      <c r="L30" s="332">
        <f t="shared" si="8"/>
        <v>1437.9916337558104</v>
      </c>
      <c r="M30" s="332">
        <f t="shared" si="8"/>
        <v>1458.5180355119878</v>
      </c>
      <c r="N30" s="333">
        <f t="shared" si="8"/>
        <v>1519.9657198664304</v>
      </c>
      <c r="O30" s="331">
        <f t="shared" si="8"/>
        <v>1493.680290263047</v>
      </c>
      <c r="P30" s="332">
        <f t="shared" si="8"/>
        <v>1561.0761224824903</v>
      </c>
      <c r="Q30" s="332">
        <f t="shared" si="8"/>
        <v>1586.4320536759649</v>
      </c>
      <c r="R30" s="332">
        <f t="shared" si="8"/>
        <v>1612.5024238936578</v>
      </c>
      <c r="S30" s="332">
        <f t="shared" si="8"/>
        <v>1854.9900275919802</v>
      </c>
      <c r="T30" s="332">
        <f t="shared" si="8"/>
        <v>2098.4163791102037</v>
      </c>
      <c r="U30" s="332">
        <f t="shared" si="8"/>
        <v>2123.5369554854024</v>
      </c>
      <c r="V30" s="332">
        <f t="shared" si="8"/>
        <v>2147.0135211905222</v>
      </c>
      <c r="W30" s="332">
        <f t="shared" si="8"/>
        <v>2162.2648188336079</v>
      </c>
      <c r="X30" s="332">
        <f t="shared" si="8"/>
        <v>2175.448354590003</v>
      </c>
      <c r="Y30" s="332">
        <f t="shared" si="8"/>
        <v>2197.4686063139061</v>
      </c>
      <c r="Z30" s="296"/>
      <c r="AA30" s="296"/>
    </row>
    <row r="31" spans="1:27">
      <c r="A31" s="61"/>
      <c r="B31" s="18"/>
      <c r="C31" s="18"/>
      <c r="D31" s="319"/>
      <c r="E31" s="319"/>
      <c r="F31" s="319"/>
      <c r="G31" s="319"/>
      <c r="H31" s="319"/>
      <c r="I31" s="319"/>
      <c r="J31" s="319"/>
      <c r="K31" s="319"/>
      <c r="L31" s="319"/>
      <c r="M31" s="319"/>
      <c r="N31" s="319"/>
      <c r="O31" s="319"/>
      <c r="P31" s="319"/>
      <c r="Q31" s="319"/>
      <c r="R31" s="319"/>
      <c r="S31" s="319"/>
      <c r="T31" s="319"/>
      <c r="U31" s="319"/>
      <c r="V31" s="319"/>
      <c r="W31" s="319"/>
      <c r="X31" s="319"/>
      <c r="Y31" s="319"/>
      <c r="Z31" s="296"/>
      <c r="AA31" s="296"/>
    </row>
    <row r="32" spans="1:27">
      <c r="A32" s="29"/>
      <c r="B32" s="18"/>
      <c r="C32" s="18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82"/>
      <c r="AA32" s="182"/>
    </row>
    <row r="33" spans="1:27">
      <c r="A33" s="311" t="s">
        <v>168</v>
      </c>
      <c r="B33" s="18"/>
      <c r="C33" s="18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179"/>
      <c r="AA33" s="179"/>
    </row>
    <row r="34" spans="1:27">
      <c r="A34" s="29" t="s">
        <v>156</v>
      </c>
      <c r="B34" s="18"/>
      <c r="C34" s="24"/>
      <c r="D34" s="26">
        <f>D13</f>
        <v>7757.3466071778366</v>
      </c>
      <c r="E34" s="26">
        <f t="shared" ref="E34:X34" si="9">E13</f>
        <v>13098.554119684348</v>
      </c>
      <c r="F34" s="26">
        <f t="shared" si="9"/>
        <v>13055.482406252137</v>
      </c>
      <c r="G34" s="26">
        <f t="shared" si="9"/>
        <v>13010.728690038704</v>
      </c>
      <c r="H34" s="26">
        <f t="shared" si="9"/>
        <v>18309.004304494854</v>
      </c>
      <c r="I34" s="26">
        <f t="shared" si="9"/>
        <v>24015.289614624631</v>
      </c>
      <c r="J34" s="26">
        <f t="shared" si="9"/>
        <v>24370.13482632205</v>
      </c>
      <c r="K34" s="26">
        <f t="shared" si="9"/>
        <v>24723.035292198383</v>
      </c>
      <c r="L34" s="26">
        <f t="shared" si="9"/>
        <v>25691.054719263509</v>
      </c>
      <c r="M34" s="26">
        <f t="shared" si="9"/>
        <v>26045.479468699796</v>
      </c>
      <c r="N34" s="26">
        <f t="shared" si="9"/>
        <v>27057.28948777384</v>
      </c>
      <c r="O34" s="26">
        <f t="shared" si="9"/>
        <v>26631.517047884117</v>
      </c>
      <c r="P34" s="26">
        <f t="shared" si="9"/>
        <v>27742.462864708174</v>
      </c>
      <c r="Q34" s="26">
        <f t="shared" si="9"/>
        <v>28177.379771432748</v>
      </c>
      <c r="R34" s="26">
        <f t="shared" si="9"/>
        <v>28599.56788822763</v>
      </c>
      <c r="S34" s="26">
        <f t="shared" si="9"/>
        <v>29007.202167366337</v>
      </c>
      <c r="T34" s="26">
        <f t="shared" si="9"/>
        <v>29430.482243503397</v>
      </c>
      <c r="U34" s="26">
        <f t="shared" si="9"/>
        <v>29849.158516423373</v>
      </c>
      <c r="V34" s="26">
        <f t="shared" si="9"/>
        <v>30240.434611508699</v>
      </c>
      <c r="W34" s="26">
        <f t="shared" si="9"/>
        <v>30494.622905560132</v>
      </c>
      <c r="X34" s="26">
        <f t="shared" si="9"/>
        <v>30714.348501500048</v>
      </c>
      <c r="Y34" s="26">
        <f>Y13</f>
        <v>31081.352696898437</v>
      </c>
      <c r="Z34" s="182"/>
      <c r="AA34" s="182"/>
    </row>
    <row r="35" spans="1:27">
      <c r="A35" s="29" t="s">
        <v>157</v>
      </c>
      <c r="B35" s="18"/>
      <c r="C35" s="24"/>
      <c r="D35" s="26">
        <f>D14</f>
        <v>1875.3022749999998</v>
      </c>
      <c r="E35" s="26">
        <f t="shared" ref="E35:X35" si="10">E14</f>
        <v>5598.3125749999999</v>
      </c>
      <c r="F35" s="26">
        <f t="shared" si="10"/>
        <v>5598.3125749999999</v>
      </c>
      <c r="G35" s="26">
        <f t="shared" si="10"/>
        <v>5598.3125749999999</v>
      </c>
      <c r="H35" s="26">
        <f t="shared" si="10"/>
        <v>5598.3125749999999</v>
      </c>
      <c r="I35" s="26">
        <f t="shared" si="10"/>
        <v>5598.3125749999999</v>
      </c>
      <c r="J35" s="26">
        <f t="shared" si="10"/>
        <v>5598.3125749999999</v>
      </c>
      <c r="K35" s="26">
        <f t="shared" si="10"/>
        <v>5598.3125749999999</v>
      </c>
      <c r="L35" s="26">
        <f t="shared" si="10"/>
        <v>5598.3125749999999</v>
      </c>
      <c r="M35" s="26">
        <f t="shared" si="10"/>
        <v>5598.3125749999999</v>
      </c>
      <c r="N35" s="26">
        <f t="shared" si="10"/>
        <v>5598.3125749999999</v>
      </c>
      <c r="O35" s="26">
        <f t="shared" si="10"/>
        <v>5598.3125749999999</v>
      </c>
      <c r="P35" s="26">
        <f t="shared" si="10"/>
        <v>5598.3125749999999</v>
      </c>
      <c r="Q35" s="26">
        <f t="shared" si="10"/>
        <v>5598.3125749999999</v>
      </c>
      <c r="R35" s="26">
        <f t="shared" si="10"/>
        <v>5598.3125749999999</v>
      </c>
      <c r="S35" s="26">
        <f t="shared" si="10"/>
        <v>5598.3125749999999</v>
      </c>
      <c r="T35" s="26">
        <f t="shared" si="10"/>
        <v>5598.3125749999999</v>
      </c>
      <c r="U35" s="26">
        <f t="shared" si="10"/>
        <v>5598.3125749999999</v>
      </c>
      <c r="V35" s="26">
        <f t="shared" si="10"/>
        <v>5598.3125749999999</v>
      </c>
      <c r="W35" s="26">
        <f t="shared" si="10"/>
        <v>5598.3125749999999</v>
      </c>
      <c r="X35" s="26">
        <f t="shared" si="10"/>
        <v>5543.1240749999997</v>
      </c>
      <c r="Y35" s="26">
        <f>Y14</f>
        <v>5543.1240749999997</v>
      </c>
      <c r="Z35" s="182"/>
      <c r="AA35" s="182"/>
    </row>
    <row r="36" spans="1:27">
      <c r="A36" s="29" t="s">
        <v>169</v>
      </c>
      <c r="B36" s="32"/>
      <c r="C36" s="26"/>
      <c r="D36" s="26">
        <f>-Depreciation!E18</f>
        <v>-6186.6210000000001</v>
      </c>
      <c r="E36" s="26">
        <f>-Depreciation!F18</f>
        <v>-11757.339324999999</v>
      </c>
      <c r="F36" s="26">
        <f>-Depreciation!G18</f>
        <v>-10587.1242425</v>
      </c>
      <c r="G36" s="26">
        <f>-Depreciation!H18</f>
        <v>-9540.0896949999988</v>
      </c>
      <c r="H36" s="26">
        <f>-Depreciation!I18</f>
        <v>-8591.5995755000004</v>
      </c>
      <c r="I36" s="26">
        <f>-Depreciation!J18</f>
        <v>-7729.3358304999992</v>
      </c>
      <c r="J36" s="26">
        <f>-Depreciation!K18</f>
        <v>-7322.8400649999994</v>
      </c>
      <c r="K36" s="26">
        <f>-Depreciation!L18</f>
        <v>-7335.1581184999995</v>
      </c>
      <c r="L36" s="26">
        <f>-Depreciation!M18</f>
        <v>-7322.8400649999994</v>
      </c>
      <c r="M36" s="26">
        <f>-Depreciation!N18</f>
        <v>-7335.1581184999995</v>
      </c>
      <c r="N36" s="26">
        <f>-Depreciation!O18</f>
        <v>-7322.8400649999994</v>
      </c>
      <c r="O36" s="26">
        <f>-Depreciation!P18</f>
        <v>-7335.1581184999995</v>
      </c>
      <c r="P36" s="26">
        <f>-Depreciation!Q18</f>
        <v>-7322.8400649999994</v>
      </c>
      <c r="Q36" s="26">
        <f>-Depreciation!R18</f>
        <v>-7335.1581184999995</v>
      </c>
      <c r="R36" s="26">
        <f>-Depreciation!S18</f>
        <v>-7322.8400649999994</v>
      </c>
      <c r="S36" s="26">
        <f>-Depreciation!T18</f>
        <v>-3689.0142824999998</v>
      </c>
      <c r="T36" s="26">
        <f>-Depreciation!U18</f>
        <v>-55.188500000000005</v>
      </c>
      <c r="U36" s="26">
        <f>-Depreciation!V18</f>
        <v>-55.188500000000005</v>
      </c>
      <c r="V36" s="26">
        <f>-Depreciation!W18</f>
        <v>-55.188500000000005</v>
      </c>
      <c r="W36" s="26">
        <f>-Depreciation!X18</f>
        <v>-55.188500000000005</v>
      </c>
      <c r="X36" s="26">
        <f>-Depreciation!Y18</f>
        <v>0</v>
      </c>
      <c r="Y36" s="26">
        <f>-Depreciation!Z18</f>
        <v>0</v>
      </c>
      <c r="Z36" s="182"/>
      <c r="AA36" s="182"/>
    </row>
    <row r="37" spans="1:27" ht="15">
      <c r="A37" s="29" t="s">
        <v>170</v>
      </c>
      <c r="B37" s="32"/>
      <c r="C37" s="32"/>
      <c r="D37" s="320">
        <f>-D30</f>
        <v>-206.76167293067019</v>
      </c>
      <c r="E37" s="320">
        <f t="shared" ref="E37:X37" si="11">-E30</f>
        <v>-416.37164218106091</v>
      </c>
      <c r="F37" s="320">
        <f t="shared" si="11"/>
        <v>-484.00024432512816</v>
      </c>
      <c r="G37" s="320">
        <f t="shared" si="11"/>
        <v>-544.13709420232226</v>
      </c>
      <c r="H37" s="320">
        <f t="shared" si="11"/>
        <v>-918.94303823969119</v>
      </c>
      <c r="I37" s="320">
        <f t="shared" si="11"/>
        <v>-1313.0559815474778</v>
      </c>
      <c r="J37" s="320">
        <f t="shared" si="11"/>
        <v>-1358.7364401793229</v>
      </c>
      <c r="K37" s="320">
        <f t="shared" si="11"/>
        <v>-1379.1713849219029</v>
      </c>
      <c r="L37" s="320">
        <f t="shared" si="11"/>
        <v>-1437.9916337558104</v>
      </c>
      <c r="M37" s="320">
        <f t="shared" si="11"/>
        <v>-1458.5180355119878</v>
      </c>
      <c r="N37" s="320">
        <f t="shared" si="11"/>
        <v>-1519.9657198664304</v>
      </c>
      <c r="O37" s="320">
        <f t="shared" si="11"/>
        <v>-1493.680290263047</v>
      </c>
      <c r="P37" s="320">
        <f t="shared" si="11"/>
        <v>-1561.0761224824903</v>
      </c>
      <c r="Q37" s="320">
        <f t="shared" si="11"/>
        <v>-1586.4320536759649</v>
      </c>
      <c r="R37" s="320">
        <f t="shared" si="11"/>
        <v>-1612.5024238936578</v>
      </c>
      <c r="S37" s="320">
        <f t="shared" si="11"/>
        <v>-1854.9900275919802</v>
      </c>
      <c r="T37" s="320">
        <f t="shared" si="11"/>
        <v>-2098.4163791102037</v>
      </c>
      <c r="U37" s="320">
        <f t="shared" si="11"/>
        <v>-2123.5369554854024</v>
      </c>
      <c r="V37" s="320">
        <f t="shared" si="11"/>
        <v>-2147.0135211905222</v>
      </c>
      <c r="W37" s="320">
        <f t="shared" si="11"/>
        <v>-2162.2648188336079</v>
      </c>
      <c r="X37" s="320">
        <f t="shared" si="11"/>
        <v>-2175.448354590003</v>
      </c>
      <c r="Y37" s="320">
        <f>-Y30</f>
        <v>-2197.4686063139061</v>
      </c>
      <c r="Z37" s="188"/>
      <c r="AA37" s="188"/>
    </row>
    <row r="38" spans="1:27">
      <c r="A38" s="312" t="s">
        <v>171</v>
      </c>
      <c r="B38" s="319"/>
      <c r="C38" s="63"/>
      <c r="D38" s="63">
        <f>SUM(D34:D37)</f>
        <v>3239.2662092471664</v>
      </c>
      <c r="E38" s="63">
        <f t="shared" ref="E38:Y38" si="12">SUM(E34:E37)</f>
        <v>6523.1557275032883</v>
      </c>
      <c r="F38" s="63">
        <f t="shared" si="12"/>
        <v>7582.6704944270086</v>
      </c>
      <c r="G38" s="63">
        <f t="shared" si="12"/>
        <v>8524.8144758363833</v>
      </c>
      <c r="H38" s="63">
        <f t="shared" si="12"/>
        <v>14396.774265755163</v>
      </c>
      <c r="I38" s="63">
        <f t="shared" si="12"/>
        <v>20571.210377577154</v>
      </c>
      <c r="J38" s="63">
        <f t="shared" si="12"/>
        <v>21286.870896142726</v>
      </c>
      <c r="K38" s="63">
        <f t="shared" si="12"/>
        <v>21607.018363776482</v>
      </c>
      <c r="L38" s="63">
        <f t="shared" si="12"/>
        <v>22528.535595507699</v>
      </c>
      <c r="M38" s="63">
        <f t="shared" si="12"/>
        <v>22850.115889687808</v>
      </c>
      <c r="N38" s="63">
        <f t="shared" si="12"/>
        <v>23812.796277907408</v>
      </c>
      <c r="O38" s="63">
        <f t="shared" si="12"/>
        <v>23400.99121412107</v>
      </c>
      <c r="P38" s="63">
        <f t="shared" si="12"/>
        <v>24456.859252225684</v>
      </c>
      <c r="Q38" s="63">
        <f t="shared" si="12"/>
        <v>24854.102174256783</v>
      </c>
      <c r="R38" s="63">
        <f t="shared" si="12"/>
        <v>25262.537974333973</v>
      </c>
      <c r="S38" s="63">
        <f t="shared" si="12"/>
        <v>29061.510432274357</v>
      </c>
      <c r="T38" s="63">
        <f t="shared" si="12"/>
        <v>32875.189939393196</v>
      </c>
      <c r="U38" s="63">
        <f t="shared" si="12"/>
        <v>33268.745635937972</v>
      </c>
      <c r="V38" s="63">
        <f t="shared" si="12"/>
        <v>33636.545165318181</v>
      </c>
      <c r="W38" s="63">
        <f t="shared" si="12"/>
        <v>33875.482161726526</v>
      </c>
      <c r="X38" s="63">
        <f t="shared" si="12"/>
        <v>34082.024221910047</v>
      </c>
      <c r="Y38" s="63">
        <f t="shared" si="12"/>
        <v>34427.008165584528</v>
      </c>
      <c r="Z38" s="183"/>
      <c r="AA38" s="183"/>
    </row>
    <row r="39" spans="1:27">
      <c r="A39" s="312"/>
      <c r="B39" s="319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183"/>
      <c r="AA39" s="183"/>
    </row>
    <row r="40" spans="1:27">
      <c r="A40" s="29" t="s">
        <v>172</v>
      </c>
      <c r="B40" s="18"/>
      <c r="C40" s="33"/>
      <c r="D40" s="321">
        <f>Assumptions!$I$61</f>
        <v>0.35</v>
      </c>
      <c r="E40" s="321">
        <f>Assumptions!$I$61</f>
        <v>0.35</v>
      </c>
      <c r="F40" s="321">
        <f>Assumptions!$I$61</f>
        <v>0.35</v>
      </c>
      <c r="G40" s="321">
        <f>Assumptions!$I$61</f>
        <v>0.35</v>
      </c>
      <c r="H40" s="321">
        <f>Assumptions!$I$61</f>
        <v>0.35</v>
      </c>
      <c r="I40" s="321">
        <f>Assumptions!$I$61</f>
        <v>0.35</v>
      </c>
      <c r="J40" s="321">
        <f>Assumptions!$I$61</f>
        <v>0.35</v>
      </c>
      <c r="K40" s="321">
        <f>Assumptions!$I$61</f>
        <v>0.35</v>
      </c>
      <c r="L40" s="321">
        <f>Assumptions!$I$61</f>
        <v>0.35</v>
      </c>
      <c r="M40" s="321">
        <f>Assumptions!$I$61</f>
        <v>0.35</v>
      </c>
      <c r="N40" s="321">
        <f>Assumptions!$I$61</f>
        <v>0.35</v>
      </c>
      <c r="O40" s="321">
        <f>Assumptions!$I$61</f>
        <v>0.35</v>
      </c>
      <c r="P40" s="321">
        <f>Assumptions!$I$61</f>
        <v>0.35</v>
      </c>
      <c r="Q40" s="321">
        <f>Assumptions!$I$61</f>
        <v>0.35</v>
      </c>
      <c r="R40" s="321">
        <f>Assumptions!$I$61</f>
        <v>0.35</v>
      </c>
      <c r="S40" s="321">
        <f>Assumptions!$I$61</f>
        <v>0.35</v>
      </c>
      <c r="T40" s="321">
        <f>Assumptions!$I$61</f>
        <v>0.35</v>
      </c>
      <c r="U40" s="321">
        <f>Assumptions!$I$61</f>
        <v>0.35</v>
      </c>
      <c r="V40" s="321">
        <f>Assumptions!$I$61</f>
        <v>0.35</v>
      </c>
      <c r="W40" s="321">
        <f>Assumptions!$I$61</f>
        <v>0.35</v>
      </c>
      <c r="X40" s="321">
        <f>Assumptions!$I$61</f>
        <v>0.35</v>
      </c>
      <c r="Y40" s="321">
        <f>Assumptions!$I$61</f>
        <v>0.35</v>
      </c>
      <c r="Z40" s="189"/>
      <c r="AA40" s="189"/>
    </row>
    <row r="41" spans="1:27">
      <c r="A41" s="29" t="s">
        <v>173</v>
      </c>
      <c r="B41" s="32"/>
      <c r="C41" s="26"/>
      <c r="D41" s="336">
        <f>D38*D40</f>
        <v>1133.7431732365083</v>
      </c>
      <c r="E41" s="334">
        <f t="shared" ref="E41:Y41" si="13">E38*E40</f>
        <v>2283.1045046261506</v>
      </c>
      <c r="F41" s="334">
        <f t="shared" si="13"/>
        <v>2653.9346730494531</v>
      </c>
      <c r="G41" s="334">
        <f t="shared" si="13"/>
        <v>2983.6850665427341</v>
      </c>
      <c r="H41" s="334">
        <f t="shared" si="13"/>
        <v>5038.8709930143068</v>
      </c>
      <c r="I41" s="334">
        <f t="shared" si="13"/>
        <v>7199.9236321520029</v>
      </c>
      <c r="J41" s="334">
        <f t="shared" si="13"/>
        <v>7450.4048136499532</v>
      </c>
      <c r="K41" s="334">
        <f t="shared" si="13"/>
        <v>7562.4564273217684</v>
      </c>
      <c r="L41" s="334">
        <f t="shared" si="13"/>
        <v>7884.987458427694</v>
      </c>
      <c r="M41" s="334">
        <f t="shared" si="13"/>
        <v>7997.5405613907324</v>
      </c>
      <c r="N41" s="335">
        <f t="shared" si="13"/>
        <v>8334.478697267592</v>
      </c>
      <c r="O41" s="336">
        <f t="shared" si="13"/>
        <v>8190.3469249423742</v>
      </c>
      <c r="P41" s="334">
        <f t="shared" si="13"/>
        <v>8559.9007382789896</v>
      </c>
      <c r="Q41" s="334">
        <f t="shared" si="13"/>
        <v>8698.9357609898725</v>
      </c>
      <c r="R41" s="334">
        <f t="shared" si="13"/>
        <v>8841.8882910168904</v>
      </c>
      <c r="S41" s="334">
        <f t="shared" si="13"/>
        <v>10171.528651296025</v>
      </c>
      <c r="T41" s="334">
        <f t="shared" si="13"/>
        <v>11506.316478787618</v>
      </c>
      <c r="U41" s="334">
        <f t="shared" si="13"/>
        <v>11644.060972578289</v>
      </c>
      <c r="V41" s="334">
        <f t="shared" si="13"/>
        <v>11772.790807861362</v>
      </c>
      <c r="W41" s="334">
        <f t="shared" si="13"/>
        <v>11856.418756604284</v>
      </c>
      <c r="X41" s="334">
        <f t="shared" si="13"/>
        <v>11928.708477668515</v>
      </c>
      <c r="Y41" s="334">
        <f t="shared" si="13"/>
        <v>12049.452857954584</v>
      </c>
      <c r="Z41" s="182"/>
      <c r="AA41" s="182"/>
    </row>
    <row r="42" spans="1:27">
      <c r="A42" s="18"/>
      <c r="B42" s="18"/>
      <c r="C42" s="18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179"/>
      <c r="AA42" s="179"/>
    </row>
    <row r="43" spans="1:27">
      <c r="A43" s="18" t="s">
        <v>174</v>
      </c>
      <c r="B43" s="310"/>
      <c r="C43" s="18"/>
      <c r="D43" s="330">
        <f>IF(D41&lt;0,-D41+C43-C44,C43-C44)</f>
        <v>0</v>
      </c>
      <c r="E43" s="330">
        <f>IF(E41&lt;0,-E41+D43-D44,D43-D44)</f>
        <v>0</v>
      </c>
      <c r="F43" s="330">
        <f>IF(F41&lt;0,-F41+E43-E44,E43-E44)</f>
        <v>0</v>
      </c>
      <c r="G43" s="330">
        <f>IF(G41&lt;0,-G41+F43-F44,F43-F44)</f>
        <v>0</v>
      </c>
      <c r="H43" s="330">
        <f t="shared" ref="H43:Y43" si="14">IF(H41&lt;0,-H41+G43-G44,G43-G44)</f>
        <v>0</v>
      </c>
      <c r="I43" s="330">
        <f t="shared" si="14"/>
        <v>0</v>
      </c>
      <c r="J43" s="330">
        <f t="shared" si="14"/>
        <v>0</v>
      </c>
      <c r="K43" s="330">
        <f t="shared" si="14"/>
        <v>0</v>
      </c>
      <c r="L43" s="330">
        <f t="shared" si="14"/>
        <v>0</v>
      </c>
      <c r="M43" s="330">
        <f t="shared" si="14"/>
        <v>0</v>
      </c>
      <c r="N43" s="330">
        <f t="shared" si="14"/>
        <v>0</v>
      </c>
      <c r="O43" s="330">
        <f t="shared" si="14"/>
        <v>0</v>
      </c>
      <c r="P43" s="330">
        <f t="shared" si="14"/>
        <v>0</v>
      </c>
      <c r="Q43" s="330">
        <f t="shared" si="14"/>
        <v>0</v>
      </c>
      <c r="R43" s="330">
        <f t="shared" si="14"/>
        <v>0</v>
      </c>
      <c r="S43" s="330">
        <f t="shared" si="14"/>
        <v>0</v>
      </c>
      <c r="T43" s="330">
        <f t="shared" si="14"/>
        <v>0</v>
      </c>
      <c r="U43" s="330">
        <f t="shared" si="14"/>
        <v>0</v>
      </c>
      <c r="V43" s="330">
        <f t="shared" si="14"/>
        <v>0</v>
      </c>
      <c r="W43" s="330">
        <f t="shared" si="14"/>
        <v>0</v>
      </c>
      <c r="X43" s="330">
        <f t="shared" si="14"/>
        <v>0</v>
      </c>
      <c r="Y43" s="330">
        <f t="shared" si="14"/>
        <v>0</v>
      </c>
      <c r="Z43" s="182"/>
      <c r="AA43" s="182"/>
    </row>
    <row r="44" spans="1:27">
      <c r="A44" s="18" t="s">
        <v>164</v>
      </c>
      <c r="B44" s="310"/>
      <c r="C44" s="18"/>
      <c r="D44" s="26">
        <v>0</v>
      </c>
      <c r="E44" s="26">
        <f>IF(E41&lt;0,0,IF(E43&gt;E41,E41,E43))</f>
        <v>0</v>
      </c>
      <c r="F44" s="26">
        <f t="shared" ref="F44:Y44" si="15">IF(F41&lt;0,0,IF(F43&gt;F41,F41,F43))</f>
        <v>0</v>
      </c>
      <c r="G44" s="26">
        <f t="shared" si="15"/>
        <v>0</v>
      </c>
      <c r="H44" s="26">
        <f t="shared" si="15"/>
        <v>0</v>
      </c>
      <c r="I44" s="26">
        <f t="shared" si="15"/>
        <v>0</v>
      </c>
      <c r="J44" s="26">
        <f t="shared" si="15"/>
        <v>0</v>
      </c>
      <c r="K44" s="26">
        <f t="shared" si="15"/>
        <v>0</v>
      </c>
      <c r="L44" s="330">
        <f t="shared" si="15"/>
        <v>0</v>
      </c>
      <c r="M44" s="330">
        <f t="shared" si="15"/>
        <v>0</v>
      </c>
      <c r="N44" s="330">
        <f t="shared" si="15"/>
        <v>0</v>
      </c>
      <c r="O44" s="330">
        <f t="shared" si="15"/>
        <v>0</v>
      </c>
      <c r="P44" s="330">
        <f t="shared" si="15"/>
        <v>0</v>
      </c>
      <c r="Q44" s="330">
        <f t="shared" si="15"/>
        <v>0</v>
      </c>
      <c r="R44" s="330">
        <f t="shared" si="15"/>
        <v>0</v>
      </c>
      <c r="S44" s="330">
        <f t="shared" si="15"/>
        <v>0</v>
      </c>
      <c r="T44" s="330">
        <f t="shared" si="15"/>
        <v>0</v>
      </c>
      <c r="U44" s="330">
        <f t="shared" si="15"/>
        <v>0</v>
      </c>
      <c r="V44" s="330">
        <f t="shared" si="15"/>
        <v>0</v>
      </c>
      <c r="W44" s="330">
        <f t="shared" si="15"/>
        <v>0</v>
      </c>
      <c r="X44" s="330">
        <f t="shared" si="15"/>
        <v>0</v>
      </c>
      <c r="Y44" s="330">
        <f t="shared" si="15"/>
        <v>0</v>
      </c>
      <c r="Z44" s="297"/>
      <c r="AA44" s="297"/>
    </row>
    <row r="45" spans="1:27">
      <c r="A45" s="18"/>
      <c r="B45" s="310"/>
      <c r="C45" s="18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82"/>
      <c r="AA45" s="182"/>
    </row>
    <row r="46" spans="1:27">
      <c r="A46" s="61" t="s">
        <v>175</v>
      </c>
      <c r="B46" s="310"/>
      <c r="C46" s="61"/>
      <c r="D46" s="322">
        <f t="shared" ref="D46:X46" si="16">IF(D41&lt;0,0,(D41-D44))</f>
        <v>1133.7431732365083</v>
      </c>
      <c r="E46" s="322">
        <f t="shared" si="16"/>
        <v>2283.1045046261506</v>
      </c>
      <c r="F46" s="322">
        <f t="shared" si="16"/>
        <v>2653.9346730494531</v>
      </c>
      <c r="G46" s="322">
        <f t="shared" si="16"/>
        <v>2983.6850665427341</v>
      </c>
      <c r="H46" s="322">
        <f t="shared" si="16"/>
        <v>5038.8709930143068</v>
      </c>
      <c r="I46" s="322">
        <f t="shared" si="16"/>
        <v>7199.9236321520029</v>
      </c>
      <c r="J46" s="322">
        <f t="shared" si="16"/>
        <v>7450.4048136499532</v>
      </c>
      <c r="K46" s="322">
        <f t="shared" si="16"/>
        <v>7562.4564273217684</v>
      </c>
      <c r="L46" s="322">
        <f t="shared" si="16"/>
        <v>7884.987458427694</v>
      </c>
      <c r="M46" s="322">
        <f t="shared" si="16"/>
        <v>7997.5405613907324</v>
      </c>
      <c r="N46" s="322">
        <f t="shared" si="16"/>
        <v>8334.478697267592</v>
      </c>
      <c r="O46" s="322">
        <f t="shared" si="16"/>
        <v>8190.3469249423742</v>
      </c>
      <c r="P46" s="322">
        <f t="shared" si="16"/>
        <v>8559.9007382789896</v>
      </c>
      <c r="Q46" s="322">
        <f t="shared" si="16"/>
        <v>8698.9357609898725</v>
      </c>
      <c r="R46" s="322">
        <f t="shared" si="16"/>
        <v>8841.8882910168904</v>
      </c>
      <c r="S46" s="322">
        <f t="shared" si="16"/>
        <v>10171.528651296025</v>
      </c>
      <c r="T46" s="322">
        <f t="shared" si="16"/>
        <v>11506.316478787618</v>
      </c>
      <c r="U46" s="322">
        <f t="shared" si="16"/>
        <v>11644.060972578289</v>
      </c>
      <c r="V46" s="322">
        <f t="shared" si="16"/>
        <v>11772.790807861362</v>
      </c>
      <c r="W46" s="322">
        <f t="shared" si="16"/>
        <v>11856.418756604284</v>
      </c>
      <c r="X46" s="322">
        <f t="shared" si="16"/>
        <v>11928.708477668515</v>
      </c>
      <c r="Y46" s="322">
        <f>IF(Y41&lt;0,0,(Y41-Y44))</f>
        <v>12049.452857954584</v>
      </c>
      <c r="Z46" s="190"/>
      <c r="AA46" s="190"/>
    </row>
    <row r="47" spans="1:27">
      <c r="A47" s="61"/>
      <c r="B47" s="310"/>
      <c r="C47" s="61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190"/>
      <c r="AA47" s="190"/>
    </row>
    <row r="48" spans="1:27">
      <c r="A48"/>
      <c r="B48"/>
      <c r="C48"/>
      <c r="D48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82"/>
      <c r="AA48" s="182"/>
    </row>
    <row r="49" spans="1:27">
      <c r="A49"/>
      <c r="B49"/>
      <c r="C49"/>
      <c r="D49"/>
      <c r="Z49" s="7"/>
      <c r="AA49" s="7"/>
    </row>
    <row r="50" spans="1:27">
      <c r="A50"/>
      <c r="B50"/>
      <c r="C50"/>
      <c r="D50"/>
      <c r="E50" s="16"/>
      <c r="Z50" s="7"/>
      <c r="AA50" s="7"/>
    </row>
    <row r="51" spans="1:27">
      <c r="A51"/>
      <c r="B51"/>
      <c r="C51"/>
      <c r="D51"/>
      <c r="Z51" s="7"/>
      <c r="AA51" s="7"/>
    </row>
    <row r="52" spans="1:27">
      <c r="Z52" s="7"/>
      <c r="AA52" s="7"/>
    </row>
    <row r="53" spans="1:27">
      <c r="Z53" s="7"/>
      <c r="AA53" s="7"/>
    </row>
    <row r="54" spans="1:27">
      <c r="Z54" s="7"/>
      <c r="AA54" s="7"/>
    </row>
    <row r="55" spans="1:27">
      <c r="Z55" s="7"/>
      <c r="AA55" s="7"/>
    </row>
    <row r="56" spans="1:27">
      <c r="Z56" s="7"/>
      <c r="AA56" s="7"/>
    </row>
    <row r="57" spans="1:27">
      <c r="Z57" s="7"/>
      <c r="AA57" s="7"/>
    </row>
    <row r="58" spans="1:27">
      <c r="Z58" s="7"/>
      <c r="AA58" s="7"/>
    </row>
  </sheetData>
  <pageMargins left="0.18" right="0.17" top="0.37" bottom="0.4" header="0.17" footer="0.21"/>
  <pageSetup scale="37" orientation="landscape" r:id="rId1"/>
  <headerFooter alignWithMargins="0">
    <oddFooter>&amp;L&amp;T, &amp;D&amp;C&amp;F&amp;RPage &amp;P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D83"/>
  <sheetViews>
    <sheetView zoomScale="75" zoomScaleNormal="75" workbookViewId="0"/>
  </sheetViews>
  <sheetFormatPr defaultColWidth="15.140625" defaultRowHeight="12.75"/>
  <sheetData>
    <row r="2" spans="1:56" ht="23.25" customHeight="1">
      <c r="A2" s="472" t="str">
        <f>Assumptions!A3</f>
        <v>PROJECT NAME:</v>
      </c>
    </row>
    <row r="4" spans="1:56" ht="20.25">
      <c r="A4" s="407" t="s">
        <v>267</v>
      </c>
      <c r="B4" s="54"/>
      <c r="C4" s="54"/>
      <c r="D4" s="6"/>
      <c r="E4" s="6"/>
      <c r="F4" s="6"/>
      <c r="G4" s="6"/>
      <c r="H4" s="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53" t="s">
        <v>176</v>
      </c>
      <c r="V4" s="54"/>
      <c r="W4" s="54"/>
      <c r="X4" s="6"/>
      <c r="Y4" s="6"/>
      <c r="Z4" s="6"/>
      <c r="AA4" s="6"/>
      <c r="AB4" s="6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BB4" s="17"/>
      <c r="BC4" s="17"/>
      <c r="BD4" s="17"/>
    </row>
    <row r="5" spans="1:56" ht="15.7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BB5" s="17"/>
      <c r="BC5" s="17"/>
      <c r="BD5" s="17"/>
    </row>
    <row r="6" spans="1:56" ht="15.75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350"/>
      <c r="O6" s="350"/>
      <c r="P6" s="350"/>
      <c r="Q6" s="350"/>
      <c r="R6" s="350"/>
      <c r="S6" s="350"/>
      <c r="T6" s="65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BB6" s="17"/>
      <c r="BC6" s="17"/>
      <c r="BD6" s="17"/>
    </row>
    <row r="7" spans="1:56" ht="16.5" thickBot="1">
      <c r="A7" s="232" t="s">
        <v>177</v>
      </c>
      <c r="B7" s="233"/>
      <c r="C7" s="233"/>
      <c r="D7" s="233"/>
      <c r="E7" s="233"/>
      <c r="F7" s="233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65"/>
      <c r="T7" s="65"/>
      <c r="U7" s="232"/>
      <c r="V7" s="233"/>
      <c r="W7" s="233"/>
      <c r="X7" s="233"/>
      <c r="Y7" s="233"/>
      <c r="Z7" s="233"/>
      <c r="AA7" s="234"/>
      <c r="AB7" s="234"/>
      <c r="AC7" s="234"/>
      <c r="AD7" s="234"/>
      <c r="AE7" s="234"/>
      <c r="AF7" s="234"/>
      <c r="AG7" s="234"/>
      <c r="AH7" s="234"/>
      <c r="AI7" s="234"/>
      <c r="AJ7" s="234"/>
      <c r="AK7" s="234"/>
      <c r="AL7" s="234"/>
      <c r="AM7" s="65"/>
      <c r="AN7" s="65"/>
      <c r="AO7" s="65"/>
      <c r="AP7" s="65"/>
      <c r="AQ7" s="65"/>
      <c r="AR7" s="65"/>
      <c r="AS7" s="65"/>
      <c r="AT7" s="65"/>
      <c r="AU7" s="91"/>
      <c r="AV7" s="91"/>
      <c r="BB7" s="17"/>
      <c r="BC7" s="17"/>
      <c r="BD7" s="17"/>
    </row>
    <row r="8" spans="1:56" ht="16.5" thickBot="1">
      <c r="A8" s="235" t="s">
        <v>178</v>
      </c>
      <c r="B8" s="306" t="s">
        <v>179</v>
      </c>
      <c r="C8" s="239"/>
      <c r="D8" s="240"/>
      <c r="E8" s="240"/>
      <c r="G8" s="238" t="s">
        <v>180</v>
      </c>
      <c r="H8" s="239"/>
      <c r="I8" s="239"/>
      <c r="J8" s="239"/>
      <c r="K8" s="239"/>
      <c r="L8" s="240"/>
      <c r="N8" s="241" t="s">
        <v>181</v>
      </c>
      <c r="O8" s="236"/>
      <c r="P8" s="236"/>
      <c r="Q8" s="236"/>
      <c r="R8" s="236"/>
      <c r="S8" s="237"/>
      <c r="U8" s="235" t="s">
        <v>178</v>
      </c>
      <c r="V8" s="306" t="s">
        <v>182</v>
      </c>
      <c r="W8" s="239"/>
      <c r="X8" s="240"/>
      <c r="Y8" s="240"/>
      <c r="AA8" s="238" t="s">
        <v>183</v>
      </c>
      <c r="AB8" s="239"/>
      <c r="AC8" s="239"/>
      <c r="AD8" s="239"/>
      <c r="AE8" s="239"/>
      <c r="AF8" s="240"/>
      <c r="AH8" s="241" t="s">
        <v>184</v>
      </c>
      <c r="AI8" s="236"/>
      <c r="AJ8" s="236"/>
      <c r="AK8" s="236"/>
      <c r="AL8" s="236"/>
      <c r="AM8" s="237"/>
      <c r="AP8" s="65"/>
      <c r="AQ8" s="65"/>
      <c r="AR8" s="65"/>
      <c r="AS8" s="65"/>
      <c r="AT8" s="65"/>
      <c r="AU8" s="91"/>
      <c r="AV8" s="91"/>
      <c r="BB8" s="17"/>
      <c r="BC8" s="17"/>
      <c r="BD8" s="17"/>
    </row>
    <row r="9" spans="1:56" ht="16.5" thickBot="1">
      <c r="A9" s="242"/>
      <c r="B9" s="270" t="s">
        <v>185</v>
      </c>
      <c r="C9" s="271" t="s">
        <v>186</v>
      </c>
      <c r="D9" s="271" t="s">
        <v>187</v>
      </c>
      <c r="E9" s="272" t="s">
        <v>188</v>
      </c>
      <c r="G9" s="273" t="s">
        <v>25</v>
      </c>
      <c r="H9" s="274" t="s">
        <v>26</v>
      </c>
      <c r="I9" s="274" t="s">
        <v>27</v>
      </c>
      <c r="J9" s="274" t="s">
        <v>28</v>
      </c>
      <c r="K9" s="274" t="s">
        <v>29</v>
      </c>
      <c r="L9" s="275" t="s">
        <v>30</v>
      </c>
      <c r="N9" s="270" t="s">
        <v>25</v>
      </c>
      <c r="O9" s="271" t="s">
        <v>26</v>
      </c>
      <c r="P9" s="271" t="s">
        <v>27</v>
      </c>
      <c r="Q9" s="271" t="s">
        <v>28</v>
      </c>
      <c r="R9" s="271" t="s">
        <v>29</v>
      </c>
      <c r="S9" s="272" t="s">
        <v>30</v>
      </c>
      <c r="U9" s="242"/>
      <c r="V9" s="270" t="s">
        <v>185</v>
      </c>
      <c r="W9" s="271" t="s">
        <v>186</v>
      </c>
      <c r="X9" s="271" t="s">
        <v>187</v>
      </c>
      <c r="Y9" s="272" t="s">
        <v>188</v>
      </c>
      <c r="AA9" s="299" t="s">
        <v>25</v>
      </c>
      <c r="AB9" s="300" t="s">
        <v>26</v>
      </c>
      <c r="AC9" s="300" t="s">
        <v>27</v>
      </c>
      <c r="AD9" s="300" t="s">
        <v>28</v>
      </c>
      <c r="AE9" s="300" t="s">
        <v>29</v>
      </c>
      <c r="AF9" s="301" t="s">
        <v>30</v>
      </c>
      <c r="AH9" s="270" t="s">
        <v>25</v>
      </c>
      <c r="AI9" s="271" t="s">
        <v>26</v>
      </c>
      <c r="AJ9" s="271" t="s">
        <v>27</v>
      </c>
      <c r="AK9" s="271" t="s">
        <v>28</v>
      </c>
      <c r="AL9" s="271" t="s">
        <v>29</v>
      </c>
      <c r="AM9" s="272" t="s">
        <v>30</v>
      </c>
      <c r="AP9" s="65"/>
      <c r="AQ9" s="65"/>
      <c r="AR9" s="65"/>
      <c r="AS9" s="65"/>
      <c r="AT9" s="65"/>
      <c r="AU9" s="91"/>
      <c r="AV9" s="91"/>
      <c r="BB9" s="17"/>
      <c r="BC9" s="17"/>
      <c r="BD9" s="17"/>
    </row>
    <row r="10" spans="1:56" ht="15.75">
      <c r="A10" s="302"/>
      <c r="B10" s="206"/>
      <c r="C10" s="201"/>
      <c r="D10" s="201"/>
      <c r="E10" s="207"/>
      <c r="G10" s="243" t="s">
        <v>32</v>
      </c>
      <c r="H10" s="244"/>
      <c r="I10" s="244"/>
      <c r="J10" s="244"/>
      <c r="K10" s="244"/>
      <c r="L10" s="245"/>
      <c r="N10" s="206"/>
      <c r="O10" s="201"/>
      <c r="P10" s="201"/>
      <c r="Q10" s="201"/>
      <c r="R10" s="201"/>
      <c r="S10" s="207"/>
      <c r="U10" s="302"/>
      <c r="V10" s="206"/>
      <c r="W10" s="201"/>
      <c r="X10" s="201"/>
      <c r="Y10" s="207"/>
      <c r="AA10" s="243" t="s">
        <v>32</v>
      </c>
      <c r="AB10" s="244"/>
      <c r="AC10" s="244"/>
      <c r="AD10" s="244"/>
      <c r="AE10" s="244"/>
      <c r="AF10" s="245"/>
      <c r="AH10" s="206"/>
      <c r="AI10" s="201"/>
      <c r="AJ10" s="201"/>
      <c r="AK10" s="201"/>
      <c r="AL10" s="201"/>
      <c r="AM10" s="207"/>
      <c r="AP10" s="65"/>
      <c r="AQ10" s="65"/>
      <c r="AR10" s="65"/>
      <c r="AS10" s="65"/>
      <c r="AT10" s="65"/>
      <c r="AU10" s="91"/>
      <c r="AV10" s="91"/>
      <c r="BB10" s="17"/>
      <c r="BC10" s="17"/>
      <c r="BD10" s="17"/>
    </row>
    <row r="11" spans="1:56" ht="16.5" thickBot="1">
      <c r="A11" s="206"/>
      <c r="B11" s="206"/>
      <c r="C11" s="201"/>
      <c r="D11" s="201"/>
      <c r="E11" s="207"/>
      <c r="G11" s="246">
        <v>4</v>
      </c>
      <c r="H11" s="247">
        <v>6</v>
      </c>
      <c r="I11" s="247">
        <v>6</v>
      </c>
      <c r="J11" s="247">
        <v>3</v>
      </c>
      <c r="K11" s="247">
        <v>4</v>
      </c>
      <c r="L11" s="248">
        <v>8</v>
      </c>
      <c r="N11" s="206"/>
      <c r="O11" s="201"/>
      <c r="P11" s="201"/>
      <c r="Q11" s="201"/>
      <c r="R11" s="201"/>
      <c r="S11" s="207"/>
      <c r="U11" s="206"/>
      <c r="V11" s="206"/>
      <c r="W11" s="201"/>
      <c r="X11" s="201"/>
      <c r="Y11" s="207"/>
      <c r="AA11" s="246">
        <v>4</v>
      </c>
      <c r="AB11" s="247">
        <v>6</v>
      </c>
      <c r="AC11" s="247">
        <v>6</v>
      </c>
      <c r="AD11" s="247">
        <v>3</v>
      </c>
      <c r="AE11" s="247">
        <v>4</v>
      </c>
      <c r="AF11" s="248">
        <v>8</v>
      </c>
      <c r="AH11" s="206"/>
      <c r="AI11" s="201"/>
      <c r="AJ11" s="201"/>
      <c r="AK11" s="201"/>
      <c r="AL11" s="201"/>
      <c r="AM11" s="207"/>
      <c r="AP11" s="65"/>
      <c r="AQ11" s="65"/>
      <c r="AR11" s="65"/>
      <c r="AS11" s="65"/>
      <c r="AT11" s="65"/>
      <c r="AU11" s="91"/>
      <c r="AV11" s="91"/>
      <c r="BB11" s="17"/>
      <c r="BC11" s="17"/>
      <c r="BD11" s="17"/>
    </row>
    <row r="12" spans="1:56" ht="15.75">
      <c r="A12" s="303">
        <v>0</v>
      </c>
      <c r="B12" s="249">
        <v>0</v>
      </c>
      <c r="C12" s="250">
        <v>0</v>
      </c>
      <c r="D12" s="250">
        <v>0</v>
      </c>
      <c r="E12" s="251">
        <v>0</v>
      </c>
      <c r="G12" s="249">
        <f t="shared" ref="G12:G37" si="0">(2*B12+2*D12)/4</f>
        <v>0</v>
      </c>
      <c r="H12" s="250">
        <f t="shared" ref="H12:H37" si="1">C12</f>
        <v>0</v>
      </c>
      <c r="I12" s="250">
        <f t="shared" ref="I12:I37" si="2">C12</f>
        <v>0</v>
      </c>
      <c r="J12" s="250">
        <f t="shared" ref="J12:J37" si="3">E12</f>
        <v>0</v>
      </c>
      <c r="K12" s="250">
        <f t="shared" ref="K12:K37" si="4">D12</f>
        <v>0</v>
      </c>
      <c r="L12" s="251">
        <f t="shared" ref="L12:L37" si="5">C12</f>
        <v>0</v>
      </c>
      <c r="N12" s="206">
        <f t="shared" ref="N12:N37" si="6">G12*$A12*G$11/1000</f>
        <v>0</v>
      </c>
      <c r="O12" s="201">
        <f t="shared" ref="O12:O37" si="7">H12*$A12*H$11/1000</f>
        <v>0</v>
      </c>
      <c r="P12" s="201">
        <f t="shared" ref="P12:P37" si="8">I12*$A12*I$11/1000</f>
        <v>0</v>
      </c>
      <c r="Q12" s="201">
        <f t="shared" ref="Q12:Q37" si="9">J12*$A12*J$11/1000</f>
        <v>0</v>
      </c>
      <c r="R12" s="201">
        <f t="shared" ref="R12:R37" si="10">K12*$A12*K$11/1000</f>
        <v>0</v>
      </c>
      <c r="S12" s="207">
        <f t="shared" ref="S12:S37" si="11">L12*$A12*L$11/1000</f>
        <v>0</v>
      </c>
      <c r="U12" s="303">
        <v>0</v>
      </c>
      <c r="V12" s="249">
        <v>0</v>
      </c>
      <c r="W12" s="250">
        <v>0</v>
      </c>
      <c r="X12" s="250">
        <v>0</v>
      </c>
      <c r="Y12" s="251">
        <v>0</v>
      </c>
      <c r="AA12" s="249">
        <f t="shared" ref="AA12:AA37" si="12">(2*V12+2*X12)/4</f>
        <v>0</v>
      </c>
      <c r="AB12" s="250">
        <f t="shared" ref="AB12:AB37" si="13">W12</f>
        <v>0</v>
      </c>
      <c r="AC12" s="250">
        <f t="shared" ref="AC12:AC37" si="14">W12</f>
        <v>0</v>
      </c>
      <c r="AD12" s="250">
        <f t="shared" ref="AD12:AD37" si="15">Y12</f>
        <v>0</v>
      </c>
      <c r="AE12" s="250">
        <f t="shared" ref="AE12:AE37" si="16">X12</f>
        <v>0</v>
      </c>
      <c r="AF12" s="251">
        <f t="shared" ref="AF12:AF37" si="17">W12</f>
        <v>0</v>
      </c>
      <c r="AH12" s="206">
        <f t="shared" ref="AH12:AH37" si="18">AA12*$A12*AA$11/1000</f>
        <v>0</v>
      </c>
      <c r="AI12" s="201">
        <f t="shared" ref="AI12:AI37" si="19">AB12*$A12*AB$11/1000</f>
        <v>0</v>
      </c>
      <c r="AJ12" s="201">
        <f t="shared" ref="AJ12:AJ37" si="20">AC12*$A12*AC$11/1000</f>
        <v>0</v>
      </c>
      <c r="AK12" s="201">
        <f t="shared" ref="AK12:AK37" si="21">AD12*$A12*AD$11/1000</f>
        <v>0</v>
      </c>
      <c r="AL12" s="201">
        <f t="shared" ref="AL12:AL37" si="22">AE12*$A12*AE$11/1000</f>
        <v>0</v>
      </c>
      <c r="AM12" s="207">
        <f t="shared" ref="AM12:AM37" si="23">AF12*$A12*AF$11/1000</f>
        <v>0</v>
      </c>
      <c r="AP12" s="65"/>
      <c r="AQ12" s="65"/>
      <c r="AR12" s="65"/>
      <c r="AS12" s="65"/>
      <c r="AT12" s="65"/>
      <c r="AU12" s="91"/>
      <c r="AV12" s="91"/>
      <c r="BB12" s="17"/>
      <c r="BC12" s="17"/>
      <c r="BD12" s="17"/>
    </row>
    <row r="13" spans="1:56" ht="15.75">
      <c r="A13" s="303">
        <v>10</v>
      </c>
      <c r="B13" s="249">
        <v>0</v>
      </c>
      <c r="C13" s="250">
        <v>0</v>
      </c>
      <c r="D13" s="250">
        <v>0</v>
      </c>
      <c r="E13" s="251">
        <v>0</v>
      </c>
      <c r="G13" s="249">
        <f t="shared" si="0"/>
        <v>0</v>
      </c>
      <c r="H13" s="250">
        <f t="shared" si="1"/>
        <v>0</v>
      </c>
      <c r="I13" s="250">
        <f t="shared" si="2"/>
        <v>0</v>
      </c>
      <c r="J13" s="250">
        <f t="shared" si="3"/>
        <v>0</v>
      </c>
      <c r="K13" s="250">
        <f t="shared" si="4"/>
        <v>0</v>
      </c>
      <c r="L13" s="251">
        <f t="shared" si="5"/>
        <v>0</v>
      </c>
      <c r="N13" s="249">
        <f t="shared" si="6"/>
        <v>0</v>
      </c>
      <c r="O13" s="250">
        <f t="shared" si="7"/>
        <v>0</v>
      </c>
      <c r="P13" s="250">
        <f t="shared" si="8"/>
        <v>0</v>
      </c>
      <c r="Q13" s="250">
        <f t="shared" si="9"/>
        <v>0</v>
      </c>
      <c r="R13" s="250">
        <f t="shared" si="10"/>
        <v>0</v>
      </c>
      <c r="S13" s="251">
        <f t="shared" si="11"/>
        <v>0</v>
      </c>
      <c r="U13" s="303">
        <v>10</v>
      </c>
      <c r="V13" s="249">
        <v>0</v>
      </c>
      <c r="W13" s="250">
        <v>0</v>
      </c>
      <c r="X13" s="250">
        <v>0</v>
      </c>
      <c r="Y13" s="251">
        <v>0</v>
      </c>
      <c r="AA13" s="249">
        <f t="shared" si="12"/>
        <v>0</v>
      </c>
      <c r="AB13" s="250">
        <f t="shared" si="13"/>
        <v>0</v>
      </c>
      <c r="AC13" s="250">
        <f t="shared" si="14"/>
        <v>0</v>
      </c>
      <c r="AD13" s="250">
        <f t="shared" si="15"/>
        <v>0</v>
      </c>
      <c r="AE13" s="250">
        <f t="shared" si="16"/>
        <v>0</v>
      </c>
      <c r="AF13" s="251">
        <f t="shared" si="17"/>
        <v>0</v>
      </c>
      <c r="AH13" s="249">
        <f t="shared" si="18"/>
        <v>0</v>
      </c>
      <c r="AI13" s="250">
        <f t="shared" si="19"/>
        <v>0</v>
      </c>
      <c r="AJ13" s="250">
        <f t="shared" si="20"/>
        <v>0</v>
      </c>
      <c r="AK13" s="250">
        <f t="shared" si="21"/>
        <v>0</v>
      </c>
      <c r="AL13" s="250">
        <f t="shared" si="22"/>
        <v>0</v>
      </c>
      <c r="AM13" s="251">
        <f t="shared" si="23"/>
        <v>0</v>
      </c>
      <c r="AP13" s="65"/>
      <c r="AQ13" s="65"/>
      <c r="AR13" s="65"/>
      <c r="AS13" s="65"/>
      <c r="AT13" s="65"/>
      <c r="AU13" s="91"/>
      <c r="AV13" s="91"/>
      <c r="BB13" s="17"/>
      <c r="BC13" s="17"/>
      <c r="BD13" s="17"/>
    </row>
    <row r="14" spans="1:56" ht="15.75">
      <c r="A14" s="303">
        <f t="shared" ref="A14:A37" si="24">A13+10</f>
        <v>20</v>
      </c>
      <c r="B14" s="249">
        <v>704</v>
      </c>
      <c r="C14" s="250">
        <v>457</v>
      </c>
      <c r="D14" s="250">
        <v>1164</v>
      </c>
      <c r="E14" s="251">
        <v>1374</v>
      </c>
      <c r="G14" s="249">
        <f t="shared" si="0"/>
        <v>934</v>
      </c>
      <c r="H14" s="250">
        <f t="shared" si="1"/>
        <v>457</v>
      </c>
      <c r="I14" s="250">
        <f t="shared" si="2"/>
        <v>457</v>
      </c>
      <c r="J14" s="250">
        <f t="shared" si="3"/>
        <v>1374</v>
      </c>
      <c r="K14" s="250">
        <f t="shared" si="4"/>
        <v>1164</v>
      </c>
      <c r="L14" s="251">
        <f t="shared" si="5"/>
        <v>457</v>
      </c>
      <c r="N14" s="249">
        <f t="shared" si="6"/>
        <v>74.72</v>
      </c>
      <c r="O14" s="250">
        <f t="shared" si="7"/>
        <v>54.84</v>
      </c>
      <c r="P14" s="250">
        <f t="shared" si="8"/>
        <v>54.84</v>
      </c>
      <c r="Q14" s="250">
        <f t="shared" si="9"/>
        <v>82.44</v>
      </c>
      <c r="R14" s="250">
        <f t="shared" si="10"/>
        <v>93.12</v>
      </c>
      <c r="S14" s="251">
        <f t="shared" si="11"/>
        <v>73.12</v>
      </c>
      <c r="U14" s="303">
        <f t="shared" ref="U14:U37" si="25">U13+10</f>
        <v>20</v>
      </c>
      <c r="V14" s="249">
        <v>704</v>
      </c>
      <c r="W14" s="250">
        <v>457</v>
      </c>
      <c r="X14" s="250">
        <v>1164</v>
      </c>
      <c r="Y14" s="251">
        <v>1374</v>
      </c>
      <c r="AA14" s="249">
        <f t="shared" si="12"/>
        <v>934</v>
      </c>
      <c r="AB14" s="250">
        <f t="shared" si="13"/>
        <v>457</v>
      </c>
      <c r="AC14" s="250">
        <f t="shared" si="14"/>
        <v>457</v>
      </c>
      <c r="AD14" s="250">
        <f t="shared" si="15"/>
        <v>1374</v>
      </c>
      <c r="AE14" s="250">
        <f t="shared" si="16"/>
        <v>1164</v>
      </c>
      <c r="AF14" s="251">
        <f t="shared" si="17"/>
        <v>457</v>
      </c>
      <c r="AH14" s="249">
        <f t="shared" si="18"/>
        <v>74.72</v>
      </c>
      <c r="AI14" s="250">
        <f t="shared" si="19"/>
        <v>54.84</v>
      </c>
      <c r="AJ14" s="250">
        <f t="shared" si="20"/>
        <v>54.84</v>
      </c>
      <c r="AK14" s="250">
        <f t="shared" si="21"/>
        <v>82.44</v>
      </c>
      <c r="AL14" s="250">
        <f t="shared" si="22"/>
        <v>93.12</v>
      </c>
      <c r="AM14" s="251">
        <f t="shared" si="23"/>
        <v>73.12</v>
      </c>
      <c r="AP14" s="65"/>
      <c r="AQ14" s="65"/>
      <c r="AR14" s="65"/>
      <c r="AS14" s="65"/>
      <c r="AT14" s="65"/>
      <c r="AU14" s="91"/>
      <c r="AV14" s="91"/>
      <c r="BB14" s="17"/>
      <c r="BC14" s="17"/>
      <c r="BD14" s="17"/>
    </row>
    <row r="15" spans="1:56" ht="15.75">
      <c r="A15" s="303">
        <f t="shared" si="24"/>
        <v>30</v>
      </c>
      <c r="B15" s="249">
        <v>704</v>
      </c>
      <c r="C15" s="250">
        <v>457</v>
      </c>
      <c r="D15" s="250">
        <v>1164</v>
      </c>
      <c r="E15" s="251">
        <v>1374</v>
      </c>
      <c r="G15" s="249">
        <f t="shared" si="0"/>
        <v>934</v>
      </c>
      <c r="H15" s="250">
        <f t="shared" si="1"/>
        <v>457</v>
      </c>
      <c r="I15" s="250">
        <f t="shared" si="2"/>
        <v>457</v>
      </c>
      <c r="J15" s="250">
        <f t="shared" si="3"/>
        <v>1374</v>
      </c>
      <c r="K15" s="250">
        <f t="shared" si="4"/>
        <v>1164</v>
      </c>
      <c r="L15" s="251">
        <f t="shared" si="5"/>
        <v>457</v>
      </c>
      <c r="N15" s="249">
        <f t="shared" si="6"/>
        <v>112.08</v>
      </c>
      <c r="O15" s="250">
        <f t="shared" si="7"/>
        <v>82.26</v>
      </c>
      <c r="P15" s="250">
        <f t="shared" si="8"/>
        <v>82.26</v>
      </c>
      <c r="Q15" s="250">
        <f t="shared" si="9"/>
        <v>123.66</v>
      </c>
      <c r="R15" s="250">
        <f t="shared" si="10"/>
        <v>139.68</v>
      </c>
      <c r="S15" s="251">
        <f t="shared" si="11"/>
        <v>109.68</v>
      </c>
      <c r="U15" s="303">
        <f t="shared" si="25"/>
        <v>30</v>
      </c>
      <c r="V15" s="249">
        <v>704</v>
      </c>
      <c r="W15" s="250">
        <v>457</v>
      </c>
      <c r="X15" s="250">
        <v>1164</v>
      </c>
      <c r="Y15" s="251">
        <v>1374</v>
      </c>
      <c r="AA15" s="249">
        <f t="shared" si="12"/>
        <v>934</v>
      </c>
      <c r="AB15" s="250">
        <f t="shared" si="13"/>
        <v>457</v>
      </c>
      <c r="AC15" s="250">
        <f t="shared" si="14"/>
        <v>457</v>
      </c>
      <c r="AD15" s="250">
        <f t="shared" si="15"/>
        <v>1374</v>
      </c>
      <c r="AE15" s="250">
        <f t="shared" si="16"/>
        <v>1164</v>
      </c>
      <c r="AF15" s="251">
        <f t="shared" si="17"/>
        <v>457</v>
      </c>
      <c r="AH15" s="249">
        <f t="shared" si="18"/>
        <v>112.08</v>
      </c>
      <c r="AI15" s="250">
        <f t="shared" si="19"/>
        <v>82.26</v>
      </c>
      <c r="AJ15" s="250">
        <f t="shared" si="20"/>
        <v>82.26</v>
      </c>
      <c r="AK15" s="250">
        <f t="shared" si="21"/>
        <v>123.66</v>
      </c>
      <c r="AL15" s="250">
        <f t="shared" si="22"/>
        <v>139.68</v>
      </c>
      <c r="AM15" s="251">
        <f t="shared" si="23"/>
        <v>109.68</v>
      </c>
      <c r="AP15" s="65"/>
      <c r="AQ15" s="65"/>
      <c r="AR15" s="65"/>
      <c r="AS15" s="65"/>
      <c r="AT15" s="65"/>
      <c r="AU15" s="91"/>
      <c r="AV15" s="91"/>
      <c r="BB15" s="17"/>
      <c r="BC15" s="17"/>
      <c r="BD15" s="17"/>
    </row>
    <row r="16" spans="1:56" ht="15.75">
      <c r="A16" s="303">
        <f t="shared" si="24"/>
        <v>40</v>
      </c>
      <c r="B16" s="249">
        <v>1407</v>
      </c>
      <c r="C16" s="250">
        <v>457</v>
      </c>
      <c r="D16" s="250">
        <v>2140</v>
      </c>
      <c r="E16" s="251">
        <v>3334</v>
      </c>
      <c r="G16" s="249">
        <f t="shared" si="0"/>
        <v>1773.5</v>
      </c>
      <c r="H16" s="250">
        <f t="shared" si="1"/>
        <v>457</v>
      </c>
      <c r="I16" s="250">
        <f t="shared" si="2"/>
        <v>457</v>
      </c>
      <c r="J16" s="250">
        <f t="shared" si="3"/>
        <v>3334</v>
      </c>
      <c r="K16" s="250">
        <f t="shared" si="4"/>
        <v>2140</v>
      </c>
      <c r="L16" s="251">
        <f t="shared" si="5"/>
        <v>457</v>
      </c>
      <c r="N16" s="249">
        <f t="shared" si="6"/>
        <v>283.76</v>
      </c>
      <c r="O16" s="250">
        <f t="shared" si="7"/>
        <v>109.68</v>
      </c>
      <c r="P16" s="250">
        <f t="shared" si="8"/>
        <v>109.68</v>
      </c>
      <c r="Q16" s="250">
        <f t="shared" si="9"/>
        <v>400.08</v>
      </c>
      <c r="R16" s="250">
        <f t="shared" si="10"/>
        <v>342.4</v>
      </c>
      <c r="S16" s="251">
        <f t="shared" si="11"/>
        <v>146.24</v>
      </c>
      <c r="U16" s="303">
        <f t="shared" si="25"/>
        <v>40</v>
      </c>
      <c r="V16" s="249">
        <v>1407</v>
      </c>
      <c r="W16" s="250">
        <v>457</v>
      </c>
      <c r="X16" s="250">
        <v>2140</v>
      </c>
      <c r="Y16" s="251">
        <v>3334</v>
      </c>
      <c r="AA16" s="249">
        <f t="shared" si="12"/>
        <v>1773.5</v>
      </c>
      <c r="AB16" s="250">
        <f t="shared" si="13"/>
        <v>457</v>
      </c>
      <c r="AC16" s="250">
        <f t="shared" si="14"/>
        <v>457</v>
      </c>
      <c r="AD16" s="250">
        <f t="shared" si="15"/>
        <v>3334</v>
      </c>
      <c r="AE16" s="250">
        <f t="shared" si="16"/>
        <v>2140</v>
      </c>
      <c r="AF16" s="251">
        <f t="shared" si="17"/>
        <v>457</v>
      </c>
      <c r="AH16" s="249">
        <f t="shared" si="18"/>
        <v>283.76</v>
      </c>
      <c r="AI16" s="250">
        <f t="shared" si="19"/>
        <v>109.68</v>
      </c>
      <c r="AJ16" s="250">
        <f t="shared" si="20"/>
        <v>109.68</v>
      </c>
      <c r="AK16" s="250">
        <f t="shared" si="21"/>
        <v>400.08</v>
      </c>
      <c r="AL16" s="250">
        <f t="shared" si="22"/>
        <v>342.4</v>
      </c>
      <c r="AM16" s="251">
        <f t="shared" si="23"/>
        <v>146.24</v>
      </c>
      <c r="AP16" s="65"/>
      <c r="AQ16" s="65"/>
      <c r="AR16" s="65"/>
      <c r="AS16" s="65"/>
      <c r="AT16" s="65"/>
      <c r="AU16" s="91"/>
      <c r="AV16" s="91"/>
      <c r="BB16" s="17"/>
      <c r="BC16" s="17"/>
      <c r="BD16" s="17"/>
    </row>
    <row r="17" spans="1:56" ht="15.75">
      <c r="A17" s="303">
        <f t="shared" si="24"/>
        <v>50</v>
      </c>
      <c r="B17" s="249">
        <v>1407</v>
      </c>
      <c r="C17" s="250">
        <v>457</v>
      </c>
      <c r="D17" s="250">
        <v>2140</v>
      </c>
      <c r="E17" s="251">
        <v>3334</v>
      </c>
      <c r="G17" s="249">
        <f t="shared" si="0"/>
        <v>1773.5</v>
      </c>
      <c r="H17" s="250">
        <f t="shared" si="1"/>
        <v>457</v>
      </c>
      <c r="I17" s="250">
        <f t="shared" si="2"/>
        <v>457</v>
      </c>
      <c r="J17" s="250">
        <f t="shared" si="3"/>
        <v>3334</v>
      </c>
      <c r="K17" s="250">
        <f t="shared" si="4"/>
        <v>2140</v>
      </c>
      <c r="L17" s="251">
        <f t="shared" si="5"/>
        <v>457</v>
      </c>
      <c r="N17" s="249">
        <f t="shared" si="6"/>
        <v>354.7</v>
      </c>
      <c r="O17" s="250">
        <f t="shared" si="7"/>
        <v>137.1</v>
      </c>
      <c r="P17" s="250">
        <f t="shared" si="8"/>
        <v>137.1</v>
      </c>
      <c r="Q17" s="250">
        <f t="shared" si="9"/>
        <v>500.1</v>
      </c>
      <c r="R17" s="250">
        <f t="shared" si="10"/>
        <v>428</v>
      </c>
      <c r="S17" s="251">
        <f t="shared" si="11"/>
        <v>182.8</v>
      </c>
      <c r="U17" s="303">
        <f t="shared" si="25"/>
        <v>50</v>
      </c>
      <c r="V17" s="249">
        <v>1407</v>
      </c>
      <c r="W17" s="250">
        <v>457</v>
      </c>
      <c r="X17" s="250">
        <v>2140</v>
      </c>
      <c r="Y17" s="251">
        <v>3334</v>
      </c>
      <c r="AA17" s="249">
        <f t="shared" si="12"/>
        <v>1773.5</v>
      </c>
      <c r="AB17" s="250">
        <f t="shared" si="13"/>
        <v>457</v>
      </c>
      <c r="AC17" s="250">
        <f t="shared" si="14"/>
        <v>457</v>
      </c>
      <c r="AD17" s="250">
        <f t="shared" si="15"/>
        <v>3334</v>
      </c>
      <c r="AE17" s="250">
        <f t="shared" si="16"/>
        <v>2140</v>
      </c>
      <c r="AF17" s="251">
        <f t="shared" si="17"/>
        <v>457</v>
      </c>
      <c r="AH17" s="249">
        <f t="shared" si="18"/>
        <v>354.7</v>
      </c>
      <c r="AI17" s="250">
        <f t="shared" si="19"/>
        <v>137.1</v>
      </c>
      <c r="AJ17" s="250">
        <f t="shared" si="20"/>
        <v>137.1</v>
      </c>
      <c r="AK17" s="250">
        <f t="shared" si="21"/>
        <v>500.1</v>
      </c>
      <c r="AL17" s="250">
        <f t="shared" si="22"/>
        <v>428</v>
      </c>
      <c r="AM17" s="251">
        <f t="shared" si="23"/>
        <v>182.8</v>
      </c>
      <c r="AP17" s="65"/>
      <c r="AQ17" s="65"/>
      <c r="AR17" s="65"/>
      <c r="AS17" s="65"/>
      <c r="AT17" s="65"/>
      <c r="AU17" s="91"/>
      <c r="AV17" s="91"/>
      <c r="BB17" s="17"/>
      <c r="BC17" s="17"/>
      <c r="BD17" s="17"/>
    </row>
    <row r="18" spans="1:56" ht="15.75">
      <c r="A18" s="303">
        <f t="shared" si="24"/>
        <v>60</v>
      </c>
      <c r="B18" s="249">
        <v>1407</v>
      </c>
      <c r="C18" s="250">
        <v>1243</v>
      </c>
      <c r="D18" s="250">
        <v>2140</v>
      </c>
      <c r="E18" s="251">
        <v>3334</v>
      </c>
      <c r="G18" s="249">
        <f t="shared" si="0"/>
        <v>1773.5</v>
      </c>
      <c r="H18" s="250">
        <f t="shared" si="1"/>
        <v>1243</v>
      </c>
      <c r="I18" s="250">
        <f t="shared" si="2"/>
        <v>1243</v>
      </c>
      <c r="J18" s="250">
        <f t="shared" si="3"/>
        <v>3334</v>
      </c>
      <c r="K18" s="250">
        <f t="shared" si="4"/>
        <v>2140</v>
      </c>
      <c r="L18" s="251">
        <f t="shared" si="5"/>
        <v>1243</v>
      </c>
      <c r="N18" s="249">
        <f t="shared" si="6"/>
        <v>425.64</v>
      </c>
      <c r="O18" s="250">
        <f t="shared" si="7"/>
        <v>447.48</v>
      </c>
      <c r="P18" s="250">
        <f t="shared" si="8"/>
        <v>447.48</v>
      </c>
      <c r="Q18" s="250">
        <f t="shared" si="9"/>
        <v>600.12</v>
      </c>
      <c r="R18" s="250">
        <f t="shared" si="10"/>
        <v>513.6</v>
      </c>
      <c r="S18" s="251">
        <f t="shared" si="11"/>
        <v>596.64</v>
      </c>
      <c r="U18" s="303">
        <f t="shared" si="25"/>
        <v>60</v>
      </c>
      <c r="V18" s="249">
        <v>1407</v>
      </c>
      <c r="W18" s="250">
        <v>1243</v>
      </c>
      <c r="X18" s="250">
        <v>2140</v>
      </c>
      <c r="Y18" s="251">
        <v>3334</v>
      </c>
      <c r="AA18" s="249">
        <f t="shared" si="12"/>
        <v>1773.5</v>
      </c>
      <c r="AB18" s="250">
        <f t="shared" si="13"/>
        <v>1243</v>
      </c>
      <c r="AC18" s="250">
        <f t="shared" si="14"/>
        <v>1243</v>
      </c>
      <c r="AD18" s="250">
        <f t="shared" si="15"/>
        <v>3334</v>
      </c>
      <c r="AE18" s="250">
        <f t="shared" si="16"/>
        <v>2140</v>
      </c>
      <c r="AF18" s="251">
        <f t="shared" si="17"/>
        <v>1243</v>
      </c>
      <c r="AH18" s="249">
        <f t="shared" si="18"/>
        <v>425.64</v>
      </c>
      <c r="AI18" s="250">
        <f t="shared" si="19"/>
        <v>447.48</v>
      </c>
      <c r="AJ18" s="250">
        <f t="shared" si="20"/>
        <v>447.48</v>
      </c>
      <c r="AK18" s="250">
        <f t="shared" si="21"/>
        <v>600.12</v>
      </c>
      <c r="AL18" s="250">
        <f t="shared" si="22"/>
        <v>513.6</v>
      </c>
      <c r="AM18" s="251">
        <f t="shared" si="23"/>
        <v>596.64</v>
      </c>
      <c r="AP18" s="65"/>
      <c r="AQ18" s="65"/>
      <c r="AR18" s="65"/>
      <c r="AS18" s="65"/>
      <c r="AT18" s="65"/>
      <c r="AU18" s="91"/>
      <c r="AV18" s="91"/>
      <c r="BB18" s="17"/>
      <c r="BC18" s="17"/>
      <c r="BD18" s="17"/>
    </row>
    <row r="19" spans="1:56" ht="15.75">
      <c r="A19" s="303">
        <f t="shared" si="24"/>
        <v>70</v>
      </c>
      <c r="B19" s="249">
        <v>1407</v>
      </c>
      <c r="C19" s="250">
        <v>1243</v>
      </c>
      <c r="D19" s="250">
        <v>2140</v>
      </c>
      <c r="E19" s="251">
        <v>3334</v>
      </c>
      <c r="G19" s="249">
        <f t="shared" si="0"/>
        <v>1773.5</v>
      </c>
      <c r="H19" s="250">
        <f t="shared" si="1"/>
        <v>1243</v>
      </c>
      <c r="I19" s="250">
        <f t="shared" si="2"/>
        <v>1243</v>
      </c>
      <c r="J19" s="250">
        <f t="shared" si="3"/>
        <v>3334</v>
      </c>
      <c r="K19" s="250">
        <f t="shared" si="4"/>
        <v>2140</v>
      </c>
      <c r="L19" s="251">
        <f t="shared" si="5"/>
        <v>1243</v>
      </c>
      <c r="N19" s="249">
        <f t="shared" si="6"/>
        <v>496.58</v>
      </c>
      <c r="O19" s="250">
        <f t="shared" si="7"/>
        <v>522.05999999999995</v>
      </c>
      <c r="P19" s="250">
        <f t="shared" si="8"/>
        <v>522.05999999999995</v>
      </c>
      <c r="Q19" s="250">
        <f t="shared" si="9"/>
        <v>700.14</v>
      </c>
      <c r="R19" s="250">
        <f t="shared" si="10"/>
        <v>599.20000000000005</v>
      </c>
      <c r="S19" s="251">
        <f t="shared" si="11"/>
        <v>696.08</v>
      </c>
      <c r="U19" s="303">
        <f t="shared" si="25"/>
        <v>70</v>
      </c>
      <c r="V19" s="249">
        <v>1407</v>
      </c>
      <c r="W19" s="250">
        <v>1243</v>
      </c>
      <c r="X19" s="250">
        <v>2140</v>
      </c>
      <c r="Y19" s="251">
        <v>3334</v>
      </c>
      <c r="AA19" s="249">
        <f t="shared" si="12"/>
        <v>1773.5</v>
      </c>
      <c r="AB19" s="250">
        <f t="shared" si="13"/>
        <v>1243</v>
      </c>
      <c r="AC19" s="250">
        <f t="shared" si="14"/>
        <v>1243</v>
      </c>
      <c r="AD19" s="250">
        <f t="shared" si="15"/>
        <v>3334</v>
      </c>
      <c r="AE19" s="250">
        <f t="shared" si="16"/>
        <v>2140</v>
      </c>
      <c r="AF19" s="251">
        <f t="shared" si="17"/>
        <v>1243</v>
      </c>
      <c r="AH19" s="249">
        <f t="shared" si="18"/>
        <v>496.58</v>
      </c>
      <c r="AI19" s="250">
        <f t="shared" si="19"/>
        <v>522.05999999999995</v>
      </c>
      <c r="AJ19" s="250">
        <f t="shared" si="20"/>
        <v>522.05999999999995</v>
      </c>
      <c r="AK19" s="250">
        <f t="shared" si="21"/>
        <v>700.14</v>
      </c>
      <c r="AL19" s="250">
        <f t="shared" si="22"/>
        <v>599.20000000000005</v>
      </c>
      <c r="AM19" s="251">
        <f t="shared" si="23"/>
        <v>696.08</v>
      </c>
      <c r="AP19" s="65"/>
      <c r="AQ19" s="65"/>
      <c r="AR19" s="65"/>
      <c r="AS19" s="65"/>
      <c r="AT19" s="65"/>
      <c r="AU19" s="91"/>
      <c r="AV19" s="91"/>
      <c r="BB19" s="17"/>
      <c r="BC19" s="17"/>
      <c r="BD19" s="17"/>
    </row>
    <row r="20" spans="1:56" ht="15.75">
      <c r="A20" s="303">
        <f t="shared" si="24"/>
        <v>80</v>
      </c>
      <c r="B20" s="249">
        <v>3479</v>
      </c>
      <c r="C20" s="250">
        <v>1243</v>
      </c>
      <c r="D20" s="250">
        <v>4330</v>
      </c>
      <c r="E20" s="251">
        <v>5634</v>
      </c>
      <c r="G20" s="249">
        <f t="shared" si="0"/>
        <v>3904.5</v>
      </c>
      <c r="H20" s="250">
        <f t="shared" si="1"/>
        <v>1243</v>
      </c>
      <c r="I20" s="250">
        <f t="shared" si="2"/>
        <v>1243</v>
      </c>
      <c r="J20" s="250">
        <f t="shared" si="3"/>
        <v>5634</v>
      </c>
      <c r="K20" s="250">
        <f t="shared" si="4"/>
        <v>4330</v>
      </c>
      <c r="L20" s="251">
        <f t="shared" si="5"/>
        <v>1243</v>
      </c>
      <c r="N20" s="249">
        <f t="shared" si="6"/>
        <v>1249.44</v>
      </c>
      <c r="O20" s="250">
        <f t="shared" si="7"/>
        <v>596.64</v>
      </c>
      <c r="P20" s="250">
        <f t="shared" si="8"/>
        <v>596.64</v>
      </c>
      <c r="Q20" s="250">
        <f t="shared" si="9"/>
        <v>1352.16</v>
      </c>
      <c r="R20" s="250">
        <f t="shared" si="10"/>
        <v>1385.6</v>
      </c>
      <c r="S20" s="251">
        <f t="shared" si="11"/>
        <v>795.52</v>
      </c>
      <c r="U20" s="303">
        <f t="shared" si="25"/>
        <v>80</v>
      </c>
      <c r="V20" s="249">
        <v>3479</v>
      </c>
      <c r="W20" s="250">
        <v>1243</v>
      </c>
      <c r="X20" s="250">
        <v>4330</v>
      </c>
      <c r="Y20" s="251">
        <v>5634</v>
      </c>
      <c r="AA20" s="249">
        <f t="shared" si="12"/>
        <v>3904.5</v>
      </c>
      <c r="AB20" s="250">
        <f t="shared" si="13"/>
        <v>1243</v>
      </c>
      <c r="AC20" s="250">
        <f t="shared" si="14"/>
        <v>1243</v>
      </c>
      <c r="AD20" s="250">
        <f t="shared" si="15"/>
        <v>5634</v>
      </c>
      <c r="AE20" s="250">
        <f t="shared" si="16"/>
        <v>4330</v>
      </c>
      <c r="AF20" s="251">
        <f t="shared" si="17"/>
        <v>1243</v>
      </c>
      <c r="AH20" s="249">
        <f t="shared" si="18"/>
        <v>1249.44</v>
      </c>
      <c r="AI20" s="250">
        <f t="shared" si="19"/>
        <v>596.64</v>
      </c>
      <c r="AJ20" s="250">
        <f t="shared" si="20"/>
        <v>596.64</v>
      </c>
      <c r="AK20" s="250">
        <f t="shared" si="21"/>
        <v>1352.16</v>
      </c>
      <c r="AL20" s="250">
        <f t="shared" si="22"/>
        <v>1385.6</v>
      </c>
      <c r="AM20" s="251">
        <f t="shared" si="23"/>
        <v>795.52</v>
      </c>
      <c r="AP20" s="65"/>
      <c r="AQ20" s="65"/>
      <c r="AR20" s="65"/>
      <c r="AS20" s="65"/>
      <c r="AT20" s="65"/>
      <c r="AU20" s="91"/>
      <c r="AV20" s="91"/>
      <c r="BB20" s="17"/>
      <c r="BC20" s="17"/>
      <c r="BD20" s="17"/>
    </row>
    <row r="21" spans="1:56" ht="15.75">
      <c r="A21" s="303">
        <f t="shared" si="24"/>
        <v>90</v>
      </c>
      <c r="B21" s="249">
        <v>3479</v>
      </c>
      <c r="C21" s="250">
        <v>1243</v>
      </c>
      <c r="D21" s="250">
        <v>4330</v>
      </c>
      <c r="E21" s="251">
        <v>5634</v>
      </c>
      <c r="G21" s="249">
        <f t="shared" si="0"/>
        <v>3904.5</v>
      </c>
      <c r="H21" s="250">
        <f t="shared" si="1"/>
        <v>1243</v>
      </c>
      <c r="I21" s="250">
        <f t="shared" si="2"/>
        <v>1243</v>
      </c>
      <c r="J21" s="250">
        <f t="shared" si="3"/>
        <v>5634</v>
      </c>
      <c r="K21" s="250">
        <f t="shared" si="4"/>
        <v>4330</v>
      </c>
      <c r="L21" s="251">
        <f t="shared" si="5"/>
        <v>1243</v>
      </c>
      <c r="N21" s="249">
        <f t="shared" si="6"/>
        <v>1405.62</v>
      </c>
      <c r="O21" s="250">
        <f t="shared" si="7"/>
        <v>671.22</v>
      </c>
      <c r="P21" s="250">
        <f t="shared" si="8"/>
        <v>671.22</v>
      </c>
      <c r="Q21" s="250">
        <f t="shared" si="9"/>
        <v>1521.18</v>
      </c>
      <c r="R21" s="250">
        <f t="shared" si="10"/>
        <v>1558.8</v>
      </c>
      <c r="S21" s="251">
        <f t="shared" si="11"/>
        <v>894.96</v>
      </c>
      <c r="U21" s="303">
        <f t="shared" si="25"/>
        <v>90</v>
      </c>
      <c r="V21" s="249">
        <v>3479</v>
      </c>
      <c r="W21" s="250">
        <v>1243</v>
      </c>
      <c r="X21" s="250">
        <v>4330</v>
      </c>
      <c r="Y21" s="251">
        <v>5634</v>
      </c>
      <c r="AA21" s="249">
        <f t="shared" si="12"/>
        <v>3904.5</v>
      </c>
      <c r="AB21" s="250">
        <f t="shared" si="13"/>
        <v>1243</v>
      </c>
      <c r="AC21" s="250">
        <f t="shared" si="14"/>
        <v>1243</v>
      </c>
      <c r="AD21" s="250">
        <f t="shared" si="15"/>
        <v>5634</v>
      </c>
      <c r="AE21" s="250">
        <f t="shared" si="16"/>
        <v>4330</v>
      </c>
      <c r="AF21" s="251">
        <f t="shared" si="17"/>
        <v>1243</v>
      </c>
      <c r="AH21" s="249">
        <f t="shared" si="18"/>
        <v>1405.62</v>
      </c>
      <c r="AI21" s="250">
        <f t="shared" si="19"/>
        <v>671.22</v>
      </c>
      <c r="AJ21" s="250">
        <f t="shared" si="20"/>
        <v>671.22</v>
      </c>
      <c r="AK21" s="250">
        <f t="shared" si="21"/>
        <v>1521.18</v>
      </c>
      <c r="AL21" s="250">
        <f t="shared" si="22"/>
        <v>1558.8</v>
      </c>
      <c r="AM21" s="251">
        <f t="shared" si="23"/>
        <v>894.96</v>
      </c>
      <c r="AP21" s="65"/>
      <c r="AQ21" s="65"/>
      <c r="AR21" s="65"/>
      <c r="AS21" s="65"/>
      <c r="AT21" s="65"/>
      <c r="AU21" s="91"/>
      <c r="AV21" s="91"/>
      <c r="BB21" s="17"/>
      <c r="BC21" s="17"/>
      <c r="BD21" s="17"/>
    </row>
    <row r="22" spans="1:56" ht="15.75">
      <c r="A22" s="303">
        <f t="shared" si="24"/>
        <v>100</v>
      </c>
      <c r="B22" s="249">
        <v>3479</v>
      </c>
      <c r="C22" s="250">
        <v>1243</v>
      </c>
      <c r="D22" s="250">
        <v>4330</v>
      </c>
      <c r="E22" s="251">
        <v>5634</v>
      </c>
      <c r="G22" s="249">
        <f t="shared" si="0"/>
        <v>3904.5</v>
      </c>
      <c r="H22" s="250">
        <f t="shared" si="1"/>
        <v>1243</v>
      </c>
      <c r="I22" s="250">
        <f t="shared" si="2"/>
        <v>1243</v>
      </c>
      <c r="J22" s="250">
        <f t="shared" si="3"/>
        <v>5634</v>
      </c>
      <c r="K22" s="250">
        <f t="shared" si="4"/>
        <v>4330</v>
      </c>
      <c r="L22" s="251">
        <f t="shared" si="5"/>
        <v>1243</v>
      </c>
      <c r="N22" s="249">
        <f t="shared" si="6"/>
        <v>1561.8</v>
      </c>
      <c r="O22" s="250">
        <f t="shared" si="7"/>
        <v>745.8</v>
      </c>
      <c r="P22" s="250">
        <f t="shared" si="8"/>
        <v>745.8</v>
      </c>
      <c r="Q22" s="250">
        <f t="shared" si="9"/>
        <v>1690.2</v>
      </c>
      <c r="R22" s="250">
        <f t="shared" si="10"/>
        <v>1732</v>
      </c>
      <c r="S22" s="251">
        <f t="shared" si="11"/>
        <v>994.4</v>
      </c>
      <c r="U22" s="303">
        <f t="shared" si="25"/>
        <v>100</v>
      </c>
      <c r="V22" s="249">
        <v>3479</v>
      </c>
      <c r="W22" s="250">
        <v>1243</v>
      </c>
      <c r="X22" s="250">
        <v>4330</v>
      </c>
      <c r="Y22" s="251">
        <v>5634</v>
      </c>
      <c r="AA22" s="249">
        <f t="shared" si="12"/>
        <v>3904.5</v>
      </c>
      <c r="AB22" s="250">
        <f t="shared" si="13"/>
        <v>1243</v>
      </c>
      <c r="AC22" s="250">
        <f t="shared" si="14"/>
        <v>1243</v>
      </c>
      <c r="AD22" s="250">
        <f t="shared" si="15"/>
        <v>5634</v>
      </c>
      <c r="AE22" s="250">
        <f t="shared" si="16"/>
        <v>4330</v>
      </c>
      <c r="AF22" s="251">
        <f t="shared" si="17"/>
        <v>1243</v>
      </c>
      <c r="AH22" s="249">
        <f t="shared" si="18"/>
        <v>1561.8</v>
      </c>
      <c r="AI22" s="250">
        <f t="shared" si="19"/>
        <v>745.8</v>
      </c>
      <c r="AJ22" s="250">
        <f t="shared" si="20"/>
        <v>745.8</v>
      </c>
      <c r="AK22" s="250">
        <f t="shared" si="21"/>
        <v>1690.2</v>
      </c>
      <c r="AL22" s="250">
        <f t="shared" si="22"/>
        <v>1732</v>
      </c>
      <c r="AM22" s="251">
        <f t="shared" si="23"/>
        <v>994.4</v>
      </c>
      <c r="AP22" s="65"/>
      <c r="AQ22" s="65"/>
      <c r="AR22" s="65"/>
      <c r="AS22" s="65"/>
      <c r="AT22" s="65"/>
      <c r="AU22" s="91"/>
      <c r="AV22" s="91"/>
      <c r="BB22" s="17"/>
      <c r="BC22" s="17"/>
      <c r="BD22" s="17"/>
    </row>
    <row r="23" spans="1:56" ht="15.75">
      <c r="A23" s="303">
        <f t="shared" si="24"/>
        <v>110</v>
      </c>
      <c r="B23" s="249">
        <v>3479</v>
      </c>
      <c r="C23" s="250">
        <v>1243</v>
      </c>
      <c r="D23" s="250">
        <v>4330</v>
      </c>
      <c r="E23" s="251">
        <v>5634</v>
      </c>
      <c r="G23" s="249">
        <f t="shared" si="0"/>
        <v>3904.5</v>
      </c>
      <c r="H23" s="250">
        <f t="shared" si="1"/>
        <v>1243</v>
      </c>
      <c r="I23" s="250">
        <f t="shared" si="2"/>
        <v>1243</v>
      </c>
      <c r="J23" s="250">
        <f t="shared" si="3"/>
        <v>5634</v>
      </c>
      <c r="K23" s="250">
        <f t="shared" si="4"/>
        <v>4330</v>
      </c>
      <c r="L23" s="251">
        <f t="shared" si="5"/>
        <v>1243</v>
      </c>
      <c r="N23" s="249">
        <f t="shared" si="6"/>
        <v>1717.98</v>
      </c>
      <c r="O23" s="250">
        <f t="shared" si="7"/>
        <v>820.38</v>
      </c>
      <c r="P23" s="250">
        <f t="shared" si="8"/>
        <v>820.38</v>
      </c>
      <c r="Q23" s="250">
        <f t="shared" si="9"/>
        <v>1859.22</v>
      </c>
      <c r="R23" s="250">
        <f t="shared" si="10"/>
        <v>1905.2</v>
      </c>
      <c r="S23" s="251">
        <f t="shared" si="11"/>
        <v>1093.8399999999999</v>
      </c>
      <c r="U23" s="303">
        <f t="shared" si="25"/>
        <v>110</v>
      </c>
      <c r="V23" s="249">
        <v>3479</v>
      </c>
      <c r="W23" s="250">
        <v>1243</v>
      </c>
      <c r="X23" s="250">
        <v>4330</v>
      </c>
      <c r="Y23" s="251">
        <v>5634</v>
      </c>
      <c r="AA23" s="249">
        <f t="shared" si="12"/>
        <v>3904.5</v>
      </c>
      <c r="AB23" s="250">
        <f t="shared" si="13"/>
        <v>1243</v>
      </c>
      <c r="AC23" s="250">
        <f t="shared" si="14"/>
        <v>1243</v>
      </c>
      <c r="AD23" s="250">
        <f t="shared" si="15"/>
        <v>5634</v>
      </c>
      <c r="AE23" s="250">
        <f t="shared" si="16"/>
        <v>4330</v>
      </c>
      <c r="AF23" s="251">
        <f t="shared" si="17"/>
        <v>1243</v>
      </c>
      <c r="AH23" s="249">
        <f t="shared" si="18"/>
        <v>1717.98</v>
      </c>
      <c r="AI23" s="250">
        <f t="shared" si="19"/>
        <v>820.38</v>
      </c>
      <c r="AJ23" s="250">
        <f t="shared" si="20"/>
        <v>820.38</v>
      </c>
      <c r="AK23" s="250">
        <f t="shared" si="21"/>
        <v>1859.22</v>
      </c>
      <c r="AL23" s="250">
        <f t="shared" si="22"/>
        <v>1905.2</v>
      </c>
      <c r="AM23" s="251">
        <f t="shared" si="23"/>
        <v>1093.8399999999999</v>
      </c>
      <c r="AP23" s="65"/>
      <c r="AQ23" s="65"/>
      <c r="AR23" s="65"/>
      <c r="AS23" s="65"/>
      <c r="AT23" s="65"/>
      <c r="AU23" s="91"/>
      <c r="AV23" s="91"/>
      <c r="BB23" s="17"/>
      <c r="BC23" s="17"/>
      <c r="BD23" s="17"/>
    </row>
    <row r="24" spans="1:56" ht="15.75">
      <c r="A24" s="304">
        <f t="shared" si="24"/>
        <v>120</v>
      </c>
      <c r="B24" s="261">
        <v>3892</v>
      </c>
      <c r="C24" s="262">
        <v>1874</v>
      </c>
      <c r="D24" s="262">
        <v>4330</v>
      </c>
      <c r="E24" s="263">
        <v>6379</v>
      </c>
      <c r="G24" s="261">
        <f t="shared" si="0"/>
        <v>4111</v>
      </c>
      <c r="H24" s="262">
        <f t="shared" si="1"/>
        <v>1874</v>
      </c>
      <c r="I24" s="262">
        <f t="shared" si="2"/>
        <v>1874</v>
      </c>
      <c r="J24" s="262">
        <f t="shared" si="3"/>
        <v>6379</v>
      </c>
      <c r="K24" s="262">
        <f t="shared" si="4"/>
        <v>4330</v>
      </c>
      <c r="L24" s="263">
        <f t="shared" si="5"/>
        <v>1874</v>
      </c>
      <c r="N24" s="347">
        <f t="shared" si="6"/>
        <v>1973.28</v>
      </c>
      <c r="O24" s="348">
        <f t="shared" si="7"/>
        <v>1349.28</v>
      </c>
      <c r="P24" s="348">
        <f t="shared" si="8"/>
        <v>1349.28</v>
      </c>
      <c r="Q24" s="348">
        <f t="shared" si="9"/>
        <v>2296.44</v>
      </c>
      <c r="R24" s="348">
        <f t="shared" si="10"/>
        <v>2078.4</v>
      </c>
      <c r="S24" s="349">
        <f t="shared" si="11"/>
        <v>1799.04</v>
      </c>
      <c r="U24" s="304">
        <f t="shared" si="25"/>
        <v>120</v>
      </c>
      <c r="V24" s="261">
        <v>3892</v>
      </c>
      <c r="W24" s="262">
        <v>1874</v>
      </c>
      <c r="X24" s="262">
        <v>4330</v>
      </c>
      <c r="Y24" s="263">
        <v>6379</v>
      </c>
      <c r="AA24" s="261">
        <f t="shared" si="12"/>
        <v>4111</v>
      </c>
      <c r="AB24" s="262">
        <f t="shared" si="13"/>
        <v>1874</v>
      </c>
      <c r="AC24" s="262">
        <f t="shared" si="14"/>
        <v>1874</v>
      </c>
      <c r="AD24" s="262">
        <f t="shared" si="15"/>
        <v>6379</v>
      </c>
      <c r="AE24" s="262">
        <f t="shared" si="16"/>
        <v>4330</v>
      </c>
      <c r="AF24" s="263">
        <f t="shared" si="17"/>
        <v>1874</v>
      </c>
      <c r="AH24" s="347">
        <f t="shared" si="18"/>
        <v>1973.28</v>
      </c>
      <c r="AI24" s="348">
        <f t="shared" si="19"/>
        <v>1349.28</v>
      </c>
      <c r="AJ24" s="348">
        <f t="shared" si="20"/>
        <v>1349.28</v>
      </c>
      <c r="AK24" s="348">
        <f t="shared" si="21"/>
        <v>2296.44</v>
      </c>
      <c r="AL24" s="348">
        <f t="shared" si="22"/>
        <v>2078.4</v>
      </c>
      <c r="AM24" s="349">
        <f t="shared" si="23"/>
        <v>1799.04</v>
      </c>
      <c r="AP24" s="65"/>
      <c r="AQ24" s="65"/>
      <c r="AR24" s="65"/>
      <c r="AS24" s="65"/>
      <c r="AT24" s="65"/>
      <c r="AU24" s="91"/>
      <c r="AV24" s="91"/>
      <c r="BB24" s="17"/>
      <c r="BC24" s="17"/>
      <c r="BD24" s="17"/>
    </row>
    <row r="25" spans="1:56" ht="15.75">
      <c r="A25" s="304">
        <f t="shared" si="24"/>
        <v>130</v>
      </c>
      <c r="B25" s="261">
        <v>3892</v>
      </c>
      <c r="C25" s="262">
        <v>1874</v>
      </c>
      <c r="D25" s="262">
        <v>4330</v>
      </c>
      <c r="E25" s="263">
        <v>6379</v>
      </c>
      <c r="G25" s="261">
        <f t="shared" si="0"/>
        <v>4111</v>
      </c>
      <c r="H25" s="262">
        <f t="shared" si="1"/>
        <v>1874</v>
      </c>
      <c r="I25" s="262">
        <f t="shared" si="2"/>
        <v>1874</v>
      </c>
      <c r="J25" s="262">
        <f t="shared" si="3"/>
        <v>6379</v>
      </c>
      <c r="K25" s="262">
        <f t="shared" si="4"/>
        <v>4330</v>
      </c>
      <c r="L25" s="263">
        <f t="shared" si="5"/>
        <v>1874</v>
      </c>
      <c r="N25" s="249">
        <f t="shared" si="6"/>
        <v>2137.7199999999998</v>
      </c>
      <c r="O25" s="250">
        <f t="shared" si="7"/>
        <v>1461.72</v>
      </c>
      <c r="P25" s="250">
        <f t="shared" si="8"/>
        <v>1461.72</v>
      </c>
      <c r="Q25" s="250">
        <f t="shared" si="9"/>
        <v>2487.81</v>
      </c>
      <c r="R25" s="250">
        <f t="shared" si="10"/>
        <v>2251.6</v>
      </c>
      <c r="S25" s="251">
        <f t="shared" si="11"/>
        <v>1948.96</v>
      </c>
      <c r="U25" s="304">
        <f t="shared" si="25"/>
        <v>130</v>
      </c>
      <c r="V25" s="261">
        <v>3892</v>
      </c>
      <c r="W25" s="262">
        <v>1874</v>
      </c>
      <c r="X25" s="262">
        <v>4330</v>
      </c>
      <c r="Y25" s="263">
        <v>6379</v>
      </c>
      <c r="AA25" s="261">
        <f t="shared" si="12"/>
        <v>4111</v>
      </c>
      <c r="AB25" s="262">
        <f t="shared" si="13"/>
        <v>1874</v>
      </c>
      <c r="AC25" s="262">
        <f t="shared" si="14"/>
        <v>1874</v>
      </c>
      <c r="AD25" s="262">
        <f t="shared" si="15"/>
        <v>6379</v>
      </c>
      <c r="AE25" s="262">
        <f t="shared" si="16"/>
        <v>4330</v>
      </c>
      <c r="AF25" s="263">
        <f t="shared" si="17"/>
        <v>1874</v>
      </c>
      <c r="AH25" s="261">
        <f t="shared" si="18"/>
        <v>2137.7199999999998</v>
      </c>
      <c r="AI25" s="262">
        <f t="shared" si="19"/>
        <v>1461.72</v>
      </c>
      <c r="AJ25" s="262">
        <f t="shared" si="20"/>
        <v>1461.72</v>
      </c>
      <c r="AK25" s="262">
        <f t="shared" si="21"/>
        <v>2487.81</v>
      </c>
      <c r="AL25" s="262">
        <f t="shared" si="22"/>
        <v>2251.6</v>
      </c>
      <c r="AM25" s="263">
        <f t="shared" si="23"/>
        <v>1948.96</v>
      </c>
      <c r="AP25" s="65"/>
      <c r="AQ25" s="65"/>
      <c r="AR25" s="65"/>
      <c r="AS25" s="65"/>
      <c r="AT25" s="65"/>
      <c r="AU25" s="91"/>
      <c r="AV25" s="91"/>
      <c r="BB25" s="17"/>
      <c r="BC25" s="17"/>
      <c r="BD25" s="17"/>
    </row>
    <row r="26" spans="1:56" ht="15.75">
      <c r="A26" s="304">
        <f t="shared" si="24"/>
        <v>140</v>
      </c>
      <c r="B26" s="261">
        <v>3892</v>
      </c>
      <c r="C26" s="262">
        <v>1874</v>
      </c>
      <c r="D26" s="262">
        <v>4330</v>
      </c>
      <c r="E26" s="263">
        <v>6379</v>
      </c>
      <c r="G26" s="261">
        <f t="shared" si="0"/>
        <v>4111</v>
      </c>
      <c r="H26" s="262">
        <f t="shared" si="1"/>
        <v>1874</v>
      </c>
      <c r="I26" s="262">
        <f t="shared" si="2"/>
        <v>1874</v>
      </c>
      <c r="J26" s="262">
        <f t="shared" si="3"/>
        <v>6379</v>
      </c>
      <c r="K26" s="262">
        <f t="shared" si="4"/>
        <v>4330</v>
      </c>
      <c r="L26" s="263">
        <f t="shared" si="5"/>
        <v>1874</v>
      </c>
      <c r="N26" s="261">
        <f t="shared" si="6"/>
        <v>2302.16</v>
      </c>
      <c r="O26" s="262">
        <f t="shared" si="7"/>
        <v>1574.16</v>
      </c>
      <c r="P26" s="262">
        <f t="shared" si="8"/>
        <v>1574.16</v>
      </c>
      <c r="Q26" s="262">
        <f t="shared" si="9"/>
        <v>2679.18</v>
      </c>
      <c r="R26" s="262">
        <f t="shared" si="10"/>
        <v>2424.8000000000002</v>
      </c>
      <c r="S26" s="263">
        <f t="shared" si="11"/>
        <v>2098.88</v>
      </c>
      <c r="U26" s="304">
        <f t="shared" si="25"/>
        <v>140</v>
      </c>
      <c r="V26" s="261">
        <v>3892</v>
      </c>
      <c r="W26" s="262">
        <v>1874</v>
      </c>
      <c r="X26" s="262">
        <v>4330</v>
      </c>
      <c r="Y26" s="263">
        <v>6379</v>
      </c>
      <c r="AA26" s="261">
        <f t="shared" si="12"/>
        <v>4111</v>
      </c>
      <c r="AB26" s="262">
        <f t="shared" si="13"/>
        <v>1874</v>
      </c>
      <c r="AC26" s="262">
        <f t="shared" si="14"/>
        <v>1874</v>
      </c>
      <c r="AD26" s="262">
        <f t="shared" si="15"/>
        <v>6379</v>
      </c>
      <c r="AE26" s="262">
        <f t="shared" si="16"/>
        <v>4330</v>
      </c>
      <c r="AF26" s="263">
        <f t="shared" si="17"/>
        <v>1874</v>
      </c>
      <c r="AH26" s="261">
        <f t="shared" si="18"/>
        <v>2302.16</v>
      </c>
      <c r="AI26" s="262">
        <f t="shared" si="19"/>
        <v>1574.16</v>
      </c>
      <c r="AJ26" s="262">
        <f t="shared" si="20"/>
        <v>1574.16</v>
      </c>
      <c r="AK26" s="262">
        <f t="shared" si="21"/>
        <v>2679.18</v>
      </c>
      <c r="AL26" s="262">
        <f t="shared" si="22"/>
        <v>2424.8000000000002</v>
      </c>
      <c r="AM26" s="263">
        <f t="shared" si="23"/>
        <v>2098.88</v>
      </c>
      <c r="AP26" s="65"/>
      <c r="AQ26" s="65"/>
      <c r="AR26" s="65"/>
      <c r="AS26" s="65"/>
      <c r="AT26" s="65"/>
      <c r="AU26" s="91"/>
      <c r="AV26" s="91"/>
      <c r="BB26" s="17"/>
      <c r="BC26" s="17"/>
      <c r="BD26" s="17"/>
    </row>
    <row r="27" spans="1:56" ht="15.75">
      <c r="A27" s="304">
        <f t="shared" si="24"/>
        <v>150</v>
      </c>
      <c r="B27" s="261">
        <v>3892</v>
      </c>
      <c r="C27" s="262">
        <v>1874</v>
      </c>
      <c r="D27" s="262">
        <v>4330</v>
      </c>
      <c r="E27" s="263">
        <v>6379</v>
      </c>
      <c r="G27" s="261">
        <f t="shared" si="0"/>
        <v>4111</v>
      </c>
      <c r="H27" s="262">
        <f t="shared" si="1"/>
        <v>1874</v>
      </c>
      <c r="I27" s="262">
        <f t="shared" si="2"/>
        <v>1874</v>
      </c>
      <c r="J27" s="262">
        <f t="shared" si="3"/>
        <v>6379</v>
      </c>
      <c r="K27" s="262">
        <f t="shared" si="4"/>
        <v>4330</v>
      </c>
      <c r="L27" s="263">
        <f t="shared" si="5"/>
        <v>1874</v>
      </c>
      <c r="N27" s="261">
        <f t="shared" si="6"/>
        <v>2466.6</v>
      </c>
      <c r="O27" s="262">
        <f t="shared" si="7"/>
        <v>1686.6</v>
      </c>
      <c r="P27" s="262">
        <f t="shared" si="8"/>
        <v>1686.6</v>
      </c>
      <c r="Q27" s="262">
        <f t="shared" si="9"/>
        <v>2870.55</v>
      </c>
      <c r="R27" s="262">
        <f t="shared" si="10"/>
        <v>2598</v>
      </c>
      <c r="S27" s="263">
        <f t="shared" si="11"/>
        <v>2248.8000000000002</v>
      </c>
      <c r="U27" s="304">
        <f t="shared" si="25"/>
        <v>150</v>
      </c>
      <c r="V27" s="261">
        <v>3892</v>
      </c>
      <c r="W27" s="262">
        <v>1874</v>
      </c>
      <c r="X27" s="262">
        <v>4330</v>
      </c>
      <c r="Y27" s="263">
        <v>6379</v>
      </c>
      <c r="AA27" s="261">
        <f t="shared" si="12"/>
        <v>4111</v>
      </c>
      <c r="AB27" s="262">
        <f t="shared" si="13"/>
        <v>1874</v>
      </c>
      <c r="AC27" s="262">
        <f t="shared" si="14"/>
        <v>1874</v>
      </c>
      <c r="AD27" s="262">
        <f t="shared" si="15"/>
        <v>6379</v>
      </c>
      <c r="AE27" s="262">
        <f t="shared" si="16"/>
        <v>4330</v>
      </c>
      <c r="AF27" s="263">
        <f t="shared" si="17"/>
        <v>1874</v>
      </c>
      <c r="AH27" s="261">
        <f t="shared" si="18"/>
        <v>2466.6</v>
      </c>
      <c r="AI27" s="262">
        <f t="shared" si="19"/>
        <v>1686.6</v>
      </c>
      <c r="AJ27" s="262">
        <f t="shared" si="20"/>
        <v>1686.6</v>
      </c>
      <c r="AK27" s="262">
        <f t="shared" si="21"/>
        <v>2870.55</v>
      </c>
      <c r="AL27" s="262">
        <f t="shared" si="22"/>
        <v>2598</v>
      </c>
      <c r="AM27" s="263">
        <f t="shared" si="23"/>
        <v>2248.8000000000002</v>
      </c>
      <c r="AP27" s="65"/>
      <c r="AQ27" s="65"/>
      <c r="AR27" s="65"/>
      <c r="AS27" s="65"/>
      <c r="AT27" s="65"/>
      <c r="AU27" s="91"/>
      <c r="AV27" s="91"/>
      <c r="BB27" s="17"/>
      <c r="BC27" s="17"/>
      <c r="BD27" s="17"/>
    </row>
    <row r="28" spans="1:56" ht="15.75">
      <c r="A28" s="304">
        <f t="shared" si="24"/>
        <v>160</v>
      </c>
      <c r="B28" s="261">
        <v>5022</v>
      </c>
      <c r="C28" s="262">
        <v>1874</v>
      </c>
      <c r="D28" s="262">
        <v>6112</v>
      </c>
      <c r="E28" s="263">
        <v>7118</v>
      </c>
      <c r="G28" s="261">
        <f t="shared" si="0"/>
        <v>5567</v>
      </c>
      <c r="H28" s="262">
        <f t="shared" si="1"/>
        <v>1874</v>
      </c>
      <c r="I28" s="262">
        <f t="shared" si="2"/>
        <v>1874</v>
      </c>
      <c r="J28" s="262">
        <f t="shared" si="3"/>
        <v>7118</v>
      </c>
      <c r="K28" s="262">
        <f t="shared" si="4"/>
        <v>6112</v>
      </c>
      <c r="L28" s="263">
        <f t="shared" si="5"/>
        <v>1874</v>
      </c>
      <c r="N28" s="261">
        <f t="shared" si="6"/>
        <v>3562.88</v>
      </c>
      <c r="O28" s="262">
        <f t="shared" si="7"/>
        <v>1799.04</v>
      </c>
      <c r="P28" s="262">
        <f t="shared" si="8"/>
        <v>1799.04</v>
      </c>
      <c r="Q28" s="262">
        <f t="shared" si="9"/>
        <v>3416.64</v>
      </c>
      <c r="R28" s="262">
        <f t="shared" si="10"/>
        <v>3911.68</v>
      </c>
      <c r="S28" s="263">
        <f t="shared" si="11"/>
        <v>2398.7199999999998</v>
      </c>
      <c r="U28" s="304">
        <f t="shared" si="25"/>
        <v>160</v>
      </c>
      <c r="V28" s="261">
        <v>5022</v>
      </c>
      <c r="W28" s="262">
        <v>1874</v>
      </c>
      <c r="X28" s="262">
        <v>6112</v>
      </c>
      <c r="Y28" s="263">
        <v>7118</v>
      </c>
      <c r="AA28" s="261">
        <f t="shared" si="12"/>
        <v>5567</v>
      </c>
      <c r="AB28" s="262">
        <f t="shared" si="13"/>
        <v>1874</v>
      </c>
      <c r="AC28" s="262">
        <f t="shared" si="14"/>
        <v>1874</v>
      </c>
      <c r="AD28" s="262">
        <f t="shared" si="15"/>
        <v>7118</v>
      </c>
      <c r="AE28" s="262">
        <f t="shared" si="16"/>
        <v>6112</v>
      </c>
      <c r="AF28" s="263">
        <f t="shared" si="17"/>
        <v>1874</v>
      </c>
      <c r="AH28" s="261">
        <f t="shared" si="18"/>
        <v>3562.88</v>
      </c>
      <c r="AI28" s="262">
        <f t="shared" si="19"/>
        <v>1799.04</v>
      </c>
      <c r="AJ28" s="262">
        <f t="shared" si="20"/>
        <v>1799.04</v>
      </c>
      <c r="AK28" s="262">
        <f t="shared" si="21"/>
        <v>3416.64</v>
      </c>
      <c r="AL28" s="262">
        <f t="shared" si="22"/>
        <v>3911.68</v>
      </c>
      <c r="AM28" s="263">
        <f t="shared" si="23"/>
        <v>2398.7199999999998</v>
      </c>
      <c r="AP28" s="65"/>
      <c r="AQ28" s="65"/>
      <c r="AR28" s="65"/>
      <c r="AS28" s="65"/>
      <c r="AT28" s="65"/>
      <c r="AU28" s="91"/>
      <c r="AV28" s="91"/>
      <c r="BB28" s="17"/>
      <c r="BC28" s="17"/>
      <c r="BD28" s="17"/>
    </row>
    <row r="29" spans="1:56" ht="15.75">
      <c r="A29" s="304">
        <f t="shared" si="24"/>
        <v>170</v>
      </c>
      <c r="B29" s="261">
        <v>5022</v>
      </c>
      <c r="C29" s="262">
        <v>1874</v>
      </c>
      <c r="D29" s="262">
        <v>6112</v>
      </c>
      <c r="E29" s="263">
        <v>7118</v>
      </c>
      <c r="G29" s="261">
        <f t="shared" si="0"/>
        <v>5567</v>
      </c>
      <c r="H29" s="262">
        <f t="shared" si="1"/>
        <v>1874</v>
      </c>
      <c r="I29" s="262">
        <f t="shared" si="2"/>
        <v>1874</v>
      </c>
      <c r="J29" s="262">
        <f t="shared" si="3"/>
        <v>7118</v>
      </c>
      <c r="K29" s="262">
        <f t="shared" si="4"/>
        <v>6112</v>
      </c>
      <c r="L29" s="263">
        <f t="shared" si="5"/>
        <v>1874</v>
      </c>
      <c r="N29" s="261">
        <f t="shared" si="6"/>
        <v>3785.56</v>
      </c>
      <c r="O29" s="262">
        <f t="shared" si="7"/>
        <v>1911.48</v>
      </c>
      <c r="P29" s="262">
        <f t="shared" si="8"/>
        <v>1911.48</v>
      </c>
      <c r="Q29" s="262">
        <f t="shared" si="9"/>
        <v>3630.18</v>
      </c>
      <c r="R29" s="262">
        <f t="shared" si="10"/>
        <v>4156.16</v>
      </c>
      <c r="S29" s="263">
        <f t="shared" si="11"/>
        <v>2548.64</v>
      </c>
      <c r="U29" s="304">
        <f t="shared" si="25"/>
        <v>170</v>
      </c>
      <c r="V29" s="261">
        <v>5022</v>
      </c>
      <c r="W29" s="262">
        <v>1874</v>
      </c>
      <c r="X29" s="262">
        <v>6112</v>
      </c>
      <c r="Y29" s="263">
        <v>7118</v>
      </c>
      <c r="AA29" s="261">
        <f t="shared" si="12"/>
        <v>5567</v>
      </c>
      <c r="AB29" s="262">
        <f t="shared" si="13"/>
        <v>1874</v>
      </c>
      <c r="AC29" s="262">
        <f t="shared" si="14"/>
        <v>1874</v>
      </c>
      <c r="AD29" s="262">
        <f t="shared" si="15"/>
        <v>7118</v>
      </c>
      <c r="AE29" s="262">
        <f t="shared" si="16"/>
        <v>6112</v>
      </c>
      <c r="AF29" s="263">
        <f t="shared" si="17"/>
        <v>1874</v>
      </c>
      <c r="AH29" s="261">
        <f t="shared" si="18"/>
        <v>3785.56</v>
      </c>
      <c r="AI29" s="262">
        <f t="shared" si="19"/>
        <v>1911.48</v>
      </c>
      <c r="AJ29" s="262">
        <f t="shared" si="20"/>
        <v>1911.48</v>
      </c>
      <c r="AK29" s="262">
        <f t="shared" si="21"/>
        <v>3630.18</v>
      </c>
      <c r="AL29" s="262">
        <f t="shared" si="22"/>
        <v>4156.16</v>
      </c>
      <c r="AM29" s="263">
        <f t="shared" si="23"/>
        <v>2548.64</v>
      </c>
      <c r="AP29" s="65"/>
      <c r="AQ29" s="65"/>
      <c r="AR29" s="65"/>
      <c r="AS29" s="65"/>
      <c r="AT29" s="65"/>
      <c r="AU29" s="91"/>
      <c r="AV29" s="91"/>
      <c r="BB29" s="17"/>
      <c r="BC29" s="17"/>
      <c r="BD29" s="17"/>
    </row>
    <row r="30" spans="1:56" ht="15.75">
      <c r="A30" s="304">
        <f t="shared" si="24"/>
        <v>180</v>
      </c>
      <c r="B30" s="261">
        <v>5022</v>
      </c>
      <c r="C30" s="262">
        <v>2580</v>
      </c>
      <c r="D30" s="262">
        <v>6112</v>
      </c>
      <c r="E30" s="263">
        <v>7118</v>
      </c>
      <c r="G30" s="261">
        <f t="shared" si="0"/>
        <v>5567</v>
      </c>
      <c r="H30" s="262">
        <f t="shared" si="1"/>
        <v>2580</v>
      </c>
      <c r="I30" s="262">
        <f t="shared" si="2"/>
        <v>2580</v>
      </c>
      <c r="J30" s="262">
        <f t="shared" si="3"/>
        <v>7118</v>
      </c>
      <c r="K30" s="262">
        <f t="shared" si="4"/>
        <v>6112</v>
      </c>
      <c r="L30" s="263">
        <f t="shared" si="5"/>
        <v>2580</v>
      </c>
      <c r="N30" s="261">
        <f t="shared" si="6"/>
        <v>4008.24</v>
      </c>
      <c r="O30" s="262">
        <f t="shared" si="7"/>
        <v>2786.4</v>
      </c>
      <c r="P30" s="262">
        <f t="shared" si="8"/>
        <v>2786.4</v>
      </c>
      <c r="Q30" s="262">
        <f t="shared" si="9"/>
        <v>3843.72</v>
      </c>
      <c r="R30" s="262">
        <f t="shared" si="10"/>
        <v>4400.6400000000003</v>
      </c>
      <c r="S30" s="263">
        <f t="shared" si="11"/>
        <v>3715.2</v>
      </c>
      <c r="U30" s="304">
        <f t="shared" si="25"/>
        <v>180</v>
      </c>
      <c r="V30" s="261">
        <v>5022</v>
      </c>
      <c r="W30" s="262">
        <v>2580</v>
      </c>
      <c r="X30" s="262">
        <v>6112</v>
      </c>
      <c r="Y30" s="263">
        <v>7118</v>
      </c>
      <c r="AA30" s="261">
        <f t="shared" si="12"/>
        <v>5567</v>
      </c>
      <c r="AB30" s="262">
        <f t="shared" si="13"/>
        <v>2580</v>
      </c>
      <c r="AC30" s="262">
        <f t="shared" si="14"/>
        <v>2580</v>
      </c>
      <c r="AD30" s="262">
        <f t="shared" si="15"/>
        <v>7118</v>
      </c>
      <c r="AE30" s="262">
        <f t="shared" si="16"/>
        <v>6112</v>
      </c>
      <c r="AF30" s="263">
        <f t="shared" si="17"/>
        <v>2580</v>
      </c>
      <c r="AH30" s="261">
        <f t="shared" si="18"/>
        <v>4008.24</v>
      </c>
      <c r="AI30" s="262">
        <f t="shared" si="19"/>
        <v>2786.4</v>
      </c>
      <c r="AJ30" s="262">
        <f t="shared" si="20"/>
        <v>2786.4</v>
      </c>
      <c r="AK30" s="262">
        <f t="shared" si="21"/>
        <v>3843.72</v>
      </c>
      <c r="AL30" s="262">
        <f t="shared" si="22"/>
        <v>4400.6400000000003</v>
      </c>
      <c r="AM30" s="263">
        <f t="shared" si="23"/>
        <v>3715.2</v>
      </c>
      <c r="AP30" s="65"/>
      <c r="AQ30" s="65"/>
      <c r="AR30" s="65"/>
      <c r="AS30" s="65"/>
      <c r="AT30" s="65"/>
      <c r="AU30" s="91"/>
      <c r="AV30" s="91"/>
      <c r="BB30" s="17"/>
      <c r="BC30" s="17"/>
      <c r="BD30" s="17"/>
    </row>
    <row r="31" spans="1:56" ht="15.75">
      <c r="A31" s="304">
        <f t="shared" si="24"/>
        <v>190</v>
      </c>
      <c r="B31" s="261">
        <v>5022</v>
      </c>
      <c r="C31" s="262">
        <v>2580</v>
      </c>
      <c r="D31" s="262">
        <v>6112</v>
      </c>
      <c r="E31" s="263">
        <v>7118</v>
      </c>
      <c r="G31" s="261">
        <f t="shared" si="0"/>
        <v>5567</v>
      </c>
      <c r="H31" s="262">
        <f t="shared" si="1"/>
        <v>2580</v>
      </c>
      <c r="I31" s="262">
        <f t="shared" si="2"/>
        <v>2580</v>
      </c>
      <c r="J31" s="262">
        <f t="shared" si="3"/>
        <v>7118</v>
      </c>
      <c r="K31" s="262">
        <f t="shared" si="4"/>
        <v>6112</v>
      </c>
      <c r="L31" s="263">
        <f t="shared" si="5"/>
        <v>2580</v>
      </c>
      <c r="N31" s="261">
        <f t="shared" si="6"/>
        <v>4230.92</v>
      </c>
      <c r="O31" s="262">
        <f t="shared" si="7"/>
        <v>2941.2</v>
      </c>
      <c r="P31" s="262">
        <f t="shared" si="8"/>
        <v>2941.2</v>
      </c>
      <c r="Q31" s="262">
        <f t="shared" si="9"/>
        <v>4057.26</v>
      </c>
      <c r="R31" s="262">
        <f t="shared" si="10"/>
        <v>4645.12</v>
      </c>
      <c r="S31" s="263">
        <f t="shared" si="11"/>
        <v>3921.6</v>
      </c>
      <c r="U31" s="304">
        <f t="shared" si="25"/>
        <v>190</v>
      </c>
      <c r="V31" s="261">
        <v>5022</v>
      </c>
      <c r="W31" s="262">
        <v>2580</v>
      </c>
      <c r="X31" s="262">
        <v>6112</v>
      </c>
      <c r="Y31" s="263">
        <v>7118</v>
      </c>
      <c r="AA31" s="261">
        <f t="shared" si="12"/>
        <v>5567</v>
      </c>
      <c r="AB31" s="262">
        <f t="shared" si="13"/>
        <v>2580</v>
      </c>
      <c r="AC31" s="262">
        <f t="shared" si="14"/>
        <v>2580</v>
      </c>
      <c r="AD31" s="262">
        <f t="shared" si="15"/>
        <v>7118</v>
      </c>
      <c r="AE31" s="262">
        <f t="shared" si="16"/>
        <v>6112</v>
      </c>
      <c r="AF31" s="263">
        <f t="shared" si="17"/>
        <v>2580</v>
      </c>
      <c r="AH31" s="261">
        <f t="shared" si="18"/>
        <v>4230.92</v>
      </c>
      <c r="AI31" s="262">
        <f t="shared" si="19"/>
        <v>2941.2</v>
      </c>
      <c r="AJ31" s="262">
        <f t="shared" si="20"/>
        <v>2941.2</v>
      </c>
      <c r="AK31" s="262">
        <f t="shared" si="21"/>
        <v>4057.26</v>
      </c>
      <c r="AL31" s="262">
        <f t="shared" si="22"/>
        <v>4645.12</v>
      </c>
      <c r="AM31" s="263">
        <f t="shared" si="23"/>
        <v>3921.6</v>
      </c>
      <c r="AP31" s="65"/>
      <c r="AQ31" s="65"/>
      <c r="AR31" s="65"/>
      <c r="AS31" s="65"/>
      <c r="AT31" s="65"/>
      <c r="AU31" s="91"/>
      <c r="AV31" s="91"/>
      <c r="BB31" s="17"/>
      <c r="BC31" s="17"/>
      <c r="BD31" s="17"/>
    </row>
    <row r="32" spans="1:56" ht="15.75">
      <c r="A32" s="304">
        <f t="shared" si="24"/>
        <v>200</v>
      </c>
      <c r="B32" s="261">
        <v>5022</v>
      </c>
      <c r="C32" s="262">
        <v>2580</v>
      </c>
      <c r="D32" s="262">
        <v>6112</v>
      </c>
      <c r="E32" s="263">
        <v>7118</v>
      </c>
      <c r="G32" s="261">
        <f t="shared" si="0"/>
        <v>5567</v>
      </c>
      <c r="H32" s="262">
        <f t="shared" si="1"/>
        <v>2580</v>
      </c>
      <c r="I32" s="262">
        <f t="shared" si="2"/>
        <v>2580</v>
      </c>
      <c r="J32" s="262">
        <f t="shared" si="3"/>
        <v>7118</v>
      </c>
      <c r="K32" s="262">
        <f t="shared" si="4"/>
        <v>6112</v>
      </c>
      <c r="L32" s="263">
        <f t="shared" si="5"/>
        <v>2580</v>
      </c>
      <c r="N32" s="261">
        <f t="shared" si="6"/>
        <v>4453.6000000000004</v>
      </c>
      <c r="O32" s="262">
        <f t="shared" si="7"/>
        <v>3096</v>
      </c>
      <c r="P32" s="262">
        <f t="shared" si="8"/>
        <v>3096</v>
      </c>
      <c r="Q32" s="262">
        <f t="shared" si="9"/>
        <v>4270.8</v>
      </c>
      <c r="R32" s="262">
        <f t="shared" si="10"/>
        <v>4889.6000000000004</v>
      </c>
      <c r="S32" s="263">
        <f t="shared" si="11"/>
        <v>4128</v>
      </c>
      <c r="U32" s="304">
        <f t="shared" si="25"/>
        <v>200</v>
      </c>
      <c r="V32" s="261">
        <v>5022</v>
      </c>
      <c r="W32" s="262">
        <v>2580</v>
      </c>
      <c r="X32" s="262">
        <v>6112</v>
      </c>
      <c r="Y32" s="263">
        <v>7118</v>
      </c>
      <c r="AA32" s="261">
        <f t="shared" si="12"/>
        <v>5567</v>
      </c>
      <c r="AB32" s="262">
        <f t="shared" si="13"/>
        <v>2580</v>
      </c>
      <c r="AC32" s="262">
        <f t="shared" si="14"/>
        <v>2580</v>
      </c>
      <c r="AD32" s="262">
        <f t="shared" si="15"/>
        <v>7118</v>
      </c>
      <c r="AE32" s="262">
        <f t="shared" si="16"/>
        <v>6112</v>
      </c>
      <c r="AF32" s="263">
        <f t="shared" si="17"/>
        <v>2580</v>
      </c>
      <c r="AH32" s="261">
        <f t="shared" si="18"/>
        <v>4453.6000000000004</v>
      </c>
      <c r="AI32" s="262">
        <f t="shared" si="19"/>
        <v>3096</v>
      </c>
      <c r="AJ32" s="262">
        <f t="shared" si="20"/>
        <v>3096</v>
      </c>
      <c r="AK32" s="262">
        <f t="shared" si="21"/>
        <v>4270.8</v>
      </c>
      <c r="AL32" s="262">
        <f t="shared" si="22"/>
        <v>4889.6000000000004</v>
      </c>
      <c r="AM32" s="263">
        <f t="shared" si="23"/>
        <v>4128</v>
      </c>
      <c r="AP32" s="65"/>
      <c r="AQ32" s="65"/>
      <c r="AR32" s="65"/>
      <c r="AS32" s="65"/>
      <c r="AT32" s="65"/>
      <c r="AU32" s="91"/>
      <c r="AV32" s="91"/>
      <c r="BB32" s="17"/>
      <c r="BC32" s="17"/>
      <c r="BD32" s="17"/>
    </row>
    <row r="33" spans="1:56" ht="15.75">
      <c r="A33" s="304">
        <f t="shared" si="24"/>
        <v>210</v>
      </c>
      <c r="B33" s="261">
        <v>5022</v>
      </c>
      <c r="C33" s="262">
        <v>2580</v>
      </c>
      <c r="D33" s="262">
        <v>6112</v>
      </c>
      <c r="E33" s="263">
        <v>7118</v>
      </c>
      <c r="G33" s="261">
        <f t="shared" si="0"/>
        <v>5567</v>
      </c>
      <c r="H33" s="262">
        <f t="shared" si="1"/>
        <v>2580</v>
      </c>
      <c r="I33" s="262">
        <f t="shared" si="2"/>
        <v>2580</v>
      </c>
      <c r="J33" s="262">
        <f t="shared" si="3"/>
        <v>7118</v>
      </c>
      <c r="K33" s="262">
        <f t="shared" si="4"/>
        <v>6112</v>
      </c>
      <c r="L33" s="263">
        <f t="shared" si="5"/>
        <v>2580</v>
      </c>
      <c r="N33" s="261">
        <f t="shared" si="6"/>
        <v>4676.28</v>
      </c>
      <c r="O33" s="262">
        <f t="shared" si="7"/>
        <v>3250.8</v>
      </c>
      <c r="P33" s="262">
        <f t="shared" si="8"/>
        <v>3250.8</v>
      </c>
      <c r="Q33" s="262">
        <f t="shared" si="9"/>
        <v>4484.34</v>
      </c>
      <c r="R33" s="262">
        <f t="shared" si="10"/>
        <v>5134.08</v>
      </c>
      <c r="S33" s="263">
        <f t="shared" si="11"/>
        <v>4334.3999999999996</v>
      </c>
      <c r="U33" s="304">
        <f t="shared" si="25"/>
        <v>210</v>
      </c>
      <c r="V33" s="261">
        <v>5022</v>
      </c>
      <c r="W33" s="262">
        <v>2580</v>
      </c>
      <c r="X33" s="262">
        <v>6112</v>
      </c>
      <c r="Y33" s="263">
        <v>7118</v>
      </c>
      <c r="AA33" s="261">
        <f t="shared" si="12"/>
        <v>5567</v>
      </c>
      <c r="AB33" s="262">
        <f t="shared" si="13"/>
        <v>2580</v>
      </c>
      <c r="AC33" s="262">
        <f t="shared" si="14"/>
        <v>2580</v>
      </c>
      <c r="AD33" s="262">
        <f t="shared" si="15"/>
        <v>7118</v>
      </c>
      <c r="AE33" s="262">
        <f t="shared" si="16"/>
        <v>6112</v>
      </c>
      <c r="AF33" s="263">
        <f t="shared" si="17"/>
        <v>2580</v>
      </c>
      <c r="AH33" s="261">
        <f t="shared" si="18"/>
        <v>4676.28</v>
      </c>
      <c r="AI33" s="262">
        <f t="shared" si="19"/>
        <v>3250.8</v>
      </c>
      <c r="AJ33" s="262">
        <f t="shared" si="20"/>
        <v>3250.8</v>
      </c>
      <c r="AK33" s="262">
        <f t="shared" si="21"/>
        <v>4484.34</v>
      </c>
      <c r="AL33" s="262">
        <f t="shared" si="22"/>
        <v>5134.08</v>
      </c>
      <c r="AM33" s="263">
        <f t="shared" si="23"/>
        <v>4334.3999999999996</v>
      </c>
      <c r="AP33" s="65"/>
      <c r="AQ33" s="65"/>
      <c r="AR33" s="65"/>
      <c r="AS33" s="65"/>
      <c r="AT33" s="65"/>
      <c r="AU33" s="91"/>
      <c r="AV33" s="91"/>
      <c r="BB33" s="17"/>
      <c r="BC33" s="17"/>
      <c r="BD33" s="17"/>
    </row>
    <row r="34" spans="1:56" ht="15.75">
      <c r="A34" s="304">
        <f t="shared" si="24"/>
        <v>220</v>
      </c>
      <c r="B34" s="261">
        <v>5022</v>
      </c>
      <c r="C34" s="262">
        <v>2580</v>
      </c>
      <c r="D34" s="262">
        <v>6112</v>
      </c>
      <c r="E34" s="263">
        <v>7118</v>
      </c>
      <c r="G34" s="261">
        <f t="shared" si="0"/>
        <v>5567</v>
      </c>
      <c r="H34" s="262">
        <f t="shared" si="1"/>
        <v>2580</v>
      </c>
      <c r="I34" s="262">
        <f t="shared" si="2"/>
        <v>2580</v>
      </c>
      <c r="J34" s="262">
        <f t="shared" si="3"/>
        <v>7118</v>
      </c>
      <c r="K34" s="262">
        <f t="shared" si="4"/>
        <v>6112</v>
      </c>
      <c r="L34" s="263">
        <f t="shared" si="5"/>
        <v>2580</v>
      </c>
      <c r="N34" s="261">
        <f t="shared" si="6"/>
        <v>4898.96</v>
      </c>
      <c r="O34" s="262">
        <f t="shared" si="7"/>
        <v>3405.6</v>
      </c>
      <c r="P34" s="262">
        <f t="shared" si="8"/>
        <v>3405.6</v>
      </c>
      <c r="Q34" s="262">
        <f t="shared" si="9"/>
        <v>4697.88</v>
      </c>
      <c r="R34" s="262">
        <f t="shared" si="10"/>
        <v>5378.56</v>
      </c>
      <c r="S34" s="263">
        <f t="shared" si="11"/>
        <v>4540.8</v>
      </c>
      <c r="U34" s="304">
        <f t="shared" si="25"/>
        <v>220</v>
      </c>
      <c r="V34" s="261">
        <v>5022</v>
      </c>
      <c r="W34" s="262">
        <v>2580</v>
      </c>
      <c r="X34" s="262">
        <v>6112</v>
      </c>
      <c r="Y34" s="263">
        <v>7118</v>
      </c>
      <c r="AA34" s="261">
        <f t="shared" si="12"/>
        <v>5567</v>
      </c>
      <c r="AB34" s="262">
        <f t="shared" si="13"/>
        <v>2580</v>
      </c>
      <c r="AC34" s="262">
        <f t="shared" si="14"/>
        <v>2580</v>
      </c>
      <c r="AD34" s="262">
        <f t="shared" si="15"/>
        <v>7118</v>
      </c>
      <c r="AE34" s="262">
        <f t="shared" si="16"/>
        <v>6112</v>
      </c>
      <c r="AF34" s="263">
        <f t="shared" si="17"/>
        <v>2580</v>
      </c>
      <c r="AH34" s="261">
        <f t="shared" si="18"/>
        <v>4898.96</v>
      </c>
      <c r="AI34" s="262">
        <f t="shared" si="19"/>
        <v>3405.6</v>
      </c>
      <c r="AJ34" s="262">
        <f t="shared" si="20"/>
        <v>3405.6</v>
      </c>
      <c r="AK34" s="262">
        <f t="shared" si="21"/>
        <v>4697.88</v>
      </c>
      <c r="AL34" s="262">
        <f t="shared" si="22"/>
        <v>5378.56</v>
      </c>
      <c r="AM34" s="263">
        <f t="shared" si="23"/>
        <v>4540.8</v>
      </c>
      <c r="AP34" s="65"/>
      <c r="AQ34" s="65"/>
      <c r="AR34" s="65"/>
      <c r="AS34" s="65"/>
      <c r="AT34" s="65"/>
      <c r="AU34" s="91"/>
      <c r="AV34" s="91"/>
      <c r="BB34" s="17"/>
      <c r="BC34" s="17"/>
      <c r="BD34" s="17"/>
    </row>
    <row r="35" spans="1:56" ht="15.75">
      <c r="A35" s="304">
        <f t="shared" si="24"/>
        <v>230</v>
      </c>
      <c r="B35" s="261">
        <v>5022</v>
      </c>
      <c r="C35" s="262">
        <v>2580</v>
      </c>
      <c r="D35" s="262">
        <v>6112</v>
      </c>
      <c r="E35" s="263">
        <v>7118</v>
      </c>
      <c r="G35" s="261">
        <f t="shared" si="0"/>
        <v>5567</v>
      </c>
      <c r="H35" s="262">
        <f t="shared" si="1"/>
        <v>2580</v>
      </c>
      <c r="I35" s="262">
        <f t="shared" si="2"/>
        <v>2580</v>
      </c>
      <c r="J35" s="262">
        <f t="shared" si="3"/>
        <v>7118</v>
      </c>
      <c r="K35" s="262">
        <f t="shared" si="4"/>
        <v>6112</v>
      </c>
      <c r="L35" s="263">
        <f t="shared" si="5"/>
        <v>2580</v>
      </c>
      <c r="N35" s="261">
        <f t="shared" si="6"/>
        <v>5121.6400000000003</v>
      </c>
      <c r="O35" s="262">
        <f t="shared" si="7"/>
        <v>3560.4</v>
      </c>
      <c r="P35" s="262">
        <f t="shared" si="8"/>
        <v>3560.4</v>
      </c>
      <c r="Q35" s="262">
        <f t="shared" si="9"/>
        <v>4911.42</v>
      </c>
      <c r="R35" s="262">
        <f t="shared" si="10"/>
        <v>5623.04</v>
      </c>
      <c r="S35" s="263">
        <f t="shared" si="11"/>
        <v>4747.2</v>
      </c>
      <c r="U35" s="304">
        <f t="shared" si="25"/>
        <v>230</v>
      </c>
      <c r="V35" s="261">
        <v>5022</v>
      </c>
      <c r="W35" s="262">
        <v>2580</v>
      </c>
      <c r="X35" s="262">
        <v>6112</v>
      </c>
      <c r="Y35" s="263">
        <v>7118</v>
      </c>
      <c r="AA35" s="261">
        <f t="shared" si="12"/>
        <v>5567</v>
      </c>
      <c r="AB35" s="262">
        <f t="shared" si="13"/>
        <v>2580</v>
      </c>
      <c r="AC35" s="262">
        <f t="shared" si="14"/>
        <v>2580</v>
      </c>
      <c r="AD35" s="262">
        <f t="shared" si="15"/>
        <v>7118</v>
      </c>
      <c r="AE35" s="262">
        <f t="shared" si="16"/>
        <v>6112</v>
      </c>
      <c r="AF35" s="263">
        <f t="shared" si="17"/>
        <v>2580</v>
      </c>
      <c r="AH35" s="261">
        <f t="shared" si="18"/>
        <v>5121.6400000000003</v>
      </c>
      <c r="AI35" s="262">
        <f t="shared" si="19"/>
        <v>3560.4</v>
      </c>
      <c r="AJ35" s="262">
        <f t="shared" si="20"/>
        <v>3560.4</v>
      </c>
      <c r="AK35" s="262">
        <f t="shared" si="21"/>
        <v>4911.42</v>
      </c>
      <c r="AL35" s="262">
        <f t="shared" si="22"/>
        <v>5623.04</v>
      </c>
      <c r="AM35" s="263">
        <f t="shared" si="23"/>
        <v>4747.2</v>
      </c>
      <c r="AP35" s="65"/>
      <c r="AQ35" s="65"/>
      <c r="AR35" s="65"/>
      <c r="AS35" s="65"/>
      <c r="AT35" s="65"/>
      <c r="AU35" s="91"/>
      <c r="AV35" s="91"/>
      <c r="BB35" s="17"/>
      <c r="BC35" s="17"/>
      <c r="BD35" s="17"/>
    </row>
    <row r="36" spans="1:56" ht="15.75">
      <c r="A36" s="304">
        <f t="shared" si="24"/>
        <v>240</v>
      </c>
      <c r="B36" s="261">
        <v>5265</v>
      </c>
      <c r="C36" s="262">
        <v>3137</v>
      </c>
      <c r="D36" s="262">
        <v>6393</v>
      </c>
      <c r="E36" s="263">
        <v>9120</v>
      </c>
      <c r="G36" s="261">
        <f t="shared" si="0"/>
        <v>5829</v>
      </c>
      <c r="H36" s="262">
        <f t="shared" si="1"/>
        <v>3137</v>
      </c>
      <c r="I36" s="262">
        <f t="shared" si="2"/>
        <v>3137</v>
      </c>
      <c r="J36" s="262">
        <f t="shared" si="3"/>
        <v>9120</v>
      </c>
      <c r="K36" s="262">
        <f t="shared" si="4"/>
        <v>6393</v>
      </c>
      <c r="L36" s="263">
        <f t="shared" si="5"/>
        <v>3137</v>
      </c>
      <c r="N36" s="261">
        <f t="shared" si="6"/>
        <v>5595.84</v>
      </c>
      <c r="O36" s="262">
        <f t="shared" si="7"/>
        <v>4517.28</v>
      </c>
      <c r="P36" s="262">
        <f t="shared" si="8"/>
        <v>4517.28</v>
      </c>
      <c r="Q36" s="262">
        <f t="shared" si="9"/>
        <v>6566.4</v>
      </c>
      <c r="R36" s="262">
        <f t="shared" si="10"/>
        <v>6137.28</v>
      </c>
      <c r="S36" s="263">
        <f t="shared" si="11"/>
        <v>6023.04</v>
      </c>
      <c r="U36" s="304">
        <f t="shared" si="25"/>
        <v>240</v>
      </c>
      <c r="V36" s="261">
        <v>5265</v>
      </c>
      <c r="W36" s="262">
        <v>3137</v>
      </c>
      <c r="X36" s="262">
        <v>6393</v>
      </c>
      <c r="Y36" s="263">
        <v>9120</v>
      </c>
      <c r="AA36" s="261">
        <f t="shared" si="12"/>
        <v>5829</v>
      </c>
      <c r="AB36" s="262">
        <f t="shared" si="13"/>
        <v>3137</v>
      </c>
      <c r="AC36" s="262">
        <f t="shared" si="14"/>
        <v>3137</v>
      </c>
      <c r="AD36" s="262">
        <f t="shared" si="15"/>
        <v>9120</v>
      </c>
      <c r="AE36" s="262">
        <f t="shared" si="16"/>
        <v>6393</v>
      </c>
      <c r="AF36" s="263">
        <f t="shared" si="17"/>
        <v>3137</v>
      </c>
      <c r="AH36" s="261">
        <f t="shared" si="18"/>
        <v>5595.84</v>
      </c>
      <c r="AI36" s="262">
        <f t="shared" si="19"/>
        <v>4517.28</v>
      </c>
      <c r="AJ36" s="262">
        <f t="shared" si="20"/>
        <v>4517.28</v>
      </c>
      <c r="AK36" s="262">
        <f t="shared" si="21"/>
        <v>6566.4</v>
      </c>
      <c r="AL36" s="262">
        <f t="shared" si="22"/>
        <v>6137.28</v>
      </c>
      <c r="AM36" s="263">
        <f t="shared" si="23"/>
        <v>6023.04</v>
      </c>
      <c r="AP36" s="65"/>
      <c r="AQ36" s="65"/>
      <c r="AR36" s="65"/>
      <c r="AS36" s="65"/>
      <c r="AT36" s="65"/>
      <c r="AU36" s="91"/>
      <c r="AV36" s="91"/>
      <c r="BB36" s="17"/>
      <c r="BC36" s="17"/>
      <c r="BD36" s="17"/>
    </row>
    <row r="37" spans="1:56" ht="16.5" thickBot="1">
      <c r="A37" s="305">
        <f t="shared" si="24"/>
        <v>250</v>
      </c>
      <c r="B37" s="252">
        <v>5265</v>
      </c>
      <c r="C37" s="253">
        <v>3137</v>
      </c>
      <c r="D37" s="253">
        <v>6393</v>
      </c>
      <c r="E37" s="254">
        <v>9120</v>
      </c>
      <c r="G37" s="252">
        <f t="shared" si="0"/>
        <v>5829</v>
      </c>
      <c r="H37" s="253">
        <f t="shared" si="1"/>
        <v>3137</v>
      </c>
      <c r="I37" s="253">
        <f t="shared" si="2"/>
        <v>3137</v>
      </c>
      <c r="J37" s="253">
        <f t="shared" si="3"/>
        <v>9120</v>
      </c>
      <c r="K37" s="253">
        <f t="shared" si="4"/>
        <v>6393</v>
      </c>
      <c r="L37" s="254">
        <f t="shared" si="5"/>
        <v>3137</v>
      </c>
      <c r="N37" s="264">
        <f t="shared" si="6"/>
        <v>5829</v>
      </c>
      <c r="O37" s="265">
        <f t="shared" si="7"/>
        <v>4705.5</v>
      </c>
      <c r="P37" s="265">
        <f t="shared" si="8"/>
        <v>4705.5</v>
      </c>
      <c r="Q37" s="265">
        <f t="shared" si="9"/>
        <v>6840</v>
      </c>
      <c r="R37" s="265">
        <f t="shared" si="10"/>
        <v>6393</v>
      </c>
      <c r="S37" s="266">
        <f t="shared" si="11"/>
        <v>6274</v>
      </c>
      <c r="U37" s="305">
        <f t="shared" si="25"/>
        <v>250</v>
      </c>
      <c r="V37" s="252">
        <v>5265</v>
      </c>
      <c r="W37" s="253">
        <v>3137</v>
      </c>
      <c r="X37" s="253">
        <v>6393</v>
      </c>
      <c r="Y37" s="254">
        <v>9120</v>
      </c>
      <c r="AA37" s="252">
        <f t="shared" si="12"/>
        <v>5829</v>
      </c>
      <c r="AB37" s="253">
        <f t="shared" si="13"/>
        <v>3137</v>
      </c>
      <c r="AC37" s="253">
        <f t="shared" si="14"/>
        <v>3137</v>
      </c>
      <c r="AD37" s="253">
        <f t="shared" si="15"/>
        <v>9120</v>
      </c>
      <c r="AE37" s="253">
        <f t="shared" si="16"/>
        <v>6393</v>
      </c>
      <c r="AF37" s="254">
        <f t="shared" si="17"/>
        <v>3137</v>
      </c>
      <c r="AH37" s="252">
        <f t="shared" si="18"/>
        <v>5829</v>
      </c>
      <c r="AI37" s="253">
        <f t="shared" si="19"/>
        <v>4705.5</v>
      </c>
      <c r="AJ37" s="253">
        <f t="shared" si="20"/>
        <v>4705.5</v>
      </c>
      <c r="AK37" s="253">
        <f t="shared" si="21"/>
        <v>6840</v>
      </c>
      <c r="AL37" s="253">
        <f t="shared" si="22"/>
        <v>6393</v>
      </c>
      <c r="AM37" s="254">
        <f t="shared" si="23"/>
        <v>6274</v>
      </c>
      <c r="AP37" s="65"/>
      <c r="AQ37" s="65"/>
      <c r="AR37" s="65"/>
      <c r="AS37" s="65"/>
      <c r="AT37" s="65"/>
      <c r="AU37" s="91"/>
      <c r="AV37" s="91"/>
      <c r="BB37" s="17"/>
      <c r="BC37" s="17"/>
      <c r="BD37" s="17"/>
    </row>
    <row r="38" spans="1:56" ht="15.7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17"/>
      <c r="AX38" s="17"/>
      <c r="AY38" s="17"/>
      <c r="AZ38" s="17"/>
      <c r="BA38" s="17"/>
      <c r="BB38" s="17"/>
      <c r="BC38" s="17"/>
      <c r="BD38" s="17"/>
    </row>
    <row r="39" spans="1:56" ht="15.75">
      <c r="A39" s="234"/>
      <c r="B39" s="234"/>
      <c r="C39" s="234"/>
      <c r="D39" s="234"/>
      <c r="E39" s="234"/>
      <c r="F39" s="234"/>
      <c r="G39" s="65"/>
      <c r="H39" s="234"/>
      <c r="I39" s="234"/>
      <c r="J39" s="234"/>
      <c r="K39" s="234"/>
      <c r="L39" s="234"/>
      <c r="M39" s="234"/>
      <c r="N39" s="65"/>
      <c r="O39" s="234"/>
      <c r="P39" s="234"/>
      <c r="Q39" s="234"/>
      <c r="R39" s="234"/>
      <c r="S39" s="234"/>
      <c r="T39" s="234"/>
      <c r="U39" s="65"/>
      <c r="V39" s="65"/>
      <c r="W39" s="65"/>
      <c r="X39" s="65"/>
      <c r="Y39" s="65"/>
      <c r="Z39" s="65"/>
      <c r="AA39" s="65"/>
      <c r="AB39" s="234"/>
      <c r="AC39" s="234"/>
      <c r="AD39" s="234"/>
      <c r="AE39" s="234"/>
      <c r="AF39" s="234"/>
      <c r="AG39" s="234"/>
      <c r="AH39" s="65"/>
      <c r="AI39" s="234"/>
      <c r="AJ39" s="234"/>
      <c r="AK39" s="234"/>
      <c r="AL39" s="234"/>
      <c r="AM39" s="234"/>
      <c r="AN39" s="234"/>
      <c r="AO39" s="65"/>
      <c r="AP39" s="234"/>
      <c r="AQ39" s="234"/>
      <c r="AR39" s="234"/>
      <c r="AS39" s="234"/>
      <c r="AT39" s="234"/>
      <c r="AU39" s="65"/>
      <c r="AV39" s="65"/>
      <c r="AW39" s="17"/>
      <c r="AX39" s="17"/>
      <c r="AY39" s="17"/>
      <c r="AZ39" s="17"/>
      <c r="BA39" s="17"/>
      <c r="BB39" s="17"/>
      <c r="BC39" s="17"/>
      <c r="BD39" s="17"/>
    </row>
    <row r="70" spans="1:56" ht="15.75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91"/>
      <c r="AQ70" s="91"/>
      <c r="AR70" s="91"/>
      <c r="AS70" s="91"/>
      <c r="AT70" s="91"/>
      <c r="AU70" s="91"/>
      <c r="AV70" s="91"/>
      <c r="AZ70" s="17"/>
      <c r="BA70" s="17"/>
      <c r="BB70" s="17"/>
      <c r="BC70" s="17"/>
      <c r="BD70" s="17"/>
    </row>
    <row r="71" spans="1:56" ht="15.75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91"/>
      <c r="AQ71" s="91"/>
      <c r="AR71" s="91"/>
      <c r="AS71" s="91"/>
      <c r="AT71" s="91"/>
      <c r="AU71" s="91"/>
      <c r="AV71" s="91"/>
      <c r="AZ71" s="17"/>
      <c r="BA71" s="17"/>
      <c r="BB71" s="17"/>
      <c r="BC71" s="17"/>
      <c r="BD71" s="17"/>
    </row>
    <row r="72" spans="1:56" ht="15.7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91"/>
      <c r="AQ72" s="91"/>
      <c r="AR72" s="91"/>
      <c r="AS72" s="91"/>
      <c r="AT72" s="91"/>
      <c r="AU72" s="91"/>
      <c r="AV72" s="91"/>
      <c r="AZ72" s="17"/>
      <c r="BA72" s="17"/>
      <c r="BB72" s="17"/>
      <c r="BC72" s="17"/>
      <c r="BD72" s="17"/>
    </row>
    <row r="73" spans="1:56" ht="15.7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91"/>
      <c r="AQ73" s="91"/>
      <c r="AR73" s="91"/>
      <c r="AS73" s="91"/>
      <c r="AT73" s="91"/>
      <c r="AU73" s="91"/>
      <c r="AV73" s="91"/>
      <c r="AZ73" s="17"/>
      <c r="BA73" s="17"/>
      <c r="BB73" s="17"/>
      <c r="BC73" s="17"/>
      <c r="BD73" s="17"/>
    </row>
    <row r="74" spans="1:56" ht="15.75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91"/>
      <c r="AQ74" s="91"/>
      <c r="AR74" s="91"/>
      <c r="AS74" s="91"/>
      <c r="AT74" s="91"/>
      <c r="AU74" s="91"/>
      <c r="AV74" s="91"/>
      <c r="AZ74" s="17"/>
      <c r="BA74" s="17"/>
      <c r="BB74" s="17"/>
      <c r="BC74" s="17"/>
      <c r="BD74" s="17"/>
    </row>
    <row r="75" spans="1:56" ht="15.7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91"/>
      <c r="AQ75" s="91"/>
      <c r="AR75" s="91"/>
      <c r="AS75" s="91"/>
      <c r="AT75" s="91"/>
      <c r="AU75" s="91"/>
      <c r="AV75" s="91"/>
      <c r="AZ75" s="17"/>
      <c r="BA75" s="17"/>
      <c r="BB75" s="17"/>
      <c r="BC75" s="17"/>
      <c r="BD75" s="17"/>
    </row>
    <row r="76" spans="1:56" ht="15.75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91"/>
      <c r="AQ76" s="91"/>
      <c r="AR76" s="91"/>
      <c r="AS76" s="91"/>
      <c r="AT76" s="91"/>
      <c r="AU76" s="91"/>
      <c r="AV76" s="91"/>
      <c r="AZ76" s="17"/>
      <c r="BA76" s="17"/>
      <c r="BB76" s="17"/>
      <c r="BC76" s="17"/>
      <c r="BD76" s="17"/>
    </row>
    <row r="77" spans="1:56" ht="15.75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91"/>
      <c r="AQ77" s="91"/>
      <c r="AR77" s="91"/>
      <c r="AS77" s="91"/>
      <c r="AT77" s="91"/>
      <c r="AU77" s="91"/>
      <c r="AV77" s="91"/>
      <c r="AZ77" s="17"/>
      <c r="BA77" s="17"/>
      <c r="BB77" s="17"/>
      <c r="BC77" s="17"/>
      <c r="BD77" s="17"/>
    </row>
    <row r="78" spans="1:56" ht="15.75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91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91"/>
      <c r="AQ78" s="91"/>
      <c r="AR78" s="91"/>
      <c r="AS78" s="91"/>
      <c r="AT78" s="91"/>
      <c r="AU78" s="91"/>
      <c r="AV78" s="91"/>
      <c r="AZ78" s="17"/>
      <c r="BA78" s="17"/>
      <c r="BB78" s="17"/>
      <c r="BC78" s="17"/>
      <c r="BD78" s="17"/>
    </row>
    <row r="79" spans="1:56" ht="15.75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91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91"/>
      <c r="AQ79" s="91"/>
      <c r="AR79" s="91"/>
      <c r="AS79" s="91"/>
      <c r="AT79" s="91"/>
      <c r="AU79" s="91"/>
      <c r="AV79" s="91"/>
      <c r="AZ79" s="17"/>
      <c r="BA79" s="17"/>
      <c r="BB79" s="17"/>
      <c r="BC79" s="17"/>
      <c r="BD79" s="17"/>
    </row>
    <row r="80" spans="1:56" ht="15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</row>
    <row r="81" spans="1:48" ht="15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</row>
    <row r="82" spans="1:48" ht="15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</row>
    <row r="83" spans="1:48" ht="15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91"/>
      <c r="AP83" s="91"/>
      <c r="AQ83" s="91"/>
      <c r="AR83" s="91"/>
      <c r="AS83" s="91"/>
      <c r="AT83" s="91"/>
      <c r="AU83" s="91"/>
      <c r="AV83" s="91"/>
    </row>
  </sheetData>
  <pageMargins left="0.18" right="0.17" top="0.37" bottom="0.4" header="0.17" footer="0.21"/>
  <pageSetup scale="23" orientation="landscape" r:id="rId1"/>
  <headerFooter alignWithMargins="0">
    <oddFooter>&amp;L&amp;T, &amp;D&amp;C&amp;F&amp;RPage &amp;P</oddFooter>
  </headerFooter>
  <colBreaks count="1" manualBreakCount="1">
    <brk id="19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20</vt:i4>
      </vt:variant>
    </vt:vector>
  </HeadingPairs>
  <TitlesOfParts>
    <vt:vector size="29" baseType="lpstr">
      <vt:lpstr>Preset Scenarios</vt:lpstr>
      <vt:lpstr>Assumptions</vt:lpstr>
      <vt:lpstr>Power Price Assumption</vt:lpstr>
      <vt:lpstr>IS</vt:lpstr>
      <vt:lpstr>CF</vt:lpstr>
      <vt:lpstr>Debt</vt:lpstr>
      <vt:lpstr>Depreciation</vt:lpstr>
      <vt:lpstr>Tax</vt:lpstr>
      <vt:lpstr>EGC Start Charge Matrix</vt:lpstr>
      <vt:lpstr>AnnualHours</vt:lpstr>
      <vt:lpstr>Deg_Rate</vt:lpstr>
      <vt:lpstr>ISO_MW</vt:lpstr>
      <vt:lpstr>Maint_Accrual</vt:lpstr>
      <vt:lpstr>NetMW</vt:lpstr>
      <vt:lpstr>Assumptions!Print_Area</vt:lpstr>
      <vt:lpstr>CF!Print_Area</vt:lpstr>
      <vt:lpstr>Debt!Print_Area</vt:lpstr>
      <vt:lpstr>Depreciation!Print_Area</vt:lpstr>
      <vt:lpstr>'EGC Start Charge Matrix'!Print_Area</vt:lpstr>
      <vt:lpstr>IS!Print_Area</vt:lpstr>
      <vt:lpstr>'Preset Scenarios'!Print_Area</vt:lpstr>
      <vt:lpstr>Tax!Print_Area</vt:lpstr>
      <vt:lpstr>CF!Print_Titles</vt:lpstr>
      <vt:lpstr>Debt!Print_Titles</vt:lpstr>
      <vt:lpstr>Depreciation!Print_Titles</vt:lpstr>
      <vt:lpstr>IS!Print_Titles</vt:lpstr>
      <vt:lpstr>Tax!Print_Titles</vt:lpstr>
      <vt:lpstr>Variable</vt:lpstr>
      <vt:lpstr>WaterTreatmentVar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2000-01-19T00:26:00Z</cp:lastPrinted>
  <dcterms:created xsi:type="dcterms:W3CDTF">1999-04-02T01:38:38Z</dcterms:created>
  <dcterms:modified xsi:type="dcterms:W3CDTF">2023-09-13T22:16:12Z</dcterms:modified>
</cp:coreProperties>
</file>