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6092E0-2B0A-4618-A8D4-7EC844F87A5A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Preset Scenarios" sheetId="1" state="hidden" r:id="rId1"/>
    <sheet name="Assumptions" sheetId="2" r:id="rId2"/>
    <sheet name="Power Price Assumption" sheetId="3" r:id="rId3"/>
    <sheet name="IS" sheetId="4" r:id="rId4"/>
    <sheet name="CF" sheetId="5" r:id="rId5"/>
    <sheet name="Debt" sheetId="6" r:id="rId6"/>
    <sheet name="Depreciation" sheetId="7" r:id="rId7"/>
    <sheet name="Tax" sheetId="8" r:id="rId8"/>
    <sheet name="EGC Start Charge Matrix" sheetId="15" r:id="rId9"/>
  </sheets>
  <externalReferences>
    <externalReference r:id="rId10"/>
  </externalReferences>
  <definedNames>
    <definedName name="_xlnm.Print_Area" localSheetId="1">Assumptions!$A$3:$L$87</definedName>
    <definedName name="_xlnm.Print_Area" localSheetId="4">CF!$A$2:$Y$45</definedName>
    <definedName name="_xlnm.Print_Area" localSheetId="5">Debt!$A$13:$V$97</definedName>
    <definedName name="_xlnm.Print_Area" localSheetId="6">Depreciation!$A$2:$Z$45</definedName>
    <definedName name="_xlnm.Print_Area" localSheetId="8">'EGC Start Charge Matrix'!$A$2:$AM$37</definedName>
    <definedName name="_xlnm.Print_Area" localSheetId="3">IS!$A$2:$Z$58</definedName>
    <definedName name="_xlnm.Print_Area" localSheetId="0">'Preset Scenarios'!$A$2:$M$30</definedName>
    <definedName name="_xlnm.Print_Area" localSheetId="7">Tax!$A$2:$Y$50</definedName>
    <definedName name="_xlnm.Print_Titles" localSheetId="4">CF!$A:$B</definedName>
    <definedName name="_xlnm.Print_Titles" localSheetId="5">Debt!$A:$A</definedName>
    <definedName name="_xlnm.Print_Titles" localSheetId="6">Depreciation!$A:$A</definedName>
    <definedName name="_xlnm.Print_Titles" localSheetId="3">IS!$A:$A</definedName>
    <definedName name="_xlnm.Print_Titles" localSheetId="7">Tax!$A:$C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0" i="2" l="1"/>
  <c r="F10" i="2"/>
  <c r="B11" i="2"/>
  <c r="C11" i="2"/>
  <c r="F11" i="2"/>
  <c r="F12" i="2"/>
  <c r="G12" i="2"/>
  <c r="F13" i="2"/>
  <c r="B15" i="2"/>
  <c r="C15" i="2"/>
  <c r="F15" i="2"/>
  <c r="G15" i="2"/>
  <c r="C17" i="2"/>
  <c r="B18" i="2"/>
  <c r="C18" i="2"/>
  <c r="L20" i="2"/>
  <c r="L22" i="2"/>
  <c r="E26" i="2"/>
  <c r="B29" i="2"/>
  <c r="C29" i="2"/>
  <c r="D29" i="2"/>
  <c r="E32" i="2"/>
  <c r="E33" i="2"/>
  <c r="L33" i="2"/>
  <c r="B34" i="2"/>
  <c r="C34" i="2"/>
  <c r="D34" i="2"/>
  <c r="E34" i="2"/>
  <c r="L34" i="2"/>
  <c r="B36" i="2"/>
  <c r="L36" i="2"/>
  <c r="L37" i="2"/>
  <c r="L38" i="2"/>
  <c r="B47" i="2"/>
  <c r="B48" i="2"/>
  <c r="B51" i="2"/>
  <c r="B52" i="2"/>
  <c r="C58" i="2"/>
  <c r="D58" i="2"/>
  <c r="C60" i="2"/>
  <c r="C63" i="2"/>
  <c r="C64" i="2"/>
  <c r="C65" i="2"/>
  <c r="B68" i="2"/>
  <c r="C68" i="2"/>
  <c r="D68" i="2"/>
  <c r="E68" i="2"/>
  <c r="F68" i="2"/>
  <c r="B69" i="2"/>
  <c r="C69" i="2"/>
  <c r="D69" i="2"/>
  <c r="E69" i="2"/>
  <c r="F69" i="2"/>
  <c r="L69" i="2"/>
  <c r="B70" i="2"/>
  <c r="C70" i="2"/>
  <c r="D70" i="2"/>
  <c r="E70" i="2"/>
  <c r="F70" i="2"/>
  <c r="L70" i="2"/>
  <c r="B71" i="2"/>
  <c r="C71" i="2"/>
  <c r="D71" i="2"/>
  <c r="E71" i="2"/>
  <c r="F71" i="2"/>
  <c r="L72" i="2"/>
  <c r="L73" i="2"/>
  <c r="L74" i="2"/>
  <c r="A2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2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Y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Y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D59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27" i="6"/>
  <c r="A29" i="6"/>
  <c r="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46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6" i="6"/>
  <c r="B97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23" i="6"/>
  <c r="B124" i="6"/>
  <c r="B125" i="6"/>
  <c r="A2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E8" i="7"/>
  <c r="B13" i="7"/>
  <c r="B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AA12" i="15"/>
  <c r="AB12" i="15"/>
  <c r="AC12" i="15"/>
  <c r="AD12" i="15"/>
  <c r="AE12" i="15"/>
  <c r="AF12" i="15"/>
  <c r="AH12" i="15"/>
  <c r="AI12" i="15"/>
  <c r="AJ12" i="15"/>
  <c r="AK12" i="15"/>
  <c r="AL12" i="15"/>
  <c r="AM12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AA13" i="15"/>
  <c r="AB13" i="15"/>
  <c r="AC13" i="15"/>
  <c r="AD13" i="15"/>
  <c r="AE13" i="15"/>
  <c r="AF13" i="15"/>
  <c r="AH13" i="15"/>
  <c r="AI13" i="15"/>
  <c r="AJ13" i="15"/>
  <c r="AK13" i="15"/>
  <c r="AL13" i="15"/>
  <c r="AM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U14" i="15"/>
  <c r="AA14" i="15"/>
  <c r="AB14" i="15"/>
  <c r="AC14" i="15"/>
  <c r="AD14" i="15"/>
  <c r="AE14" i="15"/>
  <c r="AF14" i="15"/>
  <c r="AH14" i="15"/>
  <c r="AI14" i="15"/>
  <c r="AJ14" i="15"/>
  <c r="AK14" i="15"/>
  <c r="AL14" i="15"/>
  <c r="AM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U15" i="15"/>
  <c r="AA15" i="15"/>
  <c r="AB15" i="15"/>
  <c r="AC15" i="15"/>
  <c r="AD15" i="15"/>
  <c r="AE15" i="15"/>
  <c r="AF15" i="15"/>
  <c r="AH15" i="15"/>
  <c r="AI15" i="15"/>
  <c r="AJ15" i="15"/>
  <c r="AK15" i="15"/>
  <c r="AL15" i="15"/>
  <c r="AM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U16" i="15"/>
  <c r="AA16" i="15"/>
  <c r="AB16" i="15"/>
  <c r="AC16" i="15"/>
  <c r="AD16" i="15"/>
  <c r="AE16" i="15"/>
  <c r="AF16" i="15"/>
  <c r="AH16" i="15"/>
  <c r="AI16" i="15"/>
  <c r="AJ16" i="15"/>
  <c r="AK16" i="15"/>
  <c r="AL16" i="15"/>
  <c r="AM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U17" i="15"/>
  <c r="AA17" i="15"/>
  <c r="AB17" i="15"/>
  <c r="AC17" i="15"/>
  <c r="AD17" i="15"/>
  <c r="AE17" i="15"/>
  <c r="AF17" i="15"/>
  <c r="AH17" i="15"/>
  <c r="AI17" i="15"/>
  <c r="AJ17" i="15"/>
  <c r="AK17" i="15"/>
  <c r="AL17" i="15"/>
  <c r="AM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U18" i="15"/>
  <c r="AA18" i="15"/>
  <c r="AB18" i="15"/>
  <c r="AC18" i="15"/>
  <c r="AD18" i="15"/>
  <c r="AE18" i="15"/>
  <c r="AF18" i="15"/>
  <c r="AH18" i="15"/>
  <c r="AI18" i="15"/>
  <c r="AJ18" i="15"/>
  <c r="AK18" i="15"/>
  <c r="AL18" i="15"/>
  <c r="AM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U19" i="15"/>
  <c r="AA19" i="15"/>
  <c r="AB19" i="15"/>
  <c r="AC19" i="15"/>
  <c r="AD19" i="15"/>
  <c r="AE19" i="15"/>
  <c r="AF19" i="15"/>
  <c r="AH19" i="15"/>
  <c r="AI19" i="15"/>
  <c r="AJ19" i="15"/>
  <c r="AK19" i="15"/>
  <c r="AL19" i="15"/>
  <c r="AM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U20" i="15"/>
  <c r="AA20" i="15"/>
  <c r="AB20" i="15"/>
  <c r="AC20" i="15"/>
  <c r="AD20" i="15"/>
  <c r="AE20" i="15"/>
  <c r="AF20" i="15"/>
  <c r="AH20" i="15"/>
  <c r="AI20" i="15"/>
  <c r="AJ20" i="15"/>
  <c r="AK20" i="15"/>
  <c r="AL20" i="15"/>
  <c r="AM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U21" i="15"/>
  <c r="AA21" i="15"/>
  <c r="AB21" i="15"/>
  <c r="AC21" i="15"/>
  <c r="AD21" i="15"/>
  <c r="AE21" i="15"/>
  <c r="AF21" i="15"/>
  <c r="AH21" i="15"/>
  <c r="AI21" i="15"/>
  <c r="AJ21" i="15"/>
  <c r="AK21" i="15"/>
  <c r="AL21" i="15"/>
  <c r="AM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U22" i="15"/>
  <c r="AA22" i="15"/>
  <c r="AB22" i="15"/>
  <c r="AC22" i="15"/>
  <c r="AD22" i="15"/>
  <c r="AE22" i="15"/>
  <c r="AF22" i="15"/>
  <c r="AH22" i="15"/>
  <c r="AI22" i="15"/>
  <c r="AJ22" i="15"/>
  <c r="AK22" i="15"/>
  <c r="AL22" i="15"/>
  <c r="AM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U23" i="15"/>
  <c r="AA23" i="15"/>
  <c r="AB23" i="15"/>
  <c r="AC23" i="15"/>
  <c r="AD23" i="15"/>
  <c r="AE23" i="15"/>
  <c r="AF23" i="15"/>
  <c r="AH23" i="15"/>
  <c r="AI23" i="15"/>
  <c r="AJ23" i="15"/>
  <c r="AK23" i="15"/>
  <c r="AL23" i="15"/>
  <c r="AM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U24" i="15"/>
  <c r="AA24" i="15"/>
  <c r="AB24" i="15"/>
  <c r="AC24" i="15"/>
  <c r="AD24" i="15"/>
  <c r="AE24" i="15"/>
  <c r="AF24" i="15"/>
  <c r="AH24" i="15"/>
  <c r="AI24" i="15"/>
  <c r="AJ24" i="15"/>
  <c r="AK24" i="15"/>
  <c r="AL24" i="15"/>
  <c r="AM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U25" i="15"/>
  <c r="AA25" i="15"/>
  <c r="AB25" i="15"/>
  <c r="AC25" i="15"/>
  <c r="AD25" i="15"/>
  <c r="AE25" i="15"/>
  <c r="AF25" i="15"/>
  <c r="AH25" i="15"/>
  <c r="AI25" i="15"/>
  <c r="AJ25" i="15"/>
  <c r="AK25" i="15"/>
  <c r="AL25" i="15"/>
  <c r="AM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U26" i="15"/>
  <c r="AA26" i="15"/>
  <c r="AB26" i="15"/>
  <c r="AC26" i="15"/>
  <c r="AD26" i="15"/>
  <c r="AE26" i="15"/>
  <c r="AF26" i="15"/>
  <c r="AH26" i="15"/>
  <c r="AI26" i="15"/>
  <c r="AJ26" i="15"/>
  <c r="AK26" i="15"/>
  <c r="AL26" i="15"/>
  <c r="AM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U27" i="15"/>
  <c r="AA27" i="15"/>
  <c r="AB27" i="15"/>
  <c r="AC27" i="15"/>
  <c r="AD27" i="15"/>
  <c r="AE27" i="15"/>
  <c r="AF27" i="15"/>
  <c r="AH27" i="15"/>
  <c r="AI27" i="15"/>
  <c r="AJ27" i="15"/>
  <c r="AK27" i="15"/>
  <c r="AL27" i="15"/>
  <c r="AM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U28" i="15"/>
  <c r="AA28" i="15"/>
  <c r="AB28" i="15"/>
  <c r="AC28" i="15"/>
  <c r="AD28" i="15"/>
  <c r="AE28" i="15"/>
  <c r="AF28" i="15"/>
  <c r="AH28" i="15"/>
  <c r="AI28" i="15"/>
  <c r="AJ28" i="15"/>
  <c r="AK28" i="15"/>
  <c r="AL28" i="15"/>
  <c r="AM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U29" i="15"/>
  <c r="AA29" i="15"/>
  <c r="AB29" i="15"/>
  <c r="AC29" i="15"/>
  <c r="AD29" i="15"/>
  <c r="AE29" i="15"/>
  <c r="AF29" i="15"/>
  <c r="AH29" i="15"/>
  <c r="AI29" i="15"/>
  <c r="AJ29" i="15"/>
  <c r="AK29" i="15"/>
  <c r="AL29" i="15"/>
  <c r="AM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U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U31" i="15"/>
  <c r="AA31" i="15"/>
  <c r="AB31" i="15"/>
  <c r="AC31" i="15"/>
  <c r="AD31" i="15"/>
  <c r="AE31" i="15"/>
  <c r="AF31" i="15"/>
  <c r="AH31" i="15"/>
  <c r="AI31" i="15"/>
  <c r="AJ31" i="15"/>
  <c r="AK31" i="15"/>
  <c r="AL31" i="15"/>
  <c r="AM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U32" i="15"/>
  <c r="AA32" i="15"/>
  <c r="AB32" i="15"/>
  <c r="AC32" i="15"/>
  <c r="AD32" i="15"/>
  <c r="AE32" i="15"/>
  <c r="AF32" i="15"/>
  <c r="AH32" i="15"/>
  <c r="AI32" i="15"/>
  <c r="AJ32" i="15"/>
  <c r="AK32" i="15"/>
  <c r="AL32" i="15"/>
  <c r="AM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U33" i="15"/>
  <c r="AA33" i="15"/>
  <c r="AB33" i="15"/>
  <c r="AC33" i="15"/>
  <c r="AD33" i="15"/>
  <c r="AE33" i="15"/>
  <c r="AF33" i="15"/>
  <c r="AH33" i="15"/>
  <c r="AI33" i="15"/>
  <c r="AJ33" i="15"/>
  <c r="AK33" i="15"/>
  <c r="AL33" i="15"/>
  <c r="AM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U34" i="15"/>
  <c r="AA34" i="15"/>
  <c r="AB34" i="15"/>
  <c r="AC34" i="15"/>
  <c r="AD34" i="15"/>
  <c r="AE34" i="15"/>
  <c r="AF34" i="15"/>
  <c r="AH34" i="15"/>
  <c r="AI34" i="15"/>
  <c r="AJ34" i="15"/>
  <c r="AK34" i="15"/>
  <c r="AL34" i="15"/>
  <c r="AM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U35" i="15"/>
  <c r="AA35" i="15"/>
  <c r="AB35" i="15"/>
  <c r="AC35" i="15"/>
  <c r="AD35" i="15"/>
  <c r="AE35" i="15"/>
  <c r="AF35" i="15"/>
  <c r="AH35" i="15"/>
  <c r="AI35" i="15"/>
  <c r="AJ35" i="15"/>
  <c r="AK35" i="15"/>
  <c r="AL35" i="15"/>
  <c r="AM35" i="15"/>
  <c r="A36" i="15"/>
  <c r="G36" i="15"/>
  <c r="H36" i="15"/>
  <c r="I36" i="15"/>
  <c r="J36" i="15"/>
  <c r="K36" i="15"/>
  <c r="L36" i="15"/>
  <c r="N36" i="15"/>
  <c r="O36" i="15"/>
  <c r="P36" i="15"/>
  <c r="Q36" i="15"/>
  <c r="R36" i="15"/>
  <c r="S36" i="15"/>
  <c r="U36" i="15"/>
  <c r="AA36" i="15"/>
  <c r="AB36" i="15"/>
  <c r="AC36" i="15"/>
  <c r="AD36" i="15"/>
  <c r="AE36" i="15"/>
  <c r="AF36" i="15"/>
  <c r="AH36" i="15"/>
  <c r="AI36" i="15"/>
  <c r="AJ36" i="15"/>
  <c r="AK36" i="15"/>
  <c r="AL36" i="15"/>
  <c r="AM36" i="15"/>
  <c r="A37" i="15"/>
  <c r="G37" i="15"/>
  <c r="H37" i="15"/>
  <c r="I37" i="15"/>
  <c r="J37" i="15"/>
  <c r="K37" i="15"/>
  <c r="L37" i="15"/>
  <c r="N37" i="15"/>
  <c r="O37" i="15"/>
  <c r="P37" i="15"/>
  <c r="Q37" i="15"/>
  <c r="R37" i="15"/>
  <c r="S37" i="15"/>
  <c r="U37" i="15"/>
  <c r="AA37" i="15"/>
  <c r="AB37" i="15"/>
  <c r="AC37" i="15"/>
  <c r="AD37" i="15"/>
  <c r="AE37" i="15"/>
  <c r="AF37" i="15"/>
  <c r="AH37" i="15"/>
  <c r="AI37" i="15"/>
  <c r="AJ37" i="15"/>
  <c r="AK37" i="15"/>
  <c r="AL37" i="15"/>
  <c r="AM37" i="15"/>
  <c r="A2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2" i="3"/>
  <c r="C7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3" i="1"/>
  <c r="C23" i="1"/>
  <c r="D23" i="1"/>
  <c r="E23" i="1"/>
  <c r="C28" i="1"/>
  <c r="D28" i="1"/>
  <c r="E28" i="1"/>
  <c r="A2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W22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X24" i="8"/>
  <c r="Y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9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9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<sst xmlns="http://schemas.openxmlformats.org/spreadsheetml/2006/main" count="429" uniqueCount="305">
  <si>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</si>
  <si>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</si>
  <si>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</si>
  <si>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</si>
  <si>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</si>
  <si>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</si>
  <si>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</si>
  <si>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</si>
  <si>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</si>
  <si>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</si>
  <si>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</si>
  <si>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</si>
  <si>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</si>
  <si>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</si>
  <si>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</si>
  <si>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</si>
  <si>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</si>
  <si>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</si>
  <si>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</si>
  <si>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</si>
  <si>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</si>
  <si>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</si>
  <si>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</si>
  <si>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</si>
  <si>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>Uses of Funds 1999</t>
  </si>
  <si>
    <t xml:space="preserve">Total Equity </t>
  </si>
  <si>
    <t>Brownsville</t>
  </si>
  <si>
    <t>Caledonia</t>
  </si>
  <si>
    <t>New Albany</t>
  </si>
  <si>
    <t>Calvert</t>
  </si>
  <si>
    <t>Wheatland</t>
  </si>
  <si>
    <t>Wilton</t>
  </si>
  <si>
    <t>Degradation Factor</t>
  </si>
  <si>
    <t>Total Sources</t>
  </si>
  <si>
    <t>Transactions Costs</t>
  </si>
  <si>
    <t>Number of Turbines</t>
  </si>
  <si>
    <t>Equity Partner's Share</t>
  </si>
  <si>
    <t xml:space="preserve"> Total Uses</t>
  </si>
  <si>
    <t>Enron's Share</t>
  </si>
  <si>
    <t>Annual Operating Hours</t>
  </si>
  <si>
    <t>Annual Generation (MWh)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</si>
  <si>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</si>
  <si>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</si>
  <si>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</si>
  <si>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</si>
  <si>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</si>
  <si>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</si>
  <si>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</si>
  <si>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</si>
  <si>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</si>
  <si>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</si>
  <si>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</si>
  <si>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</si>
  <si>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</si>
  <si>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</si>
  <si>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</si>
  <si>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</si>
  <si>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</si>
  <si>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</si>
  <si>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</si>
  <si>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</si>
  <si>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</si>
  <si>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</si>
  <si>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</si>
  <si>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</si>
  <si>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</si>
  <si>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</si>
  <si>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</si>
  <si>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</si>
  <si>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</si>
  <si>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</si>
  <si>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</si>
  <si>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</si>
  <si>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</si>
  <si>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</si>
  <si>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</si>
  <si>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</si>
  <si>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</si>
  <si>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</si>
  <si>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</si>
  <si>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Variable O&amp;M ($/MWh)</t>
  </si>
  <si>
    <t>Min</t>
  </si>
  <si>
    <t>Avg.</t>
  </si>
  <si>
    <t>CPI Escalator</t>
  </si>
  <si>
    <t>Fixed O&amp;M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</si>
  <si>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</si>
  <si>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</si>
  <si>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</si>
  <si>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</si>
  <si>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</si>
  <si>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</si>
  <si>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</si>
  <si>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</si>
  <si>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</si>
  <si>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</si>
  <si>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</si>
  <si>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Demand Payment</t>
  </si>
  <si>
    <t xml:space="preserve">Variable Revenue 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</si>
  <si>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</si>
  <si>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</si>
  <si>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</si>
  <si>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</si>
  <si>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</si>
  <si>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</si>
  <si>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</si>
  <si>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</si>
  <si>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</si>
  <si>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</si>
  <si>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</si>
  <si>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</si>
  <si>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</si>
  <si>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</si>
  <si>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</si>
  <si>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</si>
  <si>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</si>
  <si>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</si>
  <si>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</si>
  <si>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</si>
  <si>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</si>
  <si>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</si>
  <si>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</si>
  <si>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</si>
  <si>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</si>
  <si>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</si>
  <si>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</si>
  <si>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</si>
  <si>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</si>
  <si>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</si>
  <si>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</si>
  <si>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</si>
  <si>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</si>
  <si>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</si>
  <si>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</si>
  <si>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</si>
  <si>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</si>
  <si>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</si>
  <si>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</si>
  <si>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</si>
  <si>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</si>
  <si>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</si>
  <si>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</si>
  <si>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</si>
  <si>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</si>
  <si>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</si>
  <si>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</si>
  <si>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</si>
  <si>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</si>
  <si>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</si>
  <si>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</si>
  <si>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</si>
  <si>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</si>
  <si>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</si>
  <si>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</si>
  <si>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</si>
  <si>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</si>
  <si>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</si>
  <si>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</si>
  <si>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</si>
  <si>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</si>
  <si>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</si>
  <si>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</si>
  <si>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</si>
  <si>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</si>
  <si>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</si>
  <si>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</si>
  <si>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</si>
  <si>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</si>
  <si>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</si>
  <si>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</si>
  <si>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</si>
  <si>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</si>
  <si>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</si>
  <si>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</si>
  <si>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</si>
  <si>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</si>
  <si>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</si>
  <si>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</si>
  <si>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</si>
  <si>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</si>
  <si>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</si>
  <si>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</si>
  <si>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</si>
  <si>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</si>
  <si>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</si>
  <si>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</si>
  <si>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</si>
  <si>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</si>
  <si>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</si>
  <si>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</si>
  <si>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</si>
  <si>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</si>
  <si>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</si>
  <si>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</si>
  <si>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</si>
  <si>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</si>
  <si>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</si>
  <si>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</si>
  <si>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</si>
  <si>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</si>
  <si>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</si>
  <si>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</si>
  <si>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</si>
  <si>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</si>
  <si>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</si>
  <si>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</si>
  <si>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</si>
  <si>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</si>
  <si>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</si>
  <si>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</si>
  <si>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</si>
  <si>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</si>
  <si>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</si>
  <si>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</si>
  <si>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</si>
  <si>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</si>
  <si>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</si>
  <si>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</si>
  <si>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</si>
  <si>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</si>
  <si>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</si>
  <si>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</si>
  <si>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</si>
  <si>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</si>
  <si>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</si>
  <si>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</si>
  <si>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DEBT ASSUMPTIONS:</t>
  </si>
  <si>
    <t>Maximum DSR Amount (12mths) (kW/mo.)</t>
  </si>
  <si>
    <t>EPC Costs</t>
  </si>
  <si>
    <t xml:space="preserve">Bond Fee </t>
  </si>
  <si>
    <t>Increase in Op Exp (%)</t>
  </si>
  <si>
    <t>EQUITY PARTNER'S</t>
  </si>
  <si>
    <t>CHANGES</t>
  </si>
  <si>
    <t>DATE</t>
  </si>
  <si>
    <t>Land</t>
  </si>
  <si>
    <t>Equity Returns</t>
  </si>
  <si>
    <t>Key Stats</t>
  </si>
  <si>
    <t xml:space="preserve">Average DSCR </t>
  </si>
  <si>
    <t>Minimum DSCR</t>
  </si>
  <si>
    <t>Degraded Capacity</t>
  </si>
  <si>
    <t>Marketing Fee ($/kW-mo)</t>
  </si>
  <si>
    <t>Escalated Costs:</t>
  </si>
  <si>
    <t>Non-Escalated Costs:</t>
  </si>
  <si>
    <t xml:space="preserve">Property Taxes &amp; Other </t>
  </si>
  <si>
    <t>Evaporative Cooler (MW)</t>
  </si>
  <si>
    <t>Contractual Capacity (MW)</t>
  </si>
  <si>
    <t>Contractual Capacity w 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</si>
  <si>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</si>
  <si>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</si>
  <si>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</si>
  <si>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</si>
  <si>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</si>
  <si>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</si>
  <si>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</si>
  <si>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</si>
  <si>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Price Scenario</t>
  </si>
  <si>
    <t>PLEASE TRACK</t>
  </si>
  <si>
    <t>Power Desk</t>
  </si>
  <si>
    <t>Interest Income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</si>
  <si>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</si>
  <si>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</si>
  <si>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</si>
  <si>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</si>
  <si>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</si>
  <si>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</si>
  <si>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Start of Commercial Date</t>
  </si>
  <si>
    <t>Cost per Start</t>
  </si>
  <si>
    <t>Variable O&amp;M excluding delim Water ($/MWh)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</si>
  <si>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</si>
  <si>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</si>
  <si>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</si>
  <si>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</si>
  <si>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</si>
  <si>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</si>
  <si>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</si>
  <si>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</si>
  <si>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</si>
  <si>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</si>
  <si>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</si>
  <si>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</si>
  <si>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</si>
  <si>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</si>
  <si>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Fuel Cost ($/MMBtu)</t>
  </si>
  <si>
    <t>CAPACITY PRICE ASSUMPTIONS</t>
  </si>
  <si>
    <t>INCOME STATEMENT</t>
  </si>
  <si>
    <t>DEBT ISSUANCE</t>
  </si>
  <si>
    <t>DEPRECIATION SCHEDULE</t>
  </si>
  <si>
    <t>TAXES</t>
  </si>
  <si>
    <t>BLOCK CHARGE MATRIX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</si>
  <si>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</si>
  <si>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</si>
  <si>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</si>
  <si>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</si>
  <si>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</si>
  <si>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</si>
  <si>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</si>
  <si>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</si>
  <si>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</si>
  <si>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 5x EBITDA Residual Value</t>
  </si>
  <si>
    <t>20 Yrs After -Tax Cashflow &amp; w 50% Project Cost Residual Value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</si>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</sst>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93" formatCode="_(* #,##0.000_);_(* \(#,##0.000\);_(* &quot;-&quot;??_);_(@_)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i/>
      <sz val="10"/>
      <color indexed="9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sz val="8"/>
      <color indexed="81"/>
      <name val="Tahoma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4"/>
      <name val="Arial"/>
      <family val="2"/>
    </font>
    <font>
      <b/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22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38" fontId="3" fillId="0" borderId="0" xfId="0" applyNumberFormat="1" applyFont="1" applyFill="1" applyBorder="1"/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38" fontId="44" fillId="0" borderId="0" xfId="0" applyNumberFormat="1" applyFont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45" fillId="0" borderId="0" xfId="0" applyFont="1" applyBorder="1" applyAlignment="1" applyProtection="1">
      <alignment horizontal="left"/>
    </xf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0" fontId="28" fillId="0" borderId="0" xfId="0" applyFont="1" applyBorder="1" applyAlignment="1" applyProtection="1">
      <alignment horizontal="left"/>
    </xf>
    <xf numFmtId="10" fontId="46" fillId="0" borderId="0" xfId="5" applyNumberFormat="1" applyFont="1" applyBorder="1" applyAlignment="1">
      <alignment horizontal="center"/>
    </xf>
    <xf numFmtId="38" fontId="28" fillId="0" borderId="0" xfId="1" applyNumberFormat="1" applyFont="1" applyBorder="1"/>
    <xf numFmtId="10" fontId="48" fillId="0" borderId="0" xfId="5" applyNumberFormat="1" applyFont="1" applyBorder="1" applyAlignment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38" fontId="45" fillId="0" borderId="0" xfId="1" applyNumberFormat="1" applyFont="1" applyBorder="1"/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2" fontId="49" fillId="0" borderId="0" xfId="0" applyNumberFormat="1" applyFont="1" applyBorder="1" applyAlignment="1">
      <alignment horizontal="center"/>
    </xf>
    <xf numFmtId="0" fontId="49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8" fillId="0" borderId="0" xfId="0" applyFont="1" applyAlignment="1">
      <alignment horizontal="centerContinuous"/>
    </xf>
    <xf numFmtId="0" fontId="28" fillId="0" borderId="18" xfId="0" applyFont="1" applyBorder="1" applyAlignment="1">
      <alignment horizontal="center"/>
    </xf>
    <xf numFmtId="0" fontId="28" fillId="0" borderId="19" xfId="0" applyFont="1" applyBorder="1" applyAlignment="1">
      <alignment horizontal="centerContinuous"/>
    </xf>
    <xf numFmtId="0" fontId="28" fillId="0" borderId="20" xfId="0" applyFont="1" applyBorder="1" applyAlignment="1">
      <alignment horizontal="centerContinuous"/>
    </xf>
    <xf numFmtId="0" fontId="10" fillId="0" borderId="16" xfId="0" applyFont="1" applyBorder="1" applyAlignment="1">
      <alignment horizontal="centerContinuous"/>
    </xf>
    <xf numFmtId="0" fontId="28" fillId="0" borderId="2" xfId="0" applyFont="1" applyBorder="1" applyAlignment="1">
      <alignment horizontal="centerContinuous"/>
    </xf>
    <xf numFmtId="0" fontId="28" fillId="0" borderId="3" xfId="0" applyFont="1" applyBorder="1" applyAlignment="1">
      <alignment horizontal="centerContinuous"/>
    </xf>
    <xf numFmtId="0" fontId="10" fillId="0" borderId="21" xfId="0" applyFont="1" applyBorder="1" applyAlignment="1">
      <alignment horizontal="centerContinuous"/>
    </xf>
    <xf numFmtId="0" fontId="28" fillId="0" borderId="22" xfId="0" applyFont="1" applyBorder="1"/>
    <xf numFmtId="0" fontId="28" fillId="0" borderId="23" xfId="0" applyFont="1" applyBorder="1" applyAlignment="1">
      <alignment horizontal="centerContinuous"/>
    </xf>
    <xf numFmtId="0" fontId="28" fillId="0" borderId="24" xfId="0" applyFont="1" applyBorder="1" applyAlignment="1">
      <alignment horizontal="centerContinuous"/>
    </xf>
    <xf numFmtId="0" fontId="28" fillId="0" borderId="25" xfId="0" applyFont="1" applyBorder="1" applyAlignment="1">
      <alignment horizontal="centerContinuous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3" fontId="28" fillId="0" borderId="5" xfId="0" applyNumberFormat="1" applyFont="1" applyBorder="1"/>
    <xf numFmtId="3" fontId="28" fillId="0" borderId="0" xfId="0" applyNumberFormat="1" applyFont="1" applyBorder="1"/>
    <xf numFmtId="3" fontId="28" fillId="0" borderId="4" xfId="0" applyNumberFormat="1" applyFont="1" applyBorder="1"/>
    <xf numFmtId="3" fontId="28" fillId="0" borderId="17" xfId="0" applyNumberFormat="1" applyFont="1" applyBorder="1"/>
    <xf numFmtId="3" fontId="28" fillId="0" borderId="1" xfId="0" applyNumberFormat="1" applyFont="1" applyBorder="1"/>
    <xf numFmtId="3" fontId="28" fillId="0" borderId="15" xfId="0" applyNumberFormat="1" applyFont="1" applyBorder="1"/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3" fontId="28" fillId="0" borderId="5" xfId="0" applyNumberFormat="1" applyFont="1" applyFill="1" applyBorder="1"/>
    <xf numFmtId="3" fontId="28" fillId="0" borderId="0" xfId="0" applyNumberFormat="1" applyFont="1" applyFill="1" applyBorder="1"/>
    <xf numFmtId="3" fontId="28" fillId="0" borderId="4" xfId="0" applyNumberFormat="1" applyFont="1" applyFill="1" applyBorder="1"/>
    <xf numFmtId="3" fontId="28" fillId="0" borderId="17" xfId="0" applyNumberFormat="1" applyFont="1" applyFill="1" applyBorder="1"/>
    <xf numFmtId="3" fontId="28" fillId="0" borderId="1" xfId="0" applyNumberFormat="1" applyFont="1" applyFill="1" applyBorder="1"/>
    <xf numFmtId="3" fontId="28" fillId="0" borderId="15" xfId="0" applyNumberFormat="1" applyFont="1" applyFill="1" applyBorder="1"/>
    <xf numFmtId="6" fontId="45" fillId="0" borderId="0" xfId="0" quotePrefix="1" applyNumberFormat="1" applyFont="1" applyBorder="1" applyAlignment="1">
      <alignment horizontal="center"/>
    </xf>
    <xf numFmtId="0" fontId="45" fillId="0" borderId="4" xfId="0" quotePrefix="1" applyFont="1" applyBorder="1" applyAlignment="1">
      <alignment horizontal="center"/>
    </xf>
    <xf numFmtId="0" fontId="50" fillId="0" borderId="0" xfId="0" applyFont="1"/>
    <xf numFmtId="0" fontId="51" fillId="0" borderId="0" xfId="0" applyFont="1"/>
    <xf numFmtId="0" fontId="28" fillId="0" borderId="21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10" fontId="47" fillId="3" borderId="0" xfId="0" applyNumberFormat="1" applyFont="1" applyFill="1" applyBorder="1" applyAlignment="1">
      <alignment horizontal="center"/>
    </xf>
    <xf numFmtId="10" fontId="47" fillId="3" borderId="1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40" fontId="28" fillId="6" borderId="0" xfId="1" applyNumberFormat="1" applyFont="1" applyFill="1" applyBorder="1" applyAlignment="1">
      <alignment horizontal="right"/>
    </xf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29" xfId="0" applyFont="1" applyBorder="1" applyAlignment="1">
      <alignment horizontal="right"/>
    </xf>
    <xf numFmtId="0" fontId="28" fillId="0" borderId="30" xfId="0" applyFont="1" applyBorder="1" applyAlignment="1">
      <alignment horizontal="right"/>
    </xf>
    <xf numFmtId="0" fontId="28" fillId="0" borderId="31" xfId="0" applyFont="1" applyBorder="1" applyAlignment="1">
      <alignment horizontal="right"/>
    </xf>
    <xf numFmtId="0" fontId="28" fillId="0" borderId="5" xfId="0" applyFont="1" applyBorder="1" applyAlignment="1">
      <alignment horizontal="center"/>
    </xf>
    <xf numFmtId="3" fontId="28" fillId="0" borderId="5" xfId="0" applyNumberFormat="1" applyFont="1" applyBorder="1" applyAlignment="1">
      <alignment horizontal="center"/>
    </xf>
    <xf numFmtId="3" fontId="28" fillId="0" borderId="5" xfId="0" applyNumberFormat="1" applyFont="1" applyFill="1" applyBorder="1" applyAlignment="1">
      <alignment horizontal="center"/>
    </xf>
    <xf numFmtId="3" fontId="28" fillId="0" borderId="1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37" fontId="28" fillId="0" borderId="1" xfId="0" applyNumberFormat="1" applyFont="1" applyBorder="1"/>
    <xf numFmtId="0" fontId="23" fillId="0" borderId="0" xfId="0" applyFont="1" applyBorder="1" applyAlignment="1" applyProtection="1">
      <alignment horizontal="left"/>
    </xf>
    <xf numFmtId="0" fontId="52" fillId="0" borderId="0" xfId="0" applyFont="1" applyBorder="1"/>
    <xf numFmtId="1" fontId="47" fillId="3" borderId="32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3" fillId="0" borderId="0" xfId="0" applyNumberFormat="1" applyFont="1"/>
    <xf numFmtId="0" fontId="2" fillId="0" borderId="4" xfId="0" applyFont="1" applyBorder="1"/>
    <xf numFmtId="40" fontId="3" fillId="0" borderId="4" xfId="0" applyNumberFormat="1" applyFont="1" applyBorder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33" xfId="1" applyNumberFormat="1" applyFont="1" applyBorder="1"/>
    <xf numFmtId="166" fontId="3" fillId="0" borderId="14" xfId="1" applyNumberFormat="1" applyFont="1" applyBorder="1" applyProtection="1"/>
    <xf numFmtId="166" fontId="3" fillId="0" borderId="33" xfId="1" applyNumberFormat="1" applyFont="1" applyBorder="1" applyProtection="1"/>
    <xf numFmtId="166" fontId="3" fillId="0" borderId="13" xfId="1" applyNumberFormat="1" applyFont="1" applyBorder="1" applyProtection="1"/>
    <xf numFmtId="0" fontId="55" fillId="0" borderId="0" xfId="0" applyFont="1" applyBorder="1" applyAlignment="1">
      <alignment horizontal="center"/>
    </xf>
    <xf numFmtId="37" fontId="38" fillId="0" borderId="0" xfId="4" applyFont="1" applyBorder="1" applyAlignment="1"/>
    <xf numFmtId="37" fontId="38" fillId="0" borderId="0" xfId="4" applyFont="1" applyBorder="1" applyAlignment="1">
      <alignment horizontal="right"/>
    </xf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8" fillId="0" borderId="0" xfId="0" applyNumberFormat="1" applyFont="1" applyFill="1" applyBorder="1" applyAlignment="1">
      <alignment horizontal="center"/>
    </xf>
    <xf numFmtId="173" fontId="28" fillId="0" borderId="0" xfId="5" applyNumberFormat="1" applyFont="1" applyFill="1" applyBorder="1" applyAlignment="1">
      <alignment horizontal="center"/>
    </xf>
    <xf numFmtId="173" fontId="45" fillId="0" borderId="0" xfId="5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9" fillId="0" borderId="5" xfId="0" applyFont="1" applyFill="1" applyBorder="1" applyAlignment="1" applyProtection="1">
      <alignment horizontal="left"/>
    </xf>
    <xf numFmtId="3" fontId="28" fillId="3" borderId="5" xfId="0" applyNumberFormat="1" applyFont="1" applyFill="1" applyBorder="1"/>
    <xf numFmtId="3" fontId="28" fillId="3" borderId="0" xfId="0" applyNumberFormat="1" applyFont="1" applyFill="1" applyBorder="1"/>
    <xf numFmtId="3" fontId="28" fillId="3" borderId="4" xfId="0" applyNumberFormat="1" applyFont="1" applyFill="1" applyBorder="1"/>
    <xf numFmtId="166" fontId="28" fillId="0" borderId="0" xfId="1" applyNumberFormat="1" applyFont="1"/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8" fillId="0" borderId="0" xfId="5" applyFont="1" applyBorder="1" applyAlignment="1">
      <alignment horizontal="center"/>
    </xf>
    <xf numFmtId="9" fontId="23" fillId="0" borderId="0" xfId="5" applyFont="1" applyFill="1" applyBorder="1" applyAlignment="1">
      <alignment horizontal="center"/>
    </xf>
    <xf numFmtId="9" fontId="28" fillId="0" borderId="0" xfId="5" applyFont="1" applyFill="1" applyBorder="1" applyAlignment="1">
      <alignment horizontal="center"/>
    </xf>
    <xf numFmtId="9" fontId="47" fillId="3" borderId="0" xfId="5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9" fontId="28" fillId="0" borderId="1" xfId="5" applyFont="1" applyBorder="1" applyAlignment="1">
      <alignment horizontal="center"/>
    </xf>
    <xf numFmtId="0" fontId="22" fillId="0" borderId="0" xfId="3" applyFont="1" applyFill="1" applyBorder="1"/>
    <xf numFmtId="9" fontId="57" fillId="0" borderId="32" xfId="5" applyFont="1" applyFill="1" applyBorder="1" applyAlignment="1">
      <alignment horizontal="right"/>
    </xf>
    <xf numFmtId="9" fontId="2" fillId="0" borderId="32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7" borderId="0" xfId="0" applyFont="1" applyFill="1"/>
    <xf numFmtId="0" fontId="10" fillId="7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10" fontId="28" fillId="0" borderId="0" xfId="0" applyNumberFormat="1" applyFont="1" applyBorder="1"/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9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0" fontId="24" fillId="0" borderId="5" xfId="0" applyFont="1" applyFill="1" applyBorder="1" applyAlignment="1" applyProtection="1">
      <alignment horizontal="left"/>
    </xf>
    <xf numFmtId="313" fontId="47" fillId="3" borderId="2" xfId="0" applyNumberFormat="1" applyFont="1" applyFill="1" applyBorder="1" applyAlignment="1" applyProtection="1">
      <alignment horizontal="right"/>
    </xf>
    <xf numFmtId="313" fontId="47" fillId="3" borderId="0" xfId="0" applyNumberFormat="1" applyFont="1" applyFill="1" applyBorder="1" applyAlignment="1" applyProtection="1">
      <alignment horizontal="right"/>
    </xf>
    <xf numFmtId="38" fontId="47" fillId="3" borderId="4" xfId="1" applyNumberFormat="1" applyFont="1" applyFill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9" fontId="23" fillId="0" borderId="0" xfId="0" applyNumberFormat="1" applyFont="1" applyBorder="1" applyAlignment="1">
      <alignment horizontal="center"/>
    </xf>
    <xf numFmtId="38" fontId="23" fillId="0" borderId="4" xfId="1" applyNumberFormat="1" applyFont="1" applyBorder="1" applyAlignment="1">
      <alignment horizontal="center"/>
    </xf>
    <xf numFmtId="0" fontId="28" fillId="0" borderId="11" xfId="0" applyFont="1" applyFill="1" applyBorder="1"/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38" fontId="47" fillId="3" borderId="4" xfId="0" applyNumberFormat="1" applyFont="1" applyFill="1" applyBorder="1"/>
    <xf numFmtId="10" fontId="47" fillId="3" borderId="4" xfId="5" applyNumberFormat="1" applyFont="1" applyFill="1" applyBorder="1"/>
    <xf numFmtId="166" fontId="56" fillId="0" borderId="4" xfId="1" applyNumberFormat="1" applyFont="1" applyFill="1" applyBorder="1"/>
    <xf numFmtId="40" fontId="47" fillId="3" borderId="4" xfId="0" applyNumberFormat="1" applyFont="1" applyFill="1" applyBorder="1"/>
    <xf numFmtId="40" fontId="56" fillId="0" borderId="4" xfId="0" applyNumberFormat="1" applyFont="1" applyFill="1" applyBorder="1"/>
    <xf numFmtId="38" fontId="56" fillId="0" borderId="4" xfId="0" applyNumberFormat="1" applyFont="1" applyBorder="1"/>
    <xf numFmtId="38" fontId="56" fillId="0" borderId="4" xfId="0" applyNumberFormat="1" applyFont="1" applyFill="1" applyBorder="1"/>
    <xf numFmtId="10" fontId="47" fillId="3" borderId="4" xfId="0" applyNumberFormat="1" applyFont="1" applyFill="1" applyBorder="1"/>
    <xf numFmtId="0" fontId="23" fillId="0" borderId="3" xfId="0" applyFont="1" applyFill="1" applyBorder="1" applyAlignment="1">
      <alignment horizontal="centerContinuous"/>
    </xf>
    <xf numFmtId="0" fontId="28" fillId="0" borderId="4" xfId="0" applyFont="1" applyFill="1" applyBorder="1"/>
    <xf numFmtId="43" fontId="47" fillId="3" borderId="4" xfId="1" applyFont="1" applyFill="1" applyBorder="1"/>
    <xf numFmtId="166" fontId="47" fillId="3" borderId="4" xfId="1" applyNumberFormat="1" applyFont="1" applyFill="1" applyBorder="1"/>
    <xf numFmtId="1" fontId="47" fillId="3" borderId="4" xfId="0" applyNumberFormat="1" applyFont="1" applyFill="1" applyBorder="1"/>
    <xf numFmtId="1" fontId="47" fillId="3" borderId="15" xfId="0" applyNumberFormat="1" applyFont="1" applyFill="1" applyBorder="1"/>
    <xf numFmtId="0" fontId="45" fillId="0" borderId="4" xfId="0" applyFont="1" applyBorder="1" applyAlignment="1">
      <alignment horizontal="center"/>
    </xf>
    <xf numFmtId="0" fontId="28" fillId="0" borderId="34" xfId="0" applyFont="1" applyFill="1" applyBorder="1" applyAlignment="1">
      <alignment horizontal="center"/>
    </xf>
    <xf numFmtId="0" fontId="28" fillId="0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1" xfId="0" applyFont="1" applyFill="1" applyBorder="1"/>
    <xf numFmtId="0" fontId="3" fillId="0" borderId="19" xfId="0" applyFont="1" applyBorder="1"/>
    <xf numFmtId="10" fontId="10" fillId="0" borderId="19" xfId="0" applyNumberFormat="1" applyFont="1" applyFill="1" applyBorder="1"/>
    <xf numFmtId="179" fontId="10" fillId="0" borderId="19" xfId="1" applyNumberFormat="1" applyFont="1" applyFill="1" applyBorder="1"/>
    <xf numFmtId="179" fontId="10" fillId="0" borderId="20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3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60" fillId="3" borderId="0" xfId="0" applyNumberFormat="1" applyFont="1" applyFill="1" applyBorder="1" applyAlignment="1">
      <alignment horizontal="center"/>
    </xf>
    <xf numFmtId="173" fontId="3" fillId="0" borderId="36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204" fontId="47" fillId="3" borderId="4" xfId="0" applyNumberFormat="1" applyFont="1" applyFill="1" applyBorder="1"/>
    <xf numFmtId="9" fontId="47" fillId="3" borderId="4" xfId="5" applyFont="1" applyFill="1" applyBorder="1"/>
    <xf numFmtId="15" fontId="47" fillId="3" borderId="4" xfId="0" applyNumberFormat="1" applyFont="1" applyFill="1" applyBorder="1"/>
    <xf numFmtId="38" fontId="47" fillId="3" borderId="15" xfId="0" applyNumberFormat="1" applyFont="1" applyFill="1" applyBorder="1"/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9" fontId="47" fillId="3" borderId="15" xfId="5" applyFont="1" applyFill="1" applyBorder="1"/>
    <xf numFmtId="38" fontId="28" fillId="0" borderId="4" xfId="0" applyNumberFormat="1" applyFont="1" applyBorder="1"/>
    <xf numFmtId="0" fontId="59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61" fillId="0" borderId="0" xfId="0" applyFont="1"/>
    <xf numFmtId="0" fontId="8" fillId="3" borderId="0" xfId="0" applyFont="1" applyFill="1"/>
    <xf numFmtId="0" fontId="57" fillId="0" borderId="2" xfId="0" applyFont="1" applyFill="1" applyBorder="1" applyAlignment="1" applyProtection="1">
      <alignment horizontal="center"/>
    </xf>
    <xf numFmtId="0" fontId="57" fillId="0" borderId="0" xfId="0" applyFont="1" applyFill="1" applyBorder="1" applyAlignment="1" applyProtection="1">
      <alignment horizontal="center"/>
    </xf>
    <xf numFmtId="0" fontId="28" fillId="0" borderId="1" xfId="0" applyFont="1" applyFill="1" applyBorder="1"/>
    <xf numFmtId="15" fontId="47" fillId="3" borderId="15" xfId="0" applyNumberFormat="1" applyFont="1" applyFill="1" applyBorder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62" fillId="3" borderId="32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32" xfId="5" applyNumberFormat="1" applyFont="1" applyBorder="1"/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B2B6964-BE2C-7AB3-CD2C-CC6B1FD2D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7540A6C-B3A6-3ECC-07E0-6DF861934A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E96D25C-5337-BC13-524C-21B8B00C2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1BD1448-E6C4-292B-3DA3-8AC8D3BAA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8" customWidth="1"/>
    <col min="2" max="2" width="25" style="18" customWidth="1"/>
    <col min="3" max="6" width="25.28515625" style="18" customWidth="1"/>
    <col min="7" max="7" width="11.5703125" style="18" bestFit="1" customWidth="1"/>
    <col min="8" max="8" width="17.85546875" style="18" bestFit="1" customWidth="1"/>
    <col min="9" max="15" width="9.140625" style="18"/>
    <col min="16" max="16" width="23.140625" style="18" customWidth="1"/>
    <col min="17" max="17" width="38.5703125" style="18" customWidth="1"/>
    <col min="18" max="18" width="11.5703125" style="18" customWidth="1"/>
    <col min="19" max="19" width="22.7109375" style="18" customWidth="1"/>
    <col min="20" max="16384" width="9.140625" style="18"/>
  </cols>
  <sheetData>
    <row r="2" spans="1:24" ht="18.75">
      <c r="A2" s="448" t="s">
        <v>0</v>
      </c>
      <c r="B2" s="302"/>
      <c r="C2" s="410"/>
      <c r="D2" s="410"/>
      <c r="E2" s="302"/>
      <c r="F2" s="302"/>
      <c r="G2" s="39"/>
      <c r="H2" s="39"/>
      <c r="I2" s="39"/>
      <c r="J2" s="66"/>
      <c r="K2" s="66"/>
      <c r="L2" s="66"/>
    </row>
    <row r="3" spans="1:24" ht="18.75">
      <c r="A3" s="163"/>
      <c r="B3" s="163"/>
      <c r="C3" s="163"/>
      <c r="D3" s="163"/>
      <c r="E3" s="163"/>
      <c r="F3" s="163"/>
      <c r="G3" s="163"/>
      <c r="H3" s="163"/>
      <c r="I3" s="163"/>
    </row>
    <row r="4" spans="1:24" ht="20.25">
      <c r="B4" s="394"/>
      <c r="C4" s="394"/>
      <c r="D4" s="394"/>
      <c r="E4" s="394"/>
    </row>
    <row r="5" spans="1:24" ht="15.75">
      <c r="A5" s="411"/>
      <c r="B5" s="411"/>
      <c r="C5" s="411"/>
      <c r="D5" s="411"/>
      <c r="T5" s="66"/>
      <c r="U5" s="66"/>
    </row>
    <row r="6" spans="1:24" ht="15.75">
      <c r="A6" s="412" t="s">
        <v>1</v>
      </c>
      <c r="B6" s="412"/>
      <c r="C6" s="412"/>
      <c r="D6" s="412"/>
      <c r="E6" s="39"/>
      <c r="F6" s="66"/>
      <c r="G6" s="66"/>
      <c r="H6" s="66"/>
      <c r="I6" s="66"/>
      <c r="J6" s="66"/>
      <c r="K6" s="66"/>
      <c r="L6" s="66"/>
      <c r="M6" s="66"/>
      <c r="N6" s="66"/>
      <c r="T6" s="66"/>
      <c r="U6" s="66"/>
      <c r="V6" s="66"/>
      <c r="W6" s="66"/>
      <c r="X6" s="66"/>
    </row>
    <row r="7" spans="1:24" ht="15.75">
      <c r="A7" s="411" t="s">
        <v>2</v>
      </c>
      <c r="B7" s="412"/>
      <c r="C7" s="412"/>
      <c r="D7" s="412"/>
      <c r="E7" s="39"/>
      <c r="F7" s="66"/>
      <c r="G7" s="66"/>
      <c r="H7" s="66"/>
      <c r="I7" s="66"/>
      <c r="J7" s="66"/>
      <c r="K7" s="66"/>
      <c r="L7" s="66"/>
      <c r="M7" s="66"/>
      <c r="N7" s="66"/>
      <c r="T7" s="66"/>
      <c r="U7" s="66"/>
      <c r="V7" s="66"/>
      <c r="W7" s="66"/>
      <c r="X7" s="66"/>
    </row>
    <row r="8" spans="1:24" ht="15.75">
      <c r="A8" s="412"/>
      <c r="B8" s="412"/>
      <c r="C8" s="412"/>
      <c r="D8" s="412"/>
      <c r="E8" s="39"/>
      <c r="F8" s="66"/>
      <c r="G8" s="66"/>
      <c r="H8" s="66"/>
      <c r="I8" s="66"/>
      <c r="J8" s="66"/>
      <c r="K8" s="66"/>
      <c r="L8" s="66"/>
      <c r="M8" s="66"/>
      <c r="N8" s="66"/>
      <c r="T8" s="66"/>
      <c r="U8" s="66"/>
      <c r="V8" s="66"/>
      <c r="W8" s="66"/>
      <c r="X8" s="66"/>
    </row>
    <row r="9" spans="1:24" ht="15.75">
      <c r="A9" s="412" t="s">
        <v>3</v>
      </c>
      <c r="B9" s="412"/>
      <c r="C9" s="412"/>
      <c r="D9" s="412"/>
      <c r="E9" s="39"/>
      <c r="F9" s="66"/>
      <c r="G9" s="66"/>
      <c r="H9" s="66"/>
      <c r="I9" s="66"/>
      <c r="J9" s="66"/>
      <c r="K9" s="66"/>
      <c r="L9" s="66"/>
      <c r="M9" s="66"/>
      <c r="N9" s="66"/>
      <c r="T9" s="66"/>
      <c r="U9" s="66"/>
      <c r="V9" s="66"/>
      <c r="W9" s="66"/>
      <c r="X9" s="66"/>
    </row>
    <row r="10" spans="1:24" ht="15.75">
      <c r="A10" s="412"/>
      <c r="B10" s="412"/>
      <c r="C10" s="412"/>
      <c r="D10" s="412"/>
      <c r="E10" s="39"/>
      <c r="F10" s="66"/>
      <c r="G10" s="66"/>
      <c r="H10" s="66"/>
      <c r="I10" s="66"/>
      <c r="J10" s="66"/>
      <c r="K10" s="66"/>
      <c r="L10" s="66"/>
      <c r="M10" s="66"/>
      <c r="N10" s="66"/>
      <c r="T10" s="66"/>
      <c r="U10" s="66"/>
      <c r="V10" s="66"/>
      <c r="W10" s="66"/>
      <c r="X10" s="66"/>
    </row>
    <row r="11" spans="1:24" ht="15.75">
      <c r="A11" s="412" t="s">
        <v>4</v>
      </c>
      <c r="B11" s="412"/>
      <c r="C11" s="412"/>
      <c r="D11" s="412"/>
      <c r="E11" s="39"/>
      <c r="F11" s="66"/>
      <c r="G11" s="66"/>
      <c r="H11" s="66"/>
      <c r="I11" s="66"/>
      <c r="J11" s="66"/>
      <c r="K11" s="66"/>
      <c r="L11" s="66"/>
      <c r="M11" s="66"/>
      <c r="N11" s="66"/>
      <c r="T11" s="66"/>
      <c r="U11" s="66"/>
      <c r="V11" s="66"/>
      <c r="W11" s="66"/>
      <c r="X11" s="66"/>
    </row>
    <row r="12" spans="1:24" ht="15.75">
      <c r="A12" s="412"/>
      <c r="B12" s="412"/>
      <c r="C12" s="412"/>
      <c r="D12" s="412"/>
      <c r="E12" s="39"/>
      <c r="F12" s="66"/>
      <c r="G12" s="66"/>
      <c r="H12" s="66"/>
      <c r="I12" s="66"/>
      <c r="J12" s="66"/>
      <c r="K12" s="66"/>
      <c r="L12" s="66"/>
      <c r="M12" s="66"/>
      <c r="N12" s="66"/>
      <c r="T12" s="66"/>
      <c r="U12" s="66"/>
      <c r="V12" s="66"/>
      <c r="W12" s="66"/>
      <c r="X12" s="66"/>
    </row>
    <row r="13" spans="1:24" ht="16.5" thickBot="1">
      <c r="A13" s="412" t="s">
        <v>5</v>
      </c>
      <c r="B13" s="412"/>
      <c r="C13" s="412"/>
      <c r="D13" s="412"/>
      <c r="E13" s="39"/>
      <c r="F13" s="66"/>
      <c r="G13" s="66"/>
      <c r="H13" s="66"/>
      <c r="I13" s="66"/>
      <c r="J13" s="66"/>
      <c r="K13" s="66"/>
      <c r="L13" s="66"/>
      <c r="M13" s="66"/>
      <c r="N13" s="66"/>
      <c r="T13" s="66"/>
      <c r="U13" s="66"/>
      <c r="V13" s="66"/>
      <c r="W13" s="66"/>
      <c r="X13" s="66"/>
    </row>
    <row r="14" spans="1:24" ht="15.75">
      <c r="A14" s="416" t="s">
        <v>10</v>
      </c>
      <c r="B14" s="56"/>
      <c r="C14" s="239"/>
      <c r="D14" s="239"/>
      <c r="E14" s="240"/>
      <c r="G14" s="66"/>
      <c r="H14"/>
      <c r="I14"/>
      <c r="J14"/>
      <c r="K14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</row>
    <row r="15" spans="1:24" ht="15.75">
      <c r="A15" s="215"/>
      <c r="B15" s="204"/>
      <c r="C15" s="204"/>
      <c r="D15" s="204"/>
      <c r="E15" s="216"/>
      <c r="G15" s="66"/>
      <c r="H15"/>
      <c r="I15"/>
      <c r="J15"/>
      <c r="K15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</row>
    <row r="16" spans="1:24" ht="15.75">
      <c r="A16" s="417" t="s">
        <v>11</v>
      </c>
      <c r="B16" s="203" t="s">
        <v>12</v>
      </c>
      <c r="C16" s="203" t="s">
        <v>229</v>
      </c>
      <c r="D16" s="203" t="s">
        <v>4</v>
      </c>
      <c r="E16" s="464" t="s">
        <v>13</v>
      </c>
      <c r="G16" s="66"/>
      <c r="H16"/>
      <c r="I16"/>
      <c r="J16"/>
      <c r="K1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</row>
    <row r="17" spans="1:24" ht="15.75">
      <c r="A17" s="215"/>
      <c r="B17" s="204">
        <v>3</v>
      </c>
      <c r="C17" s="418">
        <v>1</v>
      </c>
      <c r="D17" s="204">
        <v>2</v>
      </c>
      <c r="E17" s="216">
        <v>1</v>
      </c>
      <c r="G17" s="66"/>
      <c r="H17"/>
      <c r="I17"/>
      <c r="J17"/>
      <c r="K17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 spans="1:24" ht="15.75">
      <c r="A18" s="215"/>
      <c r="B18" s="204"/>
      <c r="C18" s="418"/>
      <c r="D18" s="204"/>
      <c r="E18" s="216"/>
      <c r="G18" s="66"/>
      <c r="H18"/>
      <c r="I18"/>
      <c r="J18"/>
      <c r="K18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 spans="1:24" ht="15.75">
      <c r="A19" s="215">
        <v>1</v>
      </c>
      <c r="B19" s="419">
        <v>0</v>
      </c>
      <c r="C19" s="420">
        <v>1</v>
      </c>
      <c r="D19" s="204">
        <v>0</v>
      </c>
      <c r="E19" s="421" t="s">
        <v>14</v>
      </c>
      <c r="G19" s="66"/>
      <c r="H19"/>
      <c r="I19"/>
      <c r="J19"/>
      <c r="K19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  <row r="20" spans="1:24" ht="15.75">
      <c r="A20" s="215">
        <v>2</v>
      </c>
      <c r="B20" s="419">
        <v>1.4999999999999999E-2</v>
      </c>
      <c r="C20" s="420">
        <v>1.1000000000000001</v>
      </c>
      <c r="D20" s="204">
        <v>120</v>
      </c>
      <c r="E20" s="421" t="s">
        <v>15</v>
      </c>
      <c r="G20" s="66"/>
      <c r="H20"/>
      <c r="I20"/>
      <c r="J20"/>
      <c r="K20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</row>
    <row r="21" spans="1:24" ht="15.75">
      <c r="A21" s="215">
        <v>3</v>
      </c>
      <c r="B21" s="419">
        <v>0.03</v>
      </c>
      <c r="C21" s="204"/>
      <c r="D21" s="204"/>
      <c r="E21" s="421" t="s">
        <v>16</v>
      </c>
      <c r="G21" s="66"/>
      <c r="H21"/>
      <c r="I21"/>
      <c r="J21"/>
      <c r="K21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</row>
    <row r="22" spans="1:24" ht="15.75">
      <c r="A22" s="215">
        <v>4</v>
      </c>
      <c r="B22" s="419">
        <v>4.4999999999999998E-2</v>
      </c>
      <c r="C22" s="204"/>
      <c r="D22" s="204"/>
      <c r="E22" s="421"/>
      <c r="G22" s="66"/>
      <c r="H22"/>
      <c r="I22"/>
      <c r="J22"/>
      <c r="K22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</row>
    <row r="23" spans="1:24" ht="16.5" thickBot="1">
      <c r="A23" s="422" t="s">
        <v>17</v>
      </c>
      <c r="B23" s="423">
        <f>INDEX(B19:B22,B17)</f>
        <v>0.03</v>
      </c>
      <c r="C23" s="424">
        <f>INDEX(C19:C22,C17)</f>
        <v>1</v>
      </c>
      <c r="D23" s="425">
        <f>INDEX(D19:D22,D17)</f>
        <v>120</v>
      </c>
      <c r="E23" s="426" t="str">
        <f>INDEX(E19:E22,E17)</f>
        <v>Base</v>
      </c>
      <c r="G23" s="66"/>
      <c r="H23"/>
      <c r="I23"/>
      <c r="J23"/>
      <c r="K23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</row>
    <row r="24" spans="1:24" ht="15.75">
      <c r="A24" s="124"/>
      <c r="B24" s="124"/>
      <c r="C24" s="124"/>
      <c r="D24" s="124"/>
      <c r="E24" s="66"/>
      <c r="F24" s="66"/>
      <c r="G24" s="66"/>
      <c r="H24" s="66"/>
      <c r="I24" s="66"/>
      <c r="J24" s="66"/>
      <c r="K24" s="66"/>
      <c r="L24" s="66"/>
      <c r="M24" s="66"/>
      <c r="N24" s="66"/>
      <c r="T24" s="66"/>
      <c r="U24" s="66"/>
      <c r="V24" s="66"/>
      <c r="W24" s="66"/>
      <c r="X24" s="66"/>
    </row>
    <row r="25" spans="1:24" ht="16.5" thickBot="1">
      <c r="A25" s="124"/>
      <c r="B25" s="124"/>
      <c r="C25" s="124"/>
      <c r="D25" s="124"/>
      <c r="E25" s="66"/>
      <c r="F25" s="66"/>
      <c r="G25" s="66"/>
      <c r="H25" s="66"/>
      <c r="I25" s="66"/>
      <c r="J25" s="66"/>
      <c r="K25" s="66"/>
      <c r="L25" s="66"/>
      <c r="M25" s="66"/>
      <c r="N25" s="66"/>
      <c r="T25" s="66"/>
      <c r="U25" s="66"/>
      <c r="V25" s="66"/>
      <c r="W25" s="66"/>
      <c r="X25" s="66"/>
    </row>
    <row r="26" spans="1:24" ht="20.25">
      <c r="A26" s="470"/>
      <c r="B26" s="56"/>
      <c r="C26" s="471" t="s">
        <v>230</v>
      </c>
      <c r="D26" s="465" t="s">
        <v>6</v>
      </c>
      <c r="E26" s="466"/>
      <c r="F26" s="414"/>
      <c r="G26" s="414"/>
      <c r="H26" s="66"/>
      <c r="I26" s="66"/>
      <c r="J26" s="66"/>
      <c r="K26" s="66"/>
      <c r="L26" s="66"/>
      <c r="M26" s="66"/>
      <c r="N26" s="66"/>
      <c r="T26" s="66"/>
      <c r="U26" s="66"/>
      <c r="V26" s="66"/>
      <c r="W26" s="66"/>
      <c r="X26" s="66"/>
    </row>
    <row r="27" spans="1:24" ht="16.5" thickBot="1">
      <c r="A27" s="217"/>
      <c r="B27" s="61"/>
      <c r="C27" s="467" t="s">
        <v>7</v>
      </c>
      <c r="D27" s="467" t="s">
        <v>8</v>
      </c>
      <c r="E27" s="468" t="s">
        <v>9</v>
      </c>
      <c r="F27" s="19"/>
      <c r="G27" s="19"/>
      <c r="H27"/>
      <c r="I27"/>
      <c r="J27"/>
      <c r="K27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</row>
    <row r="28" spans="1:24" ht="16.5" thickBot="1">
      <c r="A28" s="472" t="s">
        <v>211</v>
      </c>
      <c r="B28" s="473"/>
      <c r="C28" s="474" t="e">
        <f>CF!#REF!</f>
        <v>#REF!</v>
      </c>
      <c r="D28" s="475">
        <f>Debt!J97</f>
        <v>0</v>
      </c>
      <c r="E28" s="476">
        <f>Debt!J96</f>
        <v>0</v>
      </c>
      <c r="F28" s="19"/>
      <c r="G28" s="19"/>
      <c r="H28"/>
      <c r="I28"/>
      <c r="J28"/>
      <c r="K28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</row>
    <row r="29" spans="1:24" ht="15.75">
      <c r="H29"/>
      <c r="I29"/>
      <c r="J29"/>
      <c r="K29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</row>
    <row r="30" spans="1:24" ht="15.75">
      <c r="A30"/>
      <c r="B30"/>
      <c r="C30"/>
      <c r="D30"/>
      <c r="E30"/>
      <c r="H30"/>
      <c r="I30"/>
      <c r="J30"/>
      <c r="K30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</row>
    <row r="31" spans="1:24" ht="13.5" thickBot="1">
      <c r="A31"/>
      <c r="B31"/>
      <c r="C31"/>
      <c r="D31"/>
      <c r="E31"/>
    </row>
    <row r="32" spans="1:24" ht="15.75">
      <c r="A32" s="501" t="s">
        <v>255</v>
      </c>
      <c r="B32" s="56"/>
      <c r="C32" s="471" t="s">
        <v>230</v>
      </c>
      <c r="D32" s="465" t="s">
        <v>6</v>
      </c>
      <c r="E32" s="466"/>
    </row>
    <row r="33" spans="1:5" ht="16.5" thickBot="1">
      <c r="A33" s="315" t="s">
        <v>231</v>
      </c>
      <c r="B33" s="413" t="s">
        <v>232</v>
      </c>
      <c r="C33" s="413" t="s">
        <v>7</v>
      </c>
      <c r="D33" s="413" t="s">
        <v>8</v>
      </c>
      <c r="E33" s="469" t="s">
        <v>9</v>
      </c>
    </row>
    <row r="34" spans="1:5" ht="15.75">
      <c r="A34" s="477"/>
      <c r="B34" s="56"/>
      <c r="C34" s="478"/>
      <c r="D34" s="479"/>
      <c r="E34" s="480"/>
    </row>
    <row r="35" spans="1:5">
      <c r="A35" s="59"/>
      <c r="B35" s="19"/>
      <c r="C35" s="19"/>
      <c r="D35" s="19"/>
      <c r="E35" s="58"/>
    </row>
    <row r="36" spans="1:5">
      <c r="A36" s="59"/>
      <c r="B36" s="19"/>
      <c r="C36" s="19"/>
      <c r="D36" s="19"/>
      <c r="E36" s="58"/>
    </row>
    <row r="37" spans="1:5">
      <c r="A37" s="59"/>
      <c r="B37" s="19"/>
      <c r="C37" s="19"/>
      <c r="D37" s="19"/>
      <c r="E37" s="58"/>
    </row>
    <row r="38" spans="1:5" ht="13.5" thickBot="1">
      <c r="A38" s="481"/>
      <c r="B38" s="61"/>
      <c r="C38" s="61"/>
      <c r="D38" s="61"/>
      <c r="E38" s="149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15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52.7109375" style="18" customWidth="1"/>
    <col min="2" max="2" width="20.140625" style="18" customWidth="1"/>
    <col min="3" max="3" width="20.7109375" style="18" bestFit="1" customWidth="1"/>
    <col min="4" max="4" width="17.85546875" style="18" customWidth="1"/>
    <col min="5" max="5" width="20.140625" style="18" customWidth="1"/>
    <col min="6" max="6" width="20.28515625" style="18" customWidth="1"/>
    <col min="7" max="8" width="17.7109375" style="18" customWidth="1"/>
    <col min="9" max="9" width="12.140625" style="18" customWidth="1"/>
    <col min="10" max="10" width="14.140625" style="18" customWidth="1"/>
    <col min="11" max="11" width="40.140625" style="18" customWidth="1"/>
    <col min="12" max="12" width="14.42578125" style="18" customWidth="1"/>
    <col min="13" max="13" width="12" style="18" customWidth="1"/>
    <col min="14" max="14" width="11.42578125" style="18" customWidth="1"/>
    <col min="15" max="15" width="22.42578125" style="18" customWidth="1"/>
    <col min="16" max="16" width="19" style="18" customWidth="1"/>
    <col min="17" max="17" width="10.28515625" style="18" customWidth="1"/>
    <col min="18" max="29" width="12.85546875" style="18" customWidth="1"/>
    <col min="30" max="37" width="12" style="18" customWidth="1"/>
    <col min="38" max="38" width="9.140625" style="18"/>
    <col min="39" max="41" width="10" style="18" customWidth="1"/>
    <col min="42" max="42" width="12" style="18" customWidth="1"/>
    <col min="43" max="43" width="17.5703125" style="18" customWidth="1"/>
    <col min="44" max="44" width="22.42578125" style="18" customWidth="1"/>
    <col min="45" max="45" width="19" style="18" customWidth="1"/>
    <col min="46" max="46" width="10.28515625" style="18" customWidth="1"/>
    <col min="47" max="66" width="13.140625" style="18" customWidth="1"/>
    <col min="67" max="67" width="9.140625" style="18"/>
    <col min="68" max="77" width="10" style="18" customWidth="1"/>
    <col min="78" max="78" width="9.140625" style="18"/>
    <col min="79" max="84" width="10" style="18" customWidth="1"/>
    <col min="85" max="85" width="9.140625" style="18"/>
    <col min="86" max="91" width="10" style="18" customWidth="1"/>
    <col min="92" max="16384" width="9.140625" style="18"/>
  </cols>
  <sheetData>
    <row r="1" spans="1:42" ht="25.5" hidden="1">
      <c r="A1" s="434" t="s">
        <v>212</v>
      </c>
      <c r="M1" s="148"/>
      <c r="AP1" s="148"/>
    </row>
    <row r="2" spans="1:42" ht="13.5" customHeight="1">
      <c r="A2" s="434"/>
      <c r="M2" s="148"/>
      <c r="AP2" s="148"/>
    </row>
    <row r="3" spans="1:42" ht="19.5" customHeight="1">
      <c r="A3" s="516" t="s">
        <v>288</v>
      </c>
      <c r="M3" s="148"/>
      <c r="AP3" s="148"/>
    </row>
    <row r="4" spans="1:42" s="7" customFormat="1" ht="19.5" customHeight="1">
      <c r="A4" s="512"/>
      <c r="M4" s="513"/>
      <c r="AP4" s="513"/>
    </row>
    <row r="5" spans="1:42" ht="19.5" customHeight="1">
      <c r="A5" s="448" t="s">
        <v>18</v>
      </c>
      <c r="B5" s="7"/>
      <c r="C5" s="7"/>
      <c r="D5" s="7"/>
    </row>
    <row r="7" spans="1:42" ht="13.5" thickBot="1">
      <c r="I7" s="122"/>
    </row>
    <row r="8" spans="1:42" ht="15.75">
      <c r="A8" s="197" t="s">
        <v>19</v>
      </c>
      <c r="B8" s="199"/>
      <c r="C8" s="199"/>
      <c r="D8" s="199"/>
      <c r="E8" s="56"/>
      <c r="F8" s="56"/>
      <c r="G8" s="57"/>
      <c r="I8" s="122"/>
      <c r="J8" s="196" t="s">
        <v>259</v>
      </c>
      <c r="K8" s="230"/>
      <c r="L8" s="458"/>
      <c r="M8" s="397"/>
    </row>
    <row r="9" spans="1:42" ht="15.75">
      <c r="A9" s="202" t="s">
        <v>21</v>
      </c>
      <c r="B9" s="203" t="s">
        <v>22</v>
      </c>
      <c r="C9" s="277" t="s">
        <v>23</v>
      </c>
      <c r="D9" s="204"/>
      <c r="E9" s="205" t="s">
        <v>24</v>
      </c>
      <c r="F9" s="203" t="s">
        <v>22</v>
      </c>
      <c r="G9" s="278" t="s">
        <v>23</v>
      </c>
      <c r="I9" s="122"/>
      <c r="J9" s="234"/>
      <c r="K9" s="506"/>
      <c r="L9" s="459"/>
    </row>
    <row r="10" spans="1:42" ht="15.75">
      <c r="A10" s="206" t="s">
        <v>25</v>
      </c>
      <c r="B10" s="391">
        <f>C10/$C$15</f>
        <v>0.41599999999999998</v>
      </c>
      <c r="C10" s="443">
        <v>520000</v>
      </c>
      <c r="D10" s="415"/>
      <c r="E10" s="208" t="s">
        <v>227</v>
      </c>
      <c r="F10" s="436">
        <f>G10/G15</f>
        <v>0.98404527156122323</v>
      </c>
      <c r="G10" s="442">
        <v>1202708.2045976263</v>
      </c>
      <c r="H10" s="113"/>
      <c r="I10" s="122"/>
      <c r="J10" s="234" t="s">
        <v>35</v>
      </c>
      <c r="K10" s="506"/>
      <c r="L10" s="450">
        <v>2</v>
      </c>
    </row>
    <row r="11" spans="1:42" ht="15.75">
      <c r="A11" s="206" t="s">
        <v>224</v>
      </c>
      <c r="B11" s="392">
        <f>C11/C15</f>
        <v>0.58399999999999996</v>
      </c>
      <c r="C11" s="366">
        <f>Assumptions!B26+Assumptions!C26+Assumptions!D26</f>
        <v>730000</v>
      </c>
      <c r="D11" s="227"/>
      <c r="E11" s="208" t="s">
        <v>34</v>
      </c>
      <c r="F11" s="437">
        <f>G11/$G$15</f>
        <v>1.5954728438776732E-2</v>
      </c>
      <c r="G11" s="442">
        <v>19500</v>
      </c>
      <c r="H11" s="7"/>
      <c r="I11" s="122"/>
      <c r="J11" s="234" t="s">
        <v>260</v>
      </c>
      <c r="K11" s="506"/>
      <c r="L11" s="453">
        <v>45.34</v>
      </c>
      <c r="M11" s="407"/>
    </row>
    <row r="12" spans="1:42" ht="15.75">
      <c r="A12" s="212"/>
      <c r="B12" s="207"/>
      <c r="C12" s="366"/>
      <c r="D12" s="204"/>
      <c r="E12" s="204" t="s">
        <v>210</v>
      </c>
      <c r="F12" s="437">
        <f>G12/$G$15</f>
        <v>0</v>
      </c>
      <c r="G12" s="435">
        <f>-(Debt!C85)</f>
        <v>0</v>
      </c>
      <c r="H12" s="139"/>
      <c r="I12" s="122"/>
      <c r="J12" s="234" t="s">
        <v>261</v>
      </c>
      <c r="K12" s="506"/>
      <c r="L12" s="450">
        <v>9382</v>
      </c>
      <c r="M12" s="407"/>
    </row>
    <row r="13" spans="1:42" ht="15.75">
      <c r="A13" s="59"/>
      <c r="B13" s="19"/>
      <c r="C13" s="19"/>
      <c r="D13" s="204"/>
      <c r="E13" s="204" t="s">
        <v>233</v>
      </c>
      <c r="F13" s="437">
        <f>G13/$G$15</f>
        <v>0</v>
      </c>
      <c r="G13" s="442">
        <v>0</v>
      </c>
      <c r="H13" s="7"/>
      <c r="I13" s="122"/>
      <c r="J13" s="234" t="s">
        <v>39</v>
      </c>
      <c r="K13" s="506"/>
      <c r="L13" s="450">
        <v>1700</v>
      </c>
      <c r="M13" s="407"/>
    </row>
    <row r="14" spans="1:42" ht="15.75">
      <c r="A14" s="59"/>
      <c r="B14" s="19"/>
      <c r="C14" s="19"/>
      <c r="D14" s="19"/>
      <c r="E14" s="19"/>
      <c r="F14" s="19"/>
      <c r="G14" s="58"/>
      <c r="H14" s="146"/>
      <c r="I14" s="122"/>
      <c r="J14" s="234" t="s">
        <v>262</v>
      </c>
      <c r="K14" s="506"/>
      <c r="L14" s="503">
        <v>1</v>
      </c>
      <c r="M14" s="407"/>
    </row>
    <row r="15" spans="1:42" ht="15.75">
      <c r="A15" s="213" t="s">
        <v>33</v>
      </c>
      <c r="B15" s="383">
        <f>C15/$C$15</f>
        <v>1</v>
      </c>
      <c r="C15" s="367">
        <f>SUM(C10:C11)</f>
        <v>1250000</v>
      </c>
      <c r="D15" s="204"/>
      <c r="E15" s="336" t="s">
        <v>37</v>
      </c>
      <c r="F15" s="444">
        <f>SUM(F10:F12)</f>
        <v>1</v>
      </c>
      <c r="G15" s="445">
        <f>SUM(G10:G13)</f>
        <v>1222208.2045976263</v>
      </c>
      <c r="H15" s="7"/>
      <c r="I15" s="122"/>
      <c r="J15" s="234" t="s">
        <v>263</v>
      </c>
      <c r="K15" s="506"/>
      <c r="L15" s="504">
        <v>36891</v>
      </c>
      <c r="M15" s="407"/>
    </row>
    <row r="16" spans="1:42" ht="16.5" thickBot="1">
      <c r="A16" s="59"/>
      <c r="B16" s="19"/>
      <c r="C16" s="19"/>
      <c r="D16" s="19"/>
      <c r="E16" s="19"/>
      <c r="F16" s="19"/>
      <c r="G16" s="58"/>
      <c r="H16" s="7"/>
      <c r="I16" s="122"/>
      <c r="J16" s="237" t="s">
        <v>264</v>
      </c>
      <c r="K16" s="519"/>
      <c r="L16" s="520">
        <v>37012</v>
      </c>
      <c r="M16" s="407"/>
    </row>
    <row r="17" spans="1:24" ht="16.5" thickBot="1">
      <c r="A17" s="215" t="s">
        <v>36</v>
      </c>
      <c r="B17" s="267">
        <v>0.5</v>
      </c>
      <c r="C17" s="368">
        <f>B17*C10</f>
        <v>260000</v>
      </c>
      <c r="D17" s="204"/>
      <c r="E17" s="19"/>
      <c r="F17" s="19"/>
      <c r="G17" s="58"/>
      <c r="H17" s="7"/>
      <c r="I17" s="122"/>
      <c r="J17"/>
      <c r="K17"/>
      <c r="L17"/>
      <c r="M17" s="407"/>
    </row>
    <row r="18" spans="1:24" ht="16.5" thickBot="1">
      <c r="A18" s="217" t="s">
        <v>38</v>
      </c>
      <c r="B18" s="494">
        <f>1-B17</f>
        <v>0.5</v>
      </c>
      <c r="C18" s="369">
        <f>B18*C10</f>
        <v>260000</v>
      </c>
      <c r="D18" s="337"/>
      <c r="E18" s="61"/>
      <c r="F18" s="61"/>
      <c r="G18" s="149"/>
      <c r="H18" s="7"/>
      <c r="I18" s="122"/>
      <c r="J18" s="196" t="s">
        <v>20</v>
      </c>
      <c r="K18" s="230"/>
      <c r="L18" s="449"/>
      <c r="M18" s="407"/>
    </row>
    <row r="19" spans="1:24" ht="15.75">
      <c r="A19" s="19"/>
      <c r="B19" s="19"/>
      <c r="C19" s="19"/>
      <c r="D19" s="204"/>
      <c r="E19" s="208"/>
      <c r="F19" s="209"/>
      <c r="G19" s="210"/>
      <c r="H19" s="7"/>
      <c r="J19" s="215"/>
      <c r="K19" s="204"/>
      <c r="L19" s="216"/>
      <c r="M19" s="407"/>
    </row>
    <row r="20" spans="1:24" ht="16.5" thickBot="1">
      <c r="A20" s="19"/>
      <c r="B20" s="19"/>
      <c r="C20" s="19"/>
      <c r="D20" s="204"/>
      <c r="E20" s="208"/>
      <c r="F20" s="211"/>
      <c r="G20" s="214"/>
      <c r="H20" s="7"/>
      <c r="J20" s="215" t="s">
        <v>304</v>
      </c>
      <c r="K20" s="204"/>
      <c r="L20" s="502">
        <f>L10*L11</f>
        <v>90.68</v>
      </c>
      <c r="M20" s="407"/>
      <c r="N20" s="66"/>
      <c r="O20" s="66"/>
      <c r="P20" s="66"/>
      <c r="Q20" s="66"/>
      <c r="R20"/>
      <c r="S20"/>
      <c r="T20"/>
      <c r="U20"/>
      <c r="V20"/>
      <c r="W20"/>
      <c r="X20"/>
    </row>
    <row r="21" spans="1:24" ht="15.75">
      <c r="A21" s="198" t="s">
        <v>225</v>
      </c>
      <c r="B21" s="517" t="s">
        <v>213</v>
      </c>
      <c r="C21" s="440">
        <v>36739</v>
      </c>
      <c r="D21" s="160"/>
      <c r="E21" s="56"/>
      <c r="F21" s="56"/>
      <c r="G21" s="57"/>
      <c r="H21" s="7"/>
      <c r="J21" s="215" t="s">
        <v>32</v>
      </c>
      <c r="K21" s="204"/>
      <c r="L21" s="451">
        <v>0.02</v>
      </c>
      <c r="M21" s="407"/>
      <c r="R21"/>
      <c r="S21"/>
      <c r="T21"/>
      <c r="U21"/>
      <c r="V21"/>
      <c r="W21"/>
      <c r="X21"/>
    </row>
    <row r="22" spans="1:24" ht="15.75">
      <c r="A22" s="439"/>
      <c r="B22" s="518" t="s">
        <v>220</v>
      </c>
      <c r="C22" s="441">
        <v>36739</v>
      </c>
      <c r="D22" s="62"/>
      <c r="E22" s="19"/>
      <c r="F22" s="19"/>
      <c r="G22" s="58"/>
      <c r="H22" s="7"/>
      <c r="J22" s="215" t="s">
        <v>40</v>
      </c>
      <c r="K22" s="204"/>
      <c r="L22" s="452">
        <f>L36*L13</f>
        <v>4879000</v>
      </c>
      <c r="M22" s="407"/>
      <c r="R22"/>
      <c r="S22"/>
      <c r="T22"/>
      <c r="U22"/>
      <c r="V22"/>
      <c r="W22"/>
      <c r="X22"/>
    </row>
    <row r="23" spans="1:24" ht="15.75">
      <c r="A23" s="157"/>
      <c r="B23" s="19"/>
      <c r="C23" s="19"/>
      <c r="D23" s="19"/>
      <c r="E23" s="115"/>
      <c r="F23" s="115"/>
      <c r="G23" s="147"/>
      <c r="H23" s="139"/>
      <c r="J23" s="215" t="s">
        <v>41</v>
      </c>
      <c r="K23" s="204"/>
      <c r="L23" s="450">
        <v>787.8</v>
      </c>
      <c r="M23" s="407"/>
      <c r="R23"/>
      <c r="S23"/>
      <c r="T23"/>
      <c r="U23"/>
      <c r="V23"/>
      <c r="W23"/>
      <c r="X23"/>
    </row>
    <row r="24" spans="1:24" ht="15.75">
      <c r="A24" s="59"/>
      <c r="B24" s="241" t="s">
        <v>42</v>
      </c>
      <c r="C24" s="241" t="s">
        <v>43</v>
      </c>
      <c r="D24" s="241" t="s">
        <v>44</v>
      </c>
      <c r="E24" s="241" t="s">
        <v>45</v>
      </c>
      <c r="F24" s="62"/>
      <c r="G24" s="344"/>
      <c r="H24" s="139"/>
      <c r="J24" s="215" t="s">
        <v>46</v>
      </c>
      <c r="K24" s="204"/>
      <c r="L24" s="450">
        <v>110</v>
      </c>
      <c r="M24" s="407"/>
      <c r="R24"/>
      <c r="S24"/>
      <c r="T24"/>
      <c r="U24"/>
      <c r="V24"/>
      <c r="W24"/>
      <c r="X24"/>
    </row>
    <row r="25" spans="1:24" ht="15.75">
      <c r="A25" s="219" t="s">
        <v>47</v>
      </c>
      <c r="B25" s="195"/>
      <c r="C25" s="195"/>
      <c r="D25" s="195"/>
      <c r="E25" s="19"/>
      <c r="F25" s="19"/>
      <c r="G25" s="58"/>
      <c r="H25" s="7"/>
      <c r="J25" s="215" t="s">
        <v>265</v>
      </c>
      <c r="K25" s="204"/>
      <c r="L25" s="450">
        <v>0</v>
      </c>
      <c r="M25" s="407"/>
      <c r="R25"/>
      <c r="S25"/>
      <c r="T25"/>
      <c r="U25"/>
      <c r="V25"/>
      <c r="W25"/>
      <c r="X25"/>
    </row>
    <row r="26" spans="1:24" ht="16.5" thickBot="1">
      <c r="A26" s="220" t="s">
        <v>48</v>
      </c>
      <c r="B26" s="482">
        <v>95000</v>
      </c>
      <c r="C26" s="482">
        <v>210000</v>
      </c>
      <c r="D26" s="482">
        <v>425000</v>
      </c>
      <c r="E26" s="221">
        <f>SUM(B26:D26)</f>
        <v>730000</v>
      </c>
      <c r="F26" s="161"/>
      <c r="G26" s="345"/>
      <c r="J26" s="217" t="s">
        <v>243</v>
      </c>
      <c r="K26" s="61"/>
      <c r="L26" s="505">
        <v>15</v>
      </c>
      <c r="M26" s="407"/>
      <c r="R26"/>
      <c r="S26"/>
      <c r="T26"/>
      <c r="U26"/>
      <c r="V26"/>
      <c r="W26"/>
      <c r="X26"/>
    </row>
    <row r="27" spans="1:24" ht="16.5" thickBot="1">
      <c r="A27" s="220" t="s">
        <v>49</v>
      </c>
      <c r="B27" s="483">
        <v>3</v>
      </c>
      <c r="C27" s="483">
        <v>10</v>
      </c>
      <c r="D27" s="483">
        <v>20</v>
      </c>
      <c r="E27" s="222"/>
      <c r="F27" s="161"/>
      <c r="G27" s="345"/>
      <c r="M27" s="407"/>
      <c r="R27"/>
      <c r="S27"/>
      <c r="T27"/>
      <c r="U27"/>
      <c r="V27"/>
      <c r="W27"/>
      <c r="X27"/>
    </row>
    <row r="28" spans="1:24" ht="15.75">
      <c r="A28" s="220" t="s">
        <v>50</v>
      </c>
      <c r="B28" s="484">
        <v>37833</v>
      </c>
      <c r="C28" s="484">
        <v>40390</v>
      </c>
      <c r="D28" s="484">
        <v>44043</v>
      </c>
      <c r="E28" s="221"/>
      <c r="F28" s="19"/>
      <c r="G28" s="58"/>
      <c r="J28" s="196" t="s">
        <v>278</v>
      </c>
      <c r="K28" s="230"/>
      <c r="L28" s="240"/>
      <c r="M28" s="407"/>
      <c r="R28"/>
      <c r="S28"/>
      <c r="T28"/>
      <c r="U28"/>
      <c r="V28"/>
      <c r="W28"/>
      <c r="X28"/>
    </row>
    <row r="29" spans="1:24" ht="15.75">
      <c r="A29" s="220" t="s">
        <v>51</v>
      </c>
      <c r="B29" s="265">
        <f>Debt!F9</f>
        <v>9.7624999999999993</v>
      </c>
      <c r="C29" s="265">
        <f>Debt!L9</f>
        <v>9.7624999999999993</v>
      </c>
      <c r="D29" s="265">
        <f>Debt!R9</f>
        <v>9.7624999999999993</v>
      </c>
      <c r="E29" s="360"/>
      <c r="F29" s="19"/>
      <c r="G29" s="58"/>
      <c r="J29" s="59"/>
      <c r="K29" s="19"/>
      <c r="L29" s="58"/>
      <c r="M29" s="407"/>
      <c r="R29"/>
      <c r="S29"/>
      <c r="T29"/>
      <c r="U29"/>
      <c r="V29"/>
      <c r="W29"/>
      <c r="X29"/>
    </row>
    <row r="30" spans="1:24" ht="15.75">
      <c r="A30" s="220"/>
      <c r="B30" s="19"/>
      <c r="C30" s="19"/>
      <c r="D30" s="19"/>
      <c r="E30" s="221"/>
      <c r="F30" s="19"/>
      <c r="G30" s="58"/>
      <c r="J30" s="215" t="s">
        <v>279</v>
      </c>
      <c r="K30" s="19"/>
      <c r="L30" s="58"/>
      <c r="M30" s="407"/>
      <c r="R30"/>
      <c r="S30"/>
      <c r="T30"/>
      <c r="U30"/>
      <c r="V30"/>
      <c r="W30"/>
      <c r="X30"/>
    </row>
    <row r="31" spans="1:24" ht="15.75">
      <c r="A31" s="59"/>
      <c r="B31" s="19"/>
      <c r="C31" s="19"/>
      <c r="D31" s="19"/>
      <c r="E31" s="221"/>
      <c r="F31" s="19"/>
      <c r="G31" s="58"/>
      <c r="J31" s="215" t="s">
        <v>280</v>
      </c>
      <c r="K31" s="19"/>
      <c r="L31" s="58"/>
      <c r="M31" s="407"/>
      <c r="R31"/>
      <c r="S31"/>
      <c r="T31"/>
      <c r="U31"/>
      <c r="V31"/>
      <c r="W31"/>
      <c r="X31"/>
    </row>
    <row r="32" spans="1:24" ht="15.75">
      <c r="A32" s="223" t="s">
        <v>53</v>
      </c>
      <c r="B32" s="488">
        <v>5.7099999999999998E-2</v>
      </c>
      <c r="C32" s="488">
        <v>5.8700000000000002E-2</v>
      </c>
      <c r="D32" s="488">
        <v>6.0900000000000003E-2</v>
      </c>
      <c r="E32" s="361">
        <f>SUMPRODUCT(B32:D32,$B$26:$D$26)/SUM($B$26:$D$26)</f>
        <v>5.9772602739726025E-2</v>
      </c>
      <c r="F32" s="19"/>
      <c r="G32" s="58"/>
      <c r="J32" s="215" t="s">
        <v>277</v>
      </c>
      <c r="K32" s="204"/>
      <c r="L32" s="453">
        <v>4</v>
      </c>
      <c r="M32" s="407"/>
      <c r="R32"/>
      <c r="S32"/>
      <c r="T32"/>
      <c r="U32"/>
      <c r="V32"/>
      <c r="W32"/>
      <c r="X32"/>
    </row>
    <row r="33" spans="1:13" ht="15.75">
      <c r="A33" s="223" t="s">
        <v>55</v>
      </c>
      <c r="B33" s="489">
        <v>2.2499999999999999E-2</v>
      </c>
      <c r="C33" s="489">
        <v>3.5000000000000003E-2</v>
      </c>
      <c r="D33" s="489">
        <v>4.1250000000000002E-2</v>
      </c>
      <c r="E33" s="362">
        <f>SUMPRODUCT(B33:D33,$B$26:$D$26)/SUM($B$26:$D$26)</f>
        <v>3.7011986301369863E-2</v>
      </c>
      <c r="F33" s="19"/>
      <c r="G33" s="58"/>
      <c r="J33" s="215" t="s">
        <v>52</v>
      </c>
      <c r="K33" s="204"/>
      <c r="L33" s="454">
        <f>L61</f>
        <v>0.89012066365007547</v>
      </c>
      <c r="M33" s="407"/>
    </row>
    <row r="34" spans="1:13" ht="15.75">
      <c r="A34" s="220" t="s">
        <v>56</v>
      </c>
      <c r="B34" s="224">
        <f>Debt!F7</f>
        <v>7.9600000000000004E-2</v>
      </c>
      <c r="C34" s="224">
        <f>Debt!L7</f>
        <v>9.3700000000000006E-2</v>
      </c>
      <c r="D34" s="224">
        <f>Debt!R7</f>
        <v>0.10215</v>
      </c>
      <c r="E34" s="361">
        <f>SUMPRODUCT(B34:D34,$B$26:$D$26)/SUM($B$26:$D$26)</f>
        <v>9.6784589041095895E-2</v>
      </c>
      <c r="F34" s="19"/>
      <c r="G34" s="58"/>
      <c r="J34" s="215" t="s">
        <v>54</v>
      </c>
      <c r="K34" s="204"/>
      <c r="L34" s="455">
        <f>'EGC Start Charge Matrix'!H24</f>
        <v>1874</v>
      </c>
      <c r="M34" s="407"/>
    </row>
    <row r="35" spans="1:13" ht="15.75">
      <c r="A35" s="215"/>
      <c r="B35" s="204"/>
      <c r="C35" s="204"/>
      <c r="D35" s="204"/>
      <c r="E35" s="363"/>
      <c r="F35" s="19"/>
      <c r="G35" s="58"/>
      <c r="J35" s="215" t="s">
        <v>244</v>
      </c>
      <c r="K35" s="204"/>
      <c r="L35" s="450">
        <v>2855</v>
      </c>
      <c r="M35" s="407"/>
    </row>
    <row r="36" spans="1:13" ht="15.75">
      <c r="A36" s="215" t="s">
        <v>223</v>
      </c>
      <c r="B36" s="221">
        <f>MAX(Debt!C87:Z87)</f>
        <v>102736.953125</v>
      </c>
      <c r="C36" s="204"/>
      <c r="D36" s="204"/>
      <c r="E36" s="359"/>
      <c r="F36" s="19"/>
      <c r="G36" s="58"/>
      <c r="J36" s="215" t="s">
        <v>245</v>
      </c>
      <c r="K36" s="19"/>
      <c r="L36" s="511">
        <f>L35+L26</f>
        <v>2870</v>
      </c>
      <c r="M36" s="407"/>
    </row>
    <row r="37" spans="1:13" ht="15.75">
      <c r="A37" s="215" t="s">
        <v>226</v>
      </c>
      <c r="B37" s="221">
        <v>0</v>
      </c>
      <c r="C37" s="19"/>
      <c r="D37" s="19"/>
      <c r="E37" s="19"/>
      <c r="F37" s="19"/>
      <c r="G37" s="58"/>
      <c r="J37" s="215" t="s">
        <v>238</v>
      </c>
      <c r="K37" s="204"/>
      <c r="L37" s="455">
        <f>L36*(1-L21)</f>
        <v>2812.6</v>
      </c>
      <c r="M37" s="407"/>
    </row>
    <row r="38" spans="1:13" ht="15.75">
      <c r="A38" s="215" t="s">
        <v>228</v>
      </c>
      <c r="B38" s="287">
        <v>0</v>
      </c>
      <c r="C38" s="19"/>
      <c r="D38" s="19"/>
      <c r="E38" s="19"/>
      <c r="F38" s="19"/>
      <c r="G38" s="58"/>
      <c r="J38" s="215" t="s">
        <v>59</v>
      </c>
      <c r="K38" s="204"/>
      <c r="L38" s="456">
        <f>L37*L13</f>
        <v>4781420</v>
      </c>
      <c r="M38" s="407"/>
    </row>
    <row r="39" spans="1:13" ht="15.75">
      <c r="A39" s="215" t="s">
        <v>57</v>
      </c>
      <c r="B39" s="287">
        <v>0.02</v>
      </c>
      <c r="C39" s="204"/>
      <c r="D39" s="204"/>
      <c r="E39" s="359"/>
      <c r="F39" s="19"/>
      <c r="G39" s="58"/>
      <c r="J39" s="215" t="s">
        <v>60</v>
      </c>
      <c r="K39" s="204"/>
      <c r="L39" s="457">
        <v>0.02</v>
      </c>
      <c r="M39" s="407"/>
    </row>
    <row r="40" spans="1:13" ht="16.5" thickBot="1">
      <c r="A40" s="217" t="s">
        <v>58</v>
      </c>
      <c r="B40" s="288">
        <v>0.05</v>
      </c>
      <c r="C40" s="61"/>
      <c r="D40" s="61"/>
      <c r="E40" s="61"/>
      <c r="F40" s="61"/>
      <c r="G40" s="149"/>
      <c r="J40" s="215" t="s">
        <v>62</v>
      </c>
      <c r="K40" s="204"/>
      <c r="L40" s="453">
        <v>1</v>
      </c>
      <c r="M40" s="407"/>
    </row>
    <row r="41" spans="1:13" ht="16.5" thickBot="1">
      <c r="J41" s="217" t="s">
        <v>1</v>
      </c>
      <c r="K41" s="218"/>
      <c r="L41" s="457">
        <v>0.03</v>
      </c>
      <c r="M41" s="407"/>
    </row>
    <row r="42" spans="1:13" ht="16.5" thickBot="1">
      <c r="J42" s="66"/>
      <c r="K42" s="66"/>
      <c r="L42" s="66"/>
      <c r="M42" s="407"/>
    </row>
    <row r="43" spans="1:13" ht="15.75">
      <c r="A43" s="196" t="s">
        <v>61</v>
      </c>
      <c r="B43" s="230"/>
      <c r="C43" s="231"/>
      <c r="D43" s="231"/>
      <c r="E43" s="239"/>
      <c r="F43" s="239"/>
      <c r="G43" s="57"/>
      <c r="J43" s="196" t="s">
        <v>72</v>
      </c>
      <c r="K43" s="230"/>
      <c r="L43" s="458"/>
      <c r="M43" s="407"/>
    </row>
    <row r="44" spans="1:13" ht="15.75">
      <c r="A44" s="59"/>
      <c r="C44" s="447"/>
      <c r="D44" s="19"/>
      <c r="E44" s="19"/>
      <c r="F44" s="204"/>
      <c r="G44" s="58"/>
      <c r="J44" s="215"/>
      <c r="K44" s="204"/>
      <c r="L44" s="459"/>
      <c r="M44" s="407"/>
    </row>
    <row r="45" spans="1:13" ht="15.75">
      <c r="A45" s="215"/>
      <c r="B45" s="446" t="s">
        <v>63</v>
      </c>
      <c r="C45" s="378" t="s">
        <v>64</v>
      </c>
      <c r="D45" s="378" t="s">
        <v>65</v>
      </c>
      <c r="E45" s="203" t="s">
        <v>66</v>
      </c>
      <c r="F45" s="19"/>
      <c r="G45" s="58"/>
      <c r="J45" s="215" t="s">
        <v>74</v>
      </c>
      <c r="K45" s="204"/>
      <c r="L45" s="457">
        <v>0.35</v>
      </c>
      <c r="M45" s="407"/>
    </row>
    <row r="46" spans="1:13" ht="15.75">
      <c r="A46" s="232" t="s">
        <v>67</v>
      </c>
      <c r="B46" s="233"/>
      <c r="C46" s="233"/>
      <c r="D46" s="233"/>
      <c r="E46" s="204"/>
      <c r="F46" s="19"/>
      <c r="G46" s="58"/>
      <c r="J46" s="215" t="s">
        <v>75</v>
      </c>
      <c r="K46" s="204"/>
      <c r="L46" s="451">
        <v>0.06</v>
      </c>
      <c r="M46" s="407"/>
    </row>
    <row r="47" spans="1:13" ht="15.75">
      <c r="A47" s="234" t="s">
        <v>68</v>
      </c>
      <c r="B47" s="384">
        <f>G10</f>
        <v>1202708.2045976263</v>
      </c>
      <c r="C47" s="370">
        <v>15</v>
      </c>
      <c r="D47" s="495" t="s">
        <v>69</v>
      </c>
      <c r="E47" s="379">
        <v>0</v>
      </c>
      <c r="F47" s="19"/>
      <c r="G47" s="58"/>
      <c r="J47" s="507" t="s">
        <v>76</v>
      </c>
      <c r="K47" s="508"/>
      <c r="L47" s="503">
        <v>2.5000000000000001E-3</v>
      </c>
      <c r="M47" s="407"/>
    </row>
    <row r="48" spans="1:13" ht="15.75">
      <c r="A48" s="234" t="s">
        <v>70</v>
      </c>
      <c r="B48" s="384">
        <f>G11</f>
        <v>19500</v>
      </c>
      <c r="C48" s="370">
        <v>20</v>
      </c>
      <c r="D48" s="495" t="s">
        <v>71</v>
      </c>
      <c r="E48" s="379">
        <v>0</v>
      </c>
      <c r="F48" s="19"/>
      <c r="G48" s="58"/>
      <c r="J48" s="215" t="s">
        <v>77</v>
      </c>
      <c r="K48" s="204"/>
      <c r="L48" s="451">
        <v>0.03</v>
      </c>
      <c r="M48" s="407"/>
    </row>
    <row r="49" spans="1:14" ht="15.75">
      <c r="A49" s="234"/>
      <c r="B49" s="385"/>
      <c r="C49" s="235"/>
      <c r="D49" s="235"/>
      <c r="E49" s="380"/>
      <c r="F49" s="19"/>
      <c r="G49" s="58"/>
      <c r="J49" s="507" t="s">
        <v>267</v>
      </c>
      <c r="K49" s="508"/>
      <c r="L49" s="503">
        <v>0.01</v>
      </c>
      <c r="M49" s="407"/>
    </row>
    <row r="50" spans="1:14" ht="15.75">
      <c r="A50" s="232" t="s">
        <v>73</v>
      </c>
      <c r="B50" s="385"/>
      <c r="C50" s="236"/>
      <c r="D50" s="235"/>
      <c r="E50" s="381"/>
      <c r="F50" s="19"/>
      <c r="G50" s="58"/>
      <c r="J50" s="507" t="s">
        <v>268</v>
      </c>
      <c r="K50" s="508"/>
      <c r="L50" s="503"/>
      <c r="M50" s="407"/>
    </row>
    <row r="51" spans="1:14" ht="15.75">
      <c r="A51" s="234" t="s">
        <v>68</v>
      </c>
      <c r="B51" s="384">
        <f>G10</f>
        <v>1202708.2045976263</v>
      </c>
      <c r="C51" s="370">
        <v>30</v>
      </c>
      <c r="D51" s="495" t="s">
        <v>71</v>
      </c>
      <c r="E51" s="382">
        <v>0.1</v>
      </c>
      <c r="F51" s="19"/>
      <c r="G51" s="58"/>
      <c r="J51" s="507" t="s">
        <v>269</v>
      </c>
      <c r="K51" s="508"/>
      <c r="L51" s="503"/>
      <c r="M51" s="407"/>
    </row>
    <row r="52" spans="1:14" ht="16.5" thickBot="1">
      <c r="A52" s="237" t="s">
        <v>70</v>
      </c>
      <c r="B52" s="386">
        <f>G11</f>
        <v>19500</v>
      </c>
      <c r="C52" s="387">
        <v>20</v>
      </c>
      <c r="D52" s="496" t="s">
        <v>71</v>
      </c>
      <c r="E52" s="393">
        <v>0</v>
      </c>
      <c r="F52" s="61"/>
      <c r="G52" s="149"/>
      <c r="J52" s="507" t="s">
        <v>270</v>
      </c>
      <c r="K52" s="508"/>
      <c r="L52" s="503"/>
      <c r="M52" s="407"/>
    </row>
    <row r="53" spans="1:14" ht="15.75">
      <c r="A53" s="66"/>
      <c r="B53" s="66"/>
      <c r="C53" s="66"/>
      <c r="D53" s="66"/>
      <c r="E53" s="66"/>
      <c r="F53" s="66"/>
      <c r="J53" s="507" t="s">
        <v>271</v>
      </c>
      <c r="K53" s="508"/>
      <c r="L53" s="503"/>
      <c r="M53" s="407"/>
    </row>
    <row r="54" spans="1:14" ht="16.5" thickBot="1">
      <c r="J54" s="507" t="s">
        <v>272</v>
      </c>
      <c r="K54" s="508"/>
      <c r="L54" s="503"/>
      <c r="M54" s="407"/>
    </row>
    <row r="55" spans="1:14" ht="15.75">
      <c r="A55" s="198" t="s">
        <v>78</v>
      </c>
      <c r="B55" s="239"/>
      <c r="C55" s="239"/>
      <c r="D55" s="239"/>
      <c r="E55" s="239"/>
      <c r="F55" s="239"/>
      <c r="G55" s="240"/>
      <c r="J55" s="507" t="s">
        <v>273</v>
      </c>
      <c r="K55" s="508"/>
      <c r="L55" s="503"/>
      <c r="M55" s="407"/>
    </row>
    <row r="56" spans="1:14" ht="15.75">
      <c r="A56" s="215"/>
      <c r="B56" s="204"/>
      <c r="C56" s="204"/>
      <c r="D56" s="204"/>
      <c r="E56" s="204"/>
      <c r="F56" s="204"/>
      <c r="G56" s="216"/>
      <c r="J56" s="507" t="s">
        <v>274</v>
      </c>
      <c r="K56" s="508"/>
      <c r="L56" s="503"/>
      <c r="M56" s="407"/>
    </row>
    <row r="57" spans="1:14" ht="15.75">
      <c r="A57" s="219" t="s">
        <v>6</v>
      </c>
      <c r="B57" s="225"/>
      <c r="C57" s="203" t="s">
        <v>82</v>
      </c>
      <c r="D57" s="203" t="s">
        <v>81</v>
      </c>
      <c r="E57" s="19"/>
      <c r="F57" s="204"/>
      <c r="G57" s="216"/>
      <c r="J57" s="507" t="s">
        <v>275</v>
      </c>
      <c r="K57" s="508"/>
      <c r="L57" s="503"/>
      <c r="M57" s="407"/>
    </row>
    <row r="58" spans="1:14" ht="16.5" thickBot="1">
      <c r="A58" s="59"/>
      <c r="B58" s="204"/>
      <c r="C58" s="226">
        <f>Debt!B96</f>
        <v>0.18252078002449235</v>
      </c>
      <c r="D58" s="226">
        <f>Debt!B97</f>
        <v>-23.463596094726899</v>
      </c>
      <c r="E58" s="19"/>
      <c r="F58" s="204"/>
      <c r="G58" s="216"/>
      <c r="J58" s="509" t="s">
        <v>276</v>
      </c>
      <c r="K58" s="423"/>
      <c r="L58" s="510"/>
      <c r="N58" s="26"/>
    </row>
    <row r="59" spans="1:14" ht="13.5" thickBot="1">
      <c r="A59" s="59"/>
      <c r="B59" s="19"/>
      <c r="C59" s="19"/>
      <c r="D59" s="19"/>
      <c r="E59" s="19"/>
      <c r="F59" s="19"/>
      <c r="G59" s="58"/>
      <c r="N59" s="405"/>
    </row>
    <row r="60" spans="1:14" ht="15.75">
      <c r="A60" s="219" t="s">
        <v>87</v>
      </c>
      <c r="B60" s="204"/>
      <c r="C60" s="228">
        <f>G15/L20</f>
        <v>13478.255454318773</v>
      </c>
      <c r="D60" s="204"/>
      <c r="E60" s="19"/>
      <c r="F60" s="204"/>
      <c r="G60" s="216"/>
      <c r="J60" s="198" t="s">
        <v>79</v>
      </c>
      <c r="K60" s="239"/>
      <c r="L60" s="240"/>
      <c r="M60" s="407"/>
    </row>
    <row r="61" spans="1:14" ht="15.75">
      <c r="A61" s="215"/>
      <c r="B61" s="204"/>
      <c r="C61" s="228"/>
      <c r="D61" s="204"/>
      <c r="E61" s="19"/>
      <c r="F61" s="204"/>
      <c r="G61" s="216"/>
      <c r="J61" s="372" t="s">
        <v>80</v>
      </c>
      <c r="K61" s="204"/>
      <c r="L61" s="460">
        <v>0.89012066365007547</v>
      </c>
      <c r="M61" s="407"/>
    </row>
    <row r="62" spans="1:14" ht="15.75">
      <c r="A62" s="219" t="s">
        <v>234</v>
      </c>
      <c r="B62" s="19"/>
      <c r="C62" s="19"/>
      <c r="D62" s="19"/>
      <c r="E62" s="19"/>
      <c r="F62" s="19"/>
      <c r="G62" s="58"/>
      <c r="J62" s="372" t="s">
        <v>266</v>
      </c>
      <c r="K62" s="204"/>
      <c r="L62" s="460">
        <v>0.89012066365007547</v>
      </c>
      <c r="M62" s="407"/>
      <c r="N62" s="406"/>
    </row>
    <row r="63" spans="1:14" ht="15.75">
      <c r="A63" s="215" t="s">
        <v>299</v>
      </c>
      <c r="B63" s="204"/>
      <c r="C63" s="371">
        <f>CF!D47</f>
        <v>2.9802322387695314E-9</v>
      </c>
      <c r="D63" s="19"/>
      <c r="E63" s="19"/>
      <c r="F63" s="19"/>
      <c r="G63" s="58"/>
      <c r="J63" s="215" t="s">
        <v>239</v>
      </c>
      <c r="K63" s="204"/>
      <c r="L63" s="460">
        <v>7.0000000000000007E-2</v>
      </c>
      <c r="M63" s="407"/>
    </row>
    <row r="64" spans="1:14" ht="15.75">
      <c r="A64" s="215" t="s">
        <v>297</v>
      </c>
      <c r="B64" s="19"/>
      <c r="C64" s="371">
        <f>CF!D53</f>
        <v>2.9802322387695314E-9</v>
      </c>
      <c r="D64" s="204"/>
      <c r="E64" s="19"/>
      <c r="F64" s="204"/>
      <c r="G64" s="216"/>
      <c r="J64" s="215" t="s">
        <v>281</v>
      </c>
      <c r="K64" s="204"/>
      <c r="L64" s="58"/>
      <c r="M64" s="407"/>
    </row>
    <row r="65" spans="1:29" ht="15.75">
      <c r="A65" s="215" t="s">
        <v>298</v>
      </c>
      <c r="B65" s="204"/>
      <c r="C65" s="371">
        <f>CF!D59</f>
        <v>2.9802322387695314E-9</v>
      </c>
      <c r="D65" s="204"/>
      <c r="E65" s="19"/>
      <c r="F65" s="204"/>
      <c r="G65" s="216"/>
      <c r="J65" s="215" t="s">
        <v>83</v>
      </c>
      <c r="K65" s="204"/>
      <c r="L65" s="451">
        <v>0.03</v>
      </c>
      <c r="M65" s="407"/>
    </row>
    <row r="66" spans="1:29" ht="15.75">
      <c r="A66" s="215"/>
      <c r="B66" s="233"/>
      <c r="C66" s="227"/>
      <c r="D66" s="371"/>
      <c r="E66" s="204"/>
      <c r="F66" s="204"/>
      <c r="G66" s="216"/>
      <c r="J66" s="215" t="s">
        <v>221</v>
      </c>
      <c r="K66" s="204"/>
      <c r="L66" s="461">
        <v>8</v>
      </c>
      <c r="M66" s="407"/>
    </row>
    <row r="67" spans="1:29" ht="15.75">
      <c r="A67" s="219" t="s">
        <v>235</v>
      </c>
      <c r="B67" s="203">
        <v>2000</v>
      </c>
      <c r="C67" s="203">
        <v>2001</v>
      </c>
      <c r="D67" s="203">
        <v>2002</v>
      </c>
      <c r="E67" s="203">
        <v>2003</v>
      </c>
      <c r="F67" s="203">
        <v>2004</v>
      </c>
      <c r="G67" s="58"/>
      <c r="J67" s="215"/>
      <c r="K67" s="204"/>
      <c r="L67" s="58"/>
      <c r="M67" s="407"/>
    </row>
    <row r="68" spans="1:29" ht="15.75">
      <c r="A68" s="215" t="s">
        <v>300</v>
      </c>
      <c r="B68" s="228">
        <f>IS!E34</f>
        <v>191679.89363134684</v>
      </c>
      <c r="C68" s="228">
        <f>IS!F34</f>
        <v>194269.70607309227</v>
      </c>
      <c r="D68" s="228">
        <f>IS!G34</f>
        <v>199882.47094726091</v>
      </c>
      <c r="E68" s="228">
        <f>IS!H34</f>
        <v>203552.41214909221</v>
      </c>
      <c r="F68" s="228">
        <f>IS!I34</f>
        <v>212835.14857700432</v>
      </c>
      <c r="G68" s="58"/>
      <c r="J68" s="238" t="s">
        <v>240</v>
      </c>
      <c r="K68" s="204"/>
      <c r="L68" s="216"/>
      <c r="M68" s="407"/>
    </row>
    <row r="69" spans="1:29" ht="15.75">
      <c r="A69" s="215" t="s">
        <v>301</v>
      </c>
      <c r="B69" s="228">
        <f>IS!E47</f>
        <v>83452.227923341183</v>
      </c>
      <c r="C69" s="228">
        <f>IS!F47</f>
        <v>85034.603325247634</v>
      </c>
      <c r="D69" s="228">
        <f>IS!G47</f>
        <v>88464.002663364663</v>
      </c>
      <c r="E69" s="228">
        <f>IS!H47</f>
        <v>90706.336737683596</v>
      </c>
      <c r="F69" s="228">
        <f>IS!I47</f>
        <v>96378.088695137893</v>
      </c>
      <c r="G69" s="58"/>
      <c r="J69" s="215" t="s">
        <v>84</v>
      </c>
      <c r="K69" s="204"/>
      <c r="L69" s="462">
        <f>701.45</f>
        <v>701.45</v>
      </c>
    </row>
    <row r="70" spans="1:29" ht="15.75">
      <c r="A70" s="215" t="s">
        <v>302</v>
      </c>
      <c r="B70" s="228">
        <f>CF!E18</f>
        <v>88942.940506346844</v>
      </c>
      <c r="C70" s="228">
        <f>CF!F18</f>
        <v>95065.390448092265</v>
      </c>
      <c r="D70" s="228">
        <f>CF!G18</f>
        <v>104210.7928222609</v>
      </c>
      <c r="E70" s="228">
        <f>CF!H18</f>
        <v>111413.37152409222</v>
      </c>
      <c r="F70" s="228">
        <f>CF!I18</f>
        <v>124228.74545200432</v>
      </c>
      <c r="G70" s="58"/>
      <c r="J70" s="215" t="s">
        <v>85</v>
      </c>
      <c r="K70" s="204"/>
      <c r="L70" s="273">
        <f>L61*L38/1000</f>
        <v>4256.0407435897441</v>
      </c>
    </row>
    <row r="71" spans="1:29" ht="16.5" thickBot="1">
      <c r="A71" s="217" t="s">
        <v>303</v>
      </c>
      <c r="B71" s="229">
        <f>CF!E23</f>
        <v>59204.818584658206</v>
      </c>
      <c r="C71" s="229">
        <f>CF!F23</f>
        <v>59875.223316474134</v>
      </c>
      <c r="D71" s="229">
        <f>CF!G23</f>
        <v>62860.505476089122</v>
      </c>
      <c r="E71" s="229">
        <f>CF!H23</f>
        <v>65033.005165176786</v>
      </c>
      <c r="F71" s="229">
        <f>CF!I23</f>
        <v>70962.420181511741</v>
      </c>
      <c r="G71" s="149"/>
      <c r="J71" s="215" t="s">
        <v>86</v>
      </c>
      <c r="K71" s="204"/>
      <c r="L71" s="462">
        <v>1349.28</v>
      </c>
    </row>
    <row r="72" spans="1:29" ht="15.75">
      <c r="J72" s="215" t="s">
        <v>88</v>
      </c>
      <c r="K72" s="204"/>
      <c r="L72" s="462">
        <f>255.76</f>
        <v>255.76</v>
      </c>
    </row>
    <row r="73" spans="1:29" ht="15.75">
      <c r="J73" s="215" t="s">
        <v>89</v>
      </c>
      <c r="K73" s="204"/>
      <c r="L73" s="462">
        <f>443.2203</f>
        <v>443.22030000000001</v>
      </c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>
      <c r="J74" s="215" t="s">
        <v>90</v>
      </c>
      <c r="K74" s="204"/>
      <c r="L74" s="462">
        <f>44.11203</f>
        <v>44.112029999999997</v>
      </c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>
      <c r="J75" s="215" t="s">
        <v>91</v>
      </c>
      <c r="K75" s="204"/>
      <c r="L75" s="462">
        <v>152.94117647058826</v>
      </c>
      <c r="M75"/>
      <c r="N75" s="408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>
      <c r="J76" s="215" t="s">
        <v>92</v>
      </c>
      <c r="K76" s="204"/>
      <c r="L76" s="462">
        <v>200</v>
      </c>
      <c r="M76"/>
      <c r="N76" s="19"/>
      <c r="O76" s="19"/>
      <c r="P76" s="15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>
      <c r="J77" s="215"/>
      <c r="K77" s="204"/>
      <c r="L77" s="216"/>
      <c r="M77"/>
      <c r="N77" s="19"/>
      <c r="O77" s="19"/>
      <c r="P77" s="15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>
      <c r="J78" s="238" t="s">
        <v>241</v>
      </c>
      <c r="K78" s="204"/>
      <c r="L78" s="216"/>
      <c r="M78"/>
      <c r="N78" s="19"/>
      <c r="O78" s="19"/>
      <c r="P78" s="15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6.5" thickBot="1">
      <c r="J79" s="217" t="s">
        <v>242</v>
      </c>
      <c r="K79" s="218"/>
      <c r="L79" s="463">
        <v>844.78697579030927</v>
      </c>
      <c r="M79"/>
      <c r="N79" s="19"/>
      <c r="O79" s="19"/>
      <c r="P79" s="400"/>
      <c r="Q79" s="399"/>
      <c r="R79" s="399"/>
      <c r="S79" s="39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>
      <c r="J80"/>
      <c r="K80"/>
      <c r="L80"/>
      <c r="M80"/>
      <c r="N80" s="399"/>
      <c r="O80" s="399"/>
      <c r="P80" s="398"/>
      <c r="Q80" s="401"/>
      <c r="R80" s="401"/>
      <c r="S80" s="401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ht="15.75">
      <c r="J81"/>
      <c r="K81"/>
      <c r="L81"/>
      <c r="M81"/>
      <c r="N81" s="401"/>
      <c r="O81" s="401"/>
      <c r="P81" s="403"/>
      <c r="Q81" s="402"/>
      <c r="R81" s="402"/>
      <c r="S81" s="402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ht="15.75">
      <c r="L82"/>
      <c r="M82"/>
      <c r="N82" s="402"/>
      <c r="O82" s="402"/>
      <c r="P82" s="403"/>
      <c r="Q82" s="402"/>
      <c r="R82" s="402"/>
      <c r="S82" s="402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ht="15.75">
      <c r="J83"/>
      <c r="K83"/>
      <c r="L83"/>
      <c r="M83"/>
      <c r="N83" s="402"/>
      <c r="O83" s="402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>
      <c r="M84"/>
      <c r="N84" s="19"/>
      <c r="O84" s="19"/>
    </row>
    <row r="85" spans="10:29">
      <c r="M85"/>
    </row>
    <row r="86" spans="10:29" ht="15.75">
      <c r="M86"/>
      <c r="N86" s="408"/>
    </row>
    <row r="87" spans="10:29">
      <c r="M87"/>
      <c r="N87" s="19"/>
    </row>
    <row r="88" spans="10:29">
      <c r="M88"/>
      <c r="N88" s="19"/>
    </row>
    <row r="89" spans="10:29">
      <c r="M89"/>
      <c r="N89" s="19"/>
    </row>
    <row r="90" spans="10:29">
      <c r="M90"/>
      <c r="N90" s="19"/>
    </row>
    <row r="91" spans="10:29">
      <c r="M91"/>
      <c r="N91" s="19"/>
    </row>
    <row r="92" spans="10:29">
      <c r="J92"/>
      <c r="K92"/>
      <c r="L92"/>
      <c r="M92"/>
      <c r="N92" s="19"/>
    </row>
    <row r="93" spans="10:29" ht="15.75">
      <c r="M93"/>
      <c r="N93" s="399"/>
    </row>
    <row r="94" spans="10:29" ht="15.75">
      <c r="M94"/>
      <c r="N94" s="401"/>
    </row>
    <row r="95" spans="10:29" ht="15.75">
      <c r="M95"/>
      <c r="N95" s="402"/>
    </row>
    <row r="96" spans="10:29" ht="15.75">
      <c r="M96"/>
      <c r="N96" s="402"/>
    </row>
    <row r="97" spans="10:13">
      <c r="M97"/>
    </row>
    <row r="98" spans="10:13">
      <c r="M98"/>
    </row>
    <row r="99" spans="10:13">
      <c r="J99"/>
      <c r="K99"/>
      <c r="L99"/>
      <c r="M99"/>
    </row>
    <row r="100" spans="10:13">
      <c r="M100"/>
    </row>
    <row r="101" spans="10:13">
      <c r="J101"/>
      <c r="K101"/>
      <c r="L101"/>
      <c r="M101"/>
    </row>
    <row r="102" spans="10:13">
      <c r="J102"/>
      <c r="K102"/>
      <c r="L102"/>
      <c r="M102"/>
    </row>
    <row r="103" spans="10:13">
      <c r="J103"/>
      <c r="K103"/>
      <c r="L103"/>
    </row>
    <row r="104" spans="10:13">
      <c r="J104"/>
      <c r="K104"/>
      <c r="L104"/>
    </row>
    <row r="105" spans="10:13">
      <c r="J105"/>
      <c r="K105"/>
      <c r="L105"/>
    </row>
    <row r="106" spans="10:13">
      <c r="J106"/>
      <c r="K106"/>
      <c r="L106"/>
    </row>
    <row r="110" spans="10:13">
      <c r="J110"/>
      <c r="K110"/>
      <c r="L110"/>
    </row>
    <row r="111" spans="10:13">
      <c r="J111"/>
      <c r="K111"/>
      <c r="L111"/>
    </row>
    <row r="112" spans="10:13">
      <c r="J112"/>
      <c r="K112"/>
      <c r="L112"/>
    </row>
    <row r="113" spans="10:12">
      <c r="J113"/>
      <c r="K113"/>
      <c r="L113"/>
    </row>
    <row r="114" spans="10:12">
      <c r="J114"/>
      <c r="K114"/>
      <c r="L114"/>
    </row>
    <row r="115" spans="10:12">
      <c r="J115"/>
      <c r="K115"/>
      <c r="L115"/>
    </row>
  </sheetData>
  <pageMargins left="0.18" right="0.17" top="0.37" bottom="0.4" header="0.17" footer="0.21"/>
  <pageSetup scale="40" orientation="landscape" r:id="rId1"/>
  <headerFooter alignWithMargins="0">
    <oddFooter>&amp;L&amp;T, 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>
      <selection activeCell="F25" sqref="F25"/>
    </sheetView>
  </sheetViews>
  <sheetFormatPr defaultColWidth="9.28515625" defaultRowHeight="15.75"/>
  <cols>
    <col min="1" max="1" width="9.5703125" style="66" customWidth="1"/>
    <col min="2" max="2" width="37.28515625" style="66" bestFit="1" customWidth="1"/>
    <col min="3" max="3" width="11.140625" style="66" customWidth="1"/>
    <col min="4" max="4" width="3.7109375" style="66" customWidth="1"/>
    <col min="5" max="9" width="9.85546875" style="66" customWidth="1"/>
    <col min="10" max="11" width="11.5703125" style="66" customWidth="1"/>
    <col min="12" max="12" width="10.28515625" style="66" customWidth="1"/>
    <col min="13" max="26" width="9.85546875" style="66" customWidth="1"/>
    <col min="27" max="16384" width="9.28515625" style="66"/>
  </cols>
  <sheetData>
    <row r="2" spans="1:27" ht="18.75">
      <c r="A2" s="163" t="str">
        <f>Assumptions!A3</f>
        <v>PROJECT NAME:</v>
      </c>
    </row>
    <row r="3" spans="1:27" ht="12" customHeight="1">
      <c r="A3" s="39"/>
      <c r="E3" s="289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</row>
    <row r="4" spans="1:27" ht="18.75">
      <c r="A4" s="448" t="s">
        <v>282</v>
      </c>
      <c r="B4" s="291"/>
      <c r="C4" s="124"/>
      <c r="D4" s="124"/>
      <c r="E4" s="289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</row>
    <row r="5" spans="1:27"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</row>
    <row r="6" spans="1:27">
      <c r="A6" s="338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1:27">
      <c r="A7" s="338"/>
      <c r="B7" s="302" t="s">
        <v>246</v>
      </c>
      <c r="C7" s="395">
        <f>Assumptions!L65</f>
        <v>0.03</v>
      </c>
      <c r="D7" s="321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</row>
    <row r="8" spans="1:27">
      <c r="A8" s="204"/>
      <c r="B8" s="292"/>
      <c r="C8" s="293"/>
      <c r="D8" s="293"/>
      <c r="E8" s="204"/>
      <c r="F8" s="204"/>
      <c r="G8" s="204"/>
      <c r="H8" s="204"/>
      <c r="I8" s="29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</row>
    <row r="9" spans="1:27">
      <c r="A9" s="336"/>
      <c r="B9" s="204"/>
      <c r="C9" s="204"/>
      <c r="D9" s="204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</row>
    <row r="10" spans="1:27">
      <c r="A10" s="204"/>
      <c r="B10" s="204"/>
      <c r="C10" s="204"/>
      <c r="D10" s="204"/>
      <c r="E10" s="296"/>
      <c r="F10" s="296">
        <v>2000</v>
      </c>
      <c r="G10" s="296">
        <f t="shared" ref="G10:Z10" si="0">F10+1</f>
        <v>2001</v>
      </c>
      <c r="H10" s="296">
        <f t="shared" si="0"/>
        <v>2002</v>
      </c>
      <c r="I10" s="296">
        <f t="shared" si="0"/>
        <v>2003</v>
      </c>
      <c r="J10" s="296">
        <f t="shared" si="0"/>
        <v>2004</v>
      </c>
      <c r="K10" s="296">
        <f t="shared" si="0"/>
        <v>2005</v>
      </c>
      <c r="L10" s="296">
        <f t="shared" si="0"/>
        <v>2006</v>
      </c>
      <c r="M10" s="296">
        <f t="shared" si="0"/>
        <v>2007</v>
      </c>
      <c r="N10" s="296">
        <f t="shared" si="0"/>
        <v>2008</v>
      </c>
      <c r="O10" s="296">
        <f t="shared" si="0"/>
        <v>2009</v>
      </c>
      <c r="P10" s="296">
        <f t="shared" si="0"/>
        <v>2010</v>
      </c>
      <c r="Q10" s="296">
        <f t="shared" si="0"/>
        <v>2011</v>
      </c>
      <c r="R10" s="296">
        <f t="shared" si="0"/>
        <v>2012</v>
      </c>
      <c r="S10" s="296">
        <f t="shared" si="0"/>
        <v>2013</v>
      </c>
      <c r="T10" s="296">
        <f t="shared" si="0"/>
        <v>2014</v>
      </c>
      <c r="U10" s="296">
        <f t="shared" si="0"/>
        <v>2015</v>
      </c>
      <c r="V10" s="296">
        <f t="shared" si="0"/>
        <v>2016</v>
      </c>
      <c r="W10" s="296">
        <f t="shared" si="0"/>
        <v>2017</v>
      </c>
      <c r="X10" s="296">
        <f t="shared" si="0"/>
        <v>2018</v>
      </c>
      <c r="Y10" s="296">
        <f t="shared" si="0"/>
        <v>2019</v>
      </c>
      <c r="Z10" s="296">
        <f t="shared" si="0"/>
        <v>2020</v>
      </c>
      <c r="AA10" s="296">
        <f>Z10+1</f>
        <v>2021</v>
      </c>
    </row>
    <row r="11" spans="1:27">
      <c r="A11" s="204"/>
      <c r="B11" s="204"/>
      <c r="C11" s="204"/>
      <c r="D11" s="204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</row>
    <row r="12" spans="1:27">
      <c r="A12" s="339" t="s">
        <v>247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</row>
    <row r="13" spans="1:27">
      <c r="A13" s="204"/>
      <c r="B13" s="204" t="s">
        <v>251</v>
      </c>
      <c r="C13" s="297"/>
      <c r="D13" s="297"/>
      <c r="E13" s="298"/>
      <c r="F13" s="521">
        <v>66</v>
      </c>
      <c r="G13" s="521">
        <v>66</v>
      </c>
      <c r="H13" s="521">
        <v>65</v>
      </c>
      <c r="I13" s="521">
        <v>65</v>
      </c>
      <c r="J13" s="521">
        <v>65</v>
      </c>
      <c r="K13" s="521">
        <v>65</v>
      </c>
      <c r="L13" s="521">
        <v>64</v>
      </c>
      <c r="M13" s="521">
        <v>63</v>
      </c>
      <c r="N13" s="521">
        <v>62</v>
      </c>
      <c r="O13" s="521">
        <v>61</v>
      </c>
      <c r="P13" s="521">
        <v>60</v>
      </c>
      <c r="Q13" s="521">
        <v>59</v>
      </c>
      <c r="R13" s="521">
        <v>58</v>
      </c>
      <c r="S13" s="521">
        <v>56</v>
      </c>
      <c r="T13" s="521">
        <v>55</v>
      </c>
      <c r="U13" s="521">
        <v>54</v>
      </c>
      <c r="V13" s="521">
        <v>53</v>
      </c>
      <c r="W13" s="521">
        <v>52</v>
      </c>
      <c r="X13" s="521">
        <v>51</v>
      </c>
      <c r="Y13" s="521">
        <v>49</v>
      </c>
      <c r="Z13" s="521">
        <v>48</v>
      </c>
      <c r="AA13" s="521">
        <v>45</v>
      </c>
    </row>
    <row r="14" spans="1:27">
      <c r="A14" s="204"/>
      <c r="B14" s="204" t="s">
        <v>250</v>
      </c>
      <c r="C14" s="204"/>
      <c r="D14" s="204"/>
      <c r="E14" s="298"/>
      <c r="F14" s="521">
        <v>54</v>
      </c>
      <c r="G14" s="521">
        <v>54</v>
      </c>
      <c r="H14" s="521">
        <v>54</v>
      </c>
      <c r="I14" s="521">
        <v>54</v>
      </c>
      <c r="J14" s="521">
        <v>54</v>
      </c>
      <c r="K14" s="521">
        <v>53</v>
      </c>
      <c r="L14" s="521">
        <v>53</v>
      </c>
      <c r="M14" s="521">
        <v>52</v>
      </c>
      <c r="N14" s="521">
        <v>51</v>
      </c>
      <c r="O14" s="521">
        <v>50</v>
      </c>
      <c r="P14" s="521">
        <v>49</v>
      </c>
      <c r="Q14" s="521">
        <v>48</v>
      </c>
      <c r="R14" s="521">
        <v>46</v>
      </c>
      <c r="S14" s="521">
        <v>44</v>
      </c>
      <c r="T14" s="521">
        <v>43</v>
      </c>
      <c r="U14" s="521">
        <v>41</v>
      </c>
      <c r="V14" s="521">
        <v>40</v>
      </c>
      <c r="W14" s="521">
        <v>39</v>
      </c>
      <c r="X14" s="521">
        <v>39</v>
      </c>
      <c r="Y14" s="521">
        <v>38</v>
      </c>
      <c r="Z14" s="521">
        <v>37</v>
      </c>
      <c r="AA14" s="521">
        <v>34</v>
      </c>
    </row>
    <row r="15" spans="1:27">
      <c r="A15" s="204"/>
      <c r="B15" s="204"/>
      <c r="C15" s="204"/>
      <c r="D15" s="204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</row>
    <row r="16" spans="1:27">
      <c r="A16" s="339" t="s">
        <v>248</v>
      </c>
      <c r="B16" s="204"/>
      <c r="C16" s="204"/>
      <c r="D16" s="204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</row>
    <row r="17" spans="1:46">
      <c r="A17" s="204"/>
      <c r="B17" s="204" t="s">
        <v>249</v>
      </c>
      <c r="C17" s="300"/>
      <c r="D17" s="300"/>
      <c r="E17" s="298"/>
      <c r="F17" s="521">
        <v>70.01939999999999</v>
      </c>
      <c r="G17" s="521">
        <v>72.119981999999993</v>
      </c>
      <c r="H17" s="521">
        <v>73.158072649999994</v>
      </c>
      <c r="I17" s="521">
        <v>75.352814829499991</v>
      </c>
      <c r="J17" s="521">
        <v>77.613399274384989</v>
      </c>
      <c r="K17" s="521">
        <v>79.941801252616543</v>
      </c>
      <c r="L17" s="521">
        <v>81.07328520880742</v>
      </c>
      <c r="M17" s="521">
        <v>82.200710581242404</v>
      </c>
      <c r="N17" s="521">
        <v>83.322815519335549</v>
      </c>
      <c r="O17" s="521">
        <v>84.43826611419118</v>
      </c>
      <c r="P17" s="521">
        <v>85.545653210770723</v>
      </c>
      <c r="Q17" s="521">
        <v>86.643489093642273</v>
      </c>
      <c r="R17" s="521">
        <v>87.730204041596437</v>
      </c>
      <c r="S17" s="521">
        <v>87.24617532964281</v>
      </c>
      <c r="T17" s="521">
        <v>88.258854150433294</v>
      </c>
      <c r="U17" s="521">
        <v>89.253772142674535</v>
      </c>
      <c r="V17" s="521">
        <v>90.228952245714865</v>
      </c>
      <c r="W17" s="521">
        <v>91.18231476000922</v>
      </c>
      <c r="X17" s="521">
        <v>92.11167296814007</v>
      </c>
      <c r="Y17" s="521">
        <v>91.154434013765268</v>
      </c>
      <c r="Z17" s="521">
        <v>91.972963625317462</v>
      </c>
      <c r="AA17" s="521">
        <v>88.81139300069718</v>
      </c>
    </row>
    <row r="18" spans="1:46">
      <c r="A18" s="204"/>
      <c r="B18" s="204" t="s">
        <v>250</v>
      </c>
      <c r="C18" s="204"/>
      <c r="D18" s="204"/>
      <c r="E18" s="298"/>
      <c r="F18" s="521">
        <v>57.288599999999995</v>
      </c>
      <c r="G18" s="521">
        <v>59.007258</v>
      </c>
      <c r="H18" s="521">
        <v>60.777475739999993</v>
      </c>
      <c r="I18" s="521">
        <v>62.60080001219999</v>
      </c>
      <c r="J18" s="521">
        <v>64.478824012565994</v>
      </c>
      <c r="K18" s="521">
        <v>65.183314867518106</v>
      </c>
      <c r="L18" s="521">
        <v>67.138814313543648</v>
      </c>
      <c r="M18" s="521">
        <v>67.848205559120714</v>
      </c>
      <c r="N18" s="521">
        <v>68.539735346550216</v>
      </c>
      <c r="O18" s="521">
        <v>69.21169353622227</v>
      </c>
      <c r="P18" s="521">
        <v>69.862283455462759</v>
      </c>
      <c r="Q18" s="521">
        <v>70.489618245675075</v>
      </c>
      <c r="R18" s="521">
        <v>69.579127343335102</v>
      </c>
      <c r="S18" s="521">
        <v>68.550566330433639</v>
      </c>
      <c r="T18" s="521">
        <v>69.002376881247841</v>
      </c>
      <c r="U18" s="521">
        <v>67.76675292314178</v>
      </c>
      <c r="V18" s="521">
        <v>68.097322449596135</v>
      </c>
      <c r="W18" s="521">
        <v>68.386736070006904</v>
      </c>
      <c r="X18" s="521">
        <v>70.438338152107121</v>
      </c>
      <c r="Y18" s="521">
        <v>70.691193724960826</v>
      </c>
      <c r="Z18" s="521">
        <v>70.895826127848878</v>
      </c>
      <c r="AA18" s="521">
        <v>67.101941378304531</v>
      </c>
    </row>
    <row r="19" spans="1:46">
      <c r="A19" s="204"/>
      <c r="B19" s="204"/>
      <c r="C19" s="204"/>
      <c r="D19" s="204"/>
      <c r="E19" s="20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</row>
    <row r="20" spans="1:46">
      <c r="A20" s="204">
        <v>1</v>
      </c>
      <c r="B20" s="204" t="s">
        <v>252</v>
      </c>
      <c r="C20" s="204"/>
      <c r="D20" s="204"/>
      <c r="E20" s="301"/>
      <c r="F20" s="301">
        <f>F17/12</f>
        <v>5.8349499999999992</v>
      </c>
      <c r="G20" s="301">
        <f t="shared" ref="G20:Z20" si="1">G17/12</f>
        <v>6.0099984999999991</v>
      </c>
      <c r="H20" s="301">
        <f t="shared" si="1"/>
        <v>6.0965060541666665</v>
      </c>
      <c r="I20" s="301">
        <f t="shared" si="1"/>
        <v>6.2794012357916662</v>
      </c>
      <c r="J20" s="301">
        <f t="shared" si="1"/>
        <v>6.4677832728654154</v>
      </c>
      <c r="K20" s="301">
        <f t="shared" si="1"/>
        <v>6.6618167710513783</v>
      </c>
      <c r="L20" s="301">
        <f t="shared" si="1"/>
        <v>6.7561071007339519</v>
      </c>
      <c r="M20" s="301">
        <f t="shared" si="1"/>
        <v>6.850059215103534</v>
      </c>
      <c r="N20" s="301">
        <f t="shared" si="1"/>
        <v>6.9435679599446294</v>
      </c>
      <c r="O20" s="301">
        <f t="shared" si="1"/>
        <v>7.036522176182598</v>
      </c>
      <c r="P20" s="301">
        <f t="shared" si="1"/>
        <v>7.1288044342308936</v>
      </c>
      <c r="Q20" s="301">
        <f t="shared" si="1"/>
        <v>7.2202907578035225</v>
      </c>
      <c r="R20" s="301">
        <f t="shared" si="1"/>
        <v>7.3108503367997031</v>
      </c>
      <c r="S20" s="301">
        <f t="shared" si="1"/>
        <v>7.2705146108035672</v>
      </c>
      <c r="T20" s="301">
        <f t="shared" si="1"/>
        <v>7.3549045125361081</v>
      </c>
      <c r="U20" s="301">
        <f t="shared" si="1"/>
        <v>7.4378143452228782</v>
      </c>
      <c r="V20" s="301">
        <f t="shared" si="1"/>
        <v>7.5190793538095724</v>
      </c>
      <c r="W20" s="301">
        <f t="shared" si="1"/>
        <v>7.5985262300007683</v>
      </c>
      <c r="X20" s="301">
        <f t="shared" si="1"/>
        <v>7.6759727473450061</v>
      </c>
      <c r="Y20" s="301">
        <f t="shared" si="1"/>
        <v>7.5962028344804393</v>
      </c>
      <c r="Z20" s="301">
        <f t="shared" si="1"/>
        <v>7.6644136354431218</v>
      </c>
      <c r="AA20" s="301">
        <f>AA17/12</f>
        <v>7.4009494167247647</v>
      </c>
    </row>
    <row r="21" spans="1:46">
      <c r="A21" s="204">
        <v>2</v>
      </c>
      <c r="B21" s="204" t="s">
        <v>253</v>
      </c>
      <c r="C21" s="204"/>
      <c r="D21" s="204"/>
      <c r="E21" s="301"/>
      <c r="F21" s="301">
        <f>F18/12</f>
        <v>4.7740499999999999</v>
      </c>
      <c r="G21" s="301">
        <f t="shared" ref="G21:Z21" si="2">G18/12</f>
        <v>4.9172715</v>
      </c>
      <c r="H21" s="301">
        <f t="shared" si="2"/>
        <v>5.0647896449999994</v>
      </c>
      <c r="I21" s="301">
        <f t="shared" si="2"/>
        <v>5.2167333343499989</v>
      </c>
      <c r="J21" s="301">
        <f t="shared" si="2"/>
        <v>5.3732353343804995</v>
      </c>
      <c r="K21" s="301">
        <f t="shared" si="2"/>
        <v>5.4319429056265092</v>
      </c>
      <c r="L21" s="301">
        <f t="shared" si="2"/>
        <v>5.5949011927953043</v>
      </c>
      <c r="M21" s="301">
        <f t="shared" si="2"/>
        <v>5.6540171299267259</v>
      </c>
      <c r="N21" s="301">
        <f t="shared" si="2"/>
        <v>5.7116446122125177</v>
      </c>
      <c r="O21" s="301">
        <f t="shared" si="2"/>
        <v>5.7676411280185222</v>
      </c>
      <c r="P21" s="301">
        <f t="shared" si="2"/>
        <v>5.8218569546218966</v>
      </c>
      <c r="Q21" s="301">
        <f t="shared" si="2"/>
        <v>5.8741348538062566</v>
      </c>
      <c r="R21" s="301">
        <f t="shared" si="2"/>
        <v>5.7982606119445919</v>
      </c>
      <c r="S21" s="301">
        <f t="shared" si="2"/>
        <v>5.712547194202803</v>
      </c>
      <c r="T21" s="301">
        <f t="shared" si="2"/>
        <v>5.7501980734373204</v>
      </c>
      <c r="U21" s="301">
        <f t="shared" si="2"/>
        <v>5.647229410261815</v>
      </c>
      <c r="V21" s="301">
        <f t="shared" si="2"/>
        <v>5.6747768707996782</v>
      </c>
      <c r="W21" s="301">
        <f t="shared" si="2"/>
        <v>5.6988946725005754</v>
      </c>
      <c r="X21" s="301">
        <f t="shared" si="2"/>
        <v>5.8698615126755938</v>
      </c>
      <c r="Y21" s="301">
        <f t="shared" si="2"/>
        <v>5.8909328104134024</v>
      </c>
      <c r="Z21" s="301">
        <f t="shared" si="2"/>
        <v>5.9079855106540728</v>
      </c>
      <c r="AA21" s="301">
        <f>AA18/12</f>
        <v>5.5918284481920439</v>
      </c>
    </row>
    <row r="22" spans="1:46">
      <c r="A22" s="204">
        <v>3</v>
      </c>
      <c r="B22" s="204" t="s">
        <v>256</v>
      </c>
      <c r="C22" s="204"/>
      <c r="D22" s="204"/>
      <c r="E22" s="301"/>
      <c r="F22" s="521">
        <v>0</v>
      </c>
      <c r="G22" s="521">
        <v>0</v>
      </c>
      <c r="H22" s="521">
        <v>0</v>
      </c>
      <c r="I22" s="521">
        <v>0</v>
      </c>
      <c r="J22" s="521">
        <v>0</v>
      </c>
      <c r="K22" s="521">
        <v>0</v>
      </c>
      <c r="L22" s="521">
        <v>0</v>
      </c>
      <c r="M22" s="521">
        <v>0</v>
      </c>
      <c r="N22" s="521">
        <v>0</v>
      </c>
      <c r="O22" s="521">
        <v>0</v>
      </c>
      <c r="P22" s="521">
        <v>0</v>
      </c>
      <c r="Q22" s="521">
        <v>0</v>
      </c>
      <c r="R22" s="521">
        <v>0</v>
      </c>
      <c r="S22" s="521">
        <v>0</v>
      </c>
      <c r="T22" s="521">
        <v>0</v>
      </c>
      <c r="U22" s="521">
        <v>0</v>
      </c>
      <c r="V22" s="521">
        <v>0</v>
      </c>
      <c r="W22" s="521">
        <v>0</v>
      </c>
      <c r="X22" s="521">
        <v>0</v>
      </c>
      <c r="Y22" s="521">
        <v>0</v>
      </c>
      <c r="Z22" s="521">
        <v>0</v>
      </c>
      <c r="AA22" s="521">
        <v>0</v>
      </c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  <c r="AL22" s="301"/>
      <c r="AM22" s="301"/>
      <c r="AN22" s="301"/>
      <c r="AO22" s="301"/>
      <c r="AP22" s="301"/>
      <c r="AQ22" s="301"/>
      <c r="AR22" s="301"/>
      <c r="AS22" s="301"/>
      <c r="AT22" s="301"/>
    </row>
    <row r="23" spans="1:46">
      <c r="A23" s="204">
        <v>4</v>
      </c>
      <c r="B23" s="204" t="s">
        <v>93</v>
      </c>
      <c r="C23" s="204"/>
      <c r="D23" s="204"/>
      <c r="E23" s="301"/>
      <c r="F23" s="521">
        <v>4</v>
      </c>
      <c r="G23" s="521">
        <v>4</v>
      </c>
      <c r="H23" s="521">
        <v>4</v>
      </c>
      <c r="I23" s="521">
        <v>4</v>
      </c>
      <c r="J23" s="521">
        <v>4</v>
      </c>
      <c r="K23" s="521">
        <v>4</v>
      </c>
      <c r="L23" s="521">
        <v>4</v>
      </c>
      <c r="M23" s="521">
        <v>4</v>
      </c>
      <c r="N23" s="521">
        <v>4</v>
      </c>
      <c r="O23" s="521">
        <v>4</v>
      </c>
      <c r="P23" s="521">
        <v>4</v>
      </c>
      <c r="Q23" s="521">
        <v>4</v>
      </c>
      <c r="R23" s="521">
        <v>4</v>
      </c>
      <c r="S23" s="521">
        <v>4</v>
      </c>
      <c r="T23" s="521">
        <v>4</v>
      </c>
      <c r="U23" s="521">
        <v>4</v>
      </c>
      <c r="V23" s="521">
        <v>4</v>
      </c>
      <c r="W23" s="521">
        <v>4</v>
      </c>
      <c r="X23" s="521">
        <v>4</v>
      </c>
      <c r="Y23" s="521">
        <v>4</v>
      </c>
      <c r="Z23" s="521">
        <v>4</v>
      </c>
      <c r="AA23" s="521">
        <v>4</v>
      </c>
    </row>
    <row r="24" spans="1:46">
      <c r="A24" s="204"/>
      <c r="B24" s="204"/>
      <c r="C24" s="204"/>
      <c r="D24" s="204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</row>
    <row r="25" spans="1:46">
      <c r="A25" s="204"/>
      <c r="B25" s="302" t="s">
        <v>254</v>
      </c>
      <c r="C25" s="340">
        <v>1</v>
      </c>
      <c r="D25" s="304"/>
      <c r="F25" s="303">
        <f>CHOOSE($C$25,F20,F21,F22,F23)</f>
        <v>5.8349499999999992</v>
      </c>
      <c r="G25" s="303">
        <f t="shared" ref="G25:Z25" si="3">CHOOSE($C$25,G20,G21,G22,G23)</f>
        <v>6.0099984999999991</v>
      </c>
      <c r="H25" s="303">
        <f t="shared" si="3"/>
        <v>6.0965060541666665</v>
      </c>
      <c r="I25" s="303">
        <f t="shared" si="3"/>
        <v>6.2794012357916662</v>
      </c>
      <c r="J25" s="303">
        <f t="shared" si="3"/>
        <v>6.4677832728654154</v>
      </c>
      <c r="K25" s="303">
        <f t="shared" si="3"/>
        <v>6.6618167710513783</v>
      </c>
      <c r="L25" s="303">
        <f t="shared" si="3"/>
        <v>6.7561071007339519</v>
      </c>
      <c r="M25" s="303">
        <f t="shared" si="3"/>
        <v>6.850059215103534</v>
      </c>
      <c r="N25" s="303">
        <f t="shared" si="3"/>
        <v>6.9435679599446294</v>
      </c>
      <c r="O25" s="303">
        <f t="shared" si="3"/>
        <v>7.036522176182598</v>
      </c>
      <c r="P25" s="303">
        <f t="shared" si="3"/>
        <v>7.1288044342308936</v>
      </c>
      <c r="Q25" s="303">
        <f t="shared" si="3"/>
        <v>7.2202907578035225</v>
      </c>
      <c r="R25" s="303">
        <f t="shared" si="3"/>
        <v>7.3108503367997031</v>
      </c>
      <c r="S25" s="303">
        <f t="shared" si="3"/>
        <v>7.2705146108035672</v>
      </c>
      <c r="T25" s="303">
        <f t="shared" si="3"/>
        <v>7.3549045125361081</v>
      </c>
      <c r="U25" s="303">
        <f t="shared" si="3"/>
        <v>7.4378143452228782</v>
      </c>
      <c r="V25" s="303">
        <f t="shared" si="3"/>
        <v>7.5190793538095724</v>
      </c>
      <c r="W25" s="303">
        <f t="shared" si="3"/>
        <v>7.5985262300007683</v>
      </c>
      <c r="X25" s="303">
        <f t="shared" si="3"/>
        <v>7.6759727473450061</v>
      </c>
      <c r="Y25" s="303">
        <f t="shared" si="3"/>
        <v>7.5962028344804393</v>
      </c>
      <c r="Z25" s="303">
        <f t="shared" si="3"/>
        <v>7.6644136354431218</v>
      </c>
      <c r="AA25" s="303">
        <f>CHOOSE($C$25,AA20,AA21,AA22,AA23)</f>
        <v>7.4009494167247647</v>
      </c>
    </row>
    <row r="26" spans="1:46">
      <c r="A26" s="204"/>
      <c r="B26" s="302"/>
      <c r="C26" s="304"/>
      <c r="D26" s="304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9"/>
      <c r="AB26" s="306"/>
      <c r="AC26" s="306"/>
    </row>
    <row r="27" spans="1:46">
      <c r="A27" s="204"/>
      <c r="B27" s="204"/>
      <c r="C27" s="304"/>
      <c r="D27" s="304"/>
      <c r="E27" s="307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</row>
    <row r="28" spans="1:46">
      <c r="A28" s="204"/>
      <c r="B28" s="204"/>
      <c r="C28" s="304"/>
      <c r="D28" s="304"/>
      <c r="E28" s="307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308"/>
    </row>
    <row r="29" spans="1:46">
      <c r="A29" s="204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</row>
    <row r="30" spans="1:46">
      <c r="A30" s="204"/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</row>
    <row r="31" spans="1:46">
      <c r="A31" s="204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</row>
    <row r="32" spans="1:46">
      <c r="A32" s="204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</row>
    <row r="33" spans="1:26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</row>
    <row r="34" spans="1:26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</row>
    <row r="35" spans="1:26">
      <c r="A35" s="204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</row>
    <row r="36" spans="1:26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</row>
    <row r="37" spans="1:26">
      <c r="A37" s="204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</row>
    <row r="38" spans="1:26">
      <c r="A38" s="204"/>
      <c r="B38" s="204"/>
      <c r="C38" s="204"/>
      <c r="D38" s="204"/>
    </row>
    <row r="39" spans="1:26">
      <c r="A39" s="204"/>
      <c r="B39" s="204"/>
      <c r="C39" s="204"/>
      <c r="D39" s="204"/>
    </row>
  </sheetData>
  <pageMargins left="0.18" right="0.17" top="0.37" bottom="0.4" header="0.17" footer="0.21"/>
  <pageSetup scale="47" orientation="landscape" r:id="rId1"/>
  <headerFooter alignWithMargins="0"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65"/>
  <sheetViews>
    <sheetView zoomScale="75" zoomScaleNormal="75" workbookViewId="0"/>
  </sheetViews>
  <sheetFormatPr defaultRowHeight="12.75"/>
  <cols>
    <col min="1" max="1" width="34.42578125" customWidth="1"/>
    <col min="4" max="24" width="12.5703125" customWidth="1"/>
    <col min="25" max="25" width="13.28515625" bestFit="1" customWidth="1"/>
    <col min="26" max="27" width="12.5703125" style="165" customWidth="1"/>
  </cols>
  <sheetData>
    <row r="2" spans="1:27" ht="18.75">
      <c r="A2" s="163" t="str">
        <f>Assumptions!A3</f>
        <v>PROJECT NAME:</v>
      </c>
    </row>
    <row r="4" spans="1:27" ht="18.75">
      <c r="A4" s="107" t="s">
        <v>283</v>
      </c>
      <c r="B4" s="10"/>
    </row>
    <row r="7" spans="1:27" s="8" customFormat="1" ht="13.5" thickBot="1">
      <c r="A7" s="266" t="s">
        <v>94</v>
      </c>
      <c r="B7" s="9"/>
      <c r="C7" s="9"/>
      <c r="D7" s="9">
        <f>'Power Price Assumption'!F10</f>
        <v>2000</v>
      </c>
      <c r="E7" s="9">
        <f>'Power Price Assumption'!G10</f>
        <v>2001</v>
      </c>
      <c r="F7" s="9">
        <f>'Power Price Assumption'!H10</f>
        <v>2002</v>
      </c>
      <c r="G7" s="9">
        <f>'Power Price Assumption'!I10</f>
        <v>2003</v>
      </c>
      <c r="H7" s="9">
        <f>'Power Price Assumption'!J10</f>
        <v>2004</v>
      </c>
      <c r="I7" s="9">
        <f>'Power Price Assumption'!K10</f>
        <v>2005</v>
      </c>
      <c r="J7" s="9">
        <f>'Power Price Assumption'!L10</f>
        <v>2006</v>
      </c>
      <c r="K7" s="9">
        <f>'Power Price Assumption'!M10</f>
        <v>2007</v>
      </c>
      <c r="L7" s="9">
        <f>'Power Price Assumption'!N10</f>
        <v>2008</v>
      </c>
      <c r="M7" s="9">
        <f>'Power Price Assumption'!O10</f>
        <v>2009</v>
      </c>
      <c r="N7" s="9">
        <f>'Power Price Assumption'!P10</f>
        <v>2010</v>
      </c>
      <c r="O7" s="9">
        <f>'Power Price Assumption'!Q10</f>
        <v>2011</v>
      </c>
      <c r="P7" s="9">
        <f>'Power Price Assumption'!R10</f>
        <v>2012</v>
      </c>
      <c r="Q7" s="9">
        <f>'Power Price Assumption'!S10</f>
        <v>2013</v>
      </c>
      <c r="R7" s="9">
        <f>'Power Price Assumption'!T10</f>
        <v>2014</v>
      </c>
      <c r="S7" s="9">
        <f>'Power Price Assumption'!U10</f>
        <v>2015</v>
      </c>
      <c r="T7" s="9">
        <f>'Power Price Assumption'!V10</f>
        <v>2016</v>
      </c>
      <c r="U7" s="9">
        <f>'Power Price Assumption'!W10</f>
        <v>2017</v>
      </c>
      <c r="V7" s="9">
        <f>'Power Price Assumption'!X10</f>
        <v>2018</v>
      </c>
      <c r="W7" s="9">
        <f>'Power Price Assumption'!Y10</f>
        <v>2019</v>
      </c>
      <c r="X7" s="9">
        <f>'Power Price Assumption'!Z10</f>
        <v>2020</v>
      </c>
      <c r="Y7" s="9">
        <f>'Power Price Assumption'!AA10</f>
        <v>2021</v>
      </c>
      <c r="Z7" s="11"/>
      <c r="AA7" s="11"/>
    </row>
    <row r="8" spans="1:27">
      <c r="A8" s="3"/>
    </row>
    <row r="9" spans="1:27">
      <c r="A9" s="1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66"/>
      <c r="AA9" s="166"/>
    </row>
    <row r="10" spans="1:27">
      <c r="A10" s="4" t="s">
        <v>96</v>
      </c>
      <c r="D10" s="139">
        <f>Assumptions!$L$37*(1-Assumptions!$L$39)*'Power Price Assumption'!F25*Assumptions!L66</f>
        <v>128665.22210079998</v>
      </c>
      <c r="E10" s="139">
        <f>Assumptions!$L$37*(1-Assumptions!$L$39)*'Power Price Assumption'!G25*12</f>
        <v>198787.76814573599</v>
      </c>
      <c r="F10" s="139">
        <f>Assumptions!$L$37*(1-Assumptions!$L$39)*'Power Price Assumption'!H25*12</f>
        <v>201649.10723268217</v>
      </c>
      <c r="G10" s="139">
        <f>Assumptions!$L$37*(1-Assumptions!$L$39)*'Power Price Assumption'!I25*12</f>
        <v>207698.58044966264</v>
      </c>
      <c r="H10" s="139">
        <f>Assumptions!$L$37*(1-Assumptions!$L$39)*'Power Price Assumption'!J25*12</f>
        <v>213929.53786315248</v>
      </c>
      <c r="I10" s="139">
        <f>Assumptions!$L$37*(1-Assumptions!$L$39)*'Power Price Assumption'!K25*12</f>
        <v>220347.42399904708</v>
      </c>
      <c r="J10" s="139">
        <f>Assumptions!$L$37*(1-Assumptions!$L$39)*'Power Price Assumption'!L25*12</f>
        <v>223466.18753872594</v>
      </c>
      <c r="K10" s="139">
        <f>Assumptions!$L$37*(1-Assumptions!$L$39)*'Power Price Assumption'!M25*12</f>
        <v>226573.76420918634</v>
      </c>
      <c r="L10" s="139">
        <f>Assumptions!$L$37*(1-Assumptions!$L$39)*'Power Price Assumption'!N25*12</f>
        <v>229666.67591108952</v>
      </c>
      <c r="M10" s="139">
        <f>Assumptions!$L$37*(1-Assumptions!$L$39)*'Power Price Assumption'!O25*12</f>
        <v>232741.24592731861</v>
      </c>
      <c r="N10" s="139">
        <f>Assumptions!$L$37*(1-Assumptions!$L$39)*'Power Price Assumption'!P25*12</f>
        <v>235793.59013620147</v>
      </c>
      <c r="O10" s="139">
        <f>Assumptions!$L$37*(1-Assumptions!$L$39)*'Power Price Assumption'!Q25*12</f>
        <v>238819.60787628271</v>
      </c>
      <c r="P10" s="139">
        <f>Assumptions!$L$37*(1-Assumptions!$L$39)*'Power Price Assumption'!R25*12</f>
        <v>241814.97244964627</v>
      </c>
      <c r="Q10" s="139">
        <f>Assumptions!$L$37*(1-Assumptions!$L$39)*'Power Price Assumption'!S25*12</f>
        <v>240480.8208775103</v>
      </c>
      <c r="R10" s="139">
        <f>Assumptions!$L$37*(1-Assumptions!$L$39)*'Power Price Assumption'!T25*12</f>
        <v>243272.11611983849</v>
      </c>
      <c r="S10" s="139">
        <f>Assumptions!$L$37*(1-Assumptions!$L$39)*'Power Price Assumption'!U25*12</f>
        <v>246014.45633791666</v>
      </c>
      <c r="T10" s="139">
        <f>Assumptions!$L$37*(1-Assumptions!$L$39)*'Power Price Assumption'!V25*12</f>
        <v>248702.3920645717</v>
      </c>
      <c r="U10" s="139">
        <f>Assumptions!$L$37*(1-Assumptions!$L$39)*'Power Price Assumption'!W25*12</f>
        <v>251330.19092412188</v>
      </c>
      <c r="V10" s="139">
        <f>Assumptions!$L$37*(1-Assumptions!$L$39)*'Power Price Assumption'!X25*12</f>
        <v>253891.82556238695</v>
      </c>
      <c r="W10" s="139">
        <f>Assumptions!$L$37*(1-Assumptions!$L$39)*'Power Price Assumption'!Y25*12</f>
        <v>251253.34188497387</v>
      </c>
      <c r="X10" s="139">
        <f>Assumptions!$L$37*(1-Assumptions!$L$39)*'Power Price Assumption'!Z25*12</f>
        <v>253509.49434271653</v>
      </c>
      <c r="Y10" s="139">
        <f>Assumptions!$L$37*(1-Assumptions!$L$39)*'Power Price Assumption'!AA25*12</f>
        <v>244795.10547468564</v>
      </c>
      <c r="Z10" s="166"/>
      <c r="AA10" s="166"/>
    </row>
    <row r="11" spans="1:27">
      <c r="A11" s="4" t="s">
        <v>97</v>
      </c>
      <c r="D11" s="139">
        <f>VLOOKUP(Assumptions!L24,'EGC Start Charge Matrix'!$A$12:$S$37,15)*Assumptions!L$66/12</f>
        <v>546.91999999999996</v>
      </c>
      <c r="E11" s="139">
        <f>VLOOKUP(Assumptions!L24,'EGC Start Charge Matrix'!$A$12:$S$37,15)*(1+Assumptions!$L$41)</f>
        <v>844.9914</v>
      </c>
      <c r="F11" s="139">
        <f>E11*(1+Assumptions!$L$41)</f>
        <v>870.34114199999999</v>
      </c>
      <c r="G11" s="139">
        <f>F11*(1+Assumptions!$L$41)</f>
        <v>896.45137625999996</v>
      </c>
      <c r="H11" s="139">
        <f>G11*(1+Assumptions!$L$41)*5/12</f>
        <v>384.72704897825002</v>
      </c>
      <c r="I11" s="139">
        <f>(Assumptions!$L$33*Assumptions!$L$38/1000)*(1+Assumptions!$L$41)^(IS!I7-IS!$D$7)+IS!$E$11*(1+Assumptions!$L$41)^(IS!I7-IS!$E$7)*1/3</f>
        <v>5250.9327815661618</v>
      </c>
      <c r="J11" s="139">
        <f>(Assumptions!$L$33*Assumptions!$L$38/1000)*(1+Assumptions!$L$41)^(IS!J7-IS!$D$7)+IS!$E$11*(1+Assumptions!$L$41)^(IS!J7-IS!$E$7)*1/3</f>
        <v>5408.4607650131466</v>
      </c>
      <c r="K11" s="139">
        <f>(Assumptions!$L$33*Assumptions!$L$38/1000)*(1+Assumptions!$L$41)^(IS!K7-IS!$D$7)+IS!$E$11*(1+Assumptions!$L$41)^(IS!K7-IS!$E$7)*1/3</f>
        <v>5570.7145879635409</v>
      </c>
      <c r="L11" s="139">
        <f>(Assumptions!$L$33*Assumptions!$L$38/1000)*(1+Assumptions!$L$41)^(IS!L7-IS!$D$7)+IS!$E$11*(1+Assumptions!$L$41)^(IS!L7-IS!$E$7)*1/3</f>
        <v>5737.8360256024471</v>
      </c>
      <c r="M11" s="139">
        <f>(Assumptions!$L$33*Assumptions!$L$38/1000)*(1+Assumptions!$L$41)^(IS!M7-IS!$D$7)+IS!$E$11*(1+Assumptions!$L$41)^(IS!M7-IS!$E$7)*1/3</f>
        <v>5909.9711063705208</v>
      </c>
      <c r="N11" s="139">
        <f>(Assumptions!$L$33*Assumptions!$L$38/1000)*(1+Assumptions!$L$41)^(IS!N7-IS!$D$7)+IS!$E$11*(1+Assumptions!$L$41)^(IS!N7-IS!$E$7)*1/3</f>
        <v>6087.2702395616361</v>
      </c>
      <c r="O11" s="139">
        <f>(Assumptions!$L$33*Assumptions!$L$38/1000)*(1+Assumptions!$L$41)^(IS!O7-IS!$D$7)+IS!$E$11*(1+Assumptions!$L$41)^(IS!O7-IS!$E$7)*1/3</f>
        <v>6269.8883467484848</v>
      </c>
      <c r="P11" s="139">
        <f>(Assumptions!$L$33*Assumptions!$L$38/1000)*(1+Assumptions!$L$41)^(IS!P7-IS!$D$7)+IS!$E$11*(1+Assumptions!$L$41)^(IS!P7-IS!$E$7)*1/3</f>
        <v>6457.9849971509393</v>
      </c>
      <c r="Q11" s="139">
        <f>(Assumptions!$L$33*Assumptions!$L$38/1000)*(1+Assumptions!$L$41)^(IS!Q7-IS!$D$7)+IS!$E$11*(1+Assumptions!$L$41)^(IS!Q7-IS!$E$7)*1/3</f>
        <v>6651.724547065467</v>
      </c>
      <c r="R11" s="139">
        <f>(Assumptions!$L$33*Assumptions!$L$38/1000)*(1+Assumptions!$L$41)^(IS!R7-IS!$D$7)+IS!$E$11*(1+Assumptions!$L$41)^(IS!R7-IS!$E$7)*1/3</f>
        <v>6851.2762834774321</v>
      </c>
      <c r="S11" s="139">
        <f>(Assumptions!$L$33*Assumptions!$L$38/1000)*(1+Assumptions!$L$41)^(IS!S7-IS!$D$7)+IS!$E$11*(1+Assumptions!$L$41)^(IS!S7-IS!$E$7)*1/3</f>
        <v>7056.8145719817549</v>
      </c>
      <c r="T11" s="139">
        <f>(Assumptions!$L$33*Assumptions!$L$38/1000)*(1+Assumptions!$L$41)^(IS!T7-IS!$D$7)+IS!$E$11*(1+Assumptions!$L$41)^(IS!T7-IS!$E$7)*1/3</f>
        <v>7268.5190091412069</v>
      </c>
      <c r="U11" s="139">
        <f>(Assumptions!$L$33*Assumptions!$L$38/1000)*(1+Assumptions!$L$41)^(IS!U7-IS!$D$7)+IS!$E$11*(1+Assumptions!$L$41)^(IS!U7-IS!$E$7)*1/3</f>
        <v>7486.5745794154427</v>
      </c>
      <c r="V11" s="139">
        <f>(Assumptions!$L$33*Assumptions!$L$38/1000)*(1+Assumptions!$L$41)^(IS!V7-IS!$D$7)+IS!$E$11*(1+Assumptions!$L$41)^(IS!V7-IS!$E$7)*1/3</f>
        <v>7711.1718167979061</v>
      </c>
      <c r="W11" s="139">
        <f>(Assumptions!$L$33*Assumptions!$L$38/1000)*(1+Assumptions!$L$41)^(IS!W7-IS!$D$7)+IS!$E$11*(1+Assumptions!$L$41)^(IS!W7-IS!$E$7)*1/3</f>
        <v>7942.5069713018438</v>
      </c>
      <c r="X11" s="139">
        <f>(Assumptions!$L$33*Assumptions!$L$38/1000)*(1+Assumptions!$L$41)^(IS!X7-IS!$D$7)+IS!$E$11*(1+Assumptions!$L$41)^(IS!X7-IS!$E$7)*1/3</f>
        <v>8180.7821804408977</v>
      </c>
      <c r="Y11" s="139">
        <f>(Assumptions!$L$33*Assumptions!$L$38/1000)*(1+Assumptions!$L$41)^(IS!Y7-IS!$D$7)+IS!$E$11*(1+Assumptions!$L$41)^(IS!Y7-IS!$E$7)*1/3</f>
        <v>8426.2056458541247</v>
      </c>
      <c r="Z11" s="166"/>
      <c r="AA11" s="166"/>
    </row>
    <row r="12" spans="1:27">
      <c r="A12" s="4" t="s">
        <v>98</v>
      </c>
      <c r="D12" s="139">
        <f>Assumptions!$L$37*Assumptions!$L$39*Assumptions!$L$40*Assumptions!$L$13/1000*Assumptions!$L$66/12</f>
        <v>63.752266666666678</v>
      </c>
      <c r="E12" s="139">
        <f>Assumptions!$L$37*Assumptions!$L$39*Assumptions!$L$40*Assumptions!$L$13/1000</f>
        <v>95.628400000000013</v>
      </c>
      <c r="F12" s="139">
        <f>Assumptions!$L$37*Assumptions!$L$39*Assumptions!$L$40*Assumptions!$L$13/1000</f>
        <v>95.628400000000013</v>
      </c>
      <c r="G12" s="139">
        <f>Assumptions!$L$37*Assumptions!$L$39*Assumptions!$L$40*Assumptions!$L$13/1000</f>
        <v>95.628400000000013</v>
      </c>
      <c r="H12" s="139">
        <f>Assumptions!$L$37*Assumptions!$L$39*Assumptions!$L$40*Assumptions!$L$13/1000</f>
        <v>95.628400000000013</v>
      </c>
      <c r="I12" s="139">
        <f>Assumptions!$L$37*Assumptions!$L$39*Assumptions!$L$40*Assumptions!$L$13/1000</f>
        <v>95.628400000000013</v>
      </c>
      <c r="J12" s="139">
        <f>Assumptions!$L$37*Assumptions!$L$39*Assumptions!$L$40*Assumptions!$L$13/1000</f>
        <v>95.628400000000013</v>
      </c>
      <c r="K12" s="139">
        <f>Assumptions!$L$37*Assumptions!$L$39*Assumptions!$L$40*Assumptions!$L$13/1000</f>
        <v>95.628400000000013</v>
      </c>
      <c r="L12" s="139">
        <f>Assumptions!$L$37*Assumptions!$L$39*Assumptions!$L$40*Assumptions!$L$13/1000</f>
        <v>95.628400000000013</v>
      </c>
      <c r="M12" s="139">
        <f>Assumptions!$L$37*Assumptions!$L$39*Assumptions!$L$40*Assumptions!$L$13/1000</f>
        <v>95.628400000000013</v>
      </c>
      <c r="N12" s="139">
        <f>Assumptions!$L$37*Assumptions!$L$39*Assumptions!$L$40*Assumptions!$L$13/1000</f>
        <v>95.628400000000013</v>
      </c>
      <c r="O12" s="139">
        <f>Assumptions!$L$37*Assumptions!$L$39*Assumptions!$L$40*Assumptions!$L$13/1000</f>
        <v>95.628400000000013</v>
      </c>
      <c r="P12" s="139">
        <f>Assumptions!$L$37*Assumptions!$L$39*Assumptions!$L$40*Assumptions!$L$13/1000</f>
        <v>95.628400000000013</v>
      </c>
      <c r="Q12" s="139">
        <f>Assumptions!$L$37*Assumptions!$L$39*Assumptions!$L$40*Assumptions!$L$13/1000</f>
        <v>95.628400000000013</v>
      </c>
      <c r="R12" s="139">
        <f>Assumptions!$L$37*Assumptions!$L$39*Assumptions!$L$40*Assumptions!$L$13/1000</f>
        <v>95.628400000000013</v>
      </c>
      <c r="S12" s="139">
        <f>Assumptions!$L$37*Assumptions!$L$39*Assumptions!$L$40*Assumptions!$L$13/1000</f>
        <v>95.628400000000013</v>
      </c>
      <c r="T12" s="139">
        <f>Assumptions!$L$37*Assumptions!$L$39*Assumptions!$L$40*Assumptions!$L$13/1000</f>
        <v>95.628400000000013</v>
      </c>
      <c r="U12" s="139">
        <f>Assumptions!$L$37*Assumptions!$L$39*Assumptions!$L$40*Assumptions!$L$13/1000</f>
        <v>95.628400000000013</v>
      </c>
      <c r="V12" s="139">
        <f>Assumptions!$L$37*Assumptions!$L$39*Assumptions!$L$40*Assumptions!$L$13/1000</f>
        <v>95.628400000000013</v>
      </c>
      <c r="W12" s="139">
        <f>Assumptions!$L$37*Assumptions!$L$39*Assumptions!$L$40*Assumptions!$L$13/1000</f>
        <v>95.628400000000013</v>
      </c>
      <c r="X12" s="139">
        <f>Assumptions!$L$37*Assumptions!$L$39*Assumptions!$L$40*Assumptions!$L$13/1000</f>
        <v>95.628400000000013</v>
      </c>
      <c r="Y12" s="139">
        <f>Assumptions!$L$37*Assumptions!$L$39*Assumptions!$L$40*Assumptions!$L$13/1000</f>
        <v>95.628400000000013</v>
      </c>
      <c r="Z12" s="166"/>
      <c r="AA12" s="166"/>
    </row>
    <row r="13" spans="1:27">
      <c r="A13" s="4" t="s">
        <v>257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66"/>
      <c r="AA13" s="166"/>
    </row>
    <row r="14" spans="1:27">
      <c r="A14" s="8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66"/>
      <c r="AA14" s="166"/>
    </row>
    <row r="15" spans="1:27">
      <c r="A15" s="4" t="s">
        <v>99</v>
      </c>
      <c r="D15" s="129">
        <f>SUM(D10:D12)</f>
        <v>129275.89436746664</v>
      </c>
      <c r="E15" s="129">
        <f t="shared" ref="E15:Y15" si="0">SUM(E10:E12)</f>
        <v>199728.38794573597</v>
      </c>
      <c r="F15" s="129">
        <f t="shared" si="0"/>
        <v>202615.07677468215</v>
      </c>
      <c r="G15" s="129">
        <f t="shared" si="0"/>
        <v>208690.66022592262</v>
      </c>
      <c r="H15" s="129">
        <f t="shared" si="0"/>
        <v>214409.89331213071</v>
      </c>
      <c r="I15" s="129">
        <f t="shared" si="0"/>
        <v>225693.98518061324</v>
      </c>
      <c r="J15" s="129">
        <f t="shared" si="0"/>
        <v>228970.27670373907</v>
      </c>
      <c r="K15" s="129">
        <f t="shared" si="0"/>
        <v>232240.10719714986</v>
      </c>
      <c r="L15" s="129">
        <f t="shared" si="0"/>
        <v>235500.14033669195</v>
      </c>
      <c r="M15" s="129">
        <f t="shared" si="0"/>
        <v>238746.84543368913</v>
      </c>
      <c r="N15" s="129">
        <f t="shared" si="0"/>
        <v>241976.48877576308</v>
      </c>
      <c r="O15" s="129">
        <f t="shared" si="0"/>
        <v>245185.12462303118</v>
      </c>
      <c r="P15" s="129">
        <f t="shared" si="0"/>
        <v>248368.58584679721</v>
      </c>
      <c r="Q15" s="129">
        <f t="shared" si="0"/>
        <v>247228.17382457576</v>
      </c>
      <c r="R15" s="129">
        <f t="shared" si="0"/>
        <v>250219.02080331591</v>
      </c>
      <c r="S15" s="129">
        <f t="shared" si="0"/>
        <v>253166.89930989841</v>
      </c>
      <c r="T15" s="129">
        <f t="shared" si="0"/>
        <v>256066.53947371288</v>
      </c>
      <c r="U15" s="129">
        <f t="shared" si="0"/>
        <v>258912.3939035373</v>
      </c>
      <c r="V15" s="129">
        <f t="shared" si="0"/>
        <v>261698.62577918483</v>
      </c>
      <c r="W15" s="129">
        <f t="shared" si="0"/>
        <v>259291.47725627568</v>
      </c>
      <c r="X15" s="129">
        <f t="shared" si="0"/>
        <v>261785.90492315742</v>
      </c>
      <c r="Y15" s="129">
        <f t="shared" si="0"/>
        <v>253316.93952053974</v>
      </c>
      <c r="Z15" s="166"/>
      <c r="AA15" s="166"/>
    </row>
    <row r="16" spans="1:27">
      <c r="A16" s="4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67"/>
      <c r="AA16" s="167"/>
    </row>
    <row r="17" spans="1:48">
      <c r="A17" s="5"/>
      <c r="Z17" s="166"/>
      <c r="AA17" s="166"/>
    </row>
    <row r="18" spans="1:48">
      <c r="A18" s="1" t="s">
        <v>100</v>
      </c>
      <c r="Z18" s="166"/>
      <c r="AA18" s="166"/>
    </row>
    <row r="19" spans="1:48">
      <c r="A19" s="4" t="s">
        <v>101</v>
      </c>
      <c r="D19" s="139">
        <v>0</v>
      </c>
      <c r="E19" s="139">
        <v>0</v>
      </c>
      <c r="F19" s="139">
        <v>0</v>
      </c>
      <c r="G19" s="120">
        <v>0</v>
      </c>
      <c r="H19" s="139">
        <v>0</v>
      </c>
      <c r="I19" s="139">
        <v>0</v>
      </c>
      <c r="J19" s="139">
        <v>0</v>
      </c>
      <c r="K19" s="139">
        <v>0</v>
      </c>
      <c r="L19" s="139">
        <v>0</v>
      </c>
      <c r="M19" s="139">
        <v>0</v>
      </c>
      <c r="N19" s="139">
        <v>0</v>
      </c>
      <c r="O19" s="139">
        <v>0</v>
      </c>
      <c r="P19" s="139">
        <v>0</v>
      </c>
      <c r="Q19" s="139">
        <v>0</v>
      </c>
      <c r="R19" s="139">
        <v>0</v>
      </c>
      <c r="S19" s="139">
        <v>0</v>
      </c>
      <c r="T19" s="139">
        <v>0</v>
      </c>
      <c r="U19" s="139">
        <v>0</v>
      </c>
      <c r="V19" s="139">
        <v>0</v>
      </c>
      <c r="W19" s="139">
        <v>0</v>
      </c>
      <c r="X19" s="139">
        <v>0</v>
      </c>
      <c r="Y19" s="139">
        <v>0</v>
      </c>
      <c r="Z19" s="166"/>
      <c r="AA19" s="166"/>
    </row>
    <row r="20" spans="1:48">
      <c r="A20" s="4" t="s">
        <v>84</v>
      </c>
      <c r="C20" s="129"/>
      <c r="D20" s="139">
        <f>Assumptions!$L69*Assumptions!L66/12</f>
        <v>467.63333333333338</v>
      </c>
      <c r="E20" s="139">
        <f>Assumptions!$L69*(1+Assumptions!$L$65)</f>
        <v>722.49350000000004</v>
      </c>
      <c r="F20" s="139">
        <f>E20*(1+Assumptions!$L$65)</f>
        <v>744.16830500000003</v>
      </c>
      <c r="G20" s="139">
        <f>F20*(1+Assumptions!$L$65)</f>
        <v>766.49335415000007</v>
      </c>
      <c r="H20" s="139">
        <f>G20*(1+Assumptions!$L$65)</f>
        <v>789.48815477450012</v>
      </c>
      <c r="I20" s="139">
        <f>H20*(1+Assumptions!$L$65)</f>
        <v>813.17279941773518</v>
      </c>
      <c r="J20" s="139">
        <f>I20*(1+Assumptions!$L$65)</f>
        <v>837.56798340026728</v>
      </c>
      <c r="K20" s="139">
        <f>J20*(1+Assumptions!$L$65)</f>
        <v>862.69502290227535</v>
      </c>
      <c r="L20" s="139">
        <f>K20*(1+Assumptions!$L$65)</f>
        <v>888.57587358934359</v>
      </c>
      <c r="M20" s="139">
        <f>L20*(1+Assumptions!$L$65)</f>
        <v>915.23314979702388</v>
      </c>
      <c r="N20" s="139">
        <f>M20*(1+Assumptions!$L$65)</f>
        <v>942.69014429093465</v>
      </c>
      <c r="O20" s="139">
        <f>N20*(1+Assumptions!$L$65)</f>
        <v>970.97084861966277</v>
      </c>
      <c r="P20" s="139">
        <f>O20*(1+Assumptions!$L$65)</f>
        <v>1000.0999740782527</v>
      </c>
      <c r="Q20" s="139">
        <f>P20*(1+Assumptions!$L$65)</f>
        <v>1030.1029733006003</v>
      </c>
      <c r="R20" s="139">
        <f>Q20*(1+Assumptions!$L$65)</f>
        <v>1061.0060624996183</v>
      </c>
      <c r="S20" s="139">
        <f>R20*(1+Assumptions!$L$65)</f>
        <v>1092.8362443746068</v>
      </c>
      <c r="T20" s="139">
        <f>S20*(1+Assumptions!$L$65)</f>
        <v>1125.621331705845</v>
      </c>
      <c r="U20" s="139">
        <f>T20*(1+Assumptions!$L$65)</f>
        <v>1159.3899716570204</v>
      </c>
      <c r="V20" s="139">
        <f>U20*(1+Assumptions!$L$65)</f>
        <v>1194.1716708067311</v>
      </c>
      <c r="W20" s="139">
        <f>V20*(1+Assumptions!$L$65)</f>
        <v>1229.9968209309329</v>
      </c>
      <c r="X20" s="139">
        <f>W20*(1+Assumptions!$L$65)</f>
        <v>1266.8967255588609</v>
      </c>
      <c r="Y20" s="139">
        <f>X20*(1+Assumptions!$L$65)</f>
        <v>1304.9036273256268</v>
      </c>
      <c r="Z20" s="166"/>
      <c r="AA20" s="166"/>
    </row>
    <row r="21" spans="1:48">
      <c r="A21" s="4" t="s">
        <v>102</v>
      </c>
      <c r="C21" s="129"/>
      <c r="D21" s="139">
        <f>Assumptions!L70</f>
        <v>4256.0407435897441</v>
      </c>
      <c r="E21" s="139">
        <f>D21*(1+Assumptions!$L$65)^(IS!E7-IS!$D$7)</f>
        <v>4383.7219658974363</v>
      </c>
      <c r="F21" s="139">
        <f>E21*(1+Assumptions!$L$65)^(IS!F7-IS!$D$7)</f>
        <v>4650.6906336205902</v>
      </c>
      <c r="G21" s="139">
        <f>F21*(1+Assumptions!$L$65)^(IS!G7-IS!$D$7)</f>
        <v>5081.9352240043263</v>
      </c>
      <c r="H21" s="139">
        <f>G21*(1+Assumptions!$L$65)^(IS!H7-IS!$D$7)</f>
        <v>5719.7628664661925</v>
      </c>
      <c r="I21" s="139">
        <f>H21*(1+Assumptions!$L$65)^(IS!I7-IS!$D$7)</f>
        <v>6630.7728022381089</v>
      </c>
      <c r="J21" s="139">
        <f>I21*(1+Assumptions!$L$65)^(IS!J7-IS!$D$7)</f>
        <v>7917.4894922744461</v>
      </c>
      <c r="K21" s="139">
        <f>J21*(1+Assumptions!$L$65)^(IS!K7-IS!$D$7)</f>
        <v>9737.513406324364</v>
      </c>
      <c r="L21" s="139">
        <f>K21*(1+Assumptions!$L$65)^(IS!L7-IS!$D$7)</f>
        <v>12335.190650242515</v>
      </c>
      <c r="M21" s="139">
        <f>L21*(1+Assumptions!$L$65)^(IS!M7-IS!$D$7)</f>
        <v>16094.625977857655</v>
      </c>
      <c r="N21" s="139">
        <f>M21*(1+Assumptions!$L$65)^(IS!N7-IS!$D$7)</f>
        <v>21629.831471060304</v>
      </c>
      <c r="O21" s="139">
        <f>N21*(1+Assumptions!$L$65)^(IS!O7-IS!$D$7)</f>
        <v>29940.74534030323</v>
      </c>
      <c r="P21" s="139">
        <f>O21*(1+Assumptions!$L$65)^(IS!P7-IS!$D$7)</f>
        <v>42688.343629226321</v>
      </c>
      <c r="Q21" s="139">
        <f>P21*(1+Assumptions!$L$65)^(IS!Q7-IS!$D$7)</f>
        <v>62689.27179092414</v>
      </c>
      <c r="R21" s="139">
        <f>Q21*(1+Assumptions!$L$65)^(IS!R7-IS!$D$7)</f>
        <v>94823.148369601215</v>
      </c>
      <c r="S21" s="139">
        <f>R21*(1+Assumptions!$L$65)^(IS!S7-IS!$D$7)</f>
        <v>147731.37549933858</v>
      </c>
      <c r="T21" s="139">
        <f>S21*(1+Assumptions!$L$65)^(IS!T7-IS!$D$7)</f>
        <v>237065.48952070941</v>
      </c>
      <c r="U21" s="139">
        <f>T21*(1+Assumptions!$L$65)^(IS!U7-IS!$D$7)</f>
        <v>391833.13304764807</v>
      </c>
      <c r="V21" s="139">
        <f>U21*(1+Assumptions!$L$65)^(IS!V7-IS!$D$7)</f>
        <v>667069.68018952978</v>
      </c>
      <c r="W21" s="139">
        <f>V21*(1+Assumptions!$L$65)^(IS!W7-IS!$D$7)</f>
        <v>1169710.7220365459</v>
      </c>
      <c r="X21" s="139">
        <f>W21*(1+Assumptions!$L$65)^(IS!X7-IS!$D$7)</f>
        <v>2112627.6763834767</v>
      </c>
      <c r="Y21" s="139">
        <f>X21*(1+Assumptions!$L$65)^(IS!Y7-IS!$D$7)</f>
        <v>3930109.7984194262</v>
      </c>
      <c r="Z21" s="166"/>
      <c r="AA21" s="166"/>
    </row>
    <row r="22" spans="1:48">
      <c r="A22" s="4" t="s">
        <v>86</v>
      </c>
      <c r="C22" s="129"/>
      <c r="D22" s="139">
        <f>VLOOKUP(Assumptions!L24,'EGC Start Charge Matrix'!$U$12:$AM$37,15)*Assumptions!L$66/12</f>
        <v>546.91999999999996</v>
      </c>
      <c r="E22" s="139">
        <f>VLOOKUP(Assumptions!$L$24,'EGC Start Charge Matrix'!$U$12:$AM$37,15)*(1+Assumptions!$L$65)</f>
        <v>844.9914</v>
      </c>
      <c r="F22" s="139">
        <f>VLOOKUP(Assumptions!$L$24,'EGC Start Charge Matrix'!$U$12:$AM$37,15)*(1+Assumptions!$L$65)</f>
        <v>844.9914</v>
      </c>
      <c r="G22" s="139">
        <f>VLOOKUP(Assumptions!$L$24,'EGC Start Charge Matrix'!$U$12:$AM$37,15)*(1+Assumptions!$L$65)</f>
        <v>844.9914</v>
      </c>
      <c r="H22" s="139">
        <f>VLOOKUP(Assumptions!$L$24,'EGC Start Charge Matrix'!$U$12:$AM$37,15)*(1+Assumptions!$L$65)</f>
        <v>844.9914</v>
      </c>
      <c r="I22" s="139">
        <f>VLOOKUP(Assumptions!$L$24,'EGC Start Charge Matrix'!$U$12:$AM$37,15)*(1+Assumptions!$L$65)</f>
        <v>844.9914</v>
      </c>
      <c r="J22" s="139">
        <f>VLOOKUP(Assumptions!$L$24,'EGC Start Charge Matrix'!$U$12:$AM$37,15)*(1+Assumptions!$L$65)</f>
        <v>844.9914</v>
      </c>
      <c r="K22" s="139">
        <f>VLOOKUP(Assumptions!$L$24,'EGC Start Charge Matrix'!$U$12:$AM$37,15)*(1+Assumptions!$L$65)</f>
        <v>844.9914</v>
      </c>
      <c r="L22" s="139">
        <f>VLOOKUP(Assumptions!$L$24,'EGC Start Charge Matrix'!$U$12:$AM$37,15)*(1+Assumptions!$L$65)</f>
        <v>844.9914</v>
      </c>
      <c r="M22" s="139">
        <f>VLOOKUP(Assumptions!$L$24,'EGC Start Charge Matrix'!$U$12:$AM$37,15)*(1+Assumptions!$L$65)</f>
        <v>844.9914</v>
      </c>
      <c r="N22" s="139">
        <f>VLOOKUP(Assumptions!$L$24,'EGC Start Charge Matrix'!$U$12:$AM$37,15)*(1+Assumptions!$L$65)</f>
        <v>844.9914</v>
      </c>
      <c r="O22" s="139">
        <f>VLOOKUP(Assumptions!$L$24,'EGC Start Charge Matrix'!$U$12:$AM$37,15)*(1+Assumptions!$L$65)</f>
        <v>844.9914</v>
      </c>
      <c r="P22" s="139">
        <f>VLOOKUP(Assumptions!$L$24,'EGC Start Charge Matrix'!$U$12:$AM$37,15)*(1+Assumptions!$L$65)</f>
        <v>844.9914</v>
      </c>
      <c r="Q22" s="139">
        <f>VLOOKUP(Assumptions!$L$24,'EGC Start Charge Matrix'!$U$12:$AM$37,15)*(1+Assumptions!$L$65)</f>
        <v>844.9914</v>
      </c>
      <c r="R22" s="139">
        <f>VLOOKUP(Assumptions!$L$24,'EGC Start Charge Matrix'!$U$12:$AM$37,15)*(1+Assumptions!$L$65)</f>
        <v>844.9914</v>
      </c>
      <c r="S22" s="139">
        <f>VLOOKUP(Assumptions!$L$24,'EGC Start Charge Matrix'!$U$12:$AM$37,15)*(1+Assumptions!$L$65)</f>
        <v>844.9914</v>
      </c>
      <c r="T22" s="139">
        <f>VLOOKUP(Assumptions!$L$24,'EGC Start Charge Matrix'!$U$12:$AM$37,15)*(1+Assumptions!$L$65)</f>
        <v>844.9914</v>
      </c>
      <c r="U22" s="139">
        <f>VLOOKUP(Assumptions!$L$24,'EGC Start Charge Matrix'!$U$12:$AM$37,15)*(1+Assumptions!$L$65)</f>
        <v>844.9914</v>
      </c>
      <c r="V22" s="139">
        <f>VLOOKUP(Assumptions!$L$24,'EGC Start Charge Matrix'!$U$12:$AM$37,15)*(1+Assumptions!$L$65)</f>
        <v>844.9914</v>
      </c>
      <c r="W22" s="139">
        <f>VLOOKUP(Assumptions!$L$24,'EGC Start Charge Matrix'!$U$12:$AM$37,15)*(1+Assumptions!$L$65)</f>
        <v>844.9914</v>
      </c>
      <c r="X22" s="139">
        <f>VLOOKUP(Assumptions!$L$24,'EGC Start Charge Matrix'!$U$12:$AM$37,15)*(1+Assumptions!$L$65)</f>
        <v>844.9914</v>
      </c>
      <c r="Y22" s="139">
        <f>VLOOKUP(Assumptions!$L$24,'EGC Start Charge Matrix'!$U$12:$AM$37,15)*(1+Assumptions!$L$65)</f>
        <v>844.9914</v>
      </c>
      <c r="Z22" s="166"/>
      <c r="AA22" s="166"/>
    </row>
    <row r="23" spans="1:48">
      <c r="A23" s="4" t="s">
        <v>88</v>
      </c>
      <c r="C23" s="129"/>
      <c r="D23" s="139">
        <f>Assumptions!$L72*Assumptions!L66/12</f>
        <v>170.50666666666666</v>
      </c>
      <c r="E23" s="139">
        <f>Assumptions!$L72*(1+Assumptions!$L$65)</f>
        <v>263.43279999999999</v>
      </c>
      <c r="F23" s="139">
        <f>E23*(1+Assumptions!$L$65)</f>
        <v>271.33578399999999</v>
      </c>
      <c r="G23" s="139">
        <f>F23*(1+Assumptions!$L$65)</f>
        <v>279.47585751999998</v>
      </c>
      <c r="H23" s="139">
        <f>G23*(1+Assumptions!$L$65)</f>
        <v>287.86013324559997</v>
      </c>
      <c r="I23" s="139">
        <f>H23*(1+Assumptions!$L$65)</f>
        <v>296.49593724296795</v>
      </c>
      <c r="J23" s="139">
        <f>I23*(1+Assumptions!$L$65)</f>
        <v>305.39081536025702</v>
      </c>
      <c r="K23" s="139">
        <f>J23*(1+Assumptions!$L$65)</f>
        <v>314.55253982106473</v>
      </c>
      <c r="L23" s="139">
        <f>K23*(1+Assumptions!$L$65)</f>
        <v>323.98911601569665</v>
      </c>
      <c r="M23" s="139">
        <f>L23*(1+Assumptions!$L$65)</f>
        <v>333.70878949616758</v>
      </c>
      <c r="N23" s="139">
        <f>M23*(1+Assumptions!$L$65)</f>
        <v>343.72005318105261</v>
      </c>
      <c r="O23" s="139">
        <f>N23*(1+Assumptions!$L$65)</f>
        <v>354.03165477648417</v>
      </c>
      <c r="P23" s="139">
        <f>O23*(1+Assumptions!$L$65)</f>
        <v>364.6526044197787</v>
      </c>
      <c r="Q23" s="139">
        <f>P23*(1+Assumptions!$L$65)</f>
        <v>375.59218255237209</v>
      </c>
      <c r="R23" s="139">
        <f>Q23*(1+Assumptions!$L$65)</f>
        <v>386.85994802894328</v>
      </c>
      <c r="S23" s="139">
        <f>R23*(1+Assumptions!$L$65)</f>
        <v>398.46574646981156</v>
      </c>
      <c r="T23" s="139">
        <f>S23*(1+Assumptions!$L$65)</f>
        <v>410.41971886390593</v>
      </c>
      <c r="U23" s="139">
        <f>T23*(1+Assumptions!$L$65)</f>
        <v>422.73231042982314</v>
      </c>
      <c r="V23" s="139">
        <f>U23*(1+Assumptions!$L$65)</f>
        <v>435.41427974271784</v>
      </c>
      <c r="W23" s="139">
        <f>V23*(1+Assumptions!$L$65)</f>
        <v>448.4767081349994</v>
      </c>
      <c r="X23" s="139">
        <f>W23*(1+Assumptions!$L$65)</f>
        <v>461.93100937904939</v>
      </c>
      <c r="Y23" s="139">
        <f>X23*(1+Assumptions!$L$65)</f>
        <v>475.78893966042085</v>
      </c>
      <c r="Z23" s="166"/>
      <c r="AA23" s="166"/>
    </row>
    <row r="24" spans="1:48">
      <c r="A24" s="4" t="s">
        <v>89</v>
      </c>
      <c r="C24" s="129"/>
      <c r="D24" s="139">
        <f>Assumptions!$L73*Assumptions!L66/12</f>
        <v>295.48020000000002</v>
      </c>
      <c r="E24" s="139">
        <f>(Assumptions!$L73)*(1+Assumptions!$L$65)</f>
        <v>456.516909</v>
      </c>
      <c r="F24" s="139">
        <f>E24*(1+Assumptions!$L$65)</f>
        <v>470.21241627000001</v>
      </c>
      <c r="G24" s="139">
        <f>F24*(1+Assumptions!$L$65)</f>
        <v>484.31878875810003</v>
      </c>
      <c r="H24" s="139">
        <f>G24*(1+Assumptions!$L$65)</f>
        <v>498.84835242084301</v>
      </c>
      <c r="I24" s="139">
        <f>H24*(1+Assumptions!$L$65)</f>
        <v>513.81380299346836</v>
      </c>
      <c r="J24" s="139">
        <f>I24*(1+Assumptions!$L$65)</f>
        <v>529.2282170832724</v>
      </c>
      <c r="K24" s="139">
        <f>J24*(1+Assumptions!$L$65)</f>
        <v>545.10506359577062</v>
      </c>
      <c r="L24" s="139">
        <f>K24*(1+Assumptions!$L$65)</f>
        <v>561.45821550364371</v>
      </c>
      <c r="M24" s="139">
        <f>L24*(1+Assumptions!$L$65)</f>
        <v>578.30196196875306</v>
      </c>
      <c r="N24" s="139">
        <f>M24*(1+Assumptions!$L$65)</f>
        <v>595.65102082781561</v>
      </c>
      <c r="O24" s="139">
        <f>N24*(1+Assumptions!$L$65)</f>
        <v>613.52055145265012</v>
      </c>
      <c r="P24" s="139">
        <f>O24*(1+Assumptions!$L$65)</f>
        <v>631.92616799622965</v>
      </c>
      <c r="Q24" s="139">
        <f>P24*(1+Assumptions!$L$65)</f>
        <v>650.88395303611651</v>
      </c>
      <c r="R24" s="139">
        <f>Q24*(1+Assumptions!$L$65)</f>
        <v>670.41047162719997</v>
      </c>
      <c r="S24" s="139">
        <f>R24*(1+Assumptions!$L$65)</f>
        <v>690.52278577601601</v>
      </c>
      <c r="T24" s="139">
        <f>S24*(1+Assumptions!$L$65)</f>
        <v>711.23846934929645</v>
      </c>
      <c r="U24" s="139">
        <f>T24*(1+Assumptions!$L$65)</f>
        <v>732.57562342977542</v>
      </c>
      <c r="V24" s="139">
        <f>U24*(1+Assumptions!$L$65)</f>
        <v>754.55289213266872</v>
      </c>
      <c r="W24" s="139">
        <f>V24*(1+Assumptions!$L$65)</f>
        <v>777.18947889664878</v>
      </c>
      <c r="X24" s="139">
        <f>W24*(1+Assumptions!$L$65)</f>
        <v>800.5051632635483</v>
      </c>
      <c r="Y24" s="139">
        <f>X24*(1+Assumptions!$L$65)</f>
        <v>824.52031816145472</v>
      </c>
      <c r="Z24" s="167"/>
      <c r="AA24" s="167"/>
    </row>
    <row r="25" spans="1:48">
      <c r="A25" s="4" t="s">
        <v>103</v>
      </c>
      <c r="C25" s="129"/>
      <c r="D25" s="139">
        <f>+Assumptions!L74*Assumptions!L66/12</f>
        <v>29.408019999999997</v>
      </c>
      <c r="E25" s="139">
        <f>+Assumptions!L74*(1+Assumptions!$L$65)</f>
        <v>45.435390900000002</v>
      </c>
      <c r="F25" s="139">
        <f>E25*(1+Assumptions!$L$65)</f>
        <v>46.798452627000003</v>
      </c>
      <c r="G25" s="139">
        <f>F25*(1+Assumptions!$L$65)</f>
        <v>48.202406205810007</v>
      </c>
      <c r="H25" s="139">
        <f>G25*(1+Assumptions!$L$65)</f>
        <v>49.648478391984305</v>
      </c>
      <c r="I25" s="139">
        <f>H25*(1+Assumptions!$L$65)</f>
        <v>51.137932743743839</v>
      </c>
      <c r="J25" s="139">
        <f>I25*(1+Assumptions!$L$65)</f>
        <v>52.672070726056155</v>
      </c>
      <c r="K25" s="139">
        <f>J25*(1+Assumptions!$L$65)</f>
        <v>54.252232847837838</v>
      </c>
      <c r="L25" s="139">
        <f>K25*(1+Assumptions!$L$65)</f>
        <v>55.879799833272976</v>
      </c>
      <c r="M25" s="139">
        <f>L25*(1+Assumptions!$L$65)</f>
        <v>57.556193828271169</v>
      </c>
      <c r="N25" s="139">
        <f>M25*(1+Assumptions!$L$65)</f>
        <v>59.282879643119308</v>
      </c>
      <c r="O25" s="139">
        <f>N25*(1+Assumptions!$L$65)</f>
        <v>61.061366032412892</v>
      </c>
      <c r="P25" s="139">
        <f>O25*(1+Assumptions!$L$65)</f>
        <v>62.893207013385279</v>
      </c>
      <c r="Q25" s="139">
        <f>P25*(1+Assumptions!$L$65)</f>
        <v>64.780003223786835</v>
      </c>
      <c r="R25" s="139">
        <f>Q25*(1+Assumptions!$L$65)</f>
        <v>66.723403320500438</v>
      </c>
      <c r="S25" s="139">
        <f>R25*(1+Assumptions!$L$65)</f>
        <v>68.725105420115455</v>
      </c>
      <c r="T25" s="139">
        <f>S25*(1+Assumptions!$L$65)</f>
        <v>70.786858582718921</v>
      </c>
      <c r="U25" s="139">
        <f>T25*(1+Assumptions!$L$65)</f>
        <v>72.910464340200491</v>
      </c>
      <c r="V25" s="139">
        <f>U25*(1+Assumptions!$L$65)</f>
        <v>75.097778270406508</v>
      </c>
      <c r="W25" s="139">
        <f>V25*(1+Assumptions!$L$65)</f>
        <v>77.350711618518702</v>
      </c>
      <c r="X25" s="139">
        <f>W25*(1+Assumptions!$L$65)</f>
        <v>79.671232967074261</v>
      </c>
      <c r="Y25" s="139">
        <f>X25*(1+Assumptions!$L$65)</f>
        <v>82.061369956086494</v>
      </c>
      <c r="Z25" s="167"/>
      <c r="AA25" s="167"/>
    </row>
    <row r="26" spans="1:48" ht="14.25" customHeight="1">
      <c r="A26" s="4" t="s">
        <v>104</v>
      </c>
      <c r="C26" s="129"/>
      <c r="D26" s="139">
        <v>0</v>
      </c>
      <c r="E26" s="139">
        <v>540.30229880615991</v>
      </c>
      <c r="F26" s="139">
        <v>529.38710085048001</v>
      </c>
      <c r="G26" s="120">
        <v>518.4719028948</v>
      </c>
      <c r="H26" s="139">
        <v>507.55670493911998</v>
      </c>
      <c r="I26" s="139">
        <v>496.64150698343997</v>
      </c>
      <c r="J26" s="139">
        <v>485.72630902775995</v>
      </c>
      <c r="K26" s="139">
        <v>469.35351209423999</v>
      </c>
      <c r="L26" s="139">
        <v>452.98071516071991</v>
      </c>
      <c r="M26" s="139">
        <v>436.6079182272</v>
      </c>
      <c r="N26" s="139">
        <v>414.77752231583997</v>
      </c>
      <c r="O26" s="139">
        <v>1178.8413792134397</v>
      </c>
      <c r="P26" s="139">
        <v>1096.9773945458401</v>
      </c>
      <c r="Q26" s="139">
        <v>998.74061294471994</v>
      </c>
      <c r="R26" s="139">
        <v>900.50383134360004</v>
      </c>
      <c r="S26" s="139">
        <v>802.26704974247991</v>
      </c>
      <c r="T26" s="139">
        <v>671.28467427431997</v>
      </c>
      <c r="U26" s="139">
        <v>523.92950187264</v>
      </c>
      <c r="V26" s="139">
        <v>376.57432947095998</v>
      </c>
      <c r="W26" s="139">
        <v>327.45593867039997</v>
      </c>
      <c r="X26" s="139">
        <v>327.45593867039997</v>
      </c>
      <c r="Y26" s="139">
        <v>0</v>
      </c>
      <c r="Z26" s="166"/>
      <c r="AA26" s="166"/>
    </row>
    <row r="27" spans="1:48">
      <c r="A27" s="19" t="s">
        <v>57</v>
      </c>
      <c r="C27" s="129"/>
      <c r="D27" s="164">
        <f>Assumptions!$B$39*MAX(Debt!B87:$V$87)/2*(13-MONTH(Assumptions!$C$21))/12</f>
        <v>428.07063802083331</v>
      </c>
      <c r="E27" s="164">
        <f>Assumptions!$B$39*MAX(Debt!C87:$V$87)/2*(13-MONTH(Assumptions!$C$21))/12</f>
        <v>428.07063802083331</v>
      </c>
      <c r="F27" s="164">
        <f>Assumptions!$B$39*MAX(Debt!D87:$V$87)/2*(13-MONTH(Assumptions!$C$21))/12</f>
        <v>413.35131510416664</v>
      </c>
      <c r="G27" s="164">
        <f>Assumptions!$B$39*MAX(Debt!E87:$V$87)/2*(13-MONTH(Assumptions!$C$21))/12</f>
        <v>398.63199218749997</v>
      </c>
      <c r="H27" s="164">
        <f>Assumptions!$B$39*MAX(Debt!F87:$V$87)/2*(13-MONTH(Assumptions!$C$21))/12</f>
        <v>383.91266927083331</v>
      </c>
      <c r="I27" s="164">
        <f>Assumptions!$B$39*MAX(Debt!G87:$V$87)/2*(13-MONTH(Assumptions!$C$21))/12</f>
        <v>369.19334635416664</v>
      </c>
      <c r="J27" s="164">
        <f>Assumptions!$B$39*MAX(Debt!H87:$V$87)/2*(13-MONTH(Assumptions!$C$21))/12</f>
        <v>354.47402343749997</v>
      </c>
      <c r="K27" s="164">
        <f>Assumptions!$B$39*MAX(Debt!I87:$V$87)/2*(13-MONTH(Assumptions!$C$21))/12</f>
        <v>339.7547005208333</v>
      </c>
      <c r="L27" s="164">
        <f>Assumptions!$B$39*MAX(Debt!J87:$V$87)/2*(13-MONTH(Assumptions!$C$21))/12</f>
        <v>325.03537760416674</v>
      </c>
      <c r="M27" s="164">
        <f>Assumptions!$B$39*MAX(Debt!K87:$V$87)/2*(13-MONTH(Assumptions!$C$21))/12</f>
        <v>310.31605468749996</v>
      </c>
      <c r="N27" s="164">
        <f>Assumptions!$B$39*MAX(Debt!L87:$V$87)/2*(13-MONTH(Assumptions!$C$21))/12</f>
        <v>295.59673177083329</v>
      </c>
      <c r="O27" s="164">
        <f>Assumptions!$B$39*MAX(Debt!M87:$V$87)/2*(13-MONTH(Assumptions!$C$21))/12</f>
        <v>280.87740885416673</v>
      </c>
      <c r="P27" s="164">
        <f>Assumptions!$B$39*MAX(Debt!N87:$V$87)/2*(13-MONTH(Assumptions!$C$21))/12</f>
        <v>266.15808593750006</v>
      </c>
      <c r="Q27" s="164">
        <f>Assumptions!$B$39*MAX(Debt!O87:$V$87)/2*(13-MONTH(Assumptions!$C$21))/12</f>
        <v>251.43876302083333</v>
      </c>
      <c r="R27" s="164">
        <f>Assumptions!$B$39*MAX(Debt!P87:$V$87)/2*(13-MONTH(Assumptions!$C$21))/12</f>
        <v>236.71944010416667</v>
      </c>
      <c r="S27" s="164">
        <f>Assumptions!$B$39*MAX(Debt!Q87:$V$87)/2*(13-MONTH(Assumptions!$C$21))/12</f>
        <v>222.0001171875</v>
      </c>
      <c r="T27" s="164">
        <f>Assumptions!$B$39*MAX(Debt!R87:$V$87)/2*(13-MONTH(Assumptions!$C$21))/12</f>
        <v>207.28079427083335</v>
      </c>
      <c r="U27" s="164">
        <f>Assumptions!$B$39*MAX(Debt!S87:$V$87)/2*(13-MONTH(Assumptions!$C$21))/12</f>
        <v>192.56147135416668</v>
      </c>
      <c r="V27" s="164">
        <f>Assumptions!$B$39*MAX(Debt!T87:$V$87)/2*(13-MONTH(Assumptions!$C$21))/12</f>
        <v>177.84214843750001</v>
      </c>
      <c r="W27" s="164">
        <f>Assumptions!$B$39*MAX(Debt!U87:$V$87)/2*(13-MONTH(Assumptions!$C$21))/12</f>
        <v>163.12282552083332</v>
      </c>
      <c r="X27" s="164">
        <f>Assumptions!$B$39*MAX(Debt!V87:$V$87)/2*(13-MONTH(Assumptions!$C$21))/12</f>
        <v>0</v>
      </c>
      <c r="Y27" s="164">
        <f>Assumptions!$B$39*MAX(Debt!$V87:W$87)/2*(13-MONTH(Assumptions!$C$21))/12</f>
        <v>0</v>
      </c>
      <c r="Z27" s="166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</row>
    <row r="28" spans="1:48">
      <c r="A28" s="19" t="s">
        <v>105</v>
      </c>
      <c r="C28" s="129"/>
      <c r="D28" s="139">
        <v>0</v>
      </c>
      <c r="E28" s="139">
        <v>0</v>
      </c>
      <c r="F28" s="139">
        <v>0</v>
      </c>
      <c r="G28" s="139">
        <v>0</v>
      </c>
      <c r="H28" s="113">
        <f>Assumptions!$L$63*Assumptions!$L$37*7</f>
        <v>1378.174</v>
      </c>
      <c r="I28" s="113">
        <f>Assumptions!$L$63*Assumptions!$L$37*12*(1+Assumptions!L65)</f>
        <v>2433.4615199999998</v>
      </c>
      <c r="J28" s="113">
        <f>I28*(1+Assumptions!$L$65)</f>
        <v>2506.4653656</v>
      </c>
      <c r="K28" s="113">
        <f>J28*(1+Assumptions!$L$65)</f>
        <v>2581.6593265680003</v>
      </c>
      <c r="L28" s="113">
        <f>K28*(1+Assumptions!$L$65)</f>
        <v>2659.1091063650406</v>
      </c>
      <c r="M28" s="113">
        <f>L28*(1+Assumptions!$L$65)</f>
        <v>2738.882379555992</v>
      </c>
      <c r="N28" s="113">
        <f>M28*(1+Assumptions!$L$65)</f>
        <v>2821.0488509426718</v>
      </c>
      <c r="O28" s="113">
        <f>N28*(1+Assumptions!$L$65)</f>
        <v>2905.6803164709522</v>
      </c>
      <c r="P28" s="113">
        <f>O28*(1+Assumptions!$L$65)</f>
        <v>2992.850725965081</v>
      </c>
      <c r="Q28" s="113">
        <f>P28*(1+Assumptions!$L$65)</f>
        <v>3082.6362477440334</v>
      </c>
      <c r="R28" s="113">
        <f>Q28*(1+Assumptions!$L$65)</f>
        <v>3175.1153351763546</v>
      </c>
      <c r="S28" s="113">
        <f>R28*(1+Assumptions!$L$65)</f>
        <v>3270.3687952316454</v>
      </c>
      <c r="T28" s="113">
        <f>S28*(1+Assumptions!$L$65)</f>
        <v>3368.4798590885948</v>
      </c>
      <c r="U28" s="113">
        <f>T28*(1+Assumptions!$L$65)</f>
        <v>3469.534254861253</v>
      </c>
      <c r="V28" s="113">
        <f>U28*(1+Assumptions!$L$65)</f>
        <v>3573.6202825070905</v>
      </c>
      <c r="W28" s="113">
        <f>V28*(1+Assumptions!$L$65)</f>
        <v>3680.8288909823032</v>
      </c>
      <c r="X28" s="113">
        <f>W28*(1+Assumptions!$L$65)</f>
        <v>3791.2537577117723</v>
      </c>
      <c r="Y28" s="113">
        <f>X28*(1+Assumptions!$L$65)</f>
        <v>3904.9913704431256</v>
      </c>
      <c r="Z28" s="166"/>
      <c r="AA28" s="166"/>
    </row>
    <row r="29" spans="1:48">
      <c r="A29" s="4" t="s">
        <v>106</v>
      </c>
      <c r="C29" s="129"/>
      <c r="D29" s="139">
        <f>Assumptions!$L75*Assumptions!L66/12</f>
        <v>101.96078431372551</v>
      </c>
      <c r="E29" s="139">
        <f>Assumptions!$L75*(1+Assumptions!$L$65)</f>
        <v>157.52941176470591</v>
      </c>
      <c r="F29" s="139">
        <f>E29*(1+Assumptions!$L$65)</f>
        <v>162.25529411764708</v>
      </c>
      <c r="G29" s="139">
        <f>F29*(1+Assumptions!$L$65)</f>
        <v>167.12295294117649</v>
      </c>
      <c r="H29" s="139">
        <f>G29*(1+Assumptions!$L$65)</f>
        <v>172.1366415294118</v>
      </c>
      <c r="I29" s="139">
        <f>H29*(1+Assumptions!$L$65)</f>
        <v>177.30074077529417</v>
      </c>
      <c r="J29" s="139">
        <f>I29*(1+Assumptions!$L$65)</f>
        <v>182.619762998553</v>
      </c>
      <c r="K29" s="139">
        <f>J29*(1+Assumptions!$L$65)</f>
        <v>188.09835588850959</v>
      </c>
      <c r="L29" s="139">
        <f>K29*(1+Assumptions!$L$65)</f>
        <v>193.74130656516488</v>
      </c>
      <c r="M29" s="139">
        <f>L29*(1+Assumptions!$L$65)</f>
        <v>199.55354576211982</v>
      </c>
      <c r="N29" s="139">
        <f>M29*(1+Assumptions!$L$65)</f>
        <v>205.54015213498343</v>
      </c>
      <c r="O29" s="139">
        <f>N29*(1+Assumptions!$L$65)</f>
        <v>211.70635669903294</v>
      </c>
      <c r="P29" s="139">
        <f>O29*(1+Assumptions!$L$65)</f>
        <v>218.05754740000393</v>
      </c>
      <c r="Q29" s="139">
        <f>P29*(1+Assumptions!$L$65)</f>
        <v>224.59927382200405</v>
      </c>
      <c r="R29" s="139">
        <f>Q29*(1+Assumptions!$L$65)</f>
        <v>231.33725203666418</v>
      </c>
      <c r="S29" s="139">
        <f>R29*(1+Assumptions!$L$65)</f>
        <v>238.27736959776411</v>
      </c>
      <c r="T29" s="139">
        <f>S29*(1+Assumptions!$L$65)</f>
        <v>245.42569068569705</v>
      </c>
      <c r="U29" s="139">
        <f>T29*(1+Assumptions!$L$65)</f>
        <v>252.78846140626797</v>
      </c>
      <c r="V29" s="139">
        <f>U29*(1+Assumptions!$L$65)</f>
        <v>260.372115248456</v>
      </c>
      <c r="W29" s="139">
        <f>V29*(1+Assumptions!$L$65)</f>
        <v>268.18327870590969</v>
      </c>
      <c r="X29" s="139">
        <f>W29*(1+Assumptions!$L$65)</f>
        <v>276.22877706708698</v>
      </c>
      <c r="Y29" s="139">
        <f>X29*(1+Assumptions!$L$65)</f>
        <v>284.51564037909958</v>
      </c>
      <c r="Z29" s="166"/>
      <c r="AA29" s="166"/>
    </row>
    <row r="30" spans="1:48">
      <c r="A30" s="4" t="s">
        <v>107</v>
      </c>
      <c r="C30" s="131"/>
      <c r="D30" s="140">
        <f>Assumptions!$L76*Assumptions!L66/12</f>
        <v>133.33333333333334</v>
      </c>
      <c r="E30" s="140">
        <f>Assumptions!$L76*(1+Assumptions!$L$65)</f>
        <v>206</v>
      </c>
      <c r="F30" s="140">
        <f>E30*(1+Assumptions!$L$65)</f>
        <v>212.18</v>
      </c>
      <c r="G30" s="140">
        <f>F30*(1+Assumptions!$L$65)</f>
        <v>218.5454</v>
      </c>
      <c r="H30" s="140">
        <f>G30*(1+Assumptions!$L$65)</f>
        <v>225.10176200000001</v>
      </c>
      <c r="I30" s="140">
        <f>H30*(1+Assumptions!$L$65)</f>
        <v>231.85481486</v>
      </c>
      <c r="J30" s="140">
        <f>I30*(1+Assumptions!$L$65)</f>
        <v>238.81045930580001</v>
      </c>
      <c r="K30" s="140">
        <f>J30*(1+Assumptions!$L$65)</f>
        <v>245.974773084974</v>
      </c>
      <c r="L30" s="140">
        <f>K30*(1+Assumptions!$L$65)</f>
        <v>253.35401627752324</v>
      </c>
      <c r="M30" s="140">
        <f>L30*(1+Assumptions!$L$65)</f>
        <v>260.95463676584893</v>
      </c>
      <c r="N30" s="140">
        <f>M30*(1+Assumptions!$L$65)</f>
        <v>268.78327586882443</v>
      </c>
      <c r="O30" s="140">
        <f>N30*(1+Assumptions!$L$65)</f>
        <v>276.8467741448892</v>
      </c>
      <c r="P30" s="140">
        <f>O30*(1+Assumptions!$L$65)</f>
        <v>285.15217736923586</v>
      </c>
      <c r="Q30" s="140">
        <f>P30*(1+Assumptions!$L$65)</f>
        <v>293.70674269031292</v>
      </c>
      <c r="R30" s="140">
        <f>Q30*(1+Assumptions!$L$65)</f>
        <v>302.5179449710223</v>
      </c>
      <c r="S30" s="140">
        <f>R30*(1+Assumptions!$L$65)</f>
        <v>311.59348332015298</v>
      </c>
      <c r="T30" s="140">
        <f>S30*(1+Assumptions!$L$65)</f>
        <v>320.94128781975758</v>
      </c>
      <c r="U30" s="140">
        <f>T30*(1+Assumptions!$L$65)</f>
        <v>330.5695264543503</v>
      </c>
      <c r="V30" s="140">
        <f>U30*(1+Assumptions!$L$65)</f>
        <v>340.48661224798082</v>
      </c>
      <c r="W30" s="140">
        <f>V30*(1+Assumptions!$L$65)</f>
        <v>350.70121061542022</v>
      </c>
      <c r="X30" s="140">
        <f>W30*(1+Assumptions!$L$65)</f>
        <v>361.22224693388284</v>
      </c>
      <c r="Y30" s="140">
        <f>X30*(1+Assumptions!$L$65)</f>
        <v>372.05891434189931</v>
      </c>
      <c r="Z30" s="168"/>
      <c r="AA30" s="168"/>
    </row>
    <row r="31" spans="1:48">
      <c r="A31" s="4" t="s">
        <v>108</v>
      </c>
      <c r="C31" s="130"/>
      <c r="D31" s="130">
        <f t="shared" ref="D31:Y31" si="1">SUM(D19:D30)</f>
        <v>6429.3537192576359</v>
      </c>
      <c r="E31" s="130">
        <f t="shared" si="1"/>
        <v>8048.4943143891351</v>
      </c>
      <c r="F31" s="130">
        <f t="shared" si="1"/>
        <v>8345.3707015898854</v>
      </c>
      <c r="G31" s="130">
        <f t="shared" si="1"/>
        <v>8808.1892786617136</v>
      </c>
      <c r="H31" s="130">
        <f t="shared" si="1"/>
        <v>10857.481163038487</v>
      </c>
      <c r="I31" s="130">
        <f t="shared" si="1"/>
        <v>12858.836603608925</v>
      </c>
      <c r="J31" s="130">
        <f t="shared" si="1"/>
        <v>14255.435899213913</v>
      </c>
      <c r="K31" s="130">
        <f t="shared" si="1"/>
        <v>16183.950333647868</v>
      </c>
      <c r="L31" s="130">
        <f t="shared" si="1"/>
        <v>18894.305577157091</v>
      </c>
      <c r="M31" s="130">
        <f t="shared" si="1"/>
        <v>22770.732007946528</v>
      </c>
      <c r="N31" s="130">
        <f t="shared" si="1"/>
        <v>28421.913502036379</v>
      </c>
      <c r="O31" s="130">
        <f t="shared" si="1"/>
        <v>37639.273396566918</v>
      </c>
      <c r="P31" s="130">
        <f t="shared" si="1"/>
        <v>50452.102913951639</v>
      </c>
      <c r="Q31" s="130">
        <f t="shared" si="1"/>
        <v>70506.743943258916</v>
      </c>
      <c r="R31" s="130">
        <f t="shared" si="1"/>
        <v>102699.33345870927</v>
      </c>
      <c r="S31" s="130">
        <f t="shared" si="1"/>
        <v>155671.42359645866</v>
      </c>
      <c r="T31" s="130">
        <f t="shared" si="1"/>
        <v>245041.95960535042</v>
      </c>
      <c r="U31" s="130">
        <f t="shared" si="1"/>
        <v>399835.11603345349</v>
      </c>
      <c r="V31" s="130">
        <f t="shared" si="1"/>
        <v>675102.80369839433</v>
      </c>
      <c r="W31" s="130">
        <f t="shared" si="1"/>
        <v>1177879.0193006217</v>
      </c>
      <c r="X31" s="130">
        <f t="shared" si="1"/>
        <v>2120837.8326350288</v>
      </c>
      <c r="Y31" s="130">
        <f t="shared" si="1"/>
        <v>3938203.6299996939</v>
      </c>
      <c r="Z31" s="167"/>
      <c r="AA31" s="167"/>
    </row>
    <row r="32" spans="1:48">
      <c r="A32" s="6"/>
      <c r="C32" s="156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3"/>
      <c r="P32" s="343"/>
      <c r="Q32" s="343"/>
      <c r="R32" s="343"/>
      <c r="S32" s="343"/>
      <c r="T32" s="343"/>
      <c r="U32" s="343"/>
      <c r="V32" s="343"/>
      <c r="W32" s="343"/>
      <c r="X32" s="343"/>
      <c r="Y32" s="343"/>
      <c r="Z32" s="169"/>
      <c r="AA32" s="169"/>
    </row>
    <row r="33" spans="1:27">
      <c r="A33" s="6"/>
      <c r="C33" s="156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69"/>
      <c r="AA33" s="169"/>
    </row>
    <row r="34" spans="1:27">
      <c r="A34" s="1" t="s">
        <v>109</v>
      </c>
      <c r="D34" s="132">
        <f t="shared" ref="D34:Y34" si="2">D15-D31</f>
        <v>122846.540648209</v>
      </c>
      <c r="E34" s="132">
        <f t="shared" si="2"/>
        <v>191679.89363134684</v>
      </c>
      <c r="F34" s="132">
        <f t="shared" si="2"/>
        <v>194269.70607309227</v>
      </c>
      <c r="G34" s="132">
        <f t="shared" si="2"/>
        <v>199882.47094726091</v>
      </c>
      <c r="H34" s="132">
        <f t="shared" si="2"/>
        <v>203552.41214909221</v>
      </c>
      <c r="I34" s="132">
        <f t="shared" si="2"/>
        <v>212835.14857700432</v>
      </c>
      <c r="J34" s="132">
        <f t="shared" si="2"/>
        <v>214714.84080452516</v>
      </c>
      <c r="K34" s="132">
        <f t="shared" si="2"/>
        <v>216056.15686350199</v>
      </c>
      <c r="L34" s="132">
        <f t="shared" si="2"/>
        <v>216605.83475953486</v>
      </c>
      <c r="M34" s="132">
        <f t="shared" si="2"/>
        <v>215976.1134257426</v>
      </c>
      <c r="N34" s="132">
        <f t="shared" si="2"/>
        <v>213554.57527372669</v>
      </c>
      <c r="O34" s="132">
        <f t="shared" si="2"/>
        <v>207545.85122646426</v>
      </c>
      <c r="P34" s="132">
        <f t="shared" si="2"/>
        <v>197916.48293284557</v>
      </c>
      <c r="Q34" s="132">
        <f t="shared" si="2"/>
        <v>176721.42988131684</v>
      </c>
      <c r="R34" s="132">
        <f t="shared" si="2"/>
        <v>147519.68734460665</v>
      </c>
      <c r="S34" s="132">
        <f t="shared" si="2"/>
        <v>97495.475713439751</v>
      </c>
      <c r="T34" s="132">
        <f t="shared" si="2"/>
        <v>11024.57986836246</v>
      </c>
      <c r="U34" s="132">
        <f t="shared" si="2"/>
        <v>-140922.72212991619</v>
      </c>
      <c r="V34" s="132">
        <f t="shared" si="2"/>
        <v>-413404.17791920947</v>
      </c>
      <c r="W34" s="132">
        <f t="shared" si="2"/>
        <v>-918587.54204434599</v>
      </c>
      <c r="X34" s="132">
        <f t="shared" si="2"/>
        <v>-1859051.9277118715</v>
      </c>
      <c r="Y34" s="132">
        <f t="shared" si="2"/>
        <v>-3684886.6904791542</v>
      </c>
      <c r="Z34" s="170"/>
      <c r="AA34" s="170"/>
    </row>
    <row r="35" spans="1:27">
      <c r="A35" s="1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170"/>
      <c r="AA35" s="170"/>
    </row>
    <row r="36" spans="1:27">
      <c r="A36" s="4" t="s">
        <v>110</v>
      </c>
      <c r="D36" s="129">
        <f>Depreciation!E42</f>
        <v>24704.164091952527</v>
      </c>
      <c r="E36" s="129">
        <f>Depreciation!F42</f>
        <v>55096.869206893192</v>
      </c>
      <c r="F36" s="129">
        <f>Depreciation!G42</f>
        <v>55096.869206893192</v>
      </c>
      <c r="G36" s="129">
        <f>Depreciation!H42</f>
        <v>55096.869206893192</v>
      </c>
      <c r="H36" s="129">
        <f>Depreciation!I42</f>
        <v>55096.869206893192</v>
      </c>
      <c r="I36" s="129">
        <f>Depreciation!J42</f>
        <v>55096.869206893192</v>
      </c>
      <c r="J36" s="129">
        <f>Depreciation!K42</f>
        <v>55096.869206893192</v>
      </c>
      <c r="K36" s="129">
        <f>Depreciation!L42</f>
        <v>55096.869206893192</v>
      </c>
      <c r="L36" s="129">
        <f>Depreciation!M42</f>
        <v>55096.869206893192</v>
      </c>
      <c r="M36" s="129">
        <f>Depreciation!N42</f>
        <v>55096.869206893192</v>
      </c>
      <c r="N36" s="129">
        <f>Depreciation!O42</f>
        <v>55096.869206893192</v>
      </c>
      <c r="O36" s="129">
        <f>Depreciation!P42</f>
        <v>55096.869206893192</v>
      </c>
      <c r="P36" s="129">
        <f>Depreciation!Q42</f>
        <v>55096.869206893192</v>
      </c>
      <c r="Q36" s="129">
        <f>Depreciation!R42</f>
        <v>55096.869206893192</v>
      </c>
      <c r="R36" s="129">
        <f>Depreciation!S42</f>
        <v>55096.869206893192</v>
      </c>
      <c r="S36" s="129">
        <f>Depreciation!T42</f>
        <v>55096.869206893192</v>
      </c>
      <c r="T36" s="129">
        <f>Depreciation!U42</f>
        <v>55096.869206893192</v>
      </c>
      <c r="U36" s="129">
        <f>Depreciation!V42</f>
        <v>55096.869206893192</v>
      </c>
      <c r="V36" s="129">
        <f>Depreciation!W42</f>
        <v>55096.869206893192</v>
      </c>
      <c r="W36" s="129">
        <f>Depreciation!X42</f>
        <v>55096.869206893192</v>
      </c>
      <c r="X36" s="129">
        <f>Depreciation!Y42</f>
        <v>54446.869206893192</v>
      </c>
      <c r="Y36" s="129">
        <f>Depreciation!Z42</f>
        <v>54121.869206893192</v>
      </c>
      <c r="Z36" s="166"/>
      <c r="AA36" s="166"/>
    </row>
    <row r="37" spans="1:27">
      <c r="A37" s="4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66"/>
      <c r="AA37" s="166"/>
    </row>
    <row r="38" spans="1:27">
      <c r="A38" s="1" t="s">
        <v>111</v>
      </c>
      <c r="D38" s="132">
        <f>D34-D36</f>
        <v>98142.37655625648</v>
      </c>
      <c r="E38" s="132">
        <f t="shared" ref="E38:Y38" si="3">E34-E36</f>
        <v>136583.02442445364</v>
      </c>
      <c r="F38" s="132">
        <f t="shared" si="3"/>
        <v>139172.83686619907</v>
      </c>
      <c r="G38" s="132">
        <f t="shared" si="3"/>
        <v>144785.60174036771</v>
      </c>
      <c r="H38" s="132">
        <f t="shared" si="3"/>
        <v>148455.54294219901</v>
      </c>
      <c r="I38" s="132">
        <f t="shared" si="3"/>
        <v>157738.27937011112</v>
      </c>
      <c r="J38" s="132">
        <f t="shared" si="3"/>
        <v>159617.97159763196</v>
      </c>
      <c r="K38" s="132">
        <f t="shared" si="3"/>
        <v>160959.28765660879</v>
      </c>
      <c r="L38" s="132">
        <f t="shared" si="3"/>
        <v>161508.96555264166</v>
      </c>
      <c r="M38" s="132">
        <f t="shared" si="3"/>
        <v>160879.2442188494</v>
      </c>
      <c r="N38" s="132">
        <f t="shared" si="3"/>
        <v>158457.70606683349</v>
      </c>
      <c r="O38" s="132">
        <f t="shared" si="3"/>
        <v>152448.98201957106</v>
      </c>
      <c r="P38" s="132">
        <f t="shared" si="3"/>
        <v>142819.61372595237</v>
      </c>
      <c r="Q38" s="132">
        <f t="shared" si="3"/>
        <v>121624.56067442364</v>
      </c>
      <c r="R38" s="132">
        <f t="shared" si="3"/>
        <v>92422.818137713446</v>
      </c>
      <c r="S38" s="132">
        <f t="shared" si="3"/>
        <v>42398.606506546559</v>
      </c>
      <c r="T38" s="132">
        <f t="shared" si="3"/>
        <v>-44072.289338530732</v>
      </c>
      <c r="U38" s="132">
        <f t="shared" si="3"/>
        <v>-196019.59133680939</v>
      </c>
      <c r="V38" s="132">
        <f t="shared" si="3"/>
        <v>-468501.04712610267</v>
      </c>
      <c r="W38" s="132">
        <f t="shared" si="3"/>
        <v>-973684.41125123913</v>
      </c>
      <c r="X38" s="132">
        <f t="shared" si="3"/>
        <v>-1913498.7969187647</v>
      </c>
      <c r="Y38" s="132">
        <f t="shared" si="3"/>
        <v>-3739008.5596860475</v>
      </c>
      <c r="Z38" s="170"/>
      <c r="AA38" s="170"/>
    </row>
    <row r="39" spans="1:27">
      <c r="A39" s="1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70"/>
      <c r="AA39" s="170"/>
    </row>
    <row r="40" spans="1:27" ht="15.75">
      <c r="A40" s="4" t="s">
        <v>214</v>
      </c>
      <c r="C40" s="129"/>
      <c r="D40" s="129">
        <f>Debt!B42+Debt!B59+Debt!B76+Debt!B131</f>
        <v>0</v>
      </c>
      <c r="E40" s="129">
        <f>Debt!C42+Debt!C59+Debt!C76+Debt!C131</f>
        <v>0</v>
      </c>
      <c r="F40" s="129">
        <f>Debt!D42+Debt!D59+Debt!D76</f>
        <v>0</v>
      </c>
      <c r="G40" s="129">
        <f>Debt!E42+Debt!E59+Debt!E76</f>
        <v>0</v>
      </c>
      <c r="H40" s="129">
        <f>Debt!F42+Debt!F59+Debt!F76</f>
        <v>0</v>
      </c>
      <c r="I40" s="129">
        <f>Debt!G42+Debt!G59+Debt!G76</f>
        <v>0</v>
      </c>
      <c r="J40" s="129">
        <f>Debt!H42+Debt!H59+Debt!H76</f>
        <v>0</v>
      </c>
      <c r="K40" s="129">
        <f>Debt!I42+Debt!I59+Debt!I76</f>
        <v>0</v>
      </c>
      <c r="L40" s="129">
        <f>Debt!J42+Debt!J59+Debt!J76</f>
        <v>0</v>
      </c>
      <c r="M40" s="129">
        <f>Debt!K42+Debt!K59+Debt!K76</f>
        <v>0</v>
      </c>
      <c r="N40" s="129">
        <f>Debt!L42+Debt!L59+Debt!L76</f>
        <v>0</v>
      </c>
      <c r="O40" s="129">
        <f>Debt!M42+Debt!M59+Debt!M76</f>
        <v>0</v>
      </c>
      <c r="P40" s="129">
        <f>Debt!N42+Debt!N59+Debt!N76</f>
        <v>0</v>
      </c>
      <c r="Q40" s="129">
        <f>Debt!O42+Debt!O59+Debt!O76</f>
        <v>0</v>
      </c>
      <c r="R40" s="129">
        <f>Debt!P42+Debt!P59+Debt!P76</f>
        <v>0</v>
      </c>
      <c r="S40" s="129">
        <f>Debt!Q42+Debt!Q59+Debt!Q76</f>
        <v>0</v>
      </c>
      <c r="T40" s="129">
        <f>Debt!R42+Debt!R59+Debt!R76</f>
        <v>0</v>
      </c>
      <c r="U40" s="129">
        <f>Debt!S42+Debt!S59+Debt!S76</f>
        <v>0</v>
      </c>
      <c r="V40" s="129">
        <f>Debt!T42+Debt!T59+Debt!T76</f>
        <v>0</v>
      </c>
      <c r="W40" s="129">
        <f>Debt!U42+Debt!U59+Debt!U76</f>
        <v>0</v>
      </c>
      <c r="X40" s="129">
        <f>Debt!V42+Debt!V59+Debt!V76</f>
        <v>0</v>
      </c>
      <c r="Y40" s="129">
        <v>0</v>
      </c>
      <c r="Z40" s="166"/>
      <c r="AA40" s="166"/>
    </row>
    <row r="41" spans="1:27">
      <c r="A41" s="7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68"/>
      <c r="AA41" s="168"/>
    </row>
    <row r="42" spans="1:27">
      <c r="A42" s="1" t="s">
        <v>112</v>
      </c>
      <c r="D42" s="132">
        <f>D38-D40</f>
        <v>98142.37655625648</v>
      </c>
      <c r="E42" s="132">
        <f t="shared" ref="E42:Y42" si="4">E38-E40</f>
        <v>136583.02442445364</v>
      </c>
      <c r="F42" s="132">
        <f t="shared" si="4"/>
        <v>139172.83686619907</v>
      </c>
      <c r="G42" s="132">
        <f t="shared" si="4"/>
        <v>144785.60174036771</v>
      </c>
      <c r="H42" s="132">
        <f t="shared" si="4"/>
        <v>148455.54294219901</v>
      </c>
      <c r="I42" s="132">
        <f t="shared" si="4"/>
        <v>157738.27937011112</v>
      </c>
      <c r="J42" s="132">
        <f t="shared" si="4"/>
        <v>159617.97159763196</v>
      </c>
      <c r="K42" s="132">
        <f t="shared" si="4"/>
        <v>160959.28765660879</v>
      </c>
      <c r="L42" s="132">
        <f t="shared" si="4"/>
        <v>161508.96555264166</v>
      </c>
      <c r="M42" s="132">
        <f t="shared" si="4"/>
        <v>160879.2442188494</v>
      </c>
      <c r="N42" s="132">
        <f t="shared" si="4"/>
        <v>158457.70606683349</v>
      </c>
      <c r="O42" s="132">
        <f t="shared" si="4"/>
        <v>152448.98201957106</v>
      </c>
      <c r="P42" s="132">
        <f t="shared" si="4"/>
        <v>142819.61372595237</v>
      </c>
      <c r="Q42" s="132">
        <f t="shared" si="4"/>
        <v>121624.56067442364</v>
      </c>
      <c r="R42" s="132">
        <f t="shared" si="4"/>
        <v>92422.818137713446</v>
      </c>
      <c r="S42" s="132">
        <f t="shared" si="4"/>
        <v>42398.606506546559</v>
      </c>
      <c r="T42" s="132">
        <f t="shared" si="4"/>
        <v>-44072.289338530732</v>
      </c>
      <c r="U42" s="132">
        <f t="shared" si="4"/>
        <v>-196019.59133680939</v>
      </c>
      <c r="V42" s="132">
        <f t="shared" si="4"/>
        <v>-468501.04712610267</v>
      </c>
      <c r="W42" s="132">
        <f t="shared" si="4"/>
        <v>-973684.41125123913</v>
      </c>
      <c r="X42" s="132">
        <f t="shared" si="4"/>
        <v>-1913498.7969187647</v>
      </c>
      <c r="Y42" s="132">
        <f t="shared" si="4"/>
        <v>-3739008.5596860475</v>
      </c>
      <c r="Z42" s="170"/>
      <c r="AA42" s="170"/>
    </row>
    <row r="43" spans="1:27">
      <c r="A43" s="1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70"/>
      <c r="AA43" s="170"/>
    </row>
    <row r="44" spans="1:27">
      <c r="A44" s="4" t="s">
        <v>113</v>
      </c>
      <c r="B44" s="117">
        <f>Assumptions!L46</f>
        <v>0.06</v>
      </c>
      <c r="C44" s="139"/>
      <c r="D44" s="139">
        <f>-D42*$B$44</f>
        <v>-5888.5425933753886</v>
      </c>
      <c r="E44" s="139">
        <f t="shared" ref="E44:Y44" si="5">-E42*$B$44</f>
        <v>-8194.9814654672191</v>
      </c>
      <c r="F44" s="139">
        <f t="shared" si="5"/>
        <v>-8350.3702119719437</v>
      </c>
      <c r="G44" s="139">
        <f t="shared" si="5"/>
        <v>-8687.136104422063</v>
      </c>
      <c r="H44" s="139">
        <f t="shared" si="5"/>
        <v>-8907.3325765319405</v>
      </c>
      <c r="I44" s="139">
        <f t="shared" si="5"/>
        <v>-9464.2967622066662</v>
      </c>
      <c r="J44" s="139">
        <f t="shared" si="5"/>
        <v>-9577.0782958579166</v>
      </c>
      <c r="K44" s="139">
        <f t="shared" si="5"/>
        <v>-9657.557259396528</v>
      </c>
      <c r="L44" s="139">
        <f t="shared" si="5"/>
        <v>-9690.5379331584991</v>
      </c>
      <c r="M44" s="139">
        <f t="shared" si="5"/>
        <v>-9652.7546531309636</v>
      </c>
      <c r="N44" s="139">
        <f t="shared" si="5"/>
        <v>-9507.462364010009</v>
      </c>
      <c r="O44" s="139">
        <f t="shared" si="5"/>
        <v>-9146.9389211742637</v>
      </c>
      <c r="P44" s="139">
        <f t="shared" si="5"/>
        <v>-8569.1768235571417</v>
      </c>
      <c r="Q44" s="139">
        <f t="shared" si="5"/>
        <v>-7297.4736404654186</v>
      </c>
      <c r="R44" s="139">
        <f t="shared" si="5"/>
        <v>-5545.3690882628061</v>
      </c>
      <c r="S44" s="139">
        <f t="shared" si="5"/>
        <v>-2543.9163903927933</v>
      </c>
      <c r="T44" s="139">
        <f t="shared" si="5"/>
        <v>2644.3373603118439</v>
      </c>
      <c r="U44" s="139">
        <f t="shared" si="5"/>
        <v>11761.175480208563</v>
      </c>
      <c r="V44" s="139">
        <f t="shared" si="5"/>
        <v>28110.062827566158</v>
      </c>
      <c r="W44" s="139">
        <f t="shared" si="5"/>
        <v>58421.064675074347</v>
      </c>
      <c r="X44" s="139">
        <f t="shared" si="5"/>
        <v>114809.92781512588</v>
      </c>
      <c r="Y44" s="139">
        <f t="shared" si="5"/>
        <v>224340.51358116284</v>
      </c>
      <c r="Z44" s="167"/>
      <c r="AA44" s="167"/>
    </row>
    <row r="45" spans="1:27">
      <c r="A45" s="4" t="s">
        <v>114</v>
      </c>
      <c r="B45" s="117">
        <f>Assumptions!L45</f>
        <v>0.35</v>
      </c>
      <c r="C45" s="139"/>
      <c r="D45" s="139">
        <f>(D42+D44)*-$B$45</f>
        <v>-32288.841887008381</v>
      </c>
      <c r="E45" s="139">
        <f t="shared" ref="E45:Y45" si="6">(E42+E44)*-$B$45</f>
        <v>-44935.815035645246</v>
      </c>
      <c r="F45" s="139">
        <f t="shared" si="6"/>
        <v>-45787.863328979496</v>
      </c>
      <c r="G45" s="139">
        <f t="shared" si="6"/>
        <v>-47634.462972580972</v>
      </c>
      <c r="H45" s="139">
        <f t="shared" si="6"/>
        <v>-48841.87362798347</v>
      </c>
      <c r="I45" s="139">
        <f t="shared" si="6"/>
        <v>-51895.893912766551</v>
      </c>
      <c r="J45" s="139">
        <f t="shared" si="6"/>
        <v>-52514.312655620917</v>
      </c>
      <c r="K45" s="139">
        <f t="shared" si="6"/>
        <v>-52955.605639024288</v>
      </c>
      <c r="L45" s="139">
        <f t="shared" si="6"/>
        <v>-53136.449666819099</v>
      </c>
      <c r="M45" s="139">
        <f t="shared" si="6"/>
        <v>-52929.271348001457</v>
      </c>
      <c r="N45" s="139">
        <f t="shared" si="6"/>
        <v>-52132.58529598821</v>
      </c>
      <c r="O45" s="139">
        <f t="shared" si="6"/>
        <v>-50155.715084438874</v>
      </c>
      <c r="P45" s="139">
        <f t="shared" si="6"/>
        <v>-46987.65291583832</v>
      </c>
      <c r="Q45" s="139">
        <f t="shared" si="6"/>
        <v>-40014.480461885374</v>
      </c>
      <c r="R45" s="139">
        <f t="shared" si="6"/>
        <v>-30407.107167307724</v>
      </c>
      <c r="S45" s="139">
        <f t="shared" si="6"/>
        <v>-13949.141540653818</v>
      </c>
      <c r="T45" s="139">
        <f t="shared" si="6"/>
        <v>14499.78319237661</v>
      </c>
      <c r="U45" s="139">
        <f t="shared" si="6"/>
        <v>64490.445549810283</v>
      </c>
      <c r="V45" s="139">
        <f t="shared" si="6"/>
        <v>154136.84450448776</v>
      </c>
      <c r="W45" s="139">
        <f t="shared" si="6"/>
        <v>320342.17130165768</v>
      </c>
      <c r="X45" s="139">
        <f t="shared" si="6"/>
        <v>629541.10418627353</v>
      </c>
      <c r="Y45" s="139">
        <f t="shared" si="6"/>
        <v>1230133.8161367096</v>
      </c>
      <c r="Z45" s="167"/>
      <c r="AA45" s="167"/>
    </row>
    <row r="46" spans="1:27">
      <c r="A46" s="7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66"/>
      <c r="AA46" s="166"/>
    </row>
    <row r="47" spans="1:27" ht="15.75">
      <c r="A47" s="91" t="s">
        <v>115</v>
      </c>
      <c r="B47" s="92"/>
      <c r="C47" s="92"/>
      <c r="D47" s="133">
        <f>D42+D44+D45</f>
        <v>59964.992075872709</v>
      </c>
      <c r="E47" s="133">
        <f t="shared" ref="E47:Y47" si="7">E42+E44+E45</f>
        <v>83452.227923341183</v>
      </c>
      <c r="F47" s="133">
        <f t="shared" si="7"/>
        <v>85034.603325247634</v>
      </c>
      <c r="G47" s="133">
        <f t="shared" si="7"/>
        <v>88464.002663364663</v>
      </c>
      <c r="H47" s="133">
        <f t="shared" si="7"/>
        <v>90706.336737683596</v>
      </c>
      <c r="I47" s="133">
        <f t="shared" si="7"/>
        <v>96378.088695137893</v>
      </c>
      <c r="J47" s="133">
        <f t="shared" si="7"/>
        <v>97526.580646153132</v>
      </c>
      <c r="K47" s="133">
        <f t="shared" si="7"/>
        <v>98346.124758187972</v>
      </c>
      <c r="L47" s="133">
        <f t="shared" si="7"/>
        <v>98681.977952664049</v>
      </c>
      <c r="M47" s="133">
        <f t="shared" si="7"/>
        <v>98297.218217716989</v>
      </c>
      <c r="N47" s="133">
        <f t="shared" si="7"/>
        <v>96817.658406835253</v>
      </c>
      <c r="O47" s="133">
        <f t="shared" si="7"/>
        <v>93146.328013957915</v>
      </c>
      <c r="P47" s="133">
        <f t="shared" si="7"/>
        <v>87262.783986556897</v>
      </c>
      <c r="Q47" s="133">
        <f t="shared" si="7"/>
        <v>74312.606572072837</v>
      </c>
      <c r="R47" s="133">
        <f t="shared" si="7"/>
        <v>56470.341882142922</v>
      </c>
      <c r="S47" s="133">
        <f t="shared" si="7"/>
        <v>25905.54857549995</v>
      </c>
      <c r="T47" s="133">
        <f t="shared" si="7"/>
        <v>-26928.168785842277</v>
      </c>
      <c r="U47" s="133">
        <f t="shared" si="7"/>
        <v>-119767.97030679055</v>
      </c>
      <c r="V47" s="133">
        <f t="shared" si="7"/>
        <v>-286254.13979404874</v>
      </c>
      <c r="W47" s="133">
        <f t="shared" si="7"/>
        <v>-594921.17527450714</v>
      </c>
      <c r="X47" s="133">
        <f t="shared" si="7"/>
        <v>-1169147.7649173653</v>
      </c>
      <c r="Y47" s="133">
        <f t="shared" si="7"/>
        <v>-2284534.2299681753</v>
      </c>
      <c r="Z47" s="171"/>
      <c r="AA47" s="171"/>
    </row>
    <row r="49" spans="3:25">
      <c r="C49" s="165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</row>
    <row r="50" spans="3:25">
      <c r="C50" s="165"/>
      <c r="D50" s="200"/>
      <c r="E50" s="200"/>
      <c r="F50" s="200"/>
      <c r="G50" s="200"/>
      <c r="H50" s="200"/>
    </row>
    <row r="51" spans="3:25">
      <c r="C51" s="165"/>
      <c r="D51" s="200"/>
      <c r="E51" s="200"/>
      <c r="F51" s="200"/>
      <c r="G51" s="200"/>
      <c r="H51" s="200"/>
    </row>
    <row r="52" spans="3:25">
      <c r="C52" s="165"/>
      <c r="D52" s="200"/>
      <c r="E52" s="200"/>
      <c r="F52" s="200"/>
      <c r="G52" s="200"/>
      <c r="H52" s="200"/>
    </row>
    <row r="53" spans="3:25">
      <c r="C53" s="165"/>
      <c r="D53" s="165"/>
      <c r="E53" s="165"/>
      <c r="F53" s="165"/>
      <c r="G53" s="165"/>
      <c r="H53" s="165"/>
    </row>
    <row r="54" spans="3:25">
      <c r="C54" s="201"/>
      <c r="D54" s="200"/>
      <c r="E54" s="200"/>
      <c r="F54" s="200"/>
      <c r="G54" s="200"/>
      <c r="H54" s="200"/>
    </row>
    <row r="55" spans="3:25">
      <c r="C55" s="201"/>
      <c r="D55" s="200"/>
      <c r="E55" s="200"/>
      <c r="F55" s="200"/>
      <c r="G55" s="200"/>
      <c r="H55" s="200"/>
    </row>
    <row r="56" spans="3:25">
      <c r="C56" s="201"/>
      <c r="D56" s="200"/>
      <c r="E56" s="200"/>
      <c r="F56" s="200"/>
      <c r="G56" s="200"/>
      <c r="H56" s="200"/>
    </row>
    <row r="57" spans="3:25">
      <c r="C57" s="201"/>
      <c r="D57" s="200"/>
      <c r="E57" s="200"/>
      <c r="F57" s="200"/>
      <c r="G57" s="200"/>
      <c r="H57" s="200"/>
    </row>
    <row r="58" spans="3:25">
      <c r="C58" s="201"/>
      <c r="D58" s="200"/>
      <c r="E58" s="200"/>
      <c r="F58" s="200"/>
      <c r="G58" s="200"/>
      <c r="H58" s="200"/>
    </row>
    <row r="59" spans="3:25">
      <c r="C59" s="165"/>
      <c r="D59" s="165"/>
      <c r="E59" s="165"/>
      <c r="F59" s="165"/>
      <c r="G59" s="165"/>
      <c r="H59" s="165"/>
    </row>
    <row r="60" spans="3:25">
      <c r="C60" s="165"/>
      <c r="D60" s="165"/>
      <c r="E60" s="165"/>
      <c r="F60" s="165"/>
      <c r="G60" s="165"/>
      <c r="H60" s="165"/>
    </row>
    <row r="61" spans="3:25">
      <c r="C61" s="165"/>
      <c r="D61" s="166"/>
      <c r="E61" s="166"/>
      <c r="F61" s="166"/>
      <c r="G61" s="166"/>
      <c r="H61" s="165"/>
    </row>
    <row r="62" spans="3:25">
      <c r="C62" s="165"/>
      <c r="D62" s="165"/>
      <c r="E62" s="165"/>
      <c r="F62" s="165"/>
      <c r="G62" s="165"/>
      <c r="H62" s="165"/>
    </row>
    <row r="63" spans="3:25">
      <c r="C63" s="165"/>
      <c r="D63" s="166"/>
      <c r="E63" s="165"/>
      <c r="F63" s="165"/>
      <c r="G63" s="165"/>
      <c r="H63" s="165"/>
    </row>
    <row r="64" spans="3:25">
      <c r="C64" s="165"/>
      <c r="D64" s="165"/>
      <c r="E64" s="165"/>
      <c r="F64" s="165"/>
      <c r="G64" s="165"/>
      <c r="H64" s="165"/>
    </row>
    <row r="65" spans="3:8">
      <c r="C65" s="165"/>
      <c r="D65" s="165"/>
      <c r="E65" s="165"/>
      <c r="F65" s="165"/>
      <c r="G65" s="165"/>
      <c r="H65" s="165"/>
    </row>
  </sheetData>
  <pageMargins left="0.18" right="0.17" top="0.37" bottom="0.4" header="0.17" footer="0.21"/>
  <pageSetup scale="36" orientation="landscape" r:id="rId1"/>
  <headerFooter alignWithMargins="0"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94"/>
  <sheetViews>
    <sheetView zoomScale="75" zoomScaleNormal="75" workbookViewId="0">
      <selection activeCell="D21" sqref="D21"/>
    </sheetView>
  </sheetViews>
  <sheetFormatPr defaultRowHeight="12.75" outlineLevelRow="1"/>
  <cols>
    <col min="1" max="1" width="63.5703125" style="18" customWidth="1"/>
    <col min="2" max="2" width="13" style="18" bestFit="1" customWidth="1"/>
    <col min="3" max="3" width="6.5703125" style="18" customWidth="1"/>
    <col min="4" max="4" width="14.140625" style="18" customWidth="1"/>
    <col min="5" max="5" width="11.5703125" style="18" customWidth="1"/>
    <col min="6" max="8" width="11.140625" style="18" customWidth="1"/>
    <col min="9" max="10" width="12" style="18" customWidth="1"/>
    <col min="11" max="11" width="12.7109375" style="18" customWidth="1"/>
    <col min="12" max="12" width="12.5703125" style="18" customWidth="1"/>
    <col min="13" max="13" width="12.7109375" style="18" customWidth="1"/>
    <col min="14" max="16" width="11.28515625" style="18" customWidth="1"/>
    <col min="17" max="17" width="11.85546875" style="18" customWidth="1"/>
    <col min="18" max="18" width="11.140625" style="18" customWidth="1"/>
    <col min="19" max="19" width="11.85546875" style="18" customWidth="1"/>
    <col min="20" max="20" width="11.140625" style="18" customWidth="1"/>
    <col min="21" max="21" width="11.5703125" style="18" customWidth="1"/>
    <col min="22" max="22" width="11.28515625" style="18" customWidth="1"/>
    <col min="23" max="23" width="11.5703125" style="18" customWidth="1"/>
    <col min="24" max="24" width="12.7109375" style="18" bestFit="1" customWidth="1"/>
    <col min="25" max="25" width="12.5703125" style="18" customWidth="1"/>
    <col min="26" max="26" width="12.28515625" style="8" customWidth="1"/>
    <col min="27" max="27" width="13.85546875" style="8" bestFit="1" customWidth="1"/>
    <col min="28" max="29" width="9.85546875" style="18" customWidth="1"/>
    <col min="30" max="30" width="9.140625" style="18"/>
    <col min="31" max="31" width="9.42578125" style="18" customWidth="1"/>
    <col min="32" max="32" width="9.85546875" style="18" customWidth="1"/>
    <col min="33" max="33" width="9.140625" style="18"/>
    <col min="34" max="34" width="9.42578125" style="18" customWidth="1"/>
    <col min="35" max="36" width="9.85546875" style="18" customWidth="1"/>
    <col min="37" max="38" width="9.140625" style="18"/>
    <col min="39" max="40" width="9.85546875" style="18" customWidth="1"/>
    <col min="41" max="82" width="9.140625" style="18"/>
    <col min="83" max="84" width="9.85546875" style="18" customWidth="1"/>
    <col min="85" max="16384" width="9.140625" style="18"/>
  </cols>
  <sheetData>
    <row r="2" spans="1:29" ht="18.75">
      <c r="A2" s="163" t="str">
        <f>Assumptions!A3</f>
        <v>PROJECT NAME:</v>
      </c>
    </row>
    <row r="4" spans="1:29" ht="18.75">
      <c r="A4" s="107" t="s">
        <v>216</v>
      </c>
      <c r="B4" s="112"/>
    </row>
    <row r="7" spans="1:29" ht="18.75">
      <c r="A7" s="163" t="s">
        <v>295</v>
      </c>
      <c r="B7" s="279"/>
    </row>
    <row r="8" spans="1:29">
      <c r="Z8" s="172"/>
    </row>
    <row r="9" spans="1:29" ht="13.5" outlineLevel="1" thickBot="1">
      <c r="A9" s="266" t="s">
        <v>94</v>
      </c>
      <c r="B9" s="266"/>
      <c r="C9" s="2"/>
      <c r="D9" s="9">
        <f>'Power Price Assumption'!F10</f>
        <v>2000</v>
      </c>
      <c r="E9" s="9">
        <f>'Power Price Assumption'!G10</f>
        <v>2001</v>
      </c>
      <c r="F9" s="9">
        <f>'Power Price Assumption'!H10</f>
        <v>2002</v>
      </c>
      <c r="G9" s="9">
        <f>'Power Price Assumption'!I10</f>
        <v>2003</v>
      </c>
      <c r="H9" s="9">
        <f>'Power Price Assumption'!J10</f>
        <v>2004</v>
      </c>
      <c r="I9" s="9">
        <f>'Power Price Assumption'!K10</f>
        <v>2005</v>
      </c>
      <c r="J9" s="9">
        <f>'Power Price Assumption'!L10</f>
        <v>2006</v>
      </c>
      <c r="K9" s="9">
        <f>'Power Price Assumption'!M10</f>
        <v>2007</v>
      </c>
      <c r="L9" s="9">
        <f>'Power Price Assumption'!N10</f>
        <v>2008</v>
      </c>
      <c r="M9" s="9">
        <f>'Power Price Assumption'!O10</f>
        <v>2009</v>
      </c>
      <c r="N9" s="9">
        <f>'Power Price Assumption'!P10</f>
        <v>2010</v>
      </c>
      <c r="O9" s="9">
        <f>'Power Price Assumption'!Q10</f>
        <v>2011</v>
      </c>
      <c r="P9" s="9">
        <f>'Power Price Assumption'!R10</f>
        <v>2012</v>
      </c>
      <c r="Q9" s="9">
        <f>'Power Price Assumption'!S10</f>
        <v>2013</v>
      </c>
      <c r="R9" s="9">
        <f>'Power Price Assumption'!T10</f>
        <v>2014</v>
      </c>
      <c r="S9" s="9">
        <f>'Power Price Assumption'!U10</f>
        <v>2015</v>
      </c>
      <c r="T9" s="9">
        <f>'Power Price Assumption'!V10</f>
        <v>2016</v>
      </c>
      <c r="U9" s="9">
        <f>'Power Price Assumption'!W10</f>
        <v>2017</v>
      </c>
      <c r="V9" s="9">
        <f>'Power Price Assumption'!X10</f>
        <v>2018</v>
      </c>
      <c r="W9" s="9">
        <f>'Power Price Assumption'!Y10</f>
        <v>2019</v>
      </c>
      <c r="X9" s="9">
        <f>'Power Price Assumption'!Z10</f>
        <v>2020</v>
      </c>
      <c r="Y9" s="9">
        <f>'Power Price Assumption'!AA10</f>
        <v>2021</v>
      </c>
      <c r="Z9" s="11"/>
    </row>
    <row r="10" spans="1:29" outlineLevel="1">
      <c r="A10" s="320"/>
      <c r="B10" s="320"/>
      <c r="C10" s="3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388"/>
      <c r="P10" s="388"/>
      <c r="Q10" s="388"/>
      <c r="R10" s="388"/>
      <c r="S10" s="388"/>
      <c r="T10" s="388"/>
      <c r="U10" s="388"/>
      <c r="V10" s="388"/>
      <c r="W10" s="388"/>
      <c r="X10" s="388"/>
      <c r="Y10" s="388"/>
      <c r="Z10" s="11"/>
    </row>
    <row r="11" spans="1:29" outlineLevel="1">
      <c r="A11" s="3"/>
      <c r="B11" s="3"/>
      <c r="C11" s="3"/>
      <c r="D11" s="11"/>
      <c r="E11" s="11"/>
      <c r="F11" s="11"/>
      <c r="G11" s="11"/>
      <c r="H11" s="11"/>
      <c r="I11" s="11"/>
      <c r="J11" s="431"/>
      <c r="K11" s="431"/>
      <c r="L11" s="432"/>
      <c r="M11" s="432"/>
      <c r="N11" s="431"/>
      <c r="O11" s="43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9">
      <c r="A12" s="12" t="s">
        <v>109</v>
      </c>
      <c r="B12" s="13"/>
      <c r="D12" s="26">
        <f>IS!D34</f>
        <v>122846.540648209</v>
      </c>
      <c r="E12" s="106">
        <f>IS!E34</f>
        <v>191679.89363134684</v>
      </c>
      <c r="F12" s="106">
        <f>IS!F34</f>
        <v>194269.70607309227</v>
      </c>
      <c r="G12" s="106">
        <f>IS!G34</f>
        <v>199882.47094726091</v>
      </c>
      <c r="H12" s="106">
        <f>IS!H34</f>
        <v>203552.41214909221</v>
      </c>
      <c r="I12" s="106">
        <f>IS!I34</f>
        <v>212835.14857700432</v>
      </c>
      <c r="J12" s="106">
        <f>IS!J34</f>
        <v>214714.84080452516</v>
      </c>
      <c r="K12" s="106">
        <f>IS!K34</f>
        <v>216056.15686350199</v>
      </c>
      <c r="L12" s="106">
        <f>IS!L34</f>
        <v>216605.83475953486</v>
      </c>
      <c r="M12" s="106">
        <f>IS!M34</f>
        <v>215976.1134257426</v>
      </c>
      <c r="N12" s="106">
        <f>IS!N34</f>
        <v>213554.57527372669</v>
      </c>
      <c r="O12" s="106">
        <f>IS!O34</f>
        <v>207545.85122646426</v>
      </c>
      <c r="P12" s="106">
        <f>IS!P34</f>
        <v>197916.48293284557</v>
      </c>
      <c r="Q12" s="106">
        <f>IS!Q34</f>
        <v>176721.42988131684</v>
      </c>
      <c r="R12" s="106">
        <f>IS!R34</f>
        <v>147519.68734460665</v>
      </c>
      <c r="S12" s="106">
        <f>IS!S34</f>
        <v>97495.475713439751</v>
      </c>
      <c r="T12" s="106">
        <f>IS!T34</f>
        <v>11024.57986836246</v>
      </c>
      <c r="U12" s="106">
        <f>IS!U34</f>
        <v>-140922.72212991619</v>
      </c>
      <c r="V12" s="106">
        <f>IS!V34</f>
        <v>-413404.17791920947</v>
      </c>
      <c r="W12" s="106">
        <f>IS!W34</f>
        <v>-918587.54204434599</v>
      </c>
      <c r="X12" s="106">
        <f>IS!X34</f>
        <v>-1859051.9277118715</v>
      </c>
      <c r="Y12" s="106">
        <f>IS!Y34</f>
        <v>-3684886.6904791542</v>
      </c>
      <c r="Z12" s="115"/>
      <c r="AA12"/>
      <c r="AB12"/>
      <c r="AC12"/>
    </row>
    <row r="14" spans="1:29">
      <c r="A14" s="13" t="s">
        <v>209</v>
      </c>
      <c r="B14" s="13"/>
      <c r="D14" s="113">
        <f>Debt!B85</f>
        <v>0</v>
      </c>
      <c r="E14" s="113">
        <f>Debt!C85</f>
        <v>0</v>
      </c>
      <c r="F14" s="113">
        <f>Debt!D85</f>
        <v>0</v>
      </c>
      <c r="G14" s="113">
        <f>Debt!E85</f>
        <v>0</v>
      </c>
      <c r="H14" s="113">
        <f>Debt!F85</f>
        <v>0</v>
      </c>
      <c r="I14" s="113">
        <f>Debt!G85</f>
        <v>0</v>
      </c>
      <c r="J14" s="113">
        <f>Debt!H85</f>
        <v>0</v>
      </c>
      <c r="K14" s="113">
        <f>Debt!I85</f>
        <v>0</v>
      </c>
      <c r="L14" s="113">
        <f>Debt!J85</f>
        <v>0</v>
      </c>
      <c r="M14" s="113">
        <f>Debt!K85</f>
        <v>0</v>
      </c>
      <c r="N14" s="113">
        <f>Debt!L85</f>
        <v>0</v>
      </c>
      <c r="O14" s="113">
        <f>Debt!M85</f>
        <v>0</v>
      </c>
      <c r="P14" s="113">
        <f>Debt!N85</f>
        <v>0</v>
      </c>
      <c r="Q14" s="113">
        <f>Debt!O85</f>
        <v>0</v>
      </c>
      <c r="R14" s="113">
        <f>Debt!P85</f>
        <v>0</v>
      </c>
      <c r="S14" s="113">
        <f>Debt!Q85</f>
        <v>0</v>
      </c>
      <c r="T14" s="113">
        <f>Debt!R85</f>
        <v>0</v>
      </c>
      <c r="U14" s="113">
        <f>Debt!S85</f>
        <v>0</v>
      </c>
      <c r="V14" s="113">
        <f>Debt!T85</f>
        <v>0</v>
      </c>
      <c r="W14" s="113">
        <f>Debt!U85</f>
        <v>0</v>
      </c>
      <c r="X14" s="113">
        <f>Debt!V85</f>
        <v>0</v>
      </c>
      <c r="Y14" s="113">
        <f>Debt!W85</f>
        <v>0</v>
      </c>
      <c r="Z14" s="115"/>
      <c r="AA14"/>
      <c r="AB14"/>
      <c r="AC14"/>
    </row>
    <row r="15" spans="1:29">
      <c r="A15" s="13" t="s">
        <v>199</v>
      </c>
      <c r="B15" s="13"/>
      <c r="D15" s="438">
        <f>-Debt!B91</f>
        <v>-36500</v>
      </c>
      <c r="E15" s="438">
        <f>-Debt!C91</f>
        <v>-36500</v>
      </c>
      <c r="F15" s="438">
        <f>-Debt!D91</f>
        <v>-36500</v>
      </c>
      <c r="G15" s="438">
        <f>-Debt!E91</f>
        <v>-36500</v>
      </c>
      <c r="H15" s="438">
        <f>-Debt!F91</f>
        <v>-36500</v>
      </c>
      <c r="I15" s="438">
        <f>-Debt!G91</f>
        <v>-36500</v>
      </c>
      <c r="J15" s="438">
        <f>-Debt!H91</f>
        <v>-36500</v>
      </c>
      <c r="K15" s="438">
        <f>-Debt!I91</f>
        <v>-36500</v>
      </c>
      <c r="L15" s="438">
        <f>-Debt!J91</f>
        <v>-36500</v>
      </c>
      <c r="M15" s="438">
        <f>-Debt!K91</f>
        <v>-36500</v>
      </c>
      <c r="N15" s="438">
        <f>-Debt!L91</f>
        <v>-36500</v>
      </c>
      <c r="O15" s="438">
        <f>-Debt!M91</f>
        <v>-36500</v>
      </c>
      <c r="P15" s="438">
        <f>-Debt!N91</f>
        <v>-36500</v>
      </c>
      <c r="Q15" s="438">
        <f>-Debt!O91</f>
        <v>-36500</v>
      </c>
      <c r="R15" s="438">
        <f>-Debt!P91</f>
        <v>-36500</v>
      </c>
      <c r="S15" s="438">
        <f>-Debt!Q91</f>
        <v>-36500</v>
      </c>
      <c r="T15" s="438">
        <f>-Debt!R91</f>
        <v>-36500</v>
      </c>
      <c r="U15" s="438">
        <f>-Debt!S91</f>
        <v>-36500</v>
      </c>
      <c r="V15" s="438">
        <f>-Debt!T91</f>
        <v>-36500</v>
      </c>
      <c r="W15" s="438">
        <f>-Debt!U91</f>
        <v>-36500</v>
      </c>
      <c r="X15" s="438">
        <f>-Debt!V91</f>
        <v>0</v>
      </c>
      <c r="Y15" s="438">
        <f>-Debt!W91</f>
        <v>0</v>
      </c>
      <c r="Z15" s="173"/>
      <c r="AA15"/>
      <c r="AB15"/>
      <c r="AC15"/>
    </row>
    <row r="16" spans="1:29">
      <c r="A16" s="13" t="s">
        <v>198</v>
      </c>
      <c r="B16" s="13"/>
      <c r="D16" s="140">
        <f>-Debt!B89</f>
        <v>-35326.375</v>
      </c>
      <c r="E16" s="140">
        <f>-Debt!C89</f>
        <v>-66236.953125</v>
      </c>
      <c r="F16" s="140">
        <f>-Debt!D89</f>
        <v>-62704.315625000003</v>
      </c>
      <c r="G16" s="140">
        <f>-Debt!E89</f>
        <v>-59171.678125000006</v>
      </c>
      <c r="H16" s="140">
        <f>-Debt!F89</f>
        <v>-55639.040625000001</v>
      </c>
      <c r="I16" s="140">
        <f>-Debt!G89</f>
        <v>-52106.403124999997</v>
      </c>
      <c r="J16" s="140">
        <f>-Debt!H89</f>
        <v>-48573.765625</v>
      </c>
      <c r="K16" s="140">
        <f>-Debt!I89</f>
        <v>-45041.128125000003</v>
      </c>
      <c r="L16" s="140">
        <f>-Debt!J89</f>
        <v>-41508.490625000006</v>
      </c>
      <c r="M16" s="140">
        <f>-Debt!K89</f>
        <v>-37975.853125000001</v>
      </c>
      <c r="N16" s="140">
        <f>-Debt!L89</f>
        <v>-34443.215624999997</v>
      </c>
      <c r="O16" s="140">
        <f>-Debt!M89</f>
        <v>-30910.578125</v>
      </c>
      <c r="P16" s="140">
        <f>-Debt!N89</f>
        <v>-27377.940624999999</v>
      </c>
      <c r="Q16" s="140">
        <f>-Debt!O89</f>
        <v>-23845.303125000002</v>
      </c>
      <c r="R16" s="140">
        <f>-Debt!P89</f>
        <v>-20312.665625000001</v>
      </c>
      <c r="S16" s="140">
        <f>-Debt!Q89</f>
        <v>-16780.028125000001</v>
      </c>
      <c r="T16" s="140">
        <f>-Debt!R89</f>
        <v>-13247.390625</v>
      </c>
      <c r="U16" s="140">
        <f>-Debt!S89</f>
        <v>-9714.7531249999993</v>
      </c>
      <c r="V16" s="140">
        <f>-Debt!T89</f>
        <v>-6182.1156250000004</v>
      </c>
      <c r="W16" s="140">
        <f>-Debt!U89</f>
        <v>-2649.4781250000001</v>
      </c>
      <c r="X16" s="140">
        <f>-Debt!V89</f>
        <v>0</v>
      </c>
      <c r="Y16" s="140">
        <f>-Debt!W89</f>
        <v>0</v>
      </c>
      <c r="Z16" s="115"/>
      <c r="AA16"/>
      <c r="AB16"/>
      <c r="AC16"/>
    </row>
    <row r="17" spans="1:29">
      <c r="A17" s="13"/>
      <c r="B17" s="13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15"/>
      <c r="AA17"/>
      <c r="AB17"/>
      <c r="AC17"/>
    </row>
    <row r="18" spans="1:29">
      <c r="A18" s="12" t="s">
        <v>116</v>
      </c>
      <c r="B18" s="12"/>
      <c r="D18" s="63">
        <f t="shared" ref="D18:Y18" si="0">SUM(D12:D16)</f>
        <v>51020.165648209004</v>
      </c>
      <c r="E18" s="269">
        <f>SUM(E12:E16)</f>
        <v>88942.940506346844</v>
      </c>
      <c r="F18" s="269">
        <f t="shared" si="0"/>
        <v>95065.390448092265</v>
      </c>
      <c r="G18" s="269">
        <f t="shared" si="0"/>
        <v>104210.7928222609</v>
      </c>
      <c r="H18" s="269">
        <f t="shared" si="0"/>
        <v>111413.37152409222</v>
      </c>
      <c r="I18" s="269">
        <f t="shared" si="0"/>
        <v>124228.74545200432</v>
      </c>
      <c r="J18" s="269">
        <f t="shared" si="0"/>
        <v>129641.07517952516</v>
      </c>
      <c r="K18" s="269">
        <f t="shared" si="0"/>
        <v>134515.02873850201</v>
      </c>
      <c r="L18" s="269">
        <f t="shared" si="0"/>
        <v>138597.34413453485</v>
      </c>
      <c r="M18" s="269">
        <f t="shared" si="0"/>
        <v>141500.26030074261</v>
      </c>
      <c r="N18" s="269">
        <f t="shared" si="0"/>
        <v>142611.35964872671</v>
      </c>
      <c r="O18" s="269">
        <f t="shared" si="0"/>
        <v>140135.27310146426</v>
      </c>
      <c r="P18" s="269">
        <f t="shared" si="0"/>
        <v>134038.54230784558</v>
      </c>
      <c r="Q18" s="269">
        <f t="shared" si="0"/>
        <v>116376.12675631684</v>
      </c>
      <c r="R18" s="269">
        <f t="shared" si="0"/>
        <v>90707.021719606651</v>
      </c>
      <c r="S18" s="269">
        <f t="shared" si="0"/>
        <v>44215.447588439754</v>
      </c>
      <c r="T18" s="269">
        <f t="shared" si="0"/>
        <v>-38722.81075663754</v>
      </c>
      <c r="U18" s="269">
        <f t="shared" si="0"/>
        <v>-187137.47525491618</v>
      </c>
      <c r="V18" s="269">
        <f t="shared" si="0"/>
        <v>-456086.29354420945</v>
      </c>
      <c r="W18" s="269">
        <f t="shared" si="0"/>
        <v>-957737.02016934601</v>
      </c>
      <c r="X18" s="269">
        <f t="shared" si="0"/>
        <v>-1859051.9277118715</v>
      </c>
      <c r="Y18" s="269">
        <f t="shared" si="0"/>
        <v>-3684886.6904791542</v>
      </c>
      <c r="Z18" s="174"/>
      <c r="AA18"/>
      <c r="AB18"/>
      <c r="AC18"/>
    </row>
    <row r="19" spans="1:29">
      <c r="A19" s="12"/>
      <c r="B19" s="12"/>
      <c r="D19" s="26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AA19"/>
      <c r="AB19"/>
      <c r="AC19"/>
    </row>
    <row r="20" spans="1:29">
      <c r="A20" s="4" t="s">
        <v>117</v>
      </c>
      <c r="B20" s="12"/>
      <c r="D20" s="122">
        <f>-Tax!D30</f>
        <v>-3723.6678250996606</v>
      </c>
      <c r="E20" s="122">
        <f>-Tax!E30</f>
        <v>-4586.8568516743399</v>
      </c>
      <c r="F20" s="122">
        <f>-Tax!F30</f>
        <v>-5427.7892747997121</v>
      </c>
      <c r="G20" s="122">
        <f>-Tax!G30</f>
        <v>-6377.9363515946206</v>
      </c>
      <c r="H20" s="122">
        <f>-Tax!H30</f>
        <v>-7153.7840142286022</v>
      </c>
      <c r="I20" s="122">
        <f>-Tax!I30</f>
        <v>-8215.8856458343307</v>
      </c>
      <c r="J20" s="122">
        <f>-Tax!J30</f>
        <v>-8566.8034039959111</v>
      </c>
      <c r="K20" s="122">
        <f>-Tax!K30</f>
        <v>-8640.0661183069369</v>
      </c>
      <c r="L20" s="122">
        <f>-Tax!L30</f>
        <v>-8680.2630412964936</v>
      </c>
      <c r="M20" s="122">
        <f>-Tax!M30</f>
        <v>-8635.2635120413725</v>
      </c>
      <c r="N20" s="122">
        <f>-Tax!N30</f>
        <v>-8497.1874721480035</v>
      </c>
      <c r="O20" s="122">
        <f>-Tax!O30</f>
        <v>-8129.4477800846726</v>
      </c>
      <c r="P20" s="122">
        <f>-Tax!P30</f>
        <v>-7558.9019316951362</v>
      </c>
      <c r="Q20" s="122">
        <f>-Tax!Q30</f>
        <v>-6279.9824993758275</v>
      </c>
      <c r="R20" s="122">
        <f>-Tax!R30</f>
        <v>-4535.0941964008007</v>
      </c>
      <c r="S20" s="122">
        <f>-Tax!S30</f>
        <v>-3662.4350206685863</v>
      </c>
      <c r="T20" s="122">
        <f>-Tax!T30</f>
        <v>-602.97479210174754</v>
      </c>
      <c r="U20" s="122">
        <f>-Tax!U30</f>
        <v>0</v>
      </c>
      <c r="V20" s="122">
        <f>-Tax!V30</f>
        <v>0</v>
      </c>
      <c r="W20" s="122">
        <f>-Tax!W30</f>
        <v>0</v>
      </c>
      <c r="X20" s="122">
        <f>-Tax!X30</f>
        <v>0</v>
      </c>
      <c r="Y20" s="122">
        <f>-Tax!Y30</f>
        <v>0</v>
      </c>
      <c r="AA20"/>
      <c r="AB20"/>
      <c r="AC20"/>
    </row>
    <row r="21" spans="1:29">
      <c r="A21" s="4" t="s">
        <v>118</v>
      </c>
      <c r="B21" s="13"/>
      <c r="D21" s="270">
        <f>-Tax!D41</f>
        <v>-20418.111907629806</v>
      </c>
      <c r="E21" s="270">
        <f>-Tax!E41</f>
        <v>-25151.265070014299</v>
      </c>
      <c r="F21" s="270">
        <f>-Tax!F41</f>
        <v>-29762.377856818421</v>
      </c>
      <c r="G21" s="270">
        <f>-Tax!G41</f>
        <v>-34972.350994577173</v>
      </c>
      <c r="H21" s="270">
        <f>-Tax!H41</f>
        <v>-39226.582344686831</v>
      </c>
      <c r="I21" s="270">
        <f>-Tax!I41</f>
        <v>-45050.439624658247</v>
      </c>
      <c r="J21" s="270">
        <f>-Tax!J41</f>
        <v>-46974.638665244252</v>
      </c>
      <c r="K21" s="270">
        <f>-Tax!K41</f>
        <v>-47376.362548716366</v>
      </c>
      <c r="L21" s="270">
        <f>-Tax!L41</f>
        <v>-47596.775676442434</v>
      </c>
      <c r="M21" s="270">
        <f>-Tax!M41</f>
        <v>-47350.028257693528</v>
      </c>
      <c r="N21" s="270">
        <f>-Tax!N41</f>
        <v>-46592.911305611546</v>
      </c>
      <c r="O21" s="270">
        <f>-Tax!O41</f>
        <v>-44576.471994130952</v>
      </c>
      <c r="P21" s="270">
        <f>-Tax!P41</f>
        <v>-41447.978925461663</v>
      </c>
      <c r="Q21" s="270">
        <f>-Tax!Q41</f>
        <v>-34435.237371577452</v>
      </c>
      <c r="R21" s="270">
        <f>-Tax!R41</f>
        <v>-24867.433176931063</v>
      </c>
      <c r="S21" s="270">
        <f>-Tax!S41</f>
        <v>-20082.352029999416</v>
      </c>
      <c r="T21" s="270">
        <f>-Tax!T41</f>
        <v>-3306.3117766912492</v>
      </c>
      <c r="U21" s="270">
        <f>-Tax!U41</f>
        <v>49664.202745470662</v>
      </c>
      <c r="V21" s="270">
        <f>-Tax!V41</f>
        <v>145032.71227172331</v>
      </c>
      <c r="W21" s="270">
        <f>-Tax!W41</f>
        <v>321846.88971552107</v>
      </c>
      <c r="X21" s="270">
        <f>-Tax!X41</f>
        <v>650781.92469915492</v>
      </c>
      <c r="Y21" s="270">
        <f>-Tax!Y41</f>
        <v>1289710.3416677038</v>
      </c>
      <c r="Z21" s="173"/>
      <c r="AA21"/>
      <c r="AB21"/>
      <c r="AC21"/>
    </row>
    <row r="22" spans="1:29">
      <c r="A22" s="13"/>
      <c r="B22" s="13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73"/>
      <c r="AA22"/>
      <c r="AB22"/>
      <c r="AC22"/>
    </row>
    <row r="23" spans="1:29" s="17" customFormat="1">
      <c r="A23" s="12" t="s">
        <v>119</v>
      </c>
      <c r="B23" s="12"/>
      <c r="D23" s="63">
        <f t="shared" ref="D23:Y23" si="1">D18+D21+D20</f>
        <v>26878.385915479539</v>
      </c>
      <c r="E23" s="63">
        <f t="shared" si="1"/>
        <v>59204.818584658206</v>
      </c>
      <c r="F23" s="63">
        <f t="shared" si="1"/>
        <v>59875.223316474134</v>
      </c>
      <c r="G23" s="63">
        <f t="shared" si="1"/>
        <v>62860.505476089122</v>
      </c>
      <c r="H23" s="63">
        <f t="shared" si="1"/>
        <v>65033.005165176786</v>
      </c>
      <c r="I23" s="63">
        <f t="shared" si="1"/>
        <v>70962.420181511741</v>
      </c>
      <c r="J23" s="63">
        <f t="shared" si="1"/>
        <v>74099.633110284994</v>
      </c>
      <c r="K23" s="63">
        <f t="shared" si="1"/>
        <v>78498.600071478708</v>
      </c>
      <c r="L23" s="63">
        <f t="shared" si="1"/>
        <v>82320.305416795934</v>
      </c>
      <c r="M23" s="63">
        <f t="shared" si="1"/>
        <v>85514.968531007704</v>
      </c>
      <c r="N23" s="63">
        <f t="shared" si="1"/>
        <v>87521.260870967162</v>
      </c>
      <c r="O23" s="63">
        <f t="shared" si="1"/>
        <v>87429.353327248624</v>
      </c>
      <c r="P23" s="63">
        <f t="shared" si="1"/>
        <v>85031.661450688785</v>
      </c>
      <c r="Q23" s="63">
        <f t="shared" si="1"/>
        <v>75660.906885363569</v>
      </c>
      <c r="R23" s="63">
        <f t="shared" si="1"/>
        <v>61304.494346274783</v>
      </c>
      <c r="S23" s="63">
        <f t="shared" si="1"/>
        <v>20470.660537771753</v>
      </c>
      <c r="T23" s="63">
        <f t="shared" si="1"/>
        <v>-42632.097325430535</v>
      </c>
      <c r="U23" s="63">
        <f t="shared" si="1"/>
        <v>-137473.27250944552</v>
      </c>
      <c r="V23" s="63">
        <f t="shared" si="1"/>
        <v>-311053.58127248613</v>
      </c>
      <c r="W23" s="63">
        <f t="shared" si="1"/>
        <v>-635890.130453825</v>
      </c>
      <c r="X23" s="63">
        <f t="shared" si="1"/>
        <v>-1208270.0030127165</v>
      </c>
      <c r="Y23" s="63">
        <f t="shared" si="1"/>
        <v>-2395176.3488114504</v>
      </c>
      <c r="Z23" s="268"/>
      <c r="AA23"/>
      <c r="AB23"/>
      <c r="AC23"/>
    </row>
    <row r="24" spans="1:29">
      <c r="A24" s="13"/>
      <c r="B24" s="13"/>
      <c r="D24" s="26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73"/>
      <c r="AA24"/>
      <c r="AB24"/>
      <c r="AC24"/>
    </row>
    <row r="25" spans="1:29">
      <c r="A25" s="14" t="s">
        <v>120</v>
      </c>
      <c r="B25" s="14"/>
      <c r="C25" s="396">
        <f>Assumptions!B17</f>
        <v>0.5</v>
      </c>
      <c r="D25" s="26">
        <v>0</v>
      </c>
      <c r="E25" s="26">
        <f>$C$25*IS!E47</f>
        <v>41726.113961670591</v>
      </c>
      <c r="F25" s="26">
        <f>$C$25*IS!F47</f>
        <v>42517.301662623817</v>
      </c>
      <c r="G25" s="26">
        <f>$C$25*IS!G47</f>
        <v>44232.001331682332</v>
      </c>
      <c r="H25" s="26">
        <f>$C$25*IS!H47</f>
        <v>45353.168368841798</v>
      </c>
      <c r="I25" s="26">
        <f>$C$25*IS!I47</f>
        <v>48189.044347568946</v>
      </c>
      <c r="J25" s="26">
        <f>$C$25*IS!J47</f>
        <v>48763.290323076566</v>
      </c>
      <c r="K25" s="26">
        <f>$C$25*IS!K47</f>
        <v>49173.062379093986</v>
      </c>
      <c r="L25" s="26">
        <f>$C$25*IS!L47</f>
        <v>49340.988976332024</v>
      </c>
      <c r="M25" s="26">
        <f>$C$25*IS!M47</f>
        <v>49148.609108858494</v>
      </c>
      <c r="N25" s="26">
        <f>$C$25*IS!N47</f>
        <v>48408.829203417627</v>
      </c>
      <c r="O25" s="26">
        <f>$C$25*IS!O47</f>
        <v>46573.164006978957</v>
      </c>
      <c r="P25" s="26">
        <f>$C$25*IS!P47</f>
        <v>43631.391993278448</v>
      </c>
      <c r="Q25" s="26">
        <f>$C$25*IS!Q47</f>
        <v>37156.303286036418</v>
      </c>
      <c r="R25" s="26">
        <f>$C$25*IS!R47</f>
        <v>28235.170941071461</v>
      </c>
      <c r="S25" s="26">
        <f>$C$25*IS!S47</f>
        <v>12952.774287749975</v>
      </c>
      <c r="T25" s="26">
        <f>$C$25*IS!T47</f>
        <v>-13464.084392921139</v>
      </c>
      <c r="U25" s="26">
        <f>$C$25*IS!U47</f>
        <v>-59883.985153395275</v>
      </c>
      <c r="V25" s="26">
        <f>$C$25*IS!V47</f>
        <v>-143127.06989702437</v>
      </c>
      <c r="W25" s="26">
        <f>$C$25*IS!W47</f>
        <v>-297460.58763725357</v>
      </c>
      <c r="X25" s="26">
        <f>$C$25*IS!X47</f>
        <v>-584573.88245868264</v>
      </c>
      <c r="Y25" s="26">
        <f>$C$25*IS!Y47</f>
        <v>-1142267.1149840876</v>
      </c>
      <c r="Z25" s="115"/>
      <c r="AA25"/>
      <c r="AB25"/>
      <c r="AC25"/>
    </row>
    <row r="26" spans="1:29">
      <c r="A26" s="14" t="s">
        <v>121</v>
      </c>
      <c r="B26" s="14"/>
      <c r="C26" s="396">
        <v>0.5</v>
      </c>
      <c r="D26" s="26">
        <f>(D23)*$C$26</f>
        <v>13439.19295773977</v>
      </c>
      <c r="E26" s="106">
        <f>(E23)*$C$26</f>
        <v>29602.409292329103</v>
      </c>
      <c r="F26" s="106">
        <f t="shared" ref="F26:X26" si="2">(F23)*$C$26</f>
        <v>29937.611658237067</v>
      </c>
      <c r="G26" s="106">
        <f t="shared" si="2"/>
        <v>31430.252738044561</v>
      </c>
      <c r="H26" s="106">
        <f t="shared" si="2"/>
        <v>32516.502582588393</v>
      </c>
      <c r="I26" s="106">
        <f t="shared" si="2"/>
        <v>35481.210090755871</v>
      </c>
      <c r="J26" s="106">
        <f t="shared" si="2"/>
        <v>37049.816555142497</v>
      </c>
      <c r="K26" s="106">
        <f t="shared" si="2"/>
        <v>39249.300035739354</v>
      </c>
      <c r="L26" s="106">
        <f t="shared" si="2"/>
        <v>41160.152708397967</v>
      </c>
      <c r="M26" s="106">
        <f t="shared" si="2"/>
        <v>42757.484265503852</v>
      </c>
      <c r="N26" s="106">
        <f t="shared" si="2"/>
        <v>43760.630435483581</v>
      </c>
      <c r="O26" s="106">
        <f t="shared" si="2"/>
        <v>43714.676663624312</v>
      </c>
      <c r="P26" s="106">
        <f t="shared" si="2"/>
        <v>42515.830725344393</v>
      </c>
      <c r="Q26" s="106">
        <f t="shared" si="2"/>
        <v>37830.453442681785</v>
      </c>
      <c r="R26" s="106">
        <f t="shared" si="2"/>
        <v>30652.247173137392</v>
      </c>
      <c r="S26" s="106">
        <f t="shared" si="2"/>
        <v>10235.330268885877</v>
      </c>
      <c r="T26" s="106">
        <f t="shared" si="2"/>
        <v>-21316.048662715268</v>
      </c>
      <c r="U26" s="106">
        <f t="shared" si="2"/>
        <v>-68736.636254722762</v>
      </c>
      <c r="V26" s="106">
        <f t="shared" si="2"/>
        <v>-155526.79063624307</v>
      </c>
      <c r="W26" s="106">
        <f t="shared" si="2"/>
        <v>-317945.0652269125</v>
      </c>
      <c r="X26" s="106">
        <f t="shared" si="2"/>
        <v>-604135.00150635827</v>
      </c>
      <c r="Y26" s="106">
        <f>(Y23)*$C$26</f>
        <v>-1197588.1744057252</v>
      </c>
      <c r="Z26" s="141"/>
      <c r="AA26"/>
      <c r="AB26"/>
      <c r="AC26"/>
    </row>
    <row r="27" spans="1:29">
      <c r="A27" s="13"/>
      <c r="B27" s="13"/>
      <c r="D27" s="152"/>
      <c r="E27" s="152"/>
      <c r="F27" s="152"/>
      <c r="G27" s="152"/>
      <c r="H27" s="152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73"/>
    </row>
    <row r="28" spans="1:29">
      <c r="A28" s="73"/>
      <c r="B28" s="73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</row>
    <row r="29" spans="1:29">
      <c r="A29" s="73"/>
      <c r="B29" s="73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</row>
    <row r="30" spans="1:29" ht="18.75">
      <c r="A30" s="163" t="s">
        <v>122</v>
      </c>
      <c r="B30" s="279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</row>
    <row r="31" spans="1:29">
      <c r="D31" s="388"/>
      <c r="E31" s="388"/>
      <c r="F31" s="388"/>
      <c r="G31" s="388"/>
      <c r="H31" s="388"/>
      <c r="I31" s="388"/>
      <c r="J31" s="388"/>
      <c r="K31" s="388"/>
      <c r="L31" s="388"/>
      <c r="M31" s="388"/>
      <c r="N31" s="388"/>
      <c r="O31" s="388"/>
      <c r="P31" s="388"/>
      <c r="Q31" s="388"/>
      <c r="R31" s="388"/>
      <c r="S31" s="388"/>
      <c r="T31" s="388"/>
      <c r="U31" s="388"/>
      <c r="V31" s="388"/>
      <c r="W31" s="388"/>
      <c r="X31" s="388"/>
      <c r="Y31" s="388"/>
    </row>
    <row r="32" spans="1:29" ht="13.5" thickBot="1">
      <c r="A32" s="266" t="s">
        <v>94</v>
      </c>
      <c r="B32" s="266"/>
      <c r="C32" s="2"/>
      <c r="D32" s="9">
        <f>D9</f>
        <v>2000</v>
      </c>
      <c r="E32" s="9">
        <f t="shared" ref="E32:Y32" si="3">E9</f>
        <v>2001</v>
      </c>
      <c r="F32" s="9">
        <f t="shared" si="3"/>
        <v>2002</v>
      </c>
      <c r="G32" s="9">
        <f t="shared" si="3"/>
        <v>2003</v>
      </c>
      <c r="H32" s="9">
        <f t="shared" si="3"/>
        <v>2004</v>
      </c>
      <c r="I32" s="9">
        <f t="shared" si="3"/>
        <v>2005</v>
      </c>
      <c r="J32" s="9">
        <f t="shared" si="3"/>
        <v>2006</v>
      </c>
      <c r="K32" s="9">
        <f t="shared" si="3"/>
        <v>2007</v>
      </c>
      <c r="L32" s="9">
        <f t="shared" si="3"/>
        <v>2008</v>
      </c>
      <c r="M32" s="9">
        <f t="shared" si="3"/>
        <v>2009</v>
      </c>
      <c r="N32" s="9">
        <f t="shared" si="3"/>
        <v>2010</v>
      </c>
      <c r="O32" s="9">
        <f t="shared" si="3"/>
        <v>2011</v>
      </c>
      <c r="P32" s="9">
        <f t="shared" si="3"/>
        <v>2012</v>
      </c>
      <c r="Q32" s="9">
        <f t="shared" si="3"/>
        <v>2013</v>
      </c>
      <c r="R32" s="9">
        <f t="shared" si="3"/>
        <v>2014</v>
      </c>
      <c r="S32" s="9">
        <f t="shared" si="3"/>
        <v>2015</v>
      </c>
      <c r="T32" s="9">
        <f t="shared" si="3"/>
        <v>2016</v>
      </c>
      <c r="U32" s="9">
        <f t="shared" si="3"/>
        <v>2017</v>
      </c>
      <c r="V32" s="9">
        <f t="shared" si="3"/>
        <v>2018</v>
      </c>
      <c r="W32" s="9">
        <f t="shared" si="3"/>
        <v>2019</v>
      </c>
      <c r="X32" s="9">
        <f t="shared" si="3"/>
        <v>2020</v>
      </c>
      <c r="Y32" s="9">
        <f t="shared" si="3"/>
        <v>2021</v>
      </c>
    </row>
    <row r="33" spans="1:27" ht="14.25" customHeight="1">
      <c r="A33" s="280"/>
      <c r="B33" s="280"/>
      <c r="D33" s="540">
        <v>36891</v>
      </c>
      <c r="E33" s="540">
        <v>37256</v>
      </c>
      <c r="F33" s="540">
        <v>37621</v>
      </c>
      <c r="G33" s="540">
        <v>37986</v>
      </c>
      <c r="H33" s="540">
        <v>38352</v>
      </c>
      <c r="I33" s="540">
        <v>38717</v>
      </c>
      <c r="J33" s="540">
        <v>39082</v>
      </c>
      <c r="K33" s="540">
        <v>39447</v>
      </c>
      <c r="L33" s="540">
        <v>39813</v>
      </c>
      <c r="M33" s="540">
        <v>40178</v>
      </c>
      <c r="N33" s="540">
        <v>40543</v>
      </c>
      <c r="O33" s="540">
        <v>40908</v>
      </c>
      <c r="P33" s="540">
        <v>41274</v>
      </c>
      <c r="Q33" s="540">
        <v>41639</v>
      </c>
      <c r="R33" s="540">
        <v>42004</v>
      </c>
      <c r="S33" s="540">
        <v>42369</v>
      </c>
      <c r="T33" s="540">
        <v>42735</v>
      </c>
      <c r="U33" s="540">
        <v>43100</v>
      </c>
      <c r="V33" s="540">
        <v>43465</v>
      </c>
      <c r="W33" s="540">
        <v>43830</v>
      </c>
      <c r="X33" s="540">
        <v>44196</v>
      </c>
      <c r="Y33" s="540">
        <v>44561</v>
      </c>
    </row>
    <row r="34" spans="1:27">
      <c r="A34" s="73"/>
      <c r="B34" s="73"/>
      <c r="K34" s="60"/>
    </row>
    <row r="35" spans="1:27" s="17" customFormat="1">
      <c r="A35" s="12" t="s">
        <v>116</v>
      </c>
      <c r="B35" s="73"/>
      <c r="D35" s="63">
        <f>$C$26*D18</f>
        <v>25510.082824104502</v>
      </c>
      <c r="E35" s="269">
        <f t="shared" ref="E35:Y35" si="4">$C$26*E18</f>
        <v>44471.470253173422</v>
      </c>
      <c r="F35" s="269">
        <f t="shared" si="4"/>
        <v>47532.695224046132</v>
      </c>
      <c r="G35" s="269">
        <f t="shared" si="4"/>
        <v>52105.396411130452</v>
      </c>
      <c r="H35" s="269">
        <f t="shared" si="4"/>
        <v>55706.685762046109</v>
      </c>
      <c r="I35" s="269">
        <f t="shared" si="4"/>
        <v>62114.372726002162</v>
      </c>
      <c r="J35" s="269">
        <f t="shared" si="4"/>
        <v>64820.537589762578</v>
      </c>
      <c r="K35" s="269">
        <f t="shared" si="4"/>
        <v>67257.514369251003</v>
      </c>
      <c r="L35" s="269">
        <f t="shared" si="4"/>
        <v>69298.672067267427</v>
      </c>
      <c r="M35" s="269">
        <f t="shared" si="4"/>
        <v>70750.130150371304</v>
      </c>
      <c r="N35" s="269">
        <f t="shared" si="4"/>
        <v>71305.679824363353</v>
      </c>
      <c r="O35" s="269">
        <f t="shared" si="4"/>
        <v>70067.636550732132</v>
      </c>
      <c r="P35" s="269">
        <f t="shared" si="4"/>
        <v>67019.271153922789</v>
      </c>
      <c r="Q35" s="269">
        <f t="shared" si="4"/>
        <v>58188.063378158418</v>
      </c>
      <c r="R35" s="269">
        <f t="shared" si="4"/>
        <v>45353.510859803326</v>
      </c>
      <c r="S35" s="269">
        <f t="shared" si="4"/>
        <v>22107.723794219877</v>
      </c>
      <c r="T35" s="269">
        <f t="shared" si="4"/>
        <v>-19361.40537831877</v>
      </c>
      <c r="U35" s="269">
        <f t="shared" si="4"/>
        <v>-93568.737627458089</v>
      </c>
      <c r="V35" s="269">
        <f t="shared" si="4"/>
        <v>-228043.14677210472</v>
      </c>
      <c r="W35" s="269">
        <f t="shared" si="4"/>
        <v>-478868.51008467301</v>
      </c>
      <c r="X35" s="269">
        <f t="shared" si="4"/>
        <v>-929525.96385593573</v>
      </c>
      <c r="Y35" s="269">
        <f t="shared" si="4"/>
        <v>-1842443.3452395771</v>
      </c>
      <c r="Z35" s="114"/>
      <c r="AA35" s="114"/>
    </row>
    <row r="36" spans="1:27">
      <c r="A36" s="12"/>
      <c r="B36" s="73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</row>
    <row r="37" spans="1:27">
      <c r="A37" s="13" t="s">
        <v>123</v>
      </c>
      <c r="B37" s="73"/>
      <c r="D37" s="154">
        <f>$C$26*D20</f>
        <v>-1861.8339125498303</v>
      </c>
      <c r="E37" s="154">
        <f t="shared" ref="E37:Y37" si="5">$C$26*E20</f>
        <v>-2293.4284258371699</v>
      </c>
      <c r="F37" s="154">
        <f t="shared" si="5"/>
        <v>-2713.894637399856</v>
      </c>
      <c r="G37" s="154">
        <f t="shared" si="5"/>
        <v>-3188.9681757973103</v>
      </c>
      <c r="H37" s="154">
        <f t="shared" si="5"/>
        <v>-3576.8920071143011</v>
      </c>
      <c r="I37" s="154">
        <f t="shared" si="5"/>
        <v>-4107.9428229171654</v>
      </c>
      <c r="J37" s="154">
        <f t="shared" si="5"/>
        <v>-4283.4017019979556</v>
      </c>
      <c r="K37" s="154">
        <f t="shared" si="5"/>
        <v>-4320.0330591534685</v>
      </c>
      <c r="L37" s="154">
        <f t="shared" si="5"/>
        <v>-4340.1315206482468</v>
      </c>
      <c r="M37" s="154">
        <f t="shared" si="5"/>
        <v>-4317.6317560206862</v>
      </c>
      <c r="N37" s="154">
        <f t="shared" si="5"/>
        <v>-4248.5937360740018</v>
      </c>
      <c r="O37" s="154">
        <f t="shared" si="5"/>
        <v>-4064.7238900423363</v>
      </c>
      <c r="P37" s="154">
        <f t="shared" si="5"/>
        <v>-3779.4509658475681</v>
      </c>
      <c r="Q37" s="154">
        <f t="shared" si="5"/>
        <v>-3139.9912496879138</v>
      </c>
      <c r="R37" s="154">
        <f t="shared" si="5"/>
        <v>-2267.5470982004003</v>
      </c>
      <c r="S37" s="154">
        <f t="shared" si="5"/>
        <v>-1831.2175103342931</v>
      </c>
      <c r="T37" s="154">
        <f t="shared" si="5"/>
        <v>-301.48739605087377</v>
      </c>
      <c r="U37" s="154">
        <f t="shared" si="5"/>
        <v>0</v>
      </c>
      <c r="V37" s="154">
        <f t="shared" si="5"/>
        <v>0</v>
      </c>
      <c r="W37" s="154">
        <f t="shared" si="5"/>
        <v>0</v>
      </c>
      <c r="X37" s="154">
        <f t="shared" si="5"/>
        <v>0</v>
      </c>
      <c r="Y37" s="154">
        <f t="shared" si="5"/>
        <v>0</v>
      </c>
    </row>
    <row r="38" spans="1:27">
      <c r="A38" s="13" t="s">
        <v>124</v>
      </c>
      <c r="B38" s="73"/>
      <c r="D38" s="158">
        <f>$C$26*D21</f>
        <v>-10209.055953814903</v>
      </c>
      <c r="E38" s="158">
        <f t="shared" ref="E38:Y38" si="6">$C$26*E21</f>
        <v>-12575.632535007149</v>
      </c>
      <c r="F38" s="158">
        <f t="shared" si="6"/>
        <v>-14881.18892840921</v>
      </c>
      <c r="G38" s="158">
        <f t="shared" si="6"/>
        <v>-17486.175497288586</v>
      </c>
      <c r="H38" s="158">
        <f t="shared" si="6"/>
        <v>-19613.291172343415</v>
      </c>
      <c r="I38" s="158">
        <f t="shared" si="6"/>
        <v>-22525.219812329124</v>
      </c>
      <c r="J38" s="158">
        <f t="shared" si="6"/>
        <v>-23487.319332622126</v>
      </c>
      <c r="K38" s="158">
        <f t="shared" si="6"/>
        <v>-23688.181274358183</v>
      </c>
      <c r="L38" s="158">
        <f t="shared" si="6"/>
        <v>-23798.387838221217</v>
      </c>
      <c r="M38" s="158">
        <f t="shared" si="6"/>
        <v>-23675.014128846764</v>
      </c>
      <c r="N38" s="158">
        <f t="shared" si="6"/>
        <v>-23296.455652805773</v>
      </c>
      <c r="O38" s="158">
        <f t="shared" si="6"/>
        <v>-22288.235997065476</v>
      </c>
      <c r="P38" s="158">
        <f t="shared" si="6"/>
        <v>-20723.989462730831</v>
      </c>
      <c r="Q38" s="158">
        <f t="shared" si="6"/>
        <v>-17217.618685788726</v>
      </c>
      <c r="R38" s="158">
        <f t="shared" si="6"/>
        <v>-12433.716588465531</v>
      </c>
      <c r="S38" s="158">
        <f t="shared" si="6"/>
        <v>-10041.176014999708</v>
      </c>
      <c r="T38" s="158">
        <f t="shared" si="6"/>
        <v>-1653.1558883456246</v>
      </c>
      <c r="U38" s="158">
        <f t="shared" si="6"/>
        <v>24832.101372735331</v>
      </c>
      <c r="V38" s="158">
        <f t="shared" si="6"/>
        <v>72516.356135861657</v>
      </c>
      <c r="W38" s="158">
        <f t="shared" si="6"/>
        <v>160923.44485776054</v>
      </c>
      <c r="X38" s="158">
        <f t="shared" si="6"/>
        <v>325390.96234957746</v>
      </c>
      <c r="Y38" s="158">
        <f t="shared" si="6"/>
        <v>644855.17083385191</v>
      </c>
    </row>
    <row r="39" spans="1:27">
      <c r="A39" s="13"/>
      <c r="B39" s="73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</row>
    <row r="40" spans="1:27" s="17" customFormat="1">
      <c r="A40" s="12" t="s">
        <v>119</v>
      </c>
      <c r="B40" s="73"/>
      <c r="D40" s="63">
        <f>$C$26*D23</f>
        <v>13439.19295773977</v>
      </c>
      <c r="E40" s="269">
        <f t="shared" ref="E40:Y40" si="7">$C$26*E23</f>
        <v>29602.409292329103</v>
      </c>
      <c r="F40" s="269">
        <f t="shared" si="7"/>
        <v>29937.611658237067</v>
      </c>
      <c r="G40" s="269">
        <f t="shared" si="7"/>
        <v>31430.252738044561</v>
      </c>
      <c r="H40" s="269">
        <f t="shared" si="7"/>
        <v>32516.502582588393</v>
      </c>
      <c r="I40" s="269">
        <f t="shared" si="7"/>
        <v>35481.210090755871</v>
      </c>
      <c r="J40" s="269">
        <f t="shared" si="7"/>
        <v>37049.816555142497</v>
      </c>
      <c r="K40" s="269">
        <f t="shared" si="7"/>
        <v>39249.300035739354</v>
      </c>
      <c r="L40" s="269">
        <f t="shared" si="7"/>
        <v>41160.152708397967</v>
      </c>
      <c r="M40" s="269">
        <f t="shared" si="7"/>
        <v>42757.484265503852</v>
      </c>
      <c r="N40" s="269">
        <f t="shared" si="7"/>
        <v>43760.630435483581</v>
      </c>
      <c r="O40" s="269">
        <f t="shared" si="7"/>
        <v>43714.676663624312</v>
      </c>
      <c r="P40" s="269">
        <f t="shared" si="7"/>
        <v>42515.830725344393</v>
      </c>
      <c r="Q40" s="269">
        <f t="shared" si="7"/>
        <v>37830.453442681785</v>
      </c>
      <c r="R40" s="269">
        <f t="shared" si="7"/>
        <v>30652.247173137392</v>
      </c>
      <c r="S40" s="269">
        <f t="shared" si="7"/>
        <v>10235.330268885877</v>
      </c>
      <c r="T40" s="269">
        <f t="shared" si="7"/>
        <v>-21316.048662715268</v>
      </c>
      <c r="U40" s="269">
        <f t="shared" si="7"/>
        <v>-68736.636254722762</v>
      </c>
      <c r="V40" s="269">
        <f t="shared" si="7"/>
        <v>-155526.79063624307</v>
      </c>
      <c r="W40" s="269">
        <f t="shared" si="7"/>
        <v>-317945.0652269125</v>
      </c>
      <c r="X40" s="269">
        <f t="shared" si="7"/>
        <v>-604135.00150635827</v>
      </c>
      <c r="Y40" s="269">
        <f t="shared" si="7"/>
        <v>-1197588.1744057252</v>
      </c>
      <c r="Z40" s="114"/>
      <c r="AA40" s="114"/>
    </row>
    <row r="41" spans="1:27">
      <c r="A41" s="12"/>
      <c r="B41" s="73"/>
      <c r="K41" s="60"/>
    </row>
    <row r="42" spans="1:27">
      <c r="A42" s="118" t="s">
        <v>125</v>
      </c>
      <c r="B42" s="118"/>
      <c r="D42" s="33">
        <f>-Assumptions!$B$17*Assumptions!C10</f>
        <v>-260000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21"/>
    </row>
    <row r="43" spans="1:27">
      <c r="A43" s="118"/>
      <c r="B43" s="118"/>
      <c r="D43" s="3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</row>
    <row r="44" spans="1:27">
      <c r="A44" s="68"/>
      <c r="B44" s="68"/>
      <c r="C44" s="68"/>
      <c r="D44" s="341"/>
    </row>
    <row r="45" spans="1:27">
      <c r="A45" s="73" t="s">
        <v>296</v>
      </c>
      <c r="B45" s="15"/>
      <c r="D45" s="122"/>
      <c r="E45" s="122"/>
      <c r="F45" s="122"/>
      <c r="G45" s="122"/>
      <c r="H45" s="122"/>
      <c r="I45" s="122"/>
      <c r="J45" s="60"/>
    </row>
    <row r="46" spans="1:27">
      <c r="A46" s="18" t="s">
        <v>127</v>
      </c>
      <c r="D46" s="123">
        <f>D42+D40</f>
        <v>-246560.80704226022</v>
      </c>
      <c r="E46" s="123">
        <f t="shared" ref="E46:Y46" si="8">E42+E40</f>
        <v>29602.409292329103</v>
      </c>
      <c r="F46" s="123">
        <f t="shared" si="8"/>
        <v>29937.611658237067</v>
      </c>
      <c r="G46" s="123">
        <f t="shared" si="8"/>
        <v>31430.252738044561</v>
      </c>
      <c r="H46" s="123">
        <f t="shared" si="8"/>
        <v>32516.502582588393</v>
      </c>
      <c r="I46" s="123">
        <f t="shared" si="8"/>
        <v>35481.210090755871</v>
      </c>
      <c r="J46" s="123">
        <f t="shared" si="8"/>
        <v>37049.816555142497</v>
      </c>
      <c r="K46" s="123">
        <f t="shared" si="8"/>
        <v>39249.300035739354</v>
      </c>
      <c r="L46" s="123">
        <f t="shared" si="8"/>
        <v>41160.152708397967</v>
      </c>
      <c r="M46" s="123">
        <f t="shared" si="8"/>
        <v>42757.484265503852</v>
      </c>
      <c r="N46" s="123">
        <f t="shared" si="8"/>
        <v>43760.630435483581</v>
      </c>
      <c r="O46" s="123">
        <f t="shared" si="8"/>
        <v>43714.676663624312</v>
      </c>
      <c r="P46" s="123">
        <f t="shared" si="8"/>
        <v>42515.830725344393</v>
      </c>
      <c r="Q46" s="123">
        <f t="shared" si="8"/>
        <v>37830.453442681785</v>
      </c>
      <c r="R46" s="123">
        <f t="shared" si="8"/>
        <v>30652.247173137392</v>
      </c>
      <c r="S46" s="123">
        <f t="shared" si="8"/>
        <v>10235.330268885877</v>
      </c>
      <c r="T46" s="123">
        <f t="shared" si="8"/>
        <v>-21316.048662715268</v>
      </c>
      <c r="U46" s="123">
        <f t="shared" si="8"/>
        <v>-68736.636254722762</v>
      </c>
      <c r="V46" s="123">
        <f t="shared" si="8"/>
        <v>-155526.79063624307</v>
      </c>
      <c r="W46" s="123">
        <f t="shared" si="8"/>
        <v>-317945.0652269125</v>
      </c>
      <c r="X46" s="123">
        <f t="shared" si="8"/>
        <v>-604135.00150635827</v>
      </c>
      <c r="Y46" s="123">
        <f t="shared" si="8"/>
        <v>-1197588.1744057252</v>
      </c>
    </row>
    <row r="47" spans="1:27">
      <c r="A47" s="18" t="s">
        <v>7</v>
      </c>
      <c r="D47" s="541">
        <f>[1]!_xludf.xirr(D46:Y46,D33:Y33)</f>
        <v>2.9802322387695314E-9</v>
      </c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</row>
    <row r="49" spans="1:26">
      <c r="A49" s="73" t="s">
        <v>126</v>
      </c>
    </row>
    <row r="50" spans="1:26">
      <c r="A50" s="18" t="s">
        <v>127</v>
      </c>
      <c r="D50" s="123">
        <f>D46</f>
        <v>-246560.80704226022</v>
      </c>
      <c r="E50" s="123">
        <f t="shared" ref="E50:Y50" si="9">E46</f>
        <v>29602.409292329103</v>
      </c>
      <c r="F50" s="123">
        <f t="shared" si="9"/>
        <v>29937.611658237067</v>
      </c>
      <c r="G50" s="123">
        <f t="shared" si="9"/>
        <v>31430.252738044561</v>
      </c>
      <c r="H50" s="123">
        <f t="shared" si="9"/>
        <v>32516.502582588393</v>
      </c>
      <c r="I50" s="123">
        <f t="shared" si="9"/>
        <v>35481.210090755871</v>
      </c>
      <c r="J50" s="123">
        <f t="shared" si="9"/>
        <v>37049.816555142497</v>
      </c>
      <c r="K50" s="123">
        <f t="shared" si="9"/>
        <v>39249.300035739354</v>
      </c>
      <c r="L50" s="123">
        <f t="shared" si="9"/>
        <v>41160.152708397967</v>
      </c>
      <c r="M50" s="123">
        <f t="shared" si="9"/>
        <v>42757.484265503852</v>
      </c>
      <c r="N50" s="123">
        <f t="shared" si="9"/>
        <v>43760.630435483581</v>
      </c>
      <c r="O50" s="123">
        <f t="shared" si="9"/>
        <v>43714.676663624312</v>
      </c>
      <c r="P50" s="123">
        <f t="shared" si="9"/>
        <v>42515.830725344393</v>
      </c>
      <c r="Q50" s="123">
        <f t="shared" si="9"/>
        <v>37830.453442681785</v>
      </c>
      <c r="R50" s="123">
        <f t="shared" si="9"/>
        <v>30652.247173137392</v>
      </c>
      <c r="S50" s="123">
        <f t="shared" si="9"/>
        <v>10235.330268885877</v>
      </c>
      <c r="T50" s="123">
        <f t="shared" si="9"/>
        <v>-21316.048662715268</v>
      </c>
      <c r="U50" s="123">
        <f t="shared" si="9"/>
        <v>-68736.636254722762</v>
      </c>
      <c r="V50" s="123">
        <f t="shared" si="9"/>
        <v>-155526.79063624307</v>
      </c>
      <c r="W50" s="123">
        <f t="shared" si="9"/>
        <v>-317945.0652269125</v>
      </c>
      <c r="X50" s="123">
        <f t="shared" si="9"/>
        <v>-604135.00150635827</v>
      </c>
      <c r="Y50" s="123">
        <f t="shared" si="9"/>
        <v>-1197588.1744057252</v>
      </c>
    </row>
    <row r="51" spans="1:26">
      <c r="A51" s="18" t="s">
        <v>128</v>
      </c>
      <c r="D51" s="123">
        <v>0</v>
      </c>
      <c r="E51" s="123">
        <v>0</v>
      </c>
      <c r="F51" s="123">
        <v>0</v>
      </c>
      <c r="G51" s="123">
        <v>0</v>
      </c>
      <c r="H51" s="123">
        <v>0</v>
      </c>
      <c r="I51" s="123">
        <v>0</v>
      </c>
      <c r="J51" s="123">
        <v>0</v>
      </c>
      <c r="K51" s="123">
        <v>0</v>
      </c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>
        <v>0</v>
      </c>
      <c r="S51" s="123">
        <v>0</v>
      </c>
      <c r="T51" s="123">
        <v>0</v>
      </c>
      <c r="U51" s="123">
        <v>0</v>
      </c>
      <c r="V51" s="123">
        <v>0</v>
      </c>
      <c r="W51" s="123">
        <v>0</v>
      </c>
      <c r="X51" s="123">
        <v>0</v>
      </c>
      <c r="Y51" s="105">
        <f>5*Y12</f>
        <v>-18424433.452395771</v>
      </c>
    </row>
    <row r="52" spans="1:26">
      <c r="A52" s="18" t="s">
        <v>129</v>
      </c>
      <c r="D52" s="123">
        <f t="shared" ref="D52:Y52" si="10">D50+D51</f>
        <v>-246560.80704226022</v>
      </c>
      <c r="E52" s="123">
        <f t="shared" si="10"/>
        <v>29602.409292329103</v>
      </c>
      <c r="F52" s="123">
        <f t="shared" si="10"/>
        <v>29937.611658237067</v>
      </c>
      <c r="G52" s="123">
        <f t="shared" si="10"/>
        <v>31430.252738044561</v>
      </c>
      <c r="H52" s="123">
        <f t="shared" si="10"/>
        <v>32516.502582588393</v>
      </c>
      <c r="I52" s="123">
        <f t="shared" si="10"/>
        <v>35481.210090755871</v>
      </c>
      <c r="J52" s="123">
        <f t="shared" si="10"/>
        <v>37049.816555142497</v>
      </c>
      <c r="K52" s="123">
        <f t="shared" si="10"/>
        <v>39249.300035739354</v>
      </c>
      <c r="L52" s="123">
        <f t="shared" si="10"/>
        <v>41160.152708397967</v>
      </c>
      <c r="M52" s="123">
        <f t="shared" si="10"/>
        <v>42757.484265503852</v>
      </c>
      <c r="N52" s="123">
        <f t="shared" si="10"/>
        <v>43760.630435483581</v>
      </c>
      <c r="O52" s="123">
        <f t="shared" si="10"/>
        <v>43714.676663624312</v>
      </c>
      <c r="P52" s="123">
        <f t="shared" si="10"/>
        <v>42515.830725344393</v>
      </c>
      <c r="Q52" s="123">
        <f t="shared" si="10"/>
        <v>37830.453442681785</v>
      </c>
      <c r="R52" s="123">
        <f t="shared" si="10"/>
        <v>30652.247173137392</v>
      </c>
      <c r="S52" s="123">
        <f t="shared" si="10"/>
        <v>10235.330268885877</v>
      </c>
      <c r="T52" s="123">
        <f t="shared" si="10"/>
        <v>-21316.048662715268</v>
      </c>
      <c r="U52" s="123">
        <f t="shared" si="10"/>
        <v>-68736.636254722762</v>
      </c>
      <c r="V52" s="123">
        <f t="shared" si="10"/>
        <v>-155526.79063624307</v>
      </c>
      <c r="W52" s="123">
        <f t="shared" si="10"/>
        <v>-317945.0652269125</v>
      </c>
      <c r="X52" s="123">
        <f t="shared" si="10"/>
        <v>-604135.00150635827</v>
      </c>
      <c r="Y52" s="123">
        <f t="shared" si="10"/>
        <v>-19622021.626801495</v>
      </c>
    </row>
    <row r="53" spans="1:26">
      <c r="A53" s="59" t="s">
        <v>130</v>
      </c>
      <c r="D53" s="541">
        <f>[1]!_xludf.xirr(D52:Y52,D33:Y33)</f>
        <v>2.9802322387695314E-9</v>
      </c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</row>
    <row r="54" spans="1:26">
      <c r="A54" s="59"/>
      <c r="C54" s="151"/>
    </row>
    <row r="55" spans="1:26">
      <c r="A55" s="73" t="s">
        <v>131</v>
      </c>
    </row>
    <row r="56" spans="1:26">
      <c r="A56" s="18" t="s">
        <v>127</v>
      </c>
      <c r="D56" s="123">
        <f>D46</f>
        <v>-246560.80704226022</v>
      </c>
      <c r="E56" s="123">
        <f t="shared" ref="E56:Y56" si="11">E46</f>
        <v>29602.409292329103</v>
      </c>
      <c r="F56" s="123">
        <f t="shared" si="11"/>
        <v>29937.611658237067</v>
      </c>
      <c r="G56" s="123">
        <f t="shared" si="11"/>
        <v>31430.252738044561</v>
      </c>
      <c r="H56" s="123">
        <f t="shared" si="11"/>
        <v>32516.502582588393</v>
      </c>
      <c r="I56" s="123">
        <f t="shared" si="11"/>
        <v>35481.210090755871</v>
      </c>
      <c r="J56" s="123">
        <f t="shared" si="11"/>
        <v>37049.816555142497</v>
      </c>
      <c r="K56" s="123">
        <f t="shared" si="11"/>
        <v>39249.300035739354</v>
      </c>
      <c r="L56" s="123">
        <f t="shared" si="11"/>
        <v>41160.152708397967</v>
      </c>
      <c r="M56" s="123">
        <f t="shared" si="11"/>
        <v>42757.484265503852</v>
      </c>
      <c r="N56" s="123">
        <f t="shared" si="11"/>
        <v>43760.630435483581</v>
      </c>
      <c r="O56" s="123">
        <f t="shared" si="11"/>
        <v>43714.676663624312</v>
      </c>
      <c r="P56" s="123">
        <f t="shared" si="11"/>
        <v>42515.830725344393</v>
      </c>
      <c r="Q56" s="123">
        <f t="shared" si="11"/>
        <v>37830.453442681785</v>
      </c>
      <c r="R56" s="123">
        <f t="shared" si="11"/>
        <v>30652.247173137392</v>
      </c>
      <c r="S56" s="123">
        <f t="shared" si="11"/>
        <v>10235.330268885877</v>
      </c>
      <c r="T56" s="123">
        <f t="shared" si="11"/>
        <v>-21316.048662715268</v>
      </c>
      <c r="U56" s="123">
        <f t="shared" si="11"/>
        <v>-68736.636254722762</v>
      </c>
      <c r="V56" s="123">
        <f t="shared" si="11"/>
        <v>-155526.79063624307</v>
      </c>
      <c r="W56" s="123">
        <f t="shared" si="11"/>
        <v>-317945.0652269125</v>
      </c>
      <c r="X56" s="123">
        <f t="shared" si="11"/>
        <v>-604135.00150635827</v>
      </c>
      <c r="Y56" s="123">
        <f t="shared" si="11"/>
        <v>-1197588.1744057252</v>
      </c>
    </row>
    <row r="57" spans="1:26">
      <c r="A57" s="18" t="s">
        <v>132</v>
      </c>
      <c r="D57" s="123">
        <v>0</v>
      </c>
      <c r="E57" s="123">
        <v>0</v>
      </c>
      <c r="F57" s="123">
        <v>0</v>
      </c>
      <c r="G57" s="123">
        <v>0</v>
      </c>
      <c r="H57" s="123">
        <v>0</v>
      </c>
      <c r="I57" s="123">
        <v>0</v>
      </c>
      <c r="J57" s="123">
        <v>0</v>
      </c>
      <c r="K57" s="123">
        <v>0</v>
      </c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>
        <v>0</v>
      </c>
      <c r="S57" s="123">
        <v>0</v>
      </c>
      <c r="T57" s="123">
        <v>0</v>
      </c>
      <c r="U57" s="123">
        <v>0</v>
      </c>
      <c r="V57" s="123">
        <v>0</v>
      </c>
      <c r="W57" s="123">
        <v>0</v>
      </c>
      <c r="X57" s="123">
        <v>0</v>
      </c>
      <c r="Y57" s="105">
        <f>0.5*Assumptions!$C$15</f>
        <v>625000</v>
      </c>
    </row>
    <row r="58" spans="1:26">
      <c r="A58" s="18" t="s">
        <v>129</v>
      </c>
      <c r="B58" s="14"/>
      <c r="D58" s="123">
        <f t="shared" ref="D58:X58" si="12">D56+D57</f>
        <v>-246560.80704226022</v>
      </c>
      <c r="E58" s="123">
        <f t="shared" si="12"/>
        <v>29602.409292329103</v>
      </c>
      <c r="F58" s="123">
        <f t="shared" si="12"/>
        <v>29937.611658237067</v>
      </c>
      <c r="G58" s="123">
        <f t="shared" si="12"/>
        <v>31430.252738044561</v>
      </c>
      <c r="H58" s="123">
        <f t="shared" si="12"/>
        <v>32516.502582588393</v>
      </c>
      <c r="I58" s="123">
        <f t="shared" si="12"/>
        <v>35481.210090755871</v>
      </c>
      <c r="J58" s="123">
        <f t="shared" si="12"/>
        <v>37049.816555142497</v>
      </c>
      <c r="K58" s="123">
        <f t="shared" si="12"/>
        <v>39249.300035739354</v>
      </c>
      <c r="L58" s="123">
        <f t="shared" si="12"/>
        <v>41160.152708397967</v>
      </c>
      <c r="M58" s="123">
        <f t="shared" si="12"/>
        <v>42757.484265503852</v>
      </c>
      <c r="N58" s="123">
        <f t="shared" si="12"/>
        <v>43760.630435483581</v>
      </c>
      <c r="O58" s="123">
        <f t="shared" si="12"/>
        <v>43714.676663624312</v>
      </c>
      <c r="P58" s="123">
        <f t="shared" si="12"/>
        <v>42515.830725344393</v>
      </c>
      <c r="Q58" s="123">
        <f t="shared" si="12"/>
        <v>37830.453442681785</v>
      </c>
      <c r="R58" s="123">
        <f t="shared" si="12"/>
        <v>30652.247173137392</v>
      </c>
      <c r="S58" s="123">
        <f t="shared" si="12"/>
        <v>10235.330268885877</v>
      </c>
      <c r="T58" s="123">
        <f t="shared" si="12"/>
        <v>-21316.048662715268</v>
      </c>
      <c r="U58" s="123">
        <f t="shared" si="12"/>
        <v>-68736.636254722762</v>
      </c>
      <c r="V58" s="123">
        <f t="shared" si="12"/>
        <v>-155526.79063624307</v>
      </c>
      <c r="W58" s="123">
        <f t="shared" si="12"/>
        <v>-317945.0652269125</v>
      </c>
      <c r="X58" s="123">
        <f t="shared" si="12"/>
        <v>-604135.00150635827</v>
      </c>
      <c r="Y58" s="123">
        <f>Y56+Y57</f>
        <v>-572588.17440572521</v>
      </c>
      <c r="Z58" s="121"/>
    </row>
    <row r="59" spans="1:26">
      <c r="A59" s="59" t="s">
        <v>133</v>
      </c>
      <c r="D59" s="541">
        <f>[1]!_xludf.xirr(D58:Y58,D33:Y33)</f>
        <v>2.9802322387695314E-9</v>
      </c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1:8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1:8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1:8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1:8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1:8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1:8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1:8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1:8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1:8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1:8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1:8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1:8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1:8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</row>
  </sheetData>
  <pageMargins left="0.18" right="0.17" top="0.37" bottom="0.4" header="0.17" footer="0.21"/>
  <pageSetup scale="32" orientation="landscape" r:id="rId1"/>
  <headerFooter alignWithMargins="0">
    <oddFooter>&amp;L&amp;T, &amp;D&amp;C&amp;F&amp;RPage &amp;P</oddFooter>
  </headerFooter>
  <colBreaks count="1" manualBreakCount="1">
    <brk id="14" min="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zoomScale="75" zoomScaleNormal="75" workbookViewId="0"/>
  </sheetViews>
  <sheetFormatPr defaultRowHeight="12.75"/>
  <cols>
    <col min="1" max="1" width="36" style="18" customWidth="1"/>
    <col min="2" max="2" width="18.42578125" style="18" customWidth="1"/>
    <col min="3" max="6" width="14.5703125" style="18" customWidth="1"/>
    <col min="7" max="7" width="17.5703125" style="18" customWidth="1"/>
    <col min="8" max="8" width="16.140625" style="18" customWidth="1"/>
    <col min="9" max="9" width="16.28515625" style="18" customWidth="1"/>
    <col min="10" max="22" width="14.5703125" style="18" customWidth="1"/>
    <col min="23" max="26" width="14.42578125" style="18" customWidth="1"/>
    <col min="27" max="28" width="14.42578125" style="8" customWidth="1"/>
    <col min="29" max="42" width="14.42578125" style="18" customWidth="1"/>
    <col min="43" max="16384" width="9.140625" style="18"/>
  </cols>
  <sheetData>
    <row r="1" spans="1:24" ht="18.75">
      <c r="A1" s="112"/>
    </row>
    <row r="2" spans="1:24" ht="18.75">
      <c r="A2" s="112"/>
    </row>
    <row r="4" spans="1:24" ht="15.75">
      <c r="A4" s="65"/>
      <c r="C4" s="93" t="s">
        <v>42</v>
      </c>
      <c r="D4" s="94"/>
      <c r="E4" s="94"/>
      <c r="F4" s="95"/>
      <c r="I4" s="93" t="s">
        <v>43</v>
      </c>
      <c r="J4" s="94"/>
      <c r="K4" s="94"/>
      <c r="L4" s="95"/>
      <c r="O4" s="93" t="s">
        <v>44</v>
      </c>
      <c r="P4" s="94"/>
      <c r="Q4" s="94"/>
      <c r="R4" s="95"/>
    </row>
    <row r="5" spans="1:24">
      <c r="A5" s="65"/>
      <c r="C5" s="96" t="s">
        <v>217</v>
      </c>
      <c r="D5" s="97"/>
      <c r="E5" s="97"/>
      <c r="F5" s="490">
        <f>Assumptions!B32</f>
        <v>5.7099999999999998E-2</v>
      </c>
      <c r="G5" s="491"/>
      <c r="H5" s="7"/>
      <c r="I5" s="492" t="s">
        <v>218</v>
      </c>
      <c r="J5" s="493"/>
      <c r="K5" s="493"/>
      <c r="L5" s="490">
        <f>Assumptions!C32</f>
        <v>5.8700000000000002E-2</v>
      </c>
      <c r="M5" s="7"/>
      <c r="N5" s="7"/>
      <c r="O5" s="492" t="s">
        <v>219</v>
      </c>
      <c r="P5" s="493"/>
      <c r="Q5" s="493"/>
      <c r="R5" s="490">
        <f>Assumptions!D32</f>
        <v>6.0900000000000003E-2</v>
      </c>
      <c r="S5" s="7"/>
      <c r="T5" s="7"/>
      <c r="U5" s="7"/>
      <c r="V5" s="7"/>
      <c r="W5" s="7"/>
    </row>
    <row r="6" spans="1:24">
      <c r="A6" s="65"/>
      <c r="C6" s="96" t="s">
        <v>134</v>
      </c>
      <c r="D6" s="97"/>
      <c r="E6" s="97"/>
      <c r="F6" s="490">
        <f>Assumptions!B33</f>
        <v>2.2499999999999999E-2</v>
      </c>
      <c r="G6" s="7"/>
      <c r="H6" s="7"/>
      <c r="I6" s="492" t="s">
        <v>135</v>
      </c>
      <c r="J6" s="493"/>
      <c r="K6" s="493"/>
      <c r="L6" s="490">
        <f>Assumptions!C33</f>
        <v>3.5000000000000003E-2</v>
      </c>
      <c r="M6" s="7"/>
      <c r="N6" s="7"/>
      <c r="O6" s="492" t="s">
        <v>135</v>
      </c>
      <c r="P6" s="493"/>
      <c r="Q6" s="493"/>
      <c r="R6" s="490">
        <f>Assumptions!D33</f>
        <v>4.1250000000000002E-2</v>
      </c>
      <c r="S6" s="7"/>
      <c r="T6" s="7"/>
      <c r="U6" s="7"/>
      <c r="V6" s="7"/>
      <c r="W6" s="7"/>
    </row>
    <row r="7" spans="1:24">
      <c r="A7" s="65"/>
      <c r="C7" s="98" t="s">
        <v>136</v>
      </c>
      <c r="D7" s="99"/>
      <c r="E7" s="99"/>
      <c r="F7" s="100">
        <f>F6+F5</f>
        <v>7.9600000000000004E-2</v>
      </c>
      <c r="I7" s="98" t="s">
        <v>136</v>
      </c>
      <c r="J7" s="99"/>
      <c r="K7" s="99"/>
      <c r="L7" s="100">
        <f>L5+L6</f>
        <v>9.3700000000000006E-2</v>
      </c>
      <c r="O7" s="98" t="s">
        <v>136</v>
      </c>
      <c r="P7" s="99"/>
      <c r="Q7" s="99"/>
      <c r="R7" s="100">
        <f>R5+R6</f>
        <v>0.10215</v>
      </c>
    </row>
    <row r="8" spans="1:24" ht="15.75">
      <c r="A8" s="65"/>
      <c r="C8" s="80" t="s">
        <v>137</v>
      </c>
      <c r="D8" s="101"/>
      <c r="E8" s="102"/>
      <c r="F8" s="84">
        <f>(Assumptions!B28-Assumptions!C21)/365.25</f>
        <v>2.9952087611225187</v>
      </c>
      <c r="I8" s="80" t="s">
        <v>138</v>
      </c>
      <c r="J8" s="85"/>
      <c r="K8" s="85"/>
      <c r="L8" s="84">
        <f>(Assumptions!C28-Assumptions!C21)/365.25</f>
        <v>9.9958932238193015</v>
      </c>
      <c r="O8" s="80" t="s">
        <v>138</v>
      </c>
      <c r="P8" s="85"/>
      <c r="Q8" s="85"/>
      <c r="R8" s="84">
        <f>(Assumptions!D28-Assumptions!C21)/365.25</f>
        <v>19.997262149212869</v>
      </c>
    </row>
    <row r="9" spans="1:24" ht="15.75">
      <c r="A9" s="65"/>
      <c r="C9" s="86" t="s">
        <v>139</v>
      </c>
      <c r="D9" s="103"/>
      <c r="E9" s="103"/>
      <c r="F9" s="87">
        <f>B123</f>
        <v>9.7624999999999993</v>
      </c>
      <c r="I9" s="86" t="s">
        <v>140</v>
      </c>
      <c r="J9" s="88"/>
      <c r="K9" s="88"/>
      <c r="L9" s="87">
        <f>B124</f>
        <v>9.7624999999999993</v>
      </c>
      <c r="O9" s="86" t="s">
        <v>222</v>
      </c>
      <c r="P9" s="88"/>
      <c r="Q9" s="88"/>
      <c r="R9" s="87">
        <f>B125</f>
        <v>9.7624999999999993</v>
      </c>
    </row>
    <row r="10" spans="1:24">
      <c r="A10" s="65"/>
      <c r="C10" s="109" t="s">
        <v>141</v>
      </c>
      <c r="D10" s="110"/>
      <c r="E10" s="110"/>
      <c r="F10" s="485">
        <f>Assumptions!B26</f>
        <v>95000</v>
      </c>
      <c r="G10" s="7"/>
      <c r="H10" s="7"/>
      <c r="I10" s="486" t="s">
        <v>141</v>
      </c>
      <c r="J10" s="487"/>
      <c r="K10" s="487"/>
      <c r="L10" s="485">
        <f>Assumptions!C26</f>
        <v>210000</v>
      </c>
      <c r="M10" s="7"/>
      <c r="N10" s="7"/>
      <c r="O10" s="486" t="s">
        <v>141</v>
      </c>
      <c r="P10" s="487"/>
      <c r="Q10" s="487"/>
      <c r="R10" s="485">
        <f>Assumptions!D26</f>
        <v>425000</v>
      </c>
      <c r="S10" s="7"/>
      <c r="T10" s="7"/>
    </row>
    <row r="11" spans="1:24">
      <c r="A11" s="65"/>
      <c r="C11" s="111"/>
      <c r="D11" s="97"/>
      <c r="E11" s="97"/>
      <c r="F11" s="194"/>
      <c r="I11" s="111"/>
      <c r="J11" s="111"/>
      <c r="K11" s="111"/>
      <c r="L11" s="194"/>
      <c r="O11" s="111"/>
      <c r="P11" s="111"/>
      <c r="Q11" s="111"/>
      <c r="R11"/>
    </row>
    <row r="12" spans="1:24">
      <c r="A12" s="65"/>
      <c r="C12" s="111"/>
      <c r="D12" s="97"/>
      <c r="E12" s="97"/>
      <c r="F12" s="194"/>
      <c r="I12" s="111"/>
      <c r="J12" s="111"/>
      <c r="K12" s="111"/>
      <c r="L12" s="194"/>
      <c r="O12" s="111"/>
      <c r="P12" s="111"/>
      <c r="Q12" s="111"/>
      <c r="R12" s="194"/>
    </row>
    <row r="13" spans="1:24">
      <c r="A13" s="65"/>
      <c r="C13" s="111"/>
      <c r="D13" s="97"/>
      <c r="E13" s="97"/>
      <c r="F13"/>
      <c r="I13" s="111"/>
      <c r="J13" s="111"/>
      <c r="K13" s="111"/>
      <c r="L13" s="194"/>
      <c r="O13" s="111"/>
      <c r="P13" s="111"/>
      <c r="Q13" s="111"/>
      <c r="R13"/>
    </row>
    <row r="14" spans="1:24" ht="18.75">
      <c r="A14" s="514" t="str">
        <f>Assumptions!A3</f>
        <v>PROJECT NAME:</v>
      </c>
      <c r="C14" s="111"/>
      <c r="D14" s="97"/>
      <c r="E14" s="97"/>
      <c r="F14" s="194"/>
      <c r="G14" s="7"/>
      <c r="H14" s="7"/>
      <c r="I14" s="3"/>
      <c r="J14" s="3"/>
      <c r="K14" s="3"/>
      <c r="L14" s="194"/>
      <c r="M14" s="7"/>
      <c r="N14" s="7"/>
      <c r="O14" s="3"/>
      <c r="P14" s="3"/>
      <c r="Q14" s="3"/>
      <c r="R14" s="194"/>
      <c r="S14" s="7"/>
      <c r="T14" s="7"/>
      <c r="U14" s="7"/>
      <c r="V14" s="7"/>
      <c r="W14" s="7"/>
      <c r="X14" s="7"/>
    </row>
    <row r="15" spans="1:24">
      <c r="A15" s="65"/>
      <c r="C15" s="111"/>
      <c r="D15" s="97"/>
      <c r="E15" s="97"/>
      <c r="F15" s="194"/>
      <c r="G15" s="7"/>
      <c r="H15" s="7"/>
      <c r="I15" s="3"/>
      <c r="J15" s="3"/>
      <c r="K15" s="3"/>
      <c r="L15" s="194"/>
      <c r="M15" s="7"/>
      <c r="N15" s="7"/>
      <c r="O15" s="3"/>
      <c r="P15" s="3"/>
      <c r="Q15" s="3"/>
      <c r="R15" s="194"/>
      <c r="S15" s="7"/>
      <c r="T15" s="7"/>
      <c r="U15" s="7"/>
      <c r="V15" s="7"/>
      <c r="W15" s="7"/>
      <c r="X15" s="7"/>
    </row>
    <row r="16" spans="1:24" ht="18.75">
      <c r="A16" s="107" t="s">
        <v>284</v>
      </c>
      <c r="C16" s="111"/>
      <c r="D16" s="97"/>
      <c r="E16" s="97"/>
      <c r="F16" s="194"/>
      <c r="I16" s="111"/>
      <c r="J16" s="111"/>
      <c r="K16" s="111"/>
      <c r="L16" s="194"/>
      <c r="O16" s="111"/>
      <c r="P16" s="111"/>
      <c r="Q16" s="111"/>
      <c r="R16" s="194"/>
    </row>
    <row r="17" spans="1:34" s="19" customFormat="1">
      <c r="A17" s="3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  <c r="AA17" s="8"/>
      <c r="AB17" s="8"/>
    </row>
    <row r="18" spans="1:34" s="357" customFormat="1" ht="13.5">
      <c r="A18" s="67"/>
      <c r="B18" s="353">
        <v>1</v>
      </c>
      <c r="C18" s="353">
        <f>B18+1</f>
        <v>2</v>
      </c>
      <c r="D18" s="353">
        <f t="shared" ref="D18:Z18" si="0">C18+1</f>
        <v>3</v>
      </c>
      <c r="E18" s="353">
        <f t="shared" si="0"/>
        <v>4</v>
      </c>
      <c r="F18" s="353">
        <f t="shared" si="0"/>
        <v>5</v>
      </c>
      <c r="G18" s="353">
        <f t="shared" si="0"/>
        <v>6</v>
      </c>
      <c r="H18" s="353">
        <f t="shared" si="0"/>
        <v>7</v>
      </c>
      <c r="I18" s="353">
        <f t="shared" si="0"/>
        <v>8</v>
      </c>
      <c r="J18" s="353">
        <f t="shared" si="0"/>
        <v>9</v>
      </c>
      <c r="K18" s="353">
        <f t="shared" si="0"/>
        <v>10</v>
      </c>
      <c r="L18" s="353">
        <f t="shared" si="0"/>
        <v>11</v>
      </c>
      <c r="M18" s="353">
        <f t="shared" si="0"/>
        <v>12</v>
      </c>
      <c r="N18" s="353">
        <f t="shared" si="0"/>
        <v>13</v>
      </c>
      <c r="O18" s="353">
        <f t="shared" si="0"/>
        <v>14</v>
      </c>
      <c r="P18" s="353">
        <f t="shared" si="0"/>
        <v>15</v>
      </c>
      <c r="Q18" s="353">
        <f t="shared" si="0"/>
        <v>16</v>
      </c>
      <c r="R18" s="353">
        <f t="shared" si="0"/>
        <v>17</v>
      </c>
      <c r="S18" s="353">
        <f t="shared" si="0"/>
        <v>18</v>
      </c>
      <c r="T18" s="353">
        <f t="shared" si="0"/>
        <v>19</v>
      </c>
      <c r="U18" s="353">
        <f t="shared" si="0"/>
        <v>20</v>
      </c>
      <c r="V18" s="353">
        <f t="shared" si="0"/>
        <v>21</v>
      </c>
      <c r="W18" s="353">
        <f t="shared" si="0"/>
        <v>22</v>
      </c>
      <c r="X18" s="353">
        <f t="shared" si="0"/>
        <v>23</v>
      </c>
      <c r="Y18" s="353">
        <f t="shared" si="0"/>
        <v>24</v>
      </c>
      <c r="Z18" s="353">
        <f t="shared" si="0"/>
        <v>25</v>
      </c>
      <c r="AA18" s="119"/>
      <c r="AB18" s="153"/>
    </row>
    <row r="19" spans="1:34" ht="13.5" thickBot="1">
      <c r="A19" s="266" t="s">
        <v>94</v>
      </c>
      <c r="B19" s="500">
        <f>'Power Price Assumption'!F10</f>
        <v>2000</v>
      </c>
      <c r="C19" s="500">
        <f>'Power Price Assumption'!G10</f>
        <v>2001</v>
      </c>
      <c r="D19" s="500">
        <f>'Power Price Assumption'!H10</f>
        <v>2002</v>
      </c>
      <c r="E19" s="500">
        <f>'Power Price Assumption'!I10</f>
        <v>2003</v>
      </c>
      <c r="F19" s="500">
        <f>'Power Price Assumption'!J10</f>
        <v>2004</v>
      </c>
      <c r="G19" s="500">
        <f>'Power Price Assumption'!K10</f>
        <v>2005</v>
      </c>
      <c r="H19" s="500">
        <f>'Power Price Assumption'!L10</f>
        <v>2006</v>
      </c>
      <c r="I19" s="500">
        <f>'Power Price Assumption'!M10</f>
        <v>2007</v>
      </c>
      <c r="J19" s="500">
        <f>'Power Price Assumption'!N10</f>
        <v>2008</v>
      </c>
      <c r="K19" s="500">
        <f>'Power Price Assumption'!O10</f>
        <v>2009</v>
      </c>
      <c r="L19" s="500">
        <f>'Power Price Assumption'!P10</f>
        <v>2010</v>
      </c>
      <c r="M19" s="500">
        <f>'Power Price Assumption'!Q10</f>
        <v>2011</v>
      </c>
      <c r="N19" s="500">
        <f>'Power Price Assumption'!R10</f>
        <v>2012</v>
      </c>
      <c r="O19" s="500">
        <f>'Power Price Assumption'!S10</f>
        <v>2013</v>
      </c>
      <c r="P19" s="500">
        <f>'Power Price Assumption'!T10</f>
        <v>2014</v>
      </c>
      <c r="Q19" s="500">
        <f>'Power Price Assumption'!U10</f>
        <v>2015</v>
      </c>
      <c r="R19" s="500">
        <f>'Power Price Assumption'!V10</f>
        <v>2016</v>
      </c>
      <c r="S19" s="500">
        <f>'Power Price Assumption'!W10</f>
        <v>2017</v>
      </c>
      <c r="T19" s="500">
        <f>'Power Price Assumption'!X10</f>
        <v>2018</v>
      </c>
      <c r="U19" s="500">
        <f>'Power Price Assumption'!Y10</f>
        <v>2019</v>
      </c>
      <c r="V19" s="500">
        <f>'Power Price Assumption'!Z10</f>
        <v>2020</v>
      </c>
      <c r="W19" s="500">
        <v>2021</v>
      </c>
      <c r="X19"/>
      <c r="Y19"/>
      <c r="Z19"/>
      <c r="AA19" s="17"/>
      <c r="AB19" s="114"/>
      <c r="AC19" s="17"/>
      <c r="AD19" s="17"/>
      <c r="AE19" s="17"/>
      <c r="AF19" s="17"/>
      <c r="AG19" s="17"/>
      <c r="AH19" s="17"/>
    </row>
    <row r="20" spans="1:34" s="77" customFormat="1">
      <c r="A20" s="358"/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/>
      <c r="Y20"/>
      <c r="Z20"/>
      <c r="AA20" s="11"/>
      <c r="AB20" s="114"/>
      <c r="AC20" s="17"/>
      <c r="AD20" s="17"/>
      <c r="AE20" s="17"/>
      <c r="AF20" s="17"/>
      <c r="AG20" s="17"/>
      <c r="AH20" s="17"/>
    </row>
    <row r="21" spans="1:34">
      <c r="R21" s="19"/>
      <c r="S21" s="19"/>
      <c r="T21" s="19"/>
      <c r="U21" s="19"/>
      <c r="V21" s="19"/>
      <c r="W21" s="19"/>
      <c r="X21"/>
      <c r="Y21"/>
      <c r="Z21"/>
    </row>
    <row r="22" spans="1:34">
      <c r="A22" s="65" t="s">
        <v>142</v>
      </c>
      <c r="B22" s="524">
        <f>B106</f>
        <v>0.05</v>
      </c>
      <c r="C22" s="524">
        <f t="shared" ref="C22:W22" si="1">C106</f>
        <v>0.05</v>
      </c>
      <c r="D22" s="524">
        <f t="shared" si="1"/>
        <v>0.05</v>
      </c>
      <c r="E22" s="524">
        <f t="shared" si="1"/>
        <v>0.05</v>
      </c>
      <c r="F22" s="524">
        <f t="shared" si="1"/>
        <v>0.05</v>
      </c>
      <c r="G22" s="524">
        <f t="shared" si="1"/>
        <v>0.05</v>
      </c>
      <c r="H22" s="524">
        <f t="shared" si="1"/>
        <v>0.05</v>
      </c>
      <c r="I22" s="524">
        <f t="shared" si="1"/>
        <v>0.05</v>
      </c>
      <c r="J22" s="524">
        <f t="shared" si="1"/>
        <v>0.05</v>
      </c>
      <c r="K22" s="524">
        <f t="shared" si="1"/>
        <v>0.05</v>
      </c>
      <c r="L22" s="524">
        <f t="shared" si="1"/>
        <v>0.05</v>
      </c>
      <c r="M22" s="524">
        <f t="shared" si="1"/>
        <v>0.05</v>
      </c>
      <c r="N22" s="524">
        <f t="shared" si="1"/>
        <v>0.05</v>
      </c>
      <c r="O22" s="524">
        <f t="shared" si="1"/>
        <v>0.05</v>
      </c>
      <c r="P22" s="524">
        <f t="shared" si="1"/>
        <v>0.05</v>
      </c>
      <c r="Q22" s="524">
        <f t="shared" si="1"/>
        <v>0.05</v>
      </c>
      <c r="R22" s="524">
        <f t="shared" si="1"/>
        <v>0.05</v>
      </c>
      <c r="S22" s="524">
        <f t="shared" si="1"/>
        <v>0.05</v>
      </c>
      <c r="T22" s="524">
        <f t="shared" si="1"/>
        <v>0.05</v>
      </c>
      <c r="U22" s="524">
        <f t="shared" si="1"/>
        <v>0.05</v>
      </c>
      <c r="V22" s="524">
        <f t="shared" si="1"/>
        <v>0</v>
      </c>
      <c r="W22" s="524">
        <f t="shared" si="1"/>
        <v>0</v>
      </c>
      <c r="X22"/>
      <c r="Y22"/>
      <c r="Z22"/>
      <c r="AA22" s="175"/>
      <c r="AB22" s="116"/>
      <c r="AC22" s="69"/>
      <c r="AD22" s="69"/>
      <c r="AE22" s="69"/>
      <c r="AF22" s="69"/>
      <c r="AG22" s="69"/>
      <c r="AH22" s="69"/>
    </row>
    <row r="23" spans="1:34">
      <c r="A23" s="70" t="str">
        <f>IF(SUM(B22:W22)&lt;&gt;1,"CHECK!","")</f>
        <v/>
      </c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/>
      <c r="Y23"/>
      <c r="Z23"/>
    </row>
    <row r="24" spans="1:34">
      <c r="A24" s="65" t="s">
        <v>143</v>
      </c>
      <c r="B24" s="525">
        <f>B111</f>
        <v>0.05</v>
      </c>
      <c r="C24" s="525">
        <f t="shared" ref="C24:W24" si="2">C111</f>
        <v>0.05</v>
      </c>
      <c r="D24" s="525">
        <f t="shared" si="2"/>
        <v>0.05</v>
      </c>
      <c r="E24" s="525">
        <f t="shared" si="2"/>
        <v>0.05</v>
      </c>
      <c r="F24" s="525">
        <f t="shared" si="2"/>
        <v>0.05</v>
      </c>
      <c r="G24" s="525">
        <f t="shared" si="2"/>
        <v>0.05</v>
      </c>
      <c r="H24" s="525">
        <f t="shared" si="2"/>
        <v>0.05</v>
      </c>
      <c r="I24" s="525">
        <f t="shared" si="2"/>
        <v>0.05</v>
      </c>
      <c r="J24" s="525">
        <f t="shared" si="2"/>
        <v>0.05</v>
      </c>
      <c r="K24" s="525">
        <f t="shared" si="2"/>
        <v>0.05</v>
      </c>
      <c r="L24" s="525">
        <f t="shared" si="2"/>
        <v>0.05</v>
      </c>
      <c r="M24" s="525">
        <f t="shared" si="2"/>
        <v>0.05</v>
      </c>
      <c r="N24" s="525">
        <f t="shared" si="2"/>
        <v>0.05</v>
      </c>
      <c r="O24" s="525">
        <f t="shared" si="2"/>
        <v>0.05</v>
      </c>
      <c r="P24" s="525">
        <f t="shared" si="2"/>
        <v>0.05</v>
      </c>
      <c r="Q24" s="525">
        <f t="shared" si="2"/>
        <v>0.05</v>
      </c>
      <c r="R24" s="525">
        <f t="shared" si="2"/>
        <v>0.05</v>
      </c>
      <c r="S24" s="525">
        <f t="shared" si="2"/>
        <v>0.05</v>
      </c>
      <c r="T24" s="525">
        <f t="shared" si="2"/>
        <v>0.05</v>
      </c>
      <c r="U24" s="525">
        <f t="shared" si="2"/>
        <v>0.05</v>
      </c>
      <c r="V24" s="525">
        <f t="shared" si="2"/>
        <v>0</v>
      </c>
      <c r="W24" s="525">
        <f t="shared" si="2"/>
        <v>0</v>
      </c>
      <c r="X24"/>
      <c r="Y24"/>
      <c r="Z24"/>
      <c r="AA24" s="176"/>
    </row>
    <row r="25" spans="1:34">
      <c r="A25" s="70" t="str">
        <f>IF(SUM(B24:W24)&lt;&gt;1,"CHECK!","")</f>
        <v/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/>
      <c r="Y25"/>
      <c r="Z25"/>
    </row>
    <row r="26" spans="1:34">
      <c r="A26" s="65" t="s">
        <v>144</v>
      </c>
      <c r="B26" s="525">
        <f>B116</f>
        <v>0.05</v>
      </c>
      <c r="C26" s="525">
        <f t="shared" ref="C26:W26" si="3">C116</f>
        <v>0.05</v>
      </c>
      <c r="D26" s="525">
        <f t="shared" si="3"/>
        <v>0.05</v>
      </c>
      <c r="E26" s="525">
        <f t="shared" si="3"/>
        <v>0.05</v>
      </c>
      <c r="F26" s="525">
        <f t="shared" si="3"/>
        <v>0.05</v>
      </c>
      <c r="G26" s="525">
        <f t="shared" si="3"/>
        <v>0.05</v>
      </c>
      <c r="H26" s="525">
        <f t="shared" si="3"/>
        <v>0.05</v>
      </c>
      <c r="I26" s="525">
        <f t="shared" si="3"/>
        <v>0.05</v>
      </c>
      <c r="J26" s="525">
        <f t="shared" si="3"/>
        <v>0.05</v>
      </c>
      <c r="K26" s="525">
        <f t="shared" si="3"/>
        <v>0.05</v>
      </c>
      <c r="L26" s="525">
        <f t="shared" si="3"/>
        <v>0.05</v>
      </c>
      <c r="M26" s="525">
        <f t="shared" si="3"/>
        <v>0.05</v>
      </c>
      <c r="N26" s="525">
        <f t="shared" si="3"/>
        <v>0.05</v>
      </c>
      <c r="O26" s="525">
        <f t="shared" si="3"/>
        <v>0.05</v>
      </c>
      <c r="P26" s="525">
        <f t="shared" si="3"/>
        <v>0.05</v>
      </c>
      <c r="Q26" s="525">
        <f t="shared" si="3"/>
        <v>0.05</v>
      </c>
      <c r="R26" s="525">
        <f t="shared" si="3"/>
        <v>0.05</v>
      </c>
      <c r="S26" s="525">
        <f t="shared" si="3"/>
        <v>0.05</v>
      </c>
      <c r="T26" s="525">
        <f t="shared" si="3"/>
        <v>0.05</v>
      </c>
      <c r="U26" s="525">
        <f t="shared" si="3"/>
        <v>0.05</v>
      </c>
      <c r="V26" s="525">
        <f t="shared" si="3"/>
        <v>0</v>
      </c>
      <c r="W26" s="525">
        <f t="shared" si="3"/>
        <v>0</v>
      </c>
      <c r="X26"/>
      <c r="Y26"/>
      <c r="Z26"/>
      <c r="AA26" s="176"/>
      <c r="AC26" s="7"/>
      <c r="AD26" s="7"/>
      <c r="AE26" s="7"/>
      <c r="AF26" s="7"/>
      <c r="AG26" s="7"/>
      <c r="AH26" s="7"/>
    </row>
    <row r="27" spans="1:34">
      <c r="A27" s="70" t="str">
        <f>IF(SUM(B26:W26)&lt;&gt;1,"CHECK!","")</f>
        <v/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/>
      <c r="Y27"/>
      <c r="Z27"/>
    </row>
    <row r="28" spans="1:34">
      <c r="A28" s="7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/>
      <c r="Y28"/>
      <c r="Z28"/>
    </row>
    <row r="29" spans="1:34">
      <c r="A29" s="71" t="str">
        <f>CONCATENATE("Tranche 1 @ ",F7*100,"%")</f>
        <v>Tranche 1 @ 7.96%</v>
      </c>
      <c r="C29" s="72"/>
      <c r="X29"/>
      <c r="Y29"/>
      <c r="Z29"/>
    </row>
    <row r="30" spans="1:34">
      <c r="A30" s="523">
        <f>Assumptions!C21</f>
        <v>36739</v>
      </c>
      <c r="B30" s="74"/>
      <c r="X30"/>
      <c r="Y30"/>
      <c r="Z30"/>
    </row>
    <row r="31" spans="1:34">
      <c r="A31" s="74" t="s">
        <v>145</v>
      </c>
      <c r="B31" s="427">
        <f>F10</f>
        <v>95000</v>
      </c>
      <c r="C31" s="74">
        <f>B39</f>
        <v>90250</v>
      </c>
      <c r="D31" s="74">
        <f t="shared" ref="D31:W31" si="4">C39</f>
        <v>85500</v>
      </c>
      <c r="E31" s="74">
        <f t="shared" si="4"/>
        <v>80750</v>
      </c>
      <c r="F31" s="74">
        <f t="shared" si="4"/>
        <v>76000</v>
      </c>
      <c r="G31" s="74">
        <f t="shared" si="4"/>
        <v>71250</v>
      </c>
      <c r="H31" s="74">
        <f t="shared" si="4"/>
        <v>66500</v>
      </c>
      <c r="I31" s="74">
        <f t="shared" si="4"/>
        <v>61750</v>
      </c>
      <c r="J31" s="74">
        <f t="shared" si="4"/>
        <v>57000</v>
      </c>
      <c r="K31" s="74">
        <f t="shared" si="4"/>
        <v>52250</v>
      </c>
      <c r="L31" s="74">
        <f t="shared" si="4"/>
        <v>47500</v>
      </c>
      <c r="M31" s="74">
        <f t="shared" si="4"/>
        <v>42750</v>
      </c>
      <c r="N31" s="74">
        <f t="shared" si="4"/>
        <v>38000</v>
      </c>
      <c r="O31" s="74">
        <f t="shared" si="4"/>
        <v>33250</v>
      </c>
      <c r="P31" s="74">
        <f t="shared" si="4"/>
        <v>28500</v>
      </c>
      <c r="Q31" s="74">
        <f t="shared" si="4"/>
        <v>23750</v>
      </c>
      <c r="R31" s="74">
        <f t="shared" si="4"/>
        <v>19000</v>
      </c>
      <c r="S31" s="74">
        <f t="shared" si="4"/>
        <v>14250</v>
      </c>
      <c r="T31" s="74">
        <f t="shared" si="4"/>
        <v>9500</v>
      </c>
      <c r="U31" s="74">
        <f t="shared" si="4"/>
        <v>4750</v>
      </c>
      <c r="V31" s="74">
        <f t="shared" si="4"/>
        <v>0</v>
      </c>
      <c r="W31" s="74">
        <f t="shared" si="4"/>
        <v>0</v>
      </c>
      <c r="X31"/>
      <c r="Y31"/>
      <c r="Z31"/>
      <c r="AA31" s="177"/>
      <c r="AB31" s="177"/>
      <c r="AC31" s="74"/>
      <c r="AD31" s="74"/>
      <c r="AE31" s="74"/>
      <c r="AF31" s="74"/>
      <c r="AG31" s="74"/>
      <c r="AH31" s="74"/>
    </row>
    <row r="32" spans="1:34">
      <c r="A32" s="74" t="s">
        <v>146</v>
      </c>
      <c r="B32" s="74">
        <v>0</v>
      </c>
      <c r="C32" s="74">
        <f>$B$31*C22/2</f>
        <v>2375</v>
      </c>
      <c r="D32" s="74">
        <f t="shared" ref="D32:W32" si="5">$B$31*D22/2</f>
        <v>2375</v>
      </c>
      <c r="E32" s="74">
        <f t="shared" si="5"/>
        <v>2375</v>
      </c>
      <c r="F32" s="74">
        <f t="shared" si="5"/>
        <v>2375</v>
      </c>
      <c r="G32" s="74">
        <f t="shared" si="5"/>
        <v>2375</v>
      </c>
      <c r="H32" s="74">
        <f t="shared" si="5"/>
        <v>2375</v>
      </c>
      <c r="I32" s="74">
        <f t="shared" si="5"/>
        <v>2375</v>
      </c>
      <c r="J32" s="74">
        <f t="shared" si="5"/>
        <v>2375</v>
      </c>
      <c r="K32" s="74">
        <f t="shared" si="5"/>
        <v>2375</v>
      </c>
      <c r="L32" s="74">
        <f t="shared" si="5"/>
        <v>2375</v>
      </c>
      <c r="M32" s="74">
        <f t="shared" si="5"/>
        <v>2375</v>
      </c>
      <c r="N32" s="74">
        <f t="shared" si="5"/>
        <v>2375</v>
      </c>
      <c r="O32" s="74">
        <f t="shared" si="5"/>
        <v>2375</v>
      </c>
      <c r="P32" s="74">
        <f t="shared" si="5"/>
        <v>2375</v>
      </c>
      <c r="Q32" s="74">
        <f t="shared" si="5"/>
        <v>2375</v>
      </c>
      <c r="R32" s="74">
        <f t="shared" si="5"/>
        <v>2375</v>
      </c>
      <c r="S32" s="74">
        <f t="shared" si="5"/>
        <v>2375</v>
      </c>
      <c r="T32" s="74">
        <f t="shared" si="5"/>
        <v>2375</v>
      </c>
      <c r="U32" s="74">
        <f t="shared" si="5"/>
        <v>2375</v>
      </c>
      <c r="V32" s="74">
        <f t="shared" si="5"/>
        <v>0</v>
      </c>
      <c r="W32" s="74">
        <f t="shared" si="5"/>
        <v>0</v>
      </c>
      <c r="X32"/>
      <c r="Y32"/>
      <c r="Z32"/>
      <c r="AA32" s="177"/>
      <c r="AB32" s="177"/>
      <c r="AC32" s="74"/>
      <c r="AD32" s="74"/>
      <c r="AE32" s="74"/>
      <c r="AF32" s="74"/>
      <c r="AG32" s="74"/>
      <c r="AH32" s="74"/>
    </row>
    <row r="33" spans="1:34">
      <c r="A33" s="74" t="s">
        <v>147</v>
      </c>
      <c r="B33" s="430">
        <v>0</v>
      </c>
      <c r="C33" s="74">
        <f>C31*$F$7/2</f>
        <v>3591.9500000000003</v>
      </c>
      <c r="D33" s="74">
        <f t="shared" ref="D33:W33" si="6">D31*$F$7/2</f>
        <v>3402.9</v>
      </c>
      <c r="E33" s="74">
        <f t="shared" si="6"/>
        <v>3213.8500000000004</v>
      </c>
      <c r="F33" s="74">
        <f t="shared" si="6"/>
        <v>3024.8</v>
      </c>
      <c r="G33" s="74">
        <f t="shared" si="6"/>
        <v>2835.75</v>
      </c>
      <c r="H33" s="74">
        <f t="shared" si="6"/>
        <v>2646.7000000000003</v>
      </c>
      <c r="I33" s="74">
        <f t="shared" si="6"/>
        <v>2457.65</v>
      </c>
      <c r="J33" s="74">
        <f t="shared" si="6"/>
        <v>2268.6</v>
      </c>
      <c r="K33" s="74">
        <f t="shared" si="6"/>
        <v>2079.5500000000002</v>
      </c>
      <c r="L33" s="74">
        <f t="shared" si="6"/>
        <v>1890.5</v>
      </c>
      <c r="M33" s="74">
        <f t="shared" si="6"/>
        <v>1701.45</v>
      </c>
      <c r="N33" s="74">
        <f t="shared" si="6"/>
        <v>1512.4</v>
      </c>
      <c r="O33" s="74">
        <f t="shared" si="6"/>
        <v>1323.3500000000001</v>
      </c>
      <c r="P33" s="74">
        <f t="shared" si="6"/>
        <v>1134.3</v>
      </c>
      <c r="Q33" s="74">
        <f t="shared" si="6"/>
        <v>945.25</v>
      </c>
      <c r="R33" s="74">
        <f t="shared" si="6"/>
        <v>756.2</v>
      </c>
      <c r="S33" s="74">
        <f t="shared" si="6"/>
        <v>567.15</v>
      </c>
      <c r="T33" s="74">
        <f t="shared" si="6"/>
        <v>378.1</v>
      </c>
      <c r="U33" s="74">
        <f t="shared" si="6"/>
        <v>189.05</v>
      </c>
      <c r="V33" s="74">
        <f t="shared" si="6"/>
        <v>0</v>
      </c>
      <c r="W33" s="74">
        <f t="shared" si="6"/>
        <v>0</v>
      </c>
      <c r="X33"/>
      <c r="Y33"/>
      <c r="Z33"/>
      <c r="AA33" s="177"/>
      <c r="AB33" s="177"/>
      <c r="AC33" s="74"/>
      <c r="AD33" s="74"/>
      <c r="AE33" s="74"/>
      <c r="AF33" s="74"/>
      <c r="AG33" s="74"/>
      <c r="AH33" s="74"/>
    </row>
    <row r="34" spans="1:34">
      <c r="A34" s="74" t="s">
        <v>148</v>
      </c>
      <c r="B34" s="430">
        <f>B31-B32</f>
        <v>95000</v>
      </c>
      <c r="C34" s="74">
        <f>C31-C32</f>
        <v>87875</v>
      </c>
      <c r="D34" s="74">
        <f t="shared" ref="D34:W34" si="7">D31-D32</f>
        <v>83125</v>
      </c>
      <c r="E34" s="74">
        <f t="shared" si="7"/>
        <v>78375</v>
      </c>
      <c r="F34" s="74">
        <f t="shared" si="7"/>
        <v>73625</v>
      </c>
      <c r="G34" s="74">
        <f t="shared" si="7"/>
        <v>68875</v>
      </c>
      <c r="H34" s="74">
        <f t="shared" si="7"/>
        <v>64125</v>
      </c>
      <c r="I34" s="74">
        <f t="shared" si="7"/>
        <v>59375</v>
      </c>
      <c r="J34" s="74">
        <f t="shared" si="7"/>
        <v>54625</v>
      </c>
      <c r="K34" s="74">
        <f t="shared" si="7"/>
        <v>49875</v>
      </c>
      <c r="L34" s="74">
        <f t="shared" si="7"/>
        <v>45125</v>
      </c>
      <c r="M34" s="74">
        <f t="shared" si="7"/>
        <v>40375</v>
      </c>
      <c r="N34" s="74">
        <f t="shared" si="7"/>
        <v>35625</v>
      </c>
      <c r="O34" s="74">
        <f t="shared" si="7"/>
        <v>30875</v>
      </c>
      <c r="P34" s="74">
        <f t="shared" si="7"/>
        <v>26125</v>
      </c>
      <c r="Q34" s="74">
        <f t="shared" si="7"/>
        <v>21375</v>
      </c>
      <c r="R34" s="74">
        <f t="shared" si="7"/>
        <v>16625</v>
      </c>
      <c r="S34" s="74">
        <f t="shared" si="7"/>
        <v>11875</v>
      </c>
      <c r="T34" s="74">
        <f t="shared" si="7"/>
        <v>7125</v>
      </c>
      <c r="U34" s="74">
        <f t="shared" si="7"/>
        <v>2375</v>
      </c>
      <c r="V34" s="74">
        <f t="shared" si="7"/>
        <v>0</v>
      </c>
      <c r="W34" s="74">
        <f t="shared" si="7"/>
        <v>0</v>
      </c>
      <c r="X34"/>
      <c r="Y34"/>
      <c r="Z34"/>
      <c r="AA34" s="177"/>
      <c r="AB34" s="177"/>
      <c r="AC34" s="74"/>
      <c r="AD34" s="74"/>
      <c r="AE34" s="74"/>
      <c r="AF34" s="74"/>
      <c r="AG34" s="74"/>
      <c r="AH34" s="74"/>
    </row>
    <row r="35" spans="1:34">
      <c r="A35" s="523">
        <v>36557</v>
      </c>
      <c r="B35" s="430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/>
      <c r="Y35"/>
      <c r="Z35"/>
      <c r="AA35" s="177"/>
      <c r="AB35" s="177"/>
      <c r="AC35" s="74"/>
      <c r="AD35" s="74"/>
      <c r="AE35" s="74"/>
      <c r="AF35" s="74"/>
      <c r="AG35" s="74"/>
      <c r="AH35" s="74"/>
    </row>
    <row r="36" spans="1:34">
      <c r="A36" s="74" t="s">
        <v>145</v>
      </c>
      <c r="B36" s="430">
        <f>B34</f>
        <v>95000</v>
      </c>
      <c r="C36" s="74">
        <f t="shared" ref="C36:V36" si="8">C34</f>
        <v>87875</v>
      </c>
      <c r="D36" s="74">
        <f t="shared" si="8"/>
        <v>83125</v>
      </c>
      <c r="E36" s="74">
        <f t="shared" si="8"/>
        <v>78375</v>
      </c>
      <c r="F36" s="74">
        <f t="shared" si="8"/>
        <v>73625</v>
      </c>
      <c r="G36" s="74">
        <f t="shared" si="8"/>
        <v>68875</v>
      </c>
      <c r="H36" s="74">
        <f t="shared" si="8"/>
        <v>64125</v>
      </c>
      <c r="I36" s="74">
        <f t="shared" si="8"/>
        <v>59375</v>
      </c>
      <c r="J36" s="74">
        <f t="shared" si="8"/>
        <v>54625</v>
      </c>
      <c r="K36" s="74">
        <f t="shared" si="8"/>
        <v>49875</v>
      </c>
      <c r="L36" s="74">
        <f t="shared" si="8"/>
        <v>45125</v>
      </c>
      <c r="M36" s="74">
        <f t="shared" si="8"/>
        <v>40375</v>
      </c>
      <c r="N36" s="74">
        <f t="shared" si="8"/>
        <v>35625</v>
      </c>
      <c r="O36" s="74">
        <f t="shared" si="8"/>
        <v>30875</v>
      </c>
      <c r="P36" s="74">
        <f t="shared" si="8"/>
        <v>26125</v>
      </c>
      <c r="Q36" s="74">
        <f t="shared" si="8"/>
        <v>21375</v>
      </c>
      <c r="R36" s="74">
        <f t="shared" si="8"/>
        <v>16625</v>
      </c>
      <c r="S36" s="74">
        <f t="shared" si="8"/>
        <v>11875</v>
      </c>
      <c r="T36" s="74">
        <f t="shared" si="8"/>
        <v>7125</v>
      </c>
      <c r="U36" s="74">
        <f t="shared" si="8"/>
        <v>2375</v>
      </c>
      <c r="V36" s="74">
        <f t="shared" si="8"/>
        <v>0</v>
      </c>
      <c r="W36" s="74">
        <f>W34</f>
        <v>0</v>
      </c>
      <c r="X36"/>
      <c r="Y36"/>
      <c r="Z36"/>
      <c r="AA36" s="177"/>
      <c r="AB36" s="177"/>
      <c r="AC36" s="74"/>
      <c r="AD36" s="74"/>
      <c r="AE36" s="74"/>
      <c r="AF36" s="74"/>
      <c r="AG36" s="74"/>
      <c r="AH36" s="74"/>
    </row>
    <row r="37" spans="1:34">
      <c r="A37" s="74" t="s">
        <v>146</v>
      </c>
      <c r="B37" s="430">
        <f>$B$31*B22</f>
        <v>4750</v>
      </c>
      <c r="C37" s="74">
        <f>$B$31*C22/2</f>
        <v>2375</v>
      </c>
      <c r="D37" s="74">
        <f t="shared" ref="D37:W37" si="9">$B$31*D22/2</f>
        <v>2375</v>
      </c>
      <c r="E37" s="74">
        <f t="shared" si="9"/>
        <v>2375</v>
      </c>
      <c r="F37" s="74">
        <f t="shared" si="9"/>
        <v>2375</v>
      </c>
      <c r="G37" s="74">
        <f t="shared" si="9"/>
        <v>2375</v>
      </c>
      <c r="H37" s="74">
        <f t="shared" si="9"/>
        <v>2375</v>
      </c>
      <c r="I37" s="74">
        <f t="shared" si="9"/>
        <v>2375</v>
      </c>
      <c r="J37" s="74">
        <f t="shared" si="9"/>
        <v>2375</v>
      </c>
      <c r="K37" s="74">
        <f t="shared" si="9"/>
        <v>2375</v>
      </c>
      <c r="L37" s="74">
        <f t="shared" si="9"/>
        <v>2375</v>
      </c>
      <c r="M37" s="74">
        <f t="shared" si="9"/>
        <v>2375</v>
      </c>
      <c r="N37" s="74">
        <f t="shared" si="9"/>
        <v>2375</v>
      </c>
      <c r="O37" s="74">
        <f t="shared" si="9"/>
        <v>2375</v>
      </c>
      <c r="P37" s="74">
        <f t="shared" si="9"/>
        <v>2375</v>
      </c>
      <c r="Q37" s="74">
        <f t="shared" si="9"/>
        <v>2375</v>
      </c>
      <c r="R37" s="74">
        <f t="shared" si="9"/>
        <v>2375</v>
      </c>
      <c r="S37" s="74">
        <f t="shared" si="9"/>
        <v>2375</v>
      </c>
      <c r="T37" s="74">
        <f t="shared" si="9"/>
        <v>2375</v>
      </c>
      <c r="U37" s="74">
        <f t="shared" si="9"/>
        <v>2375</v>
      </c>
      <c r="V37" s="74">
        <f t="shared" si="9"/>
        <v>0</v>
      </c>
      <c r="W37" s="74">
        <f t="shared" si="9"/>
        <v>0</v>
      </c>
      <c r="X37"/>
      <c r="Y37"/>
      <c r="Z37"/>
      <c r="AA37" s="177"/>
      <c r="AB37" s="177"/>
      <c r="AC37" s="74"/>
      <c r="AD37" s="74"/>
      <c r="AE37" s="74"/>
      <c r="AF37" s="74"/>
      <c r="AG37" s="74"/>
      <c r="AH37" s="74"/>
    </row>
    <row r="38" spans="1:34">
      <c r="A38" s="74" t="s">
        <v>147</v>
      </c>
      <c r="B38" s="430">
        <f>B36*$F$7/2</f>
        <v>3781</v>
      </c>
      <c r="C38" s="430">
        <f t="shared" ref="C38:W38" si="10">C36*$F$7/2</f>
        <v>3497.4250000000002</v>
      </c>
      <c r="D38" s="430">
        <f t="shared" si="10"/>
        <v>3308.375</v>
      </c>
      <c r="E38" s="430">
        <f t="shared" si="10"/>
        <v>3119.3250000000003</v>
      </c>
      <c r="F38" s="430">
        <f t="shared" si="10"/>
        <v>2930.2750000000001</v>
      </c>
      <c r="G38" s="430">
        <f t="shared" si="10"/>
        <v>2741.2250000000004</v>
      </c>
      <c r="H38" s="430">
        <f t="shared" si="10"/>
        <v>2552.1750000000002</v>
      </c>
      <c r="I38" s="430">
        <f t="shared" si="10"/>
        <v>2363.125</v>
      </c>
      <c r="J38" s="430">
        <f t="shared" si="10"/>
        <v>2174.0750000000003</v>
      </c>
      <c r="K38" s="430">
        <f t="shared" si="10"/>
        <v>1985.0250000000001</v>
      </c>
      <c r="L38" s="430">
        <f t="shared" si="10"/>
        <v>1795.9750000000001</v>
      </c>
      <c r="M38" s="430">
        <f t="shared" si="10"/>
        <v>1606.9250000000002</v>
      </c>
      <c r="N38" s="430">
        <f t="shared" si="10"/>
        <v>1417.875</v>
      </c>
      <c r="O38" s="430">
        <f t="shared" si="10"/>
        <v>1228.825</v>
      </c>
      <c r="P38" s="430">
        <f t="shared" si="10"/>
        <v>1039.7750000000001</v>
      </c>
      <c r="Q38" s="430">
        <f t="shared" si="10"/>
        <v>850.72500000000002</v>
      </c>
      <c r="R38" s="430">
        <f t="shared" si="10"/>
        <v>661.67500000000007</v>
      </c>
      <c r="S38" s="430">
        <f t="shared" si="10"/>
        <v>472.625</v>
      </c>
      <c r="T38" s="430">
        <f t="shared" si="10"/>
        <v>283.57499999999999</v>
      </c>
      <c r="U38" s="430">
        <f t="shared" si="10"/>
        <v>94.525000000000006</v>
      </c>
      <c r="V38" s="430">
        <f t="shared" si="10"/>
        <v>0</v>
      </c>
      <c r="W38" s="430">
        <f t="shared" si="10"/>
        <v>0</v>
      </c>
      <c r="X38"/>
      <c r="Y38"/>
      <c r="Z38"/>
      <c r="AA38" s="177"/>
      <c r="AB38" s="177"/>
      <c r="AC38" s="74"/>
      <c r="AD38" s="74"/>
      <c r="AE38" s="74"/>
      <c r="AF38" s="74"/>
      <c r="AG38" s="74"/>
      <c r="AH38" s="74"/>
    </row>
    <row r="39" spans="1:34">
      <c r="A39" s="74" t="s">
        <v>148</v>
      </c>
      <c r="B39" s="430">
        <f>B36-B37</f>
        <v>90250</v>
      </c>
      <c r="C39" s="74">
        <f t="shared" ref="C39:R39" si="11">C36-C37</f>
        <v>85500</v>
      </c>
      <c r="D39" s="74">
        <f t="shared" si="11"/>
        <v>80750</v>
      </c>
      <c r="E39" s="74">
        <f t="shared" si="11"/>
        <v>76000</v>
      </c>
      <c r="F39" s="74">
        <f t="shared" si="11"/>
        <v>71250</v>
      </c>
      <c r="G39" s="74">
        <f t="shared" si="11"/>
        <v>66500</v>
      </c>
      <c r="H39" s="74">
        <f t="shared" si="11"/>
        <v>61750</v>
      </c>
      <c r="I39" s="74">
        <f t="shared" si="11"/>
        <v>57000</v>
      </c>
      <c r="J39" s="74">
        <f t="shared" si="11"/>
        <v>52250</v>
      </c>
      <c r="K39" s="74">
        <f t="shared" si="11"/>
        <v>47500</v>
      </c>
      <c r="L39" s="74">
        <f t="shared" si="11"/>
        <v>42750</v>
      </c>
      <c r="M39" s="74">
        <f t="shared" si="11"/>
        <v>38000</v>
      </c>
      <c r="N39" s="74">
        <f t="shared" si="11"/>
        <v>33250</v>
      </c>
      <c r="O39" s="74">
        <f t="shared" si="11"/>
        <v>28500</v>
      </c>
      <c r="P39" s="74">
        <f t="shared" si="11"/>
        <v>23750</v>
      </c>
      <c r="Q39" s="74">
        <f t="shared" si="11"/>
        <v>19000</v>
      </c>
      <c r="R39" s="74">
        <f t="shared" si="11"/>
        <v>14250</v>
      </c>
      <c r="S39" s="74">
        <f>S36-S37</f>
        <v>9500</v>
      </c>
      <c r="T39" s="74">
        <f>T36-T37</f>
        <v>4750</v>
      </c>
      <c r="U39" s="74">
        <f>U36-U37</f>
        <v>0</v>
      </c>
      <c r="V39" s="74">
        <f>V36-V37</f>
        <v>0</v>
      </c>
      <c r="W39" s="74">
        <f>W36-W37</f>
        <v>0</v>
      </c>
      <c r="X39"/>
      <c r="Y39"/>
      <c r="Z39"/>
      <c r="AA39" s="177"/>
      <c r="AB39" s="177"/>
      <c r="AC39" s="74"/>
      <c r="AD39" s="74"/>
      <c r="AE39" s="74"/>
      <c r="AF39" s="74"/>
      <c r="AG39" s="74"/>
      <c r="AH39" s="74"/>
    </row>
    <row r="40" spans="1:34">
      <c r="A40" s="74"/>
      <c r="B40" s="430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/>
      <c r="Y40"/>
      <c r="Z40"/>
      <c r="AA40" s="177"/>
      <c r="AB40" s="177"/>
      <c r="AC40" s="74"/>
      <c r="AD40" s="74"/>
      <c r="AE40" s="74"/>
      <c r="AF40" s="74"/>
      <c r="AG40" s="74"/>
      <c r="AH40" s="74"/>
    </row>
    <row r="41" spans="1:34">
      <c r="A41" s="76" t="s">
        <v>200</v>
      </c>
      <c r="B41" s="430">
        <f>B33+B38</f>
        <v>3781</v>
      </c>
      <c r="C41" s="430">
        <f t="shared" ref="C41:W41" si="12">C33+C38</f>
        <v>7089.375</v>
      </c>
      <c r="D41" s="430">
        <f t="shared" si="12"/>
        <v>6711.2749999999996</v>
      </c>
      <c r="E41" s="430">
        <f t="shared" si="12"/>
        <v>6333.1750000000011</v>
      </c>
      <c r="F41" s="430">
        <f t="shared" si="12"/>
        <v>5955.0750000000007</v>
      </c>
      <c r="G41" s="430">
        <f t="shared" si="12"/>
        <v>5576.9750000000004</v>
      </c>
      <c r="H41" s="430">
        <f t="shared" si="12"/>
        <v>5198.875</v>
      </c>
      <c r="I41" s="430">
        <f t="shared" si="12"/>
        <v>4820.7749999999996</v>
      </c>
      <c r="J41" s="430">
        <f t="shared" si="12"/>
        <v>4442.6750000000002</v>
      </c>
      <c r="K41" s="430">
        <f t="shared" si="12"/>
        <v>4064.5750000000003</v>
      </c>
      <c r="L41" s="430">
        <f t="shared" si="12"/>
        <v>3686.4750000000004</v>
      </c>
      <c r="M41" s="430">
        <f t="shared" si="12"/>
        <v>3308.375</v>
      </c>
      <c r="N41" s="430">
        <f t="shared" si="12"/>
        <v>2930.2750000000001</v>
      </c>
      <c r="O41" s="430">
        <f t="shared" si="12"/>
        <v>2552.1750000000002</v>
      </c>
      <c r="P41" s="430">
        <f t="shared" si="12"/>
        <v>2174.0749999999998</v>
      </c>
      <c r="Q41" s="430">
        <f t="shared" si="12"/>
        <v>1795.9749999999999</v>
      </c>
      <c r="R41" s="430">
        <f t="shared" si="12"/>
        <v>1417.875</v>
      </c>
      <c r="S41" s="430">
        <f t="shared" si="12"/>
        <v>1039.7750000000001</v>
      </c>
      <c r="T41" s="430">
        <f t="shared" si="12"/>
        <v>661.67499999999995</v>
      </c>
      <c r="U41" s="430">
        <f t="shared" si="12"/>
        <v>283.57500000000005</v>
      </c>
      <c r="V41" s="430">
        <f t="shared" si="12"/>
        <v>0</v>
      </c>
      <c r="W41" s="430">
        <f t="shared" si="12"/>
        <v>0</v>
      </c>
      <c r="X41"/>
      <c r="Y41"/>
      <c r="Z41"/>
      <c r="AA41" s="177"/>
      <c r="AB41" s="177"/>
      <c r="AC41" s="74"/>
      <c r="AD41" s="74"/>
      <c r="AE41" s="74"/>
      <c r="AF41" s="74"/>
      <c r="AG41" s="74"/>
      <c r="AH41" s="74"/>
    </row>
    <row r="42" spans="1:34">
      <c r="A42" s="17" t="s">
        <v>201</v>
      </c>
      <c r="B42" s="430">
        <v>0</v>
      </c>
      <c r="C42" s="74">
        <v>0</v>
      </c>
      <c r="D42" s="74">
        <v>0</v>
      </c>
      <c r="E42" s="74">
        <v>0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  <c r="X42"/>
      <c r="Y42"/>
      <c r="Z42"/>
      <c r="AA42" s="18"/>
      <c r="AB42" s="18"/>
    </row>
    <row r="43" spans="1:34">
      <c r="A43" s="76" t="s">
        <v>208</v>
      </c>
      <c r="B43" s="430">
        <f>B32+B37</f>
        <v>4750</v>
      </c>
      <c r="C43" s="430">
        <f t="shared" ref="C43:W43" si="13">C32+C37</f>
        <v>4750</v>
      </c>
      <c r="D43" s="430">
        <f t="shared" si="13"/>
        <v>4750</v>
      </c>
      <c r="E43" s="430">
        <f t="shared" si="13"/>
        <v>4750</v>
      </c>
      <c r="F43" s="430">
        <f t="shared" si="13"/>
        <v>4750</v>
      </c>
      <c r="G43" s="430">
        <f t="shared" si="13"/>
        <v>4750</v>
      </c>
      <c r="H43" s="430">
        <f t="shared" si="13"/>
        <v>4750</v>
      </c>
      <c r="I43" s="430">
        <f t="shared" si="13"/>
        <v>4750</v>
      </c>
      <c r="J43" s="430">
        <f t="shared" si="13"/>
        <v>4750</v>
      </c>
      <c r="K43" s="430">
        <f t="shared" si="13"/>
        <v>4750</v>
      </c>
      <c r="L43" s="430">
        <f t="shared" si="13"/>
        <v>4750</v>
      </c>
      <c r="M43" s="430">
        <f t="shared" si="13"/>
        <v>4750</v>
      </c>
      <c r="N43" s="430">
        <f t="shared" si="13"/>
        <v>4750</v>
      </c>
      <c r="O43" s="430">
        <f t="shared" si="13"/>
        <v>4750</v>
      </c>
      <c r="P43" s="430">
        <f t="shared" si="13"/>
        <v>4750</v>
      </c>
      <c r="Q43" s="430">
        <f t="shared" si="13"/>
        <v>4750</v>
      </c>
      <c r="R43" s="430">
        <f t="shared" si="13"/>
        <v>4750</v>
      </c>
      <c r="S43" s="430">
        <f t="shared" si="13"/>
        <v>4750</v>
      </c>
      <c r="T43" s="430">
        <f t="shared" si="13"/>
        <v>4750</v>
      </c>
      <c r="U43" s="430">
        <f t="shared" si="13"/>
        <v>4750</v>
      </c>
      <c r="V43" s="430">
        <f t="shared" si="13"/>
        <v>0</v>
      </c>
      <c r="W43" s="430">
        <f t="shared" si="13"/>
        <v>0</v>
      </c>
      <c r="X43"/>
      <c r="Y43"/>
      <c r="Z43"/>
      <c r="AA43" s="18"/>
      <c r="AB43" s="18"/>
    </row>
    <row r="44" spans="1:34">
      <c r="B44" s="19"/>
      <c r="X44"/>
      <c r="Y44"/>
      <c r="Z44"/>
      <c r="AA44" s="18"/>
      <c r="AB44" s="18"/>
    </row>
    <row r="45" spans="1:34">
      <c r="B45" s="19"/>
      <c r="X45"/>
      <c r="Y45"/>
      <c r="Z45"/>
      <c r="AA45" s="18"/>
      <c r="AB45" s="18"/>
    </row>
    <row r="46" spans="1:34">
      <c r="A46" s="71" t="str">
        <f>CONCATENATE("Tranche 2 @ ",L7*100,"%")</f>
        <v>Tranche 2 @ 9.37%</v>
      </c>
      <c r="B46" s="19"/>
      <c r="C46" s="72"/>
      <c r="AA46" s="18"/>
      <c r="AB46" s="18"/>
      <c r="AF46" s="7"/>
    </row>
    <row r="47" spans="1:34">
      <c r="A47" s="522">
        <f>A30</f>
        <v>36739</v>
      </c>
      <c r="B47" s="430"/>
      <c r="AA47" s="18"/>
      <c r="AB47" s="18"/>
      <c r="AF47" s="7"/>
    </row>
    <row r="48" spans="1:34">
      <c r="A48" s="74" t="s">
        <v>145</v>
      </c>
      <c r="B48" s="180">
        <f>L10</f>
        <v>210000</v>
      </c>
      <c r="C48" s="74">
        <f>B56</f>
        <v>199500</v>
      </c>
      <c r="D48" s="74">
        <f t="shared" ref="D48:W48" si="14">C56</f>
        <v>189000</v>
      </c>
      <c r="E48" s="74">
        <f t="shared" si="14"/>
        <v>178500</v>
      </c>
      <c r="F48" s="74">
        <f t="shared" si="14"/>
        <v>168000</v>
      </c>
      <c r="G48" s="74">
        <f t="shared" si="14"/>
        <v>157500</v>
      </c>
      <c r="H48" s="74">
        <f t="shared" si="14"/>
        <v>147000</v>
      </c>
      <c r="I48" s="74">
        <f t="shared" si="14"/>
        <v>136500</v>
      </c>
      <c r="J48" s="74">
        <f t="shared" si="14"/>
        <v>126000</v>
      </c>
      <c r="K48" s="74">
        <f t="shared" si="14"/>
        <v>115500</v>
      </c>
      <c r="L48" s="74">
        <f t="shared" si="14"/>
        <v>105000</v>
      </c>
      <c r="M48" s="74">
        <f t="shared" si="14"/>
        <v>94500</v>
      </c>
      <c r="N48" s="74">
        <f t="shared" si="14"/>
        <v>84000</v>
      </c>
      <c r="O48" s="74">
        <f t="shared" si="14"/>
        <v>73500</v>
      </c>
      <c r="P48" s="74">
        <f t="shared" si="14"/>
        <v>63000</v>
      </c>
      <c r="Q48" s="74">
        <f t="shared" si="14"/>
        <v>52500</v>
      </c>
      <c r="R48" s="74">
        <f t="shared" si="14"/>
        <v>42000</v>
      </c>
      <c r="S48" s="74">
        <f t="shared" si="14"/>
        <v>31500</v>
      </c>
      <c r="T48" s="74">
        <f t="shared" si="14"/>
        <v>21000</v>
      </c>
      <c r="U48" s="74">
        <f t="shared" si="14"/>
        <v>10500</v>
      </c>
      <c r="V48" s="74">
        <f t="shared" si="14"/>
        <v>0</v>
      </c>
      <c r="W48" s="74">
        <f t="shared" si="14"/>
        <v>0</v>
      </c>
      <c r="X48" s="74"/>
      <c r="Y48" s="74"/>
      <c r="Z48" s="74"/>
      <c r="AA48" s="177"/>
      <c r="AB48" s="177"/>
      <c r="AC48" s="74"/>
      <c r="AD48" s="74"/>
      <c r="AE48" s="74"/>
      <c r="AF48" s="427"/>
      <c r="AG48" s="74"/>
      <c r="AH48" s="26"/>
    </row>
    <row r="49" spans="1:34">
      <c r="A49" s="74" t="s">
        <v>146</v>
      </c>
      <c r="B49" s="430">
        <v>0</v>
      </c>
      <c r="C49" s="74">
        <f>$B$48*C24/2</f>
        <v>5250</v>
      </c>
      <c r="D49" s="74">
        <f t="shared" ref="D49:W49" si="15">$B$48*D24/2</f>
        <v>5250</v>
      </c>
      <c r="E49" s="74">
        <f t="shared" si="15"/>
        <v>5250</v>
      </c>
      <c r="F49" s="74">
        <f t="shared" si="15"/>
        <v>5250</v>
      </c>
      <c r="G49" s="74">
        <f t="shared" si="15"/>
        <v>5250</v>
      </c>
      <c r="H49" s="74">
        <f t="shared" si="15"/>
        <v>5250</v>
      </c>
      <c r="I49" s="74">
        <f t="shared" si="15"/>
        <v>5250</v>
      </c>
      <c r="J49" s="74">
        <f t="shared" si="15"/>
        <v>5250</v>
      </c>
      <c r="K49" s="74">
        <f t="shared" si="15"/>
        <v>5250</v>
      </c>
      <c r="L49" s="74">
        <f t="shared" si="15"/>
        <v>5250</v>
      </c>
      <c r="M49" s="74">
        <f t="shared" si="15"/>
        <v>5250</v>
      </c>
      <c r="N49" s="74">
        <f t="shared" si="15"/>
        <v>5250</v>
      </c>
      <c r="O49" s="74">
        <f t="shared" si="15"/>
        <v>5250</v>
      </c>
      <c r="P49" s="74">
        <f t="shared" si="15"/>
        <v>5250</v>
      </c>
      <c r="Q49" s="74">
        <f t="shared" si="15"/>
        <v>5250</v>
      </c>
      <c r="R49" s="74">
        <f t="shared" si="15"/>
        <v>5250</v>
      </c>
      <c r="S49" s="74">
        <f t="shared" si="15"/>
        <v>5250</v>
      </c>
      <c r="T49" s="74">
        <f t="shared" si="15"/>
        <v>5250</v>
      </c>
      <c r="U49" s="74">
        <f t="shared" si="15"/>
        <v>5250</v>
      </c>
      <c r="V49" s="74">
        <f t="shared" si="15"/>
        <v>0</v>
      </c>
      <c r="W49" s="74">
        <f t="shared" si="15"/>
        <v>0</v>
      </c>
      <c r="X49" s="74"/>
      <c r="Y49" s="74"/>
      <c r="Z49" s="74"/>
      <c r="AA49" s="177"/>
      <c r="AB49" s="177"/>
      <c r="AC49" s="74"/>
      <c r="AD49" s="74"/>
      <c r="AE49" s="74"/>
      <c r="AF49" s="428"/>
      <c r="AG49" s="74"/>
      <c r="AH49" s="26"/>
    </row>
    <row r="50" spans="1:34">
      <c r="A50" s="74" t="s">
        <v>147</v>
      </c>
      <c r="B50" s="430">
        <v>0</v>
      </c>
      <c r="C50" s="74">
        <f>C48*$L$7/2</f>
        <v>9346.5750000000007</v>
      </c>
      <c r="D50" s="74">
        <f t="shared" ref="D50:W50" si="16">D48*$L$7/2</f>
        <v>8854.65</v>
      </c>
      <c r="E50" s="74">
        <f t="shared" si="16"/>
        <v>8362.7250000000004</v>
      </c>
      <c r="F50" s="74">
        <f t="shared" si="16"/>
        <v>7870.8</v>
      </c>
      <c r="G50" s="74">
        <f t="shared" si="16"/>
        <v>7378.875</v>
      </c>
      <c r="H50" s="74">
        <f t="shared" si="16"/>
        <v>6886.9500000000007</v>
      </c>
      <c r="I50" s="74">
        <f t="shared" si="16"/>
        <v>6395.0250000000005</v>
      </c>
      <c r="J50" s="74">
        <f t="shared" si="16"/>
        <v>5903.1</v>
      </c>
      <c r="K50" s="74">
        <f t="shared" si="16"/>
        <v>5411.1750000000002</v>
      </c>
      <c r="L50" s="74">
        <f t="shared" si="16"/>
        <v>4919.25</v>
      </c>
      <c r="M50" s="74">
        <f t="shared" si="16"/>
        <v>4427.3249999999998</v>
      </c>
      <c r="N50" s="74">
        <f t="shared" si="16"/>
        <v>3935.4</v>
      </c>
      <c r="O50" s="74">
        <f t="shared" si="16"/>
        <v>3443.4750000000004</v>
      </c>
      <c r="P50" s="74">
        <f t="shared" si="16"/>
        <v>2951.55</v>
      </c>
      <c r="Q50" s="74">
        <f t="shared" si="16"/>
        <v>2459.625</v>
      </c>
      <c r="R50" s="74">
        <f t="shared" si="16"/>
        <v>1967.7</v>
      </c>
      <c r="S50" s="74">
        <f t="shared" si="16"/>
        <v>1475.7750000000001</v>
      </c>
      <c r="T50" s="74">
        <f t="shared" si="16"/>
        <v>983.85</v>
      </c>
      <c r="U50" s="74">
        <f t="shared" si="16"/>
        <v>491.92500000000001</v>
      </c>
      <c r="V50" s="74">
        <f t="shared" si="16"/>
        <v>0</v>
      </c>
      <c r="W50" s="74">
        <f t="shared" si="16"/>
        <v>0</v>
      </c>
      <c r="X50" s="74"/>
      <c r="Y50" s="74"/>
      <c r="Z50" s="74"/>
      <c r="AA50" s="177"/>
      <c r="AB50" s="177"/>
      <c r="AC50" s="74"/>
      <c r="AD50" s="74"/>
      <c r="AE50" s="74"/>
      <c r="AF50" s="428"/>
      <c r="AG50" s="74"/>
      <c r="AH50" s="26"/>
    </row>
    <row r="51" spans="1:34">
      <c r="A51" s="74" t="s">
        <v>148</v>
      </c>
      <c r="B51" s="430">
        <f>B48-B49</f>
        <v>210000</v>
      </c>
      <c r="C51" s="74">
        <f t="shared" ref="C51:R51" si="17">C48-C49</f>
        <v>194250</v>
      </c>
      <c r="D51" s="74">
        <f t="shared" si="17"/>
        <v>183750</v>
      </c>
      <c r="E51" s="74">
        <f t="shared" si="17"/>
        <v>173250</v>
      </c>
      <c r="F51" s="74">
        <f t="shared" si="17"/>
        <v>162750</v>
      </c>
      <c r="G51" s="74">
        <f t="shared" si="17"/>
        <v>152250</v>
      </c>
      <c r="H51" s="74">
        <f t="shared" si="17"/>
        <v>141750</v>
      </c>
      <c r="I51" s="74">
        <f t="shared" si="17"/>
        <v>131250</v>
      </c>
      <c r="J51" s="74">
        <f t="shared" si="17"/>
        <v>120750</v>
      </c>
      <c r="K51" s="74">
        <f t="shared" si="17"/>
        <v>110250</v>
      </c>
      <c r="L51" s="74">
        <f t="shared" si="17"/>
        <v>99750</v>
      </c>
      <c r="M51" s="74">
        <f t="shared" si="17"/>
        <v>89250</v>
      </c>
      <c r="N51" s="74">
        <f t="shared" si="17"/>
        <v>78750</v>
      </c>
      <c r="O51" s="74">
        <f t="shared" si="17"/>
        <v>68250</v>
      </c>
      <c r="P51" s="74">
        <f t="shared" si="17"/>
        <v>57750</v>
      </c>
      <c r="Q51" s="74">
        <f t="shared" si="17"/>
        <v>47250</v>
      </c>
      <c r="R51" s="74">
        <f t="shared" si="17"/>
        <v>36750</v>
      </c>
      <c r="S51" s="74">
        <f>S48-S49</f>
        <v>26250</v>
      </c>
      <c r="T51" s="74">
        <f>T48-T49</f>
        <v>15750</v>
      </c>
      <c r="U51" s="74">
        <f>U48-U49</f>
        <v>5250</v>
      </c>
      <c r="V51" s="74">
        <f>V48-V49</f>
        <v>0</v>
      </c>
      <c r="W51" s="74">
        <f>W48-W49</f>
        <v>0</v>
      </c>
      <c r="X51" s="74"/>
      <c r="Y51" s="74"/>
      <c r="Z51" s="74"/>
      <c r="AA51" s="177"/>
      <c r="AB51" s="177"/>
      <c r="AC51" s="74"/>
      <c r="AD51" s="74"/>
      <c r="AE51" s="74"/>
      <c r="AF51" s="428"/>
      <c r="AG51" s="74"/>
      <c r="AH51" s="26"/>
    </row>
    <row r="52" spans="1:34">
      <c r="A52" s="522">
        <f>A35</f>
        <v>36557</v>
      </c>
      <c r="B52" s="430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177"/>
      <c r="AB52" s="177"/>
      <c r="AC52" s="74"/>
      <c r="AD52" s="74"/>
      <c r="AE52" s="74"/>
      <c r="AF52" s="428"/>
      <c r="AG52" s="74"/>
      <c r="AH52" s="26"/>
    </row>
    <row r="53" spans="1:34">
      <c r="A53" s="74" t="s">
        <v>145</v>
      </c>
      <c r="B53" s="430">
        <f>B51</f>
        <v>210000</v>
      </c>
      <c r="C53" s="430">
        <f t="shared" ref="C53:W53" si="18">C51</f>
        <v>194250</v>
      </c>
      <c r="D53" s="430">
        <f t="shared" si="18"/>
        <v>183750</v>
      </c>
      <c r="E53" s="430">
        <f t="shared" si="18"/>
        <v>173250</v>
      </c>
      <c r="F53" s="430">
        <f t="shared" si="18"/>
        <v>162750</v>
      </c>
      <c r="G53" s="430">
        <f t="shared" si="18"/>
        <v>152250</v>
      </c>
      <c r="H53" s="430">
        <f t="shared" si="18"/>
        <v>141750</v>
      </c>
      <c r="I53" s="430">
        <f t="shared" si="18"/>
        <v>131250</v>
      </c>
      <c r="J53" s="430">
        <f t="shared" si="18"/>
        <v>120750</v>
      </c>
      <c r="K53" s="430">
        <f t="shared" si="18"/>
        <v>110250</v>
      </c>
      <c r="L53" s="430">
        <f t="shared" si="18"/>
        <v>99750</v>
      </c>
      <c r="M53" s="430">
        <f t="shared" si="18"/>
        <v>89250</v>
      </c>
      <c r="N53" s="430">
        <f t="shared" si="18"/>
        <v>78750</v>
      </c>
      <c r="O53" s="430">
        <f t="shared" si="18"/>
        <v>68250</v>
      </c>
      <c r="P53" s="430">
        <f t="shared" si="18"/>
        <v>57750</v>
      </c>
      <c r="Q53" s="430">
        <f t="shared" si="18"/>
        <v>47250</v>
      </c>
      <c r="R53" s="430">
        <f t="shared" si="18"/>
        <v>36750</v>
      </c>
      <c r="S53" s="430">
        <f t="shared" si="18"/>
        <v>26250</v>
      </c>
      <c r="T53" s="430">
        <f t="shared" si="18"/>
        <v>15750</v>
      </c>
      <c r="U53" s="430">
        <f t="shared" si="18"/>
        <v>5250</v>
      </c>
      <c r="V53" s="430">
        <f t="shared" si="18"/>
        <v>0</v>
      </c>
      <c r="W53" s="430">
        <f t="shared" si="18"/>
        <v>0</v>
      </c>
      <c r="X53" s="74"/>
      <c r="Y53" s="74"/>
      <c r="Z53" s="74"/>
      <c r="AA53" s="177"/>
      <c r="AB53" s="177"/>
      <c r="AC53" s="74"/>
      <c r="AD53" s="74"/>
      <c r="AE53" s="74"/>
      <c r="AF53" s="428"/>
      <c r="AG53" s="74"/>
      <c r="AH53" s="26"/>
    </row>
    <row r="54" spans="1:34">
      <c r="A54" s="74" t="s">
        <v>146</v>
      </c>
      <c r="B54" s="430">
        <f>B24*$B$48</f>
        <v>10500</v>
      </c>
      <c r="C54" s="430">
        <f>C24*$B$48/2</f>
        <v>5250</v>
      </c>
      <c r="D54" s="430">
        <f t="shared" ref="D54:W54" si="19">D24*$B$48/2</f>
        <v>5250</v>
      </c>
      <c r="E54" s="430">
        <f t="shared" si="19"/>
        <v>5250</v>
      </c>
      <c r="F54" s="430">
        <f t="shared" si="19"/>
        <v>5250</v>
      </c>
      <c r="G54" s="430">
        <f t="shared" si="19"/>
        <v>5250</v>
      </c>
      <c r="H54" s="430">
        <f t="shared" si="19"/>
        <v>5250</v>
      </c>
      <c r="I54" s="430">
        <f t="shared" si="19"/>
        <v>5250</v>
      </c>
      <c r="J54" s="430">
        <f t="shared" si="19"/>
        <v>5250</v>
      </c>
      <c r="K54" s="430">
        <f t="shared" si="19"/>
        <v>5250</v>
      </c>
      <c r="L54" s="430">
        <f t="shared" si="19"/>
        <v>5250</v>
      </c>
      <c r="M54" s="430">
        <f t="shared" si="19"/>
        <v>5250</v>
      </c>
      <c r="N54" s="430">
        <f t="shared" si="19"/>
        <v>5250</v>
      </c>
      <c r="O54" s="430">
        <f t="shared" si="19"/>
        <v>5250</v>
      </c>
      <c r="P54" s="430">
        <f t="shared" si="19"/>
        <v>5250</v>
      </c>
      <c r="Q54" s="430">
        <f t="shared" si="19"/>
        <v>5250</v>
      </c>
      <c r="R54" s="430">
        <f t="shared" si="19"/>
        <v>5250</v>
      </c>
      <c r="S54" s="430">
        <f t="shared" si="19"/>
        <v>5250</v>
      </c>
      <c r="T54" s="430">
        <f t="shared" si="19"/>
        <v>5250</v>
      </c>
      <c r="U54" s="430">
        <f t="shared" si="19"/>
        <v>5250</v>
      </c>
      <c r="V54" s="430">
        <f t="shared" si="19"/>
        <v>0</v>
      </c>
      <c r="W54" s="430">
        <f t="shared" si="19"/>
        <v>0</v>
      </c>
      <c r="X54" s="74"/>
      <c r="Y54" s="74"/>
      <c r="Z54" s="74"/>
      <c r="AA54" s="177"/>
      <c r="AB54" s="177"/>
      <c r="AC54" s="74"/>
      <c r="AD54" s="74"/>
      <c r="AE54" s="74"/>
      <c r="AF54" s="428"/>
      <c r="AG54" s="74"/>
      <c r="AH54" s="26"/>
    </row>
    <row r="55" spans="1:34">
      <c r="A55" s="74" t="s">
        <v>147</v>
      </c>
      <c r="B55" s="430">
        <f>B53*$L$7/2</f>
        <v>9838.5</v>
      </c>
      <c r="C55" s="430">
        <f t="shared" ref="C55:W55" si="20">C53*$L$7/2</f>
        <v>9100.6125000000011</v>
      </c>
      <c r="D55" s="430">
        <f t="shared" si="20"/>
        <v>8608.6875</v>
      </c>
      <c r="E55" s="430">
        <f t="shared" si="20"/>
        <v>8116.7625000000007</v>
      </c>
      <c r="F55" s="430">
        <f t="shared" si="20"/>
        <v>7624.8375000000005</v>
      </c>
      <c r="G55" s="430">
        <f t="shared" si="20"/>
        <v>7132.9125000000004</v>
      </c>
      <c r="H55" s="430">
        <f t="shared" si="20"/>
        <v>6640.9875000000002</v>
      </c>
      <c r="I55" s="430">
        <f t="shared" si="20"/>
        <v>6149.0625</v>
      </c>
      <c r="J55" s="430">
        <f t="shared" si="20"/>
        <v>5657.1375000000007</v>
      </c>
      <c r="K55" s="430">
        <f t="shared" si="20"/>
        <v>5165.2125000000005</v>
      </c>
      <c r="L55" s="430">
        <f t="shared" si="20"/>
        <v>4673.2875000000004</v>
      </c>
      <c r="M55" s="430">
        <f t="shared" si="20"/>
        <v>4181.3625000000002</v>
      </c>
      <c r="N55" s="430">
        <f t="shared" si="20"/>
        <v>3689.4375</v>
      </c>
      <c r="O55" s="430">
        <f t="shared" si="20"/>
        <v>3197.5125000000003</v>
      </c>
      <c r="P55" s="430">
        <f t="shared" si="20"/>
        <v>2705.5875000000001</v>
      </c>
      <c r="Q55" s="430">
        <f t="shared" si="20"/>
        <v>2213.6624999999999</v>
      </c>
      <c r="R55" s="430">
        <f t="shared" si="20"/>
        <v>1721.7375000000002</v>
      </c>
      <c r="S55" s="430">
        <f t="shared" si="20"/>
        <v>1229.8125</v>
      </c>
      <c r="T55" s="430">
        <f t="shared" si="20"/>
        <v>737.88750000000005</v>
      </c>
      <c r="U55" s="430">
        <f t="shared" si="20"/>
        <v>245.96250000000001</v>
      </c>
      <c r="V55" s="430">
        <f t="shared" si="20"/>
        <v>0</v>
      </c>
      <c r="W55" s="430">
        <f t="shared" si="20"/>
        <v>0</v>
      </c>
      <c r="X55" s="74"/>
      <c r="Y55" s="74"/>
      <c r="Z55" s="74"/>
      <c r="AA55" s="177"/>
      <c r="AB55" s="177"/>
      <c r="AC55" s="74"/>
      <c r="AD55" s="74"/>
      <c r="AE55" s="74"/>
      <c r="AF55" s="428"/>
      <c r="AG55" s="74"/>
      <c r="AH55" s="26"/>
    </row>
    <row r="56" spans="1:34">
      <c r="A56" s="74" t="s">
        <v>148</v>
      </c>
      <c r="B56" s="430">
        <f>B53-B54</f>
        <v>199500</v>
      </c>
      <c r="C56" s="74">
        <f t="shared" ref="C56:R56" si="21">C53-C54</f>
        <v>189000</v>
      </c>
      <c r="D56" s="74">
        <f t="shared" si="21"/>
        <v>178500</v>
      </c>
      <c r="E56" s="74">
        <f t="shared" si="21"/>
        <v>168000</v>
      </c>
      <c r="F56" s="74">
        <f t="shared" si="21"/>
        <v>157500</v>
      </c>
      <c r="G56" s="74">
        <f t="shared" si="21"/>
        <v>147000</v>
      </c>
      <c r="H56" s="74">
        <f t="shared" si="21"/>
        <v>136500</v>
      </c>
      <c r="I56" s="74">
        <f t="shared" si="21"/>
        <v>126000</v>
      </c>
      <c r="J56" s="74">
        <f t="shared" si="21"/>
        <v>115500</v>
      </c>
      <c r="K56" s="74">
        <f t="shared" si="21"/>
        <v>105000</v>
      </c>
      <c r="L56" s="74">
        <f t="shared" si="21"/>
        <v>94500</v>
      </c>
      <c r="M56" s="74">
        <f t="shared" si="21"/>
        <v>84000</v>
      </c>
      <c r="N56" s="74">
        <f t="shared" si="21"/>
        <v>73500</v>
      </c>
      <c r="O56" s="74">
        <f t="shared" si="21"/>
        <v>63000</v>
      </c>
      <c r="P56" s="74">
        <f t="shared" si="21"/>
        <v>52500</v>
      </c>
      <c r="Q56" s="74">
        <f t="shared" si="21"/>
        <v>42000</v>
      </c>
      <c r="R56" s="74">
        <f t="shared" si="21"/>
        <v>31500</v>
      </c>
      <c r="S56" s="74">
        <f>S53-S54</f>
        <v>21000</v>
      </c>
      <c r="T56" s="74">
        <f>T53-T54</f>
        <v>10500</v>
      </c>
      <c r="U56" s="74">
        <f>U53-U54</f>
        <v>0</v>
      </c>
      <c r="V56" s="74">
        <f>V53-V54</f>
        <v>0</v>
      </c>
      <c r="W56" s="74">
        <f>W53-W54</f>
        <v>0</v>
      </c>
      <c r="X56" s="74"/>
      <c r="Y56" s="74"/>
      <c r="Z56" s="74"/>
      <c r="AA56" s="177"/>
      <c r="AB56" s="177"/>
      <c r="AC56" s="74"/>
      <c r="AD56" s="74"/>
      <c r="AE56" s="74"/>
      <c r="AF56" s="428"/>
      <c r="AG56" s="74"/>
      <c r="AH56" s="26"/>
    </row>
    <row r="57" spans="1:34">
      <c r="A57" s="74"/>
      <c r="B57" s="430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177"/>
      <c r="AB57" s="177"/>
      <c r="AC57" s="74"/>
      <c r="AD57" s="74"/>
      <c r="AE57" s="74"/>
      <c r="AF57" s="428"/>
      <c r="AG57" s="74"/>
      <c r="AH57" s="26"/>
    </row>
    <row r="58" spans="1:34">
      <c r="A58" s="76" t="s">
        <v>200</v>
      </c>
      <c r="B58" s="430">
        <f>B55+B50</f>
        <v>9838.5</v>
      </c>
      <c r="C58" s="430">
        <f t="shared" ref="C58:W58" si="22">C55+C50</f>
        <v>18447.1875</v>
      </c>
      <c r="D58" s="430">
        <f t="shared" si="22"/>
        <v>17463.337500000001</v>
      </c>
      <c r="E58" s="430">
        <f t="shared" si="22"/>
        <v>16479.487500000003</v>
      </c>
      <c r="F58" s="430">
        <f t="shared" si="22"/>
        <v>15495.637500000001</v>
      </c>
      <c r="G58" s="430">
        <f t="shared" si="22"/>
        <v>14511.7875</v>
      </c>
      <c r="H58" s="430">
        <f t="shared" si="22"/>
        <v>13527.9375</v>
      </c>
      <c r="I58" s="430">
        <f t="shared" si="22"/>
        <v>12544.087500000001</v>
      </c>
      <c r="J58" s="430">
        <f t="shared" si="22"/>
        <v>11560.237500000001</v>
      </c>
      <c r="K58" s="430">
        <f t="shared" si="22"/>
        <v>10576.387500000001</v>
      </c>
      <c r="L58" s="430">
        <f t="shared" si="22"/>
        <v>9592.5375000000004</v>
      </c>
      <c r="M58" s="430">
        <f t="shared" si="22"/>
        <v>8608.6875</v>
      </c>
      <c r="N58" s="430">
        <f t="shared" si="22"/>
        <v>7624.8374999999996</v>
      </c>
      <c r="O58" s="430">
        <f t="shared" si="22"/>
        <v>6640.9875000000011</v>
      </c>
      <c r="P58" s="430">
        <f t="shared" si="22"/>
        <v>5657.1375000000007</v>
      </c>
      <c r="Q58" s="430">
        <f t="shared" si="22"/>
        <v>4673.2875000000004</v>
      </c>
      <c r="R58" s="430">
        <f t="shared" si="22"/>
        <v>3689.4375</v>
      </c>
      <c r="S58" s="430">
        <f t="shared" si="22"/>
        <v>2705.5875000000001</v>
      </c>
      <c r="T58" s="430">
        <f t="shared" si="22"/>
        <v>1721.7375000000002</v>
      </c>
      <c r="U58" s="430">
        <f t="shared" si="22"/>
        <v>737.88750000000005</v>
      </c>
      <c r="V58" s="430">
        <f t="shared" si="22"/>
        <v>0</v>
      </c>
      <c r="W58" s="430">
        <f t="shared" si="22"/>
        <v>0</v>
      </c>
      <c r="X58" s="74"/>
      <c r="Y58" s="74"/>
      <c r="Z58" s="74"/>
      <c r="AA58" s="177"/>
      <c r="AB58" s="177"/>
      <c r="AC58" s="74"/>
      <c r="AD58" s="74"/>
      <c r="AE58" s="74"/>
      <c r="AF58" s="428"/>
      <c r="AG58" s="74"/>
      <c r="AH58" s="26"/>
    </row>
    <row r="59" spans="1:34">
      <c r="A59" s="17" t="s">
        <v>201</v>
      </c>
      <c r="B59" s="430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AA59" s="18"/>
      <c r="AB59" s="18"/>
      <c r="AF59" s="7"/>
      <c r="AG59" s="74"/>
      <c r="AH59" s="26"/>
    </row>
    <row r="60" spans="1:34">
      <c r="A60" s="76" t="s">
        <v>208</v>
      </c>
      <c r="B60" s="430">
        <f>B54+B49</f>
        <v>10500</v>
      </c>
      <c r="C60" s="430">
        <f t="shared" ref="C60:W60" si="23">C54+C49</f>
        <v>10500</v>
      </c>
      <c r="D60" s="430">
        <f t="shared" si="23"/>
        <v>10500</v>
      </c>
      <c r="E60" s="430">
        <f t="shared" si="23"/>
        <v>10500</v>
      </c>
      <c r="F60" s="430">
        <f t="shared" si="23"/>
        <v>10500</v>
      </c>
      <c r="G60" s="430">
        <f t="shared" si="23"/>
        <v>10500</v>
      </c>
      <c r="H60" s="430">
        <f t="shared" si="23"/>
        <v>10500</v>
      </c>
      <c r="I60" s="430">
        <f t="shared" si="23"/>
        <v>10500</v>
      </c>
      <c r="J60" s="430">
        <f t="shared" si="23"/>
        <v>10500</v>
      </c>
      <c r="K60" s="430">
        <f t="shared" si="23"/>
        <v>10500</v>
      </c>
      <c r="L60" s="430">
        <f t="shared" si="23"/>
        <v>10500</v>
      </c>
      <c r="M60" s="430">
        <f t="shared" si="23"/>
        <v>10500</v>
      </c>
      <c r="N60" s="430">
        <f t="shared" si="23"/>
        <v>10500</v>
      </c>
      <c r="O60" s="430">
        <f t="shared" si="23"/>
        <v>10500</v>
      </c>
      <c r="P60" s="430">
        <f t="shared" si="23"/>
        <v>10500</v>
      </c>
      <c r="Q60" s="430">
        <f t="shared" si="23"/>
        <v>10500</v>
      </c>
      <c r="R60" s="430">
        <f t="shared" si="23"/>
        <v>10500</v>
      </c>
      <c r="S60" s="430">
        <f t="shared" si="23"/>
        <v>10500</v>
      </c>
      <c r="T60" s="430">
        <f t="shared" si="23"/>
        <v>10500</v>
      </c>
      <c r="U60" s="430">
        <f t="shared" si="23"/>
        <v>10500</v>
      </c>
      <c r="V60" s="430">
        <f t="shared" si="23"/>
        <v>0</v>
      </c>
      <c r="W60" s="430">
        <f t="shared" si="23"/>
        <v>0</v>
      </c>
      <c r="AA60" s="18"/>
      <c r="AB60" s="18"/>
      <c r="AF60" s="7"/>
      <c r="AG60" s="74"/>
      <c r="AH60" s="26"/>
    </row>
    <row r="61" spans="1:34">
      <c r="B61" s="180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177"/>
      <c r="AB61" s="177"/>
      <c r="AC61" s="74"/>
      <c r="AD61" s="74"/>
      <c r="AE61" s="74"/>
      <c r="AF61" s="427"/>
      <c r="AG61" s="74"/>
      <c r="AH61" s="26"/>
    </row>
    <row r="62" spans="1:34">
      <c r="B62" s="430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177"/>
      <c r="AB62" s="177"/>
      <c r="AC62" s="74"/>
      <c r="AD62" s="74"/>
      <c r="AE62" s="74"/>
      <c r="AF62" s="428"/>
      <c r="AG62" s="74"/>
      <c r="AH62" s="26"/>
    </row>
    <row r="63" spans="1:34">
      <c r="A63" s="71" t="str">
        <f>CONCATENATE("Tranche 3 @ ",R7*100,"%")</f>
        <v>Tranche 3 @ 10.215%</v>
      </c>
      <c r="B63" s="19"/>
      <c r="C63" s="72"/>
      <c r="AA63" s="18"/>
      <c r="AB63" s="18"/>
      <c r="AF63" s="7"/>
    </row>
    <row r="64" spans="1:34">
      <c r="A64" s="522">
        <f>A30</f>
        <v>36739</v>
      </c>
      <c r="B64" s="430"/>
      <c r="AA64" s="18"/>
      <c r="AB64" s="18"/>
      <c r="AF64" s="7"/>
    </row>
    <row r="65" spans="1:39">
      <c r="A65" s="74" t="s">
        <v>145</v>
      </c>
      <c r="B65" s="180">
        <f>R10</f>
        <v>425000</v>
      </c>
      <c r="C65" s="74">
        <f>B73</f>
        <v>403750</v>
      </c>
      <c r="D65" s="74">
        <f t="shared" ref="D65:W65" si="24">C73</f>
        <v>382500</v>
      </c>
      <c r="E65" s="74">
        <f t="shared" si="24"/>
        <v>361250</v>
      </c>
      <c r="F65" s="74">
        <f t="shared" si="24"/>
        <v>340000</v>
      </c>
      <c r="G65" s="74">
        <f t="shared" si="24"/>
        <v>318750</v>
      </c>
      <c r="H65" s="74">
        <f t="shared" si="24"/>
        <v>297500</v>
      </c>
      <c r="I65" s="74">
        <f t="shared" si="24"/>
        <v>276250</v>
      </c>
      <c r="J65" s="74">
        <f t="shared" si="24"/>
        <v>255000</v>
      </c>
      <c r="K65" s="74">
        <f t="shared" si="24"/>
        <v>233750</v>
      </c>
      <c r="L65" s="74">
        <f t="shared" si="24"/>
        <v>212500</v>
      </c>
      <c r="M65" s="74">
        <f t="shared" si="24"/>
        <v>191250</v>
      </c>
      <c r="N65" s="74">
        <f t="shared" si="24"/>
        <v>170000</v>
      </c>
      <c r="O65" s="74">
        <f t="shared" si="24"/>
        <v>148750</v>
      </c>
      <c r="P65" s="74">
        <f t="shared" si="24"/>
        <v>127500</v>
      </c>
      <c r="Q65" s="74">
        <f t="shared" si="24"/>
        <v>106250</v>
      </c>
      <c r="R65" s="74">
        <f t="shared" si="24"/>
        <v>85000</v>
      </c>
      <c r="S65" s="74">
        <f t="shared" si="24"/>
        <v>63750</v>
      </c>
      <c r="T65" s="74">
        <f t="shared" si="24"/>
        <v>42500</v>
      </c>
      <c r="U65" s="74">
        <f t="shared" si="24"/>
        <v>21250</v>
      </c>
      <c r="V65" s="74">
        <f t="shared" si="24"/>
        <v>0</v>
      </c>
      <c r="W65" s="74">
        <f t="shared" si="24"/>
        <v>0</v>
      </c>
      <c r="X65" s="74"/>
      <c r="Y65" s="74"/>
      <c r="Z65" s="74"/>
      <c r="AA65" s="177"/>
      <c r="AB65" s="177"/>
      <c r="AC65" s="74"/>
      <c r="AD65" s="74"/>
      <c r="AE65" s="74"/>
      <c r="AF65" s="427"/>
      <c r="AG65" s="74"/>
      <c r="AH65" s="26"/>
    </row>
    <row r="66" spans="1:39">
      <c r="A66" s="74" t="s">
        <v>146</v>
      </c>
      <c r="B66" s="430">
        <v>0</v>
      </c>
      <c r="C66" s="74">
        <f>$B$65*C26/2</f>
        <v>10625</v>
      </c>
      <c r="D66" s="74">
        <f t="shared" ref="D66:W66" si="25">$B$65*D26/2</f>
        <v>10625</v>
      </c>
      <c r="E66" s="74">
        <f t="shared" si="25"/>
        <v>10625</v>
      </c>
      <c r="F66" s="74">
        <f t="shared" si="25"/>
        <v>10625</v>
      </c>
      <c r="G66" s="74">
        <f t="shared" si="25"/>
        <v>10625</v>
      </c>
      <c r="H66" s="74">
        <f t="shared" si="25"/>
        <v>10625</v>
      </c>
      <c r="I66" s="74">
        <f t="shared" si="25"/>
        <v>10625</v>
      </c>
      <c r="J66" s="74">
        <f t="shared" si="25"/>
        <v>10625</v>
      </c>
      <c r="K66" s="74">
        <f t="shared" si="25"/>
        <v>10625</v>
      </c>
      <c r="L66" s="74">
        <f t="shared" si="25"/>
        <v>10625</v>
      </c>
      <c r="M66" s="74">
        <f t="shared" si="25"/>
        <v>10625</v>
      </c>
      <c r="N66" s="74">
        <f t="shared" si="25"/>
        <v>10625</v>
      </c>
      <c r="O66" s="74">
        <f t="shared" si="25"/>
        <v>10625</v>
      </c>
      <c r="P66" s="74">
        <f t="shared" si="25"/>
        <v>10625</v>
      </c>
      <c r="Q66" s="74">
        <f t="shared" si="25"/>
        <v>10625</v>
      </c>
      <c r="R66" s="74">
        <f t="shared" si="25"/>
        <v>10625</v>
      </c>
      <c r="S66" s="74">
        <f t="shared" si="25"/>
        <v>10625</v>
      </c>
      <c r="T66" s="74">
        <f t="shared" si="25"/>
        <v>10625</v>
      </c>
      <c r="U66" s="74">
        <f t="shared" si="25"/>
        <v>10625</v>
      </c>
      <c r="V66" s="74">
        <f t="shared" si="25"/>
        <v>0</v>
      </c>
      <c r="W66" s="74">
        <f t="shared" si="25"/>
        <v>0</v>
      </c>
      <c r="X66" s="428"/>
      <c r="Y66" s="428"/>
      <c r="Z66" s="428"/>
      <c r="AA66" s="177"/>
      <c r="AB66" s="177"/>
      <c r="AC66" s="428"/>
      <c r="AD66" s="428"/>
      <c r="AE66" s="428"/>
      <c r="AF66" s="428"/>
      <c r="AG66" s="428"/>
      <c r="AH66" s="26"/>
    </row>
    <row r="67" spans="1:39">
      <c r="A67" s="74" t="s">
        <v>147</v>
      </c>
      <c r="B67" s="430">
        <v>0</v>
      </c>
      <c r="C67" s="74">
        <f>C65*$R$7/2</f>
        <v>20621.53125</v>
      </c>
      <c r="D67" s="74">
        <f t="shared" ref="D67:W67" si="26">D65*$R$7/2</f>
        <v>19536.1875</v>
      </c>
      <c r="E67" s="74">
        <f t="shared" si="26"/>
        <v>18450.84375</v>
      </c>
      <c r="F67" s="74">
        <f t="shared" si="26"/>
        <v>17365.5</v>
      </c>
      <c r="G67" s="74">
        <f t="shared" si="26"/>
        <v>16280.15625</v>
      </c>
      <c r="H67" s="74">
        <f t="shared" si="26"/>
        <v>15194.8125</v>
      </c>
      <c r="I67" s="74">
        <f t="shared" si="26"/>
        <v>14109.46875</v>
      </c>
      <c r="J67" s="74">
        <f t="shared" si="26"/>
        <v>13024.125</v>
      </c>
      <c r="K67" s="74">
        <f t="shared" si="26"/>
        <v>11938.78125</v>
      </c>
      <c r="L67" s="74">
        <f t="shared" si="26"/>
        <v>10853.4375</v>
      </c>
      <c r="M67" s="74">
        <f t="shared" si="26"/>
        <v>9768.09375</v>
      </c>
      <c r="N67" s="74">
        <f t="shared" si="26"/>
        <v>8682.75</v>
      </c>
      <c r="O67" s="74">
        <f t="shared" si="26"/>
        <v>7597.40625</v>
      </c>
      <c r="P67" s="74">
        <f t="shared" si="26"/>
        <v>6512.0625</v>
      </c>
      <c r="Q67" s="74">
        <f t="shared" si="26"/>
        <v>5426.71875</v>
      </c>
      <c r="R67" s="74">
        <f t="shared" si="26"/>
        <v>4341.375</v>
      </c>
      <c r="S67" s="74">
        <f t="shared" si="26"/>
        <v>3256.03125</v>
      </c>
      <c r="T67" s="74">
        <f t="shared" si="26"/>
        <v>2170.6875</v>
      </c>
      <c r="U67" s="74">
        <f t="shared" si="26"/>
        <v>1085.34375</v>
      </c>
      <c r="V67" s="74">
        <f t="shared" si="26"/>
        <v>0</v>
      </c>
      <c r="W67" s="74">
        <f t="shared" si="26"/>
        <v>0</v>
      </c>
      <c r="X67" s="428"/>
      <c r="Y67" s="428"/>
      <c r="Z67" s="428"/>
      <c r="AA67" s="177"/>
      <c r="AB67" s="177"/>
      <c r="AC67" s="428"/>
      <c r="AD67" s="428"/>
      <c r="AE67" s="428"/>
      <c r="AF67" s="428"/>
      <c r="AG67" s="428"/>
      <c r="AH67" s="26"/>
    </row>
    <row r="68" spans="1:39">
      <c r="A68" s="74" t="s">
        <v>148</v>
      </c>
      <c r="B68" s="430">
        <f>B65-B66</f>
        <v>425000</v>
      </c>
      <c r="C68" s="74">
        <f t="shared" ref="C68:R68" si="27">C65-C66</f>
        <v>393125</v>
      </c>
      <c r="D68" s="74">
        <f t="shared" si="27"/>
        <v>371875</v>
      </c>
      <c r="E68" s="74">
        <f t="shared" si="27"/>
        <v>350625</v>
      </c>
      <c r="F68" s="74">
        <f t="shared" si="27"/>
        <v>329375</v>
      </c>
      <c r="G68" s="74">
        <f t="shared" si="27"/>
        <v>308125</v>
      </c>
      <c r="H68" s="74">
        <f t="shared" si="27"/>
        <v>286875</v>
      </c>
      <c r="I68" s="74">
        <f t="shared" si="27"/>
        <v>265625</v>
      </c>
      <c r="J68" s="74">
        <f t="shared" si="27"/>
        <v>244375</v>
      </c>
      <c r="K68" s="74">
        <f t="shared" si="27"/>
        <v>223125</v>
      </c>
      <c r="L68" s="74">
        <f t="shared" si="27"/>
        <v>201875</v>
      </c>
      <c r="M68" s="428">
        <f t="shared" si="27"/>
        <v>180625</v>
      </c>
      <c r="N68" s="428">
        <f t="shared" si="27"/>
        <v>159375</v>
      </c>
      <c r="O68" s="428">
        <f t="shared" si="27"/>
        <v>138125</v>
      </c>
      <c r="P68" s="428">
        <f t="shared" si="27"/>
        <v>116875</v>
      </c>
      <c r="Q68" s="428">
        <f t="shared" si="27"/>
        <v>95625</v>
      </c>
      <c r="R68" s="428">
        <f t="shared" si="27"/>
        <v>74375</v>
      </c>
      <c r="S68" s="428">
        <f>S65-S66</f>
        <v>53125</v>
      </c>
      <c r="T68" s="428">
        <f>T65-T66</f>
        <v>31875</v>
      </c>
      <c r="U68" s="428">
        <f>U65-U66</f>
        <v>10625</v>
      </c>
      <c r="V68" s="428">
        <f>V65-V66</f>
        <v>0</v>
      </c>
      <c r="W68" s="428">
        <f>W65-W66</f>
        <v>0</v>
      </c>
      <c r="X68" s="428"/>
      <c r="Y68" s="428"/>
      <c r="Z68" s="428"/>
      <c r="AA68" s="177"/>
      <c r="AB68" s="177"/>
      <c r="AC68" s="428"/>
      <c r="AD68" s="428"/>
      <c r="AE68" s="428"/>
      <c r="AF68" s="428"/>
      <c r="AG68" s="428"/>
      <c r="AH68" s="26"/>
    </row>
    <row r="69" spans="1:39">
      <c r="A69" s="522">
        <f>A35</f>
        <v>36557</v>
      </c>
      <c r="B69" s="430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428"/>
      <c r="U69" s="428"/>
      <c r="V69" s="428"/>
      <c r="W69" s="428"/>
      <c r="X69" s="74"/>
      <c r="Y69" s="74"/>
      <c r="Z69" s="74"/>
      <c r="AA69" s="177"/>
      <c r="AB69" s="177"/>
      <c r="AC69" s="74"/>
      <c r="AD69" s="74"/>
      <c r="AE69" s="74"/>
      <c r="AF69" s="428"/>
      <c r="AG69" s="74"/>
      <c r="AH69" s="26"/>
    </row>
    <row r="70" spans="1:39">
      <c r="A70" s="74" t="s">
        <v>145</v>
      </c>
      <c r="B70" s="430">
        <f>B68</f>
        <v>425000</v>
      </c>
      <c r="C70" s="74">
        <f>C68</f>
        <v>393125</v>
      </c>
      <c r="D70" s="74">
        <f t="shared" ref="D70:W70" si="28">D68</f>
        <v>371875</v>
      </c>
      <c r="E70" s="74">
        <f t="shared" si="28"/>
        <v>350625</v>
      </c>
      <c r="F70" s="74">
        <f t="shared" si="28"/>
        <v>329375</v>
      </c>
      <c r="G70" s="74">
        <f t="shared" si="28"/>
        <v>308125</v>
      </c>
      <c r="H70" s="74">
        <f t="shared" si="28"/>
        <v>286875</v>
      </c>
      <c r="I70" s="74">
        <f t="shared" si="28"/>
        <v>265625</v>
      </c>
      <c r="J70" s="74">
        <f t="shared" si="28"/>
        <v>244375</v>
      </c>
      <c r="K70" s="74">
        <f t="shared" si="28"/>
        <v>223125</v>
      </c>
      <c r="L70" s="74">
        <f t="shared" si="28"/>
        <v>201875</v>
      </c>
      <c r="M70" s="74">
        <f t="shared" si="28"/>
        <v>180625</v>
      </c>
      <c r="N70" s="74">
        <f t="shared" si="28"/>
        <v>159375</v>
      </c>
      <c r="O70" s="74">
        <f t="shared" si="28"/>
        <v>138125</v>
      </c>
      <c r="P70" s="74">
        <f t="shared" si="28"/>
        <v>116875</v>
      </c>
      <c r="Q70" s="74">
        <f t="shared" si="28"/>
        <v>95625</v>
      </c>
      <c r="R70" s="74">
        <f t="shared" si="28"/>
        <v>74375</v>
      </c>
      <c r="S70" s="74">
        <f t="shared" si="28"/>
        <v>53125</v>
      </c>
      <c r="T70" s="74">
        <f t="shared" si="28"/>
        <v>31875</v>
      </c>
      <c r="U70" s="74">
        <f t="shared" si="28"/>
        <v>10625</v>
      </c>
      <c r="V70" s="74">
        <f t="shared" si="28"/>
        <v>0</v>
      </c>
      <c r="W70" s="74">
        <f t="shared" si="28"/>
        <v>0</v>
      </c>
      <c r="X70" s="74"/>
      <c r="Y70" s="74"/>
      <c r="Z70" s="74"/>
      <c r="AA70" s="177"/>
      <c r="AB70" s="177"/>
      <c r="AC70" s="74"/>
      <c r="AD70" s="74"/>
      <c r="AE70" s="74"/>
      <c r="AF70" s="428"/>
      <c r="AG70" s="74"/>
      <c r="AH70" s="26"/>
    </row>
    <row r="71" spans="1:39">
      <c r="A71" s="74" t="s">
        <v>146</v>
      </c>
      <c r="B71" s="430">
        <f>B65*B26</f>
        <v>21250</v>
      </c>
      <c r="C71" s="74">
        <f>$B$65*C26/2</f>
        <v>10625</v>
      </c>
      <c r="D71" s="74">
        <f t="shared" ref="D71:W71" si="29">$B$65*D26/2</f>
        <v>10625</v>
      </c>
      <c r="E71" s="74">
        <f t="shared" si="29"/>
        <v>10625</v>
      </c>
      <c r="F71" s="74">
        <f t="shared" si="29"/>
        <v>10625</v>
      </c>
      <c r="G71" s="74">
        <f t="shared" si="29"/>
        <v>10625</v>
      </c>
      <c r="H71" s="74">
        <f t="shared" si="29"/>
        <v>10625</v>
      </c>
      <c r="I71" s="74">
        <f t="shared" si="29"/>
        <v>10625</v>
      </c>
      <c r="J71" s="74">
        <f t="shared" si="29"/>
        <v>10625</v>
      </c>
      <c r="K71" s="74">
        <f t="shared" si="29"/>
        <v>10625</v>
      </c>
      <c r="L71" s="74">
        <f t="shared" si="29"/>
        <v>10625</v>
      </c>
      <c r="M71" s="74">
        <f t="shared" si="29"/>
        <v>10625</v>
      </c>
      <c r="N71" s="74">
        <f t="shared" si="29"/>
        <v>10625</v>
      </c>
      <c r="O71" s="74">
        <f t="shared" si="29"/>
        <v>10625</v>
      </c>
      <c r="P71" s="74">
        <f t="shared" si="29"/>
        <v>10625</v>
      </c>
      <c r="Q71" s="74">
        <f t="shared" si="29"/>
        <v>10625</v>
      </c>
      <c r="R71" s="74">
        <f t="shared" si="29"/>
        <v>10625</v>
      </c>
      <c r="S71" s="74">
        <f t="shared" si="29"/>
        <v>10625</v>
      </c>
      <c r="T71" s="74">
        <f t="shared" si="29"/>
        <v>10625</v>
      </c>
      <c r="U71" s="74">
        <f t="shared" si="29"/>
        <v>10625</v>
      </c>
      <c r="V71" s="74">
        <f t="shared" si="29"/>
        <v>0</v>
      </c>
      <c r="W71" s="74">
        <f t="shared" si="29"/>
        <v>0</v>
      </c>
      <c r="X71" s="74"/>
      <c r="Y71" s="74"/>
      <c r="Z71" s="74"/>
      <c r="AA71" s="177"/>
      <c r="AB71" s="177"/>
      <c r="AC71" s="74"/>
      <c r="AD71" s="74"/>
      <c r="AE71" s="74"/>
      <c r="AF71" s="428"/>
      <c r="AG71" s="74"/>
      <c r="AH71" s="26"/>
    </row>
    <row r="72" spans="1:39">
      <c r="A72" s="74" t="s">
        <v>147</v>
      </c>
      <c r="B72" s="430">
        <f>B70*$R$7/2</f>
        <v>21706.875</v>
      </c>
      <c r="C72" s="430">
        <f t="shared" ref="C72:W72" si="30">C70*$R$7/2</f>
        <v>20078.859375</v>
      </c>
      <c r="D72" s="430">
        <f t="shared" si="30"/>
        <v>18993.515625</v>
      </c>
      <c r="E72" s="430">
        <f t="shared" si="30"/>
        <v>17908.171875</v>
      </c>
      <c r="F72" s="430">
        <f t="shared" si="30"/>
        <v>16822.828125</v>
      </c>
      <c r="G72" s="430">
        <f t="shared" si="30"/>
        <v>15737.484375</v>
      </c>
      <c r="H72" s="430">
        <f t="shared" si="30"/>
        <v>14652.140625</v>
      </c>
      <c r="I72" s="430">
        <f t="shared" si="30"/>
        <v>13566.796875</v>
      </c>
      <c r="J72" s="430">
        <f t="shared" si="30"/>
        <v>12481.453125</v>
      </c>
      <c r="K72" s="430">
        <f t="shared" si="30"/>
        <v>11396.109375</v>
      </c>
      <c r="L72" s="430">
        <f t="shared" si="30"/>
        <v>10310.765625</v>
      </c>
      <c r="M72" s="430">
        <f t="shared" si="30"/>
        <v>9225.421875</v>
      </c>
      <c r="N72" s="430">
        <f t="shared" si="30"/>
        <v>8140.078125</v>
      </c>
      <c r="O72" s="430">
        <f t="shared" si="30"/>
        <v>7054.734375</v>
      </c>
      <c r="P72" s="430">
        <f t="shared" si="30"/>
        <v>5969.390625</v>
      </c>
      <c r="Q72" s="430">
        <f t="shared" si="30"/>
        <v>4884.046875</v>
      </c>
      <c r="R72" s="430">
        <f t="shared" si="30"/>
        <v>3798.703125</v>
      </c>
      <c r="S72" s="430">
        <f t="shared" si="30"/>
        <v>2713.359375</v>
      </c>
      <c r="T72" s="430">
        <f t="shared" si="30"/>
        <v>1628.015625</v>
      </c>
      <c r="U72" s="430">
        <f t="shared" si="30"/>
        <v>542.671875</v>
      </c>
      <c r="V72" s="430">
        <f t="shared" si="30"/>
        <v>0</v>
      </c>
      <c r="W72" s="430">
        <f t="shared" si="30"/>
        <v>0</v>
      </c>
      <c r="X72" s="74"/>
      <c r="Y72" s="74"/>
      <c r="Z72" s="74"/>
      <c r="AA72" s="177"/>
      <c r="AB72" s="177"/>
      <c r="AC72" s="74"/>
      <c r="AD72" s="74"/>
      <c r="AE72" s="74"/>
      <c r="AF72" s="428"/>
      <c r="AG72" s="74"/>
      <c r="AH72" s="26"/>
    </row>
    <row r="73" spans="1:39">
      <c r="A73" s="74" t="s">
        <v>148</v>
      </c>
      <c r="B73" s="74">
        <f>B70-B71</f>
        <v>403750</v>
      </c>
      <c r="C73" s="74">
        <f t="shared" ref="C73:R73" si="31">C70-C71</f>
        <v>382500</v>
      </c>
      <c r="D73" s="74">
        <f t="shared" si="31"/>
        <v>361250</v>
      </c>
      <c r="E73" s="74">
        <f t="shared" si="31"/>
        <v>340000</v>
      </c>
      <c r="F73" s="74">
        <f t="shared" si="31"/>
        <v>318750</v>
      </c>
      <c r="G73" s="74">
        <f t="shared" si="31"/>
        <v>297500</v>
      </c>
      <c r="H73" s="74">
        <f t="shared" si="31"/>
        <v>276250</v>
      </c>
      <c r="I73" s="74">
        <f t="shared" si="31"/>
        <v>255000</v>
      </c>
      <c r="J73" s="74">
        <f t="shared" si="31"/>
        <v>233750</v>
      </c>
      <c r="K73" s="74">
        <f t="shared" si="31"/>
        <v>212500</v>
      </c>
      <c r="L73" s="74">
        <f t="shared" si="31"/>
        <v>191250</v>
      </c>
      <c r="M73" s="74">
        <f t="shared" si="31"/>
        <v>170000</v>
      </c>
      <c r="N73" s="74">
        <f t="shared" si="31"/>
        <v>148750</v>
      </c>
      <c r="O73" s="74">
        <f t="shared" si="31"/>
        <v>127500</v>
      </c>
      <c r="P73" s="74">
        <f t="shared" si="31"/>
        <v>106250</v>
      </c>
      <c r="Q73" s="74">
        <f t="shared" si="31"/>
        <v>85000</v>
      </c>
      <c r="R73" s="74">
        <f t="shared" si="31"/>
        <v>63750</v>
      </c>
      <c r="S73" s="74">
        <f>S70-S71</f>
        <v>42500</v>
      </c>
      <c r="T73" s="428">
        <f>T70-T71</f>
        <v>21250</v>
      </c>
      <c r="U73" s="428">
        <f>U70-U71</f>
        <v>0</v>
      </c>
      <c r="V73" s="428">
        <f>V70-V71</f>
        <v>0</v>
      </c>
      <c r="W73" s="428">
        <f>W70-W71</f>
        <v>0</v>
      </c>
      <c r="X73" s="74"/>
      <c r="Y73" s="74"/>
      <c r="Z73" s="74"/>
      <c r="AA73" s="177"/>
      <c r="AB73" s="177"/>
      <c r="AC73" s="74"/>
      <c r="AD73" s="74"/>
      <c r="AE73" s="74"/>
      <c r="AF73" s="428"/>
      <c r="AG73" s="74"/>
      <c r="AH73" s="26"/>
    </row>
    <row r="74" spans="1:39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428"/>
      <c r="U74" s="428"/>
      <c r="V74" s="428"/>
      <c r="W74" s="428"/>
      <c r="X74" s="74"/>
      <c r="Y74" s="74"/>
      <c r="Z74" s="74"/>
      <c r="AA74" s="177"/>
      <c r="AB74" s="177"/>
      <c r="AC74" s="74"/>
      <c r="AD74" s="74"/>
      <c r="AE74" s="74"/>
      <c r="AF74" s="428"/>
      <c r="AG74" s="74"/>
      <c r="AH74" s="26"/>
    </row>
    <row r="75" spans="1:39">
      <c r="A75" s="76" t="s">
        <v>200</v>
      </c>
      <c r="B75" s="74">
        <f>B72+B67</f>
        <v>21706.875</v>
      </c>
      <c r="C75" s="74">
        <f t="shared" ref="C75:W75" si="32">C72+C67</f>
        <v>40700.390625</v>
      </c>
      <c r="D75" s="74">
        <f t="shared" si="32"/>
        <v>38529.703125</v>
      </c>
      <c r="E75" s="74">
        <f t="shared" si="32"/>
        <v>36359.015625</v>
      </c>
      <c r="F75" s="74">
        <f t="shared" si="32"/>
        <v>34188.328125</v>
      </c>
      <c r="G75" s="74">
        <f t="shared" si="32"/>
        <v>32017.640625</v>
      </c>
      <c r="H75" s="74">
        <f t="shared" si="32"/>
        <v>29846.953125</v>
      </c>
      <c r="I75" s="74">
        <f t="shared" si="32"/>
        <v>27676.265625</v>
      </c>
      <c r="J75" s="74">
        <f t="shared" si="32"/>
        <v>25505.578125</v>
      </c>
      <c r="K75" s="74">
        <f t="shared" si="32"/>
        <v>23334.890625</v>
      </c>
      <c r="L75" s="74">
        <f t="shared" si="32"/>
        <v>21164.203125</v>
      </c>
      <c r="M75" s="74">
        <f t="shared" si="32"/>
        <v>18993.515625</v>
      </c>
      <c r="N75" s="74">
        <f t="shared" si="32"/>
        <v>16822.828125</v>
      </c>
      <c r="O75" s="74">
        <f t="shared" si="32"/>
        <v>14652.140625</v>
      </c>
      <c r="P75" s="74">
        <f t="shared" si="32"/>
        <v>12481.453125</v>
      </c>
      <c r="Q75" s="74">
        <f t="shared" si="32"/>
        <v>10310.765625</v>
      </c>
      <c r="R75" s="74">
        <f t="shared" si="32"/>
        <v>8140.078125</v>
      </c>
      <c r="S75" s="74">
        <f t="shared" si="32"/>
        <v>5969.390625</v>
      </c>
      <c r="T75" s="74">
        <f t="shared" si="32"/>
        <v>3798.703125</v>
      </c>
      <c r="U75" s="74">
        <f t="shared" si="32"/>
        <v>1628.015625</v>
      </c>
      <c r="V75" s="74">
        <f t="shared" si="32"/>
        <v>0</v>
      </c>
      <c r="W75" s="74">
        <f t="shared" si="32"/>
        <v>0</v>
      </c>
      <c r="X75" s="74"/>
      <c r="Y75" s="74"/>
      <c r="Z75" s="74"/>
      <c r="AA75" s="177"/>
      <c r="AB75" s="177"/>
      <c r="AC75" s="74"/>
      <c r="AD75" s="74"/>
      <c r="AE75" s="74"/>
      <c r="AF75" s="428"/>
      <c r="AG75" s="74"/>
      <c r="AH75" s="26"/>
    </row>
    <row r="76" spans="1:39">
      <c r="A76" s="17" t="s">
        <v>201</v>
      </c>
      <c r="B76" s="74">
        <v>0</v>
      </c>
      <c r="C76" s="74">
        <v>0</v>
      </c>
      <c r="D76" s="74">
        <v>0</v>
      </c>
      <c r="E76" s="74">
        <v>0</v>
      </c>
      <c r="F76" s="74">
        <v>0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>
        <v>0</v>
      </c>
      <c r="S76" s="74">
        <v>0</v>
      </c>
      <c r="T76" s="428">
        <v>0</v>
      </c>
      <c r="U76" s="428">
        <v>0</v>
      </c>
      <c r="V76" s="428">
        <v>0</v>
      </c>
      <c r="W76" s="428">
        <v>0</v>
      </c>
      <c r="AA76" s="18"/>
      <c r="AB76" s="18"/>
      <c r="AF76" s="7"/>
      <c r="AG76" s="74"/>
      <c r="AH76" s="26"/>
    </row>
    <row r="77" spans="1:39">
      <c r="A77" s="76" t="s">
        <v>208</v>
      </c>
      <c r="B77" s="430">
        <f>B71+B66</f>
        <v>21250</v>
      </c>
      <c r="C77" s="430">
        <f t="shared" ref="C77:W77" si="33">C71+C66</f>
        <v>21250</v>
      </c>
      <c r="D77" s="430">
        <f t="shared" si="33"/>
        <v>21250</v>
      </c>
      <c r="E77" s="430">
        <f t="shared" si="33"/>
        <v>21250</v>
      </c>
      <c r="F77" s="430">
        <f t="shared" si="33"/>
        <v>21250</v>
      </c>
      <c r="G77" s="430">
        <f t="shared" si="33"/>
        <v>21250</v>
      </c>
      <c r="H77" s="430">
        <f t="shared" si="33"/>
        <v>21250</v>
      </c>
      <c r="I77" s="430">
        <f t="shared" si="33"/>
        <v>21250</v>
      </c>
      <c r="J77" s="430">
        <f t="shared" si="33"/>
        <v>21250</v>
      </c>
      <c r="K77" s="430">
        <f t="shared" si="33"/>
        <v>21250</v>
      </c>
      <c r="L77" s="430">
        <f t="shared" si="33"/>
        <v>21250</v>
      </c>
      <c r="M77" s="430">
        <f t="shared" si="33"/>
        <v>21250</v>
      </c>
      <c r="N77" s="430">
        <f t="shared" si="33"/>
        <v>21250</v>
      </c>
      <c r="O77" s="430">
        <f t="shared" si="33"/>
        <v>21250</v>
      </c>
      <c r="P77" s="430">
        <f t="shared" si="33"/>
        <v>21250</v>
      </c>
      <c r="Q77" s="430">
        <f t="shared" si="33"/>
        <v>21250</v>
      </c>
      <c r="R77" s="430">
        <f t="shared" si="33"/>
        <v>21250</v>
      </c>
      <c r="S77" s="430">
        <f t="shared" si="33"/>
        <v>21250</v>
      </c>
      <c r="T77" s="430">
        <f t="shared" si="33"/>
        <v>21250</v>
      </c>
      <c r="U77" s="430">
        <f t="shared" si="33"/>
        <v>21250</v>
      </c>
      <c r="V77" s="430">
        <f t="shared" si="33"/>
        <v>0</v>
      </c>
      <c r="W77" s="430">
        <f t="shared" si="33"/>
        <v>0</v>
      </c>
      <c r="AA77" s="18"/>
      <c r="AB77" s="18"/>
      <c r="AF77" s="7"/>
      <c r="AG77" s="74"/>
      <c r="AH77" s="26"/>
    </row>
    <row r="78" spans="1:39">
      <c r="T78" s="7"/>
      <c r="U78" s="7"/>
      <c r="V78" s="7"/>
      <c r="W78" s="7"/>
    </row>
    <row r="80" spans="1:39">
      <c r="A80" s="89" t="s">
        <v>109</v>
      </c>
      <c r="B80" s="90">
        <f>IS!D34</f>
        <v>122846.540648209</v>
      </c>
      <c r="C80" s="90">
        <f>IS!E34</f>
        <v>191679.89363134684</v>
      </c>
      <c r="D80" s="90">
        <f>IS!F34</f>
        <v>194269.70607309227</v>
      </c>
      <c r="E80" s="90">
        <f>IS!G34</f>
        <v>199882.47094726091</v>
      </c>
      <c r="F80" s="90">
        <f>IS!H34</f>
        <v>203552.41214909221</v>
      </c>
      <c r="G80" s="90">
        <f>IS!I34</f>
        <v>212835.14857700432</v>
      </c>
      <c r="H80" s="90">
        <f>IS!J34</f>
        <v>214714.84080452516</v>
      </c>
      <c r="I80" s="90">
        <f>IS!K34</f>
        <v>216056.15686350199</v>
      </c>
      <c r="J80" s="90">
        <f>IS!L34</f>
        <v>216605.83475953486</v>
      </c>
      <c r="K80" s="90">
        <f>IS!M34</f>
        <v>215976.1134257426</v>
      </c>
      <c r="L80" s="90">
        <f>IS!N34</f>
        <v>213554.57527372669</v>
      </c>
      <c r="M80" s="90">
        <f>IS!O34</f>
        <v>207545.85122646426</v>
      </c>
      <c r="N80" s="90">
        <f>IS!P34</f>
        <v>197916.48293284557</v>
      </c>
      <c r="O80" s="90">
        <f>IS!Q34</f>
        <v>176721.42988131684</v>
      </c>
      <c r="P80" s="90">
        <f>IS!R34</f>
        <v>147519.68734460665</v>
      </c>
      <c r="Q80" s="90">
        <f>IS!S34</f>
        <v>97495.475713439751</v>
      </c>
      <c r="R80" s="90">
        <f>IS!T34</f>
        <v>11024.57986836246</v>
      </c>
      <c r="S80" s="90">
        <f>IS!U34</f>
        <v>-140922.72212991619</v>
      </c>
      <c r="T80" s="90">
        <f>IS!V34</f>
        <v>-413404.17791920947</v>
      </c>
      <c r="U80" s="90">
        <f>IS!W34</f>
        <v>-918587.54204434599</v>
      </c>
      <c r="V80" s="90">
        <f>IS!X34</f>
        <v>-1859051.9277118715</v>
      </c>
      <c r="W80" s="90">
        <f>IS!Y34</f>
        <v>-3684886.6904791542</v>
      </c>
      <c r="X80"/>
      <c r="Y80"/>
      <c r="Z80"/>
      <c r="AA80"/>
      <c r="AB80" s="114"/>
      <c r="AC80" s="90"/>
      <c r="AD80" s="90"/>
      <c r="AE80" s="90"/>
      <c r="AF80" s="90"/>
      <c r="AG80" s="90"/>
      <c r="AH80" s="1"/>
      <c r="AI80" s="1"/>
      <c r="AJ80" s="1"/>
      <c r="AK80" s="1"/>
      <c r="AL80" s="1"/>
      <c r="AM80" s="1"/>
    </row>
    <row r="81" spans="1:39">
      <c r="A81" s="68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/>
      <c r="Y81"/>
      <c r="Z81"/>
      <c r="AA81"/>
      <c r="AB81" s="17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</row>
    <row r="82" spans="1:39">
      <c r="A82" s="75" t="s">
        <v>205</v>
      </c>
      <c r="B82" s="75">
        <f>B32+B33+B37+B38</f>
        <v>8531</v>
      </c>
      <c r="C82" s="75">
        <f t="shared" ref="C82:W82" si="34">C32+C33+C37+C38</f>
        <v>11839.375</v>
      </c>
      <c r="D82" s="75">
        <f t="shared" si="34"/>
        <v>11461.275</v>
      </c>
      <c r="E82" s="75">
        <f t="shared" si="34"/>
        <v>11083.175000000001</v>
      </c>
      <c r="F82" s="75">
        <f t="shared" si="34"/>
        <v>10705.075000000001</v>
      </c>
      <c r="G82" s="75">
        <f t="shared" si="34"/>
        <v>10326.975</v>
      </c>
      <c r="H82" s="75">
        <f t="shared" si="34"/>
        <v>9948.875</v>
      </c>
      <c r="I82" s="75">
        <f t="shared" si="34"/>
        <v>9570.7749999999996</v>
      </c>
      <c r="J82" s="75">
        <f t="shared" si="34"/>
        <v>9192.6750000000011</v>
      </c>
      <c r="K82" s="75">
        <f t="shared" si="34"/>
        <v>8814.5750000000007</v>
      </c>
      <c r="L82" s="75">
        <f t="shared" si="34"/>
        <v>8436.4750000000004</v>
      </c>
      <c r="M82" s="75">
        <f t="shared" si="34"/>
        <v>8058.375</v>
      </c>
      <c r="N82" s="75">
        <f t="shared" si="34"/>
        <v>7680.2749999999996</v>
      </c>
      <c r="O82" s="75">
        <f t="shared" si="34"/>
        <v>7302.1750000000002</v>
      </c>
      <c r="P82" s="75">
        <f t="shared" si="34"/>
        <v>6924.0750000000007</v>
      </c>
      <c r="Q82" s="75">
        <f t="shared" si="34"/>
        <v>6545.9750000000004</v>
      </c>
      <c r="R82" s="75">
        <f t="shared" si="34"/>
        <v>6167.875</v>
      </c>
      <c r="S82" s="75">
        <f t="shared" si="34"/>
        <v>5789.7749999999996</v>
      </c>
      <c r="T82" s="75">
        <f t="shared" si="34"/>
        <v>5411.6750000000002</v>
      </c>
      <c r="U82" s="75">
        <f t="shared" si="34"/>
        <v>5033.5749999999998</v>
      </c>
      <c r="V82" s="75">
        <f t="shared" si="34"/>
        <v>0</v>
      </c>
      <c r="W82" s="75">
        <f t="shared" si="34"/>
        <v>0</v>
      </c>
      <c r="X82"/>
      <c r="Y82"/>
      <c r="Z82"/>
      <c r="AA82"/>
      <c r="AB82" s="179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</row>
    <row r="83" spans="1:39">
      <c r="A83" s="75" t="s">
        <v>206</v>
      </c>
      <c r="B83" s="75">
        <f>B49+B50+B54+B55</f>
        <v>20338.5</v>
      </c>
      <c r="C83" s="75">
        <f t="shared" ref="C83:W83" si="35">C49+C50+C54+C55</f>
        <v>28947.1875</v>
      </c>
      <c r="D83" s="75">
        <f t="shared" si="35"/>
        <v>27963.337500000001</v>
      </c>
      <c r="E83" s="75">
        <f t="shared" si="35"/>
        <v>26979.487499999999</v>
      </c>
      <c r="F83" s="75">
        <f t="shared" si="35"/>
        <v>25995.637500000001</v>
      </c>
      <c r="G83" s="75">
        <f t="shared" si="35"/>
        <v>25011.787499999999</v>
      </c>
      <c r="H83" s="75">
        <f t="shared" si="35"/>
        <v>24027.9375</v>
      </c>
      <c r="I83" s="75">
        <f t="shared" si="35"/>
        <v>23044.087500000001</v>
      </c>
      <c r="J83" s="75">
        <f t="shared" si="35"/>
        <v>22060.237499999999</v>
      </c>
      <c r="K83" s="75">
        <f t="shared" si="35"/>
        <v>21076.387500000001</v>
      </c>
      <c r="L83" s="75">
        <f t="shared" si="35"/>
        <v>20092.537499999999</v>
      </c>
      <c r="M83" s="75">
        <f t="shared" si="35"/>
        <v>19108.6875</v>
      </c>
      <c r="N83" s="75">
        <f t="shared" si="35"/>
        <v>18124.837500000001</v>
      </c>
      <c r="O83" s="75">
        <f t="shared" si="35"/>
        <v>17140.987499999999</v>
      </c>
      <c r="P83" s="75">
        <f t="shared" si="35"/>
        <v>16157.137499999999</v>
      </c>
      <c r="Q83" s="75">
        <f t="shared" si="35"/>
        <v>15173.2875</v>
      </c>
      <c r="R83" s="75">
        <f t="shared" si="35"/>
        <v>14189.4375</v>
      </c>
      <c r="S83" s="75">
        <f t="shared" si="35"/>
        <v>13205.5875</v>
      </c>
      <c r="T83" s="75">
        <f t="shared" si="35"/>
        <v>12221.737500000001</v>
      </c>
      <c r="U83" s="75">
        <f t="shared" si="35"/>
        <v>11237.887499999999</v>
      </c>
      <c r="V83" s="75">
        <f t="shared" si="35"/>
        <v>0</v>
      </c>
      <c r="W83" s="75">
        <f t="shared" si="35"/>
        <v>0</v>
      </c>
      <c r="X83"/>
      <c r="Y83"/>
      <c r="Z83"/>
      <c r="AA83"/>
      <c r="AB83" s="179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</row>
    <row r="84" spans="1:39">
      <c r="A84" s="75" t="s">
        <v>207</v>
      </c>
      <c r="B84" s="75">
        <f>B66+B67+B71+B72</f>
        <v>42956.875</v>
      </c>
      <c r="C84" s="75">
        <f t="shared" ref="C84:W84" si="36">C66+C67+C71+C72</f>
        <v>61950.390625</v>
      </c>
      <c r="D84" s="75">
        <f t="shared" si="36"/>
        <v>59779.703125</v>
      </c>
      <c r="E84" s="75">
        <f t="shared" si="36"/>
        <v>57609.015625</v>
      </c>
      <c r="F84" s="75">
        <f t="shared" si="36"/>
        <v>55438.328125</v>
      </c>
      <c r="G84" s="75">
        <f t="shared" si="36"/>
        <v>53267.640625</v>
      </c>
      <c r="H84" s="75">
        <f t="shared" si="36"/>
        <v>51096.953125</v>
      </c>
      <c r="I84" s="75">
        <f t="shared" si="36"/>
        <v>48926.265625</v>
      </c>
      <c r="J84" s="75">
        <f t="shared" si="36"/>
        <v>46755.578125</v>
      </c>
      <c r="K84" s="75">
        <f t="shared" si="36"/>
        <v>44584.890625</v>
      </c>
      <c r="L84" s="75">
        <f t="shared" si="36"/>
        <v>42414.203125</v>
      </c>
      <c r="M84" s="75">
        <f t="shared" si="36"/>
        <v>40243.515625</v>
      </c>
      <c r="N84" s="75">
        <f t="shared" si="36"/>
        <v>38072.828125</v>
      </c>
      <c r="O84" s="75">
        <f t="shared" si="36"/>
        <v>35902.140625</v>
      </c>
      <c r="P84" s="75">
        <f t="shared" si="36"/>
        <v>33731.453125</v>
      </c>
      <c r="Q84" s="75">
        <f t="shared" si="36"/>
        <v>31560.765625</v>
      </c>
      <c r="R84" s="75">
        <f t="shared" si="36"/>
        <v>29390.078125</v>
      </c>
      <c r="S84" s="75">
        <f t="shared" si="36"/>
        <v>27219.390625</v>
      </c>
      <c r="T84" s="75">
        <f t="shared" si="36"/>
        <v>25048.703125</v>
      </c>
      <c r="U84" s="75">
        <f t="shared" si="36"/>
        <v>22878.015625</v>
      </c>
      <c r="V84" s="75">
        <f t="shared" si="36"/>
        <v>0</v>
      </c>
      <c r="W84" s="75">
        <f t="shared" si="36"/>
        <v>0</v>
      </c>
      <c r="X84"/>
      <c r="Y84"/>
      <c r="Z84"/>
      <c r="AA84"/>
      <c r="AB84" s="179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</row>
    <row r="85" spans="1:39">
      <c r="A85" s="68" t="s">
        <v>215</v>
      </c>
      <c r="B85" s="538">
        <v>0</v>
      </c>
      <c r="C85" s="538">
        <v>0</v>
      </c>
      <c r="D85" s="539">
        <v>0</v>
      </c>
      <c r="E85" s="539">
        <v>0</v>
      </c>
      <c r="F85" s="539">
        <v>0</v>
      </c>
      <c r="G85" s="539">
        <v>0</v>
      </c>
      <c r="H85" s="539">
        <v>0</v>
      </c>
      <c r="I85" s="539">
        <v>0</v>
      </c>
      <c r="J85" s="539">
        <v>0</v>
      </c>
      <c r="K85" s="539">
        <v>0</v>
      </c>
      <c r="L85" s="539">
        <v>0</v>
      </c>
      <c r="M85" s="539">
        <v>0</v>
      </c>
      <c r="N85" s="539">
        <v>0</v>
      </c>
      <c r="O85" s="539">
        <v>0</v>
      </c>
      <c r="P85" s="539">
        <v>0</v>
      </c>
      <c r="Q85" s="539">
        <v>0</v>
      </c>
      <c r="R85" s="539">
        <v>0</v>
      </c>
      <c r="S85" s="539">
        <v>0</v>
      </c>
      <c r="T85" s="539">
        <v>0</v>
      </c>
      <c r="U85" s="539">
        <v>0</v>
      </c>
      <c r="V85" s="539">
        <v>0</v>
      </c>
      <c r="W85" s="539">
        <v>0</v>
      </c>
      <c r="X85"/>
      <c r="Y85"/>
      <c r="Z85"/>
      <c r="AA85"/>
      <c r="AB85" s="179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</row>
    <row r="86" spans="1:39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/>
      <c r="Y86"/>
      <c r="Z86"/>
      <c r="AA86"/>
      <c r="AB86" s="179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</row>
    <row r="87" spans="1:39">
      <c r="A87" s="76" t="s">
        <v>149</v>
      </c>
      <c r="B87" s="76">
        <f>SUM(B82:B84)-B85</f>
        <v>71826.375</v>
      </c>
      <c r="C87" s="76">
        <f t="shared" ref="C87:W87" si="37">SUM(C82:C84)-C85</f>
        <v>102736.953125</v>
      </c>
      <c r="D87" s="76">
        <f t="shared" si="37"/>
        <v>99204.315625000003</v>
      </c>
      <c r="E87" s="76">
        <f t="shared" si="37"/>
        <v>95671.678125000006</v>
      </c>
      <c r="F87" s="76">
        <f t="shared" si="37"/>
        <v>92139.040624999994</v>
      </c>
      <c r="G87" s="76">
        <f t="shared" si="37"/>
        <v>88606.403124999997</v>
      </c>
      <c r="H87" s="76">
        <f t="shared" si="37"/>
        <v>85073.765625</v>
      </c>
      <c r="I87" s="76">
        <f t="shared" si="37"/>
        <v>81541.128125000003</v>
      </c>
      <c r="J87" s="76">
        <f t="shared" si="37"/>
        <v>78008.490625000006</v>
      </c>
      <c r="K87" s="76">
        <f t="shared" si="37"/>
        <v>74475.853124999994</v>
      </c>
      <c r="L87" s="76">
        <f t="shared" si="37"/>
        <v>70943.215624999997</v>
      </c>
      <c r="M87" s="76">
        <f t="shared" si="37"/>
        <v>67410.578125</v>
      </c>
      <c r="N87" s="76">
        <f t="shared" si="37"/>
        <v>63877.940625000003</v>
      </c>
      <c r="O87" s="76">
        <f t="shared" si="37"/>
        <v>60345.303124999999</v>
      </c>
      <c r="P87" s="76">
        <f t="shared" si="37"/>
        <v>56812.665625000001</v>
      </c>
      <c r="Q87" s="76">
        <f t="shared" si="37"/>
        <v>53280.028124999997</v>
      </c>
      <c r="R87" s="76">
        <f t="shared" si="37"/>
        <v>49747.390625</v>
      </c>
      <c r="S87" s="76">
        <f t="shared" si="37"/>
        <v>46214.753125000003</v>
      </c>
      <c r="T87" s="76">
        <f t="shared" si="37"/>
        <v>42682.115625000006</v>
      </c>
      <c r="U87" s="76">
        <f t="shared" si="37"/>
        <v>39149.478124999994</v>
      </c>
      <c r="V87" s="76">
        <f t="shared" si="37"/>
        <v>0</v>
      </c>
      <c r="W87" s="76">
        <f t="shared" si="37"/>
        <v>0</v>
      </c>
      <c r="X87"/>
      <c r="Y87"/>
      <c r="Z87"/>
      <c r="AA87"/>
      <c r="AB87" s="180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</row>
    <row r="88" spans="1:39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/>
      <c r="Y88"/>
      <c r="Z88"/>
      <c r="AA88"/>
      <c r="AB88" s="180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</row>
    <row r="89" spans="1:39">
      <c r="A89" s="76" t="s">
        <v>203</v>
      </c>
      <c r="B89" s="76">
        <f t="shared" ref="B89:W89" si="38">B41+B58+B75</f>
        <v>35326.375</v>
      </c>
      <c r="C89" s="76">
        <f t="shared" si="38"/>
        <v>66236.953125</v>
      </c>
      <c r="D89" s="76">
        <f t="shared" si="38"/>
        <v>62704.315625000003</v>
      </c>
      <c r="E89" s="76">
        <f t="shared" si="38"/>
        <v>59171.678125000006</v>
      </c>
      <c r="F89" s="76">
        <f t="shared" si="38"/>
        <v>55639.040625000001</v>
      </c>
      <c r="G89" s="76">
        <f t="shared" si="38"/>
        <v>52106.403124999997</v>
      </c>
      <c r="H89" s="76">
        <f t="shared" si="38"/>
        <v>48573.765625</v>
      </c>
      <c r="I89" s="76">
        <f t="shared" si="38"/>
        <v>45041.128125000003</v>
      </c>
      <c r="J89" s="76">
        <f t="shared" si="38"/>
        <v>41508.490625000006</v>
      </c>
      <c r="K89" s="76">
        <f t="shared" si="38"/>
        <v>37975.853125000001</v>
      </c>
      <c r="L89" s="76">
        <f t="shared" si="38"/>
        <v>34443.215624999997</v>
      </c>
      <c r="M89" s="76">
        <f t="shared" si="38"/>
        <v>30910.578125</v>
      </c>
      <c r="N89" s="76">
        <f t="shared" si="38"/>
        <v>27377.940624999999</v>
      </c>
      <c r="O89" s="76">
        <f t="shared" si="38"/>
        <v>23845.303125000002</v>
      </c>
      <c r="P89" s="76">
        <f t="shared" si="38"/>
        <v>20312.665625000001</v>
      </c>
      <c r="Q89" s="76">
        <f t="shared" si="38"/>
        <v>16780.028125000001</v>
      </c>
      <c r="R89" s="76">
        <f t="shared" si="38"/>
        <v>13247.390625</v>
      </c>
      <c r="S89" s="76">
        <f t="shared" si="38"/>
        <v>9714.7531249999993</v>
      </c>
      <c r="T89" s="76">
        <f t="shared" si="38"/>
        <v>6182.1156250000004</v>
      </c>
      <c r="U89" s="76">
        <f t="shared" si="38"/>
        <v>2649.4781250000001</v>
      </c>
      <c r="V89" s="76">
        <f t="shared" si="38"/>
        <v>0</v>
      </c>
      <c r="W89" s="76">
        <f t="shared" si="38"/>
        <v>0</v>
      </c>
      <c r="X89"/>
      <c r="Y89"/>
      <c r="Z89"/>
      <c r="AA89"/>
      <c r="AB89" s="180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</row>
    <row r="90" spans="1:39">
      <c r="A90" s="76" t="s">
        <v>204</v>
      </c>
      <c r="B90" s="76">
        <f t="shared" ref="B90:W90" si="39">B42+B59+B76</f>
        <v>0</v>
      </c>
      <c r="C90" s="76">
        <f t="shared" si="39"/>
        <v>0</v>
      </c>
      <c r="D90" s="76">
        <f t="shared" si="39"/>
        <v>0</v>
      </c>
      <c r="E90" s="76">
        <f t="shared" si="39"/>
        <v>0</v>
      </c>
      <c r="F90" s="76">
        <f t="shared" si="39"/>
        <v>0</v>
      </c>
      <c r="G90" s="76">
        <f t="shared" si="39"/>
        <v>0</v>
      </c>
      <c r="H90" s="76">
        <f t="shared" si="39"/>
        <v>0</v>
      </c>
      <c r="I90" s="76">
        <f t="shared" si="39"/>
        <v>0</v>
      </c>
      <c r="J90" s="76">
        <f t="shared" si="39"/>
        <v>0</v>
      </c>
      <c r="K90" s="76">
        <f t="shared" si="39"/>
        <v>0</v>
      </c>
      <c r="L90" s="76">
        <f t="shared" si="39"/>
        <v>0</v>
      </c>
      <c r="M90" s="76">
        <f t="shared" si="39"/>
        <v>0</v>
      </c>
      <c r="N90" s="76">
        <f t="shared" si="39"/>
        <v>0</v>
      </c>
      <c r="O90" s="76">
        <f t="shared" si="39"/>
        <v>0</v>
      </c>
      <c r="P90" s="76">
        <f t="shared" si="39"/>
        <v>0</v>
      </c>
      <c r="Q90" s="76">
        <f t="shared" si="39"/>
        <v>0</v>
      </c>
      <c r="R90" s="76">
        <f t="shared" si="39"/>
        <v>0</v>
      </c>
      <c r="S90" s="76">
        <f t="shared" si="39"/>
        <v>0</v>
      </c>
      <c r="T90" s="76">
        <f t="shared" si="39"/>
        <v>0</v>
      </c>
      <c r="U90" s="76">
        <f t="shared" si="39"/>
        <v>0</v>
      </c>
      <c r="V90" s="76">
        <f t="shared" si="39"/>
        <v>0</v>
      </c>
      <c r="W90" s="76">
        <f t="shared" si="39"/>
        <v>0</v>
      </c>
      <c r="X90"/>
      <c r="Y90"/>
      <c r="Z90"/>
      <c r="AA90"/>
      <c r="AB90" s="180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</row>
    <row r="91" spans="1:39">
      <c r="A91" s="76" t="s">
        <v>208</v>
      </c>
      <c r="B91" s="76">
        <f t="shared" ref="B91:W91" si="40">B77+B60+B43</f>
        <v>36500</v>
      </c>
      <c r="C91" s="76">
        <f t="shared" si="40"/>
        <v>36500</v>
      </c>
      <c r="D91" s="76">
        <f t="shared" si="40"/>
        <v>36500</v>
      </c>
      <c r="E91" s="76">
        <f t="shared" si="40"/>
        <v>36500</v>
      </c>
      <c r="F91" s="76">
        <f t="shared" si="40"/>
        <v>36500</v>
      </c>
      <c r="G91" s="76">
        <f t="shared" si="40"/>
        <v>36500</v>
      </c>
      <c r="H91" s="76">
        <f t="shared" si="40"/>
        <v>36500</v>
      </c>
      <c r="I91" s="76">
        <f t="shared" si="40"/>
        <v>36500</v>
      </c>
      <c r="J91" s="76">
        <f t="shared" si="40"/>
        <v>36500</v>
      </c>
      <c r="K91" s="76">
        <f t="shared" si="40"/>
        <v>36500</v>
      </c>
      <c r="L91" s="76">
        <f t="shared" si="40"/>
        <v>36500</v>
      </c>
      <c r="M91" s="76">
        <f t="shared" si="40"/>
        <v>36500</v>
      </c>
      <c r="N91" s="76">
        <f t="shared" si="40"/>
        <v>36500</v>
      </c>
      <c r="O91" s="76">
        <f t="shared" si="40"/>
        <v>36500</v>
      </c>
      <c r="P91" s="76">
        <f t="shared" si="40"/>
        <v>36500</v>
      </c>
      <c r="Q91" s="76">
        <f t="shared" si="40"/>
        <v>36500</v>
      </c>
      <c r="R91" s="76">
        <f t="shared" si="40"/>
        <v>36500</v>
      </c>
      <c r="S91" s="76">
        <f t="shared" si="40"/>
        <v>36500</v>
      </c>
      <c r="T91" s="76">
        <f t="shared" si="40"/>
        <v>36500</v>
      </c>
      <c r="U91" s="76">
        <f t="shared" si="40"/>
        <v>36500</v>
      </c>
      <c r="V91" s="76">
        <f t="shared" si="40"/>
        <v>0</v>
      </c>
      <c r="W91" s="76">
        <f t="shared" si="40"/>
        <v>0</v>
      </c>
      <c r="X91"/>
      <c r="Y91"/>
      <c r="Z91"/>
      <c r="AA91"/>
      <c r="AB91" s="180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</row>
    <row r="92" spans="1:39">
      <c r="A92" s="75"/>
      <c r="B92" s="75"/>
      <c r="C92" s="75"/>
      <c r="D92" s="75"/>
      <c r="E92" s="75"/>
      <c r="F92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/>
      <c r="Y92"/>
      <c r="Z92"/>
      <c r="AA92"/>
      <c r="AB92" s="179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</row>
    <row r="93" spans="1:39">
      <c r="A93" s="498" t="s">
        <v>150</v>
      </c>
      <c r="B93" s="499">
        <f>IF(B87&gt;0,B80/B87," ")</f>
        <v>1.7103263341385251</v>
      </c>
      <c r="C93" s="499">
        <f t="shared" ref="C93:W93" si="41">IF(C87&gt;0,C80/C87," ")</f>
        <v>1.8657346534126822</v>
      </c>
      <c r="D93" s="499">
        <f t="shared" si="41"/>
        <v>1.9582787789943212</v>
      </c>
      <c r="E93" s="499">
        <f t="shared" si="41"/>
        <v>2.0892543630948346</v>
      </c>
      <c r="F93" s="499">
        <f t="shared" si="41"/>
        <v>2.2091874494063544</v>
      </c>
      <c r="G93" s="499">
        <f t="shared" si="41"/>
        <v>2.4020289851598049</v>
      </c>
      <c r="H93" s="499">
        <f t="shared" si="41"/>
        <v>2.5238666612099334</v>
      </c>
      <c r="I93" s="499">
        <f t="shared" si="41"/>
        <v>2.6496586671243332</v>
      </c>
      <c r="J93" s="499">
        <f t="shared" si="41"/>
        <v>2.7766956266439728</v>
      </c>
      <c r="K93" s="499">
        <f t="shared" si="41"/>
        <v>2.8999481625708818</v>
      </c>
      <c r="L93" s="499">
        <f t="shared" si="41"/>
        <v>3.0102184316335281</v>
      </c>
      <c r="M93" s="499">
        <f t="shared" si="41"/>
        <v>3.078832091331575</v>
      </c>
      <c r="N93" s="499">
        <f t="shared" si="41"/>
        <v>3.0983541578888456</v>
      </c>
      <c r="O93" s="499">
        <f t="shared" si="41"/>
        <v>2.9285034746656904</v>
      </c>
      <c r="P93" s="499">
        <f t="shared" si="41"/>
        <v>2.5965985880389968</v>
      </c>
      <c r="Q93" s="499">
        <f t="shared" si="41"/>
        <v>1.8298690737307068</v>
      </c>
      <c r="R93" s="499">
        <f t="shared" si="41"/>
        <v>0.22161121879671372</v>
      </c>
      <c r="S93" s="499">
        <f t="shared" si="41"/>
        <v>-3.049301632073063</v>
      </c>
      <c r="T93" s="499">
        <f t="shared" si="41"/>
        <v>-9.6856533905518987</v>
      </c>
      <c r="U93" s="499">
        <f t="shared" si="41"/>
        <v>-23.463596094726899</v>
      </c>
      <c r="V93" s="499" t="str">
        <f t="shared" si="41"/>
        <v xml:space="preserve"> </v>
      </c>
      <c r="W93" s="499" t="str">
        <f t="shared" si="41"/>
        <v xml:space="preserve"> </v>
      </c>
      <c r="X93"/>
      <c r="Y93"/>
      <c r="Z93"/>
      <c r="AA93"/>
      <c r="AB93" s="181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</row>
    <row r="94" spans="1:39">
      <c r="A94" s="78"/>
      <c r="B94" s="497"/>
      <c r="C94" s="497"/>
      <c r="D94" s="497"/>
      <c r="E94" s="497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/>
      <c r="X94"/>
      <c r="Y94"/>
      <c r="Z94"/>
      <c r="AA94"/>
      <c r="AB94" s="181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</row>
    <row r="95" spans="1:39">
      <c r="A95" s="78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/>
      <c r="X95"/>
      <c r="Y95"/>
      <c r="Z95"/>
      <c r="AA95"/>
      <c r="AB95" s="181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</row>
    <row r="96" spans="1:39">
      <c r="A96" s="80" t="s">
        <v>236</v>
      </c>
      <c r="B96" s="81">
        <f>AVERAGE(B93:W93)</f>
        <v>0.18252078002449235</v>
      </c>
      <c r="C96"/>
      <c r="F96" s="77"/>
      <c r="G96"/>
      <c r="H96"/>
      <c r="I96"/>
      <c r="J96"/>
      <c r="K96" s="77"/>
      <c r="L96" s="77"/>
      <c r="M96" s="82"/>
      <c r="N96" s="77"/>
      <c r="O96" s="77"/>
      <c r="P96" s="83"/>
      <c r="Q96" s="83"/>
      <c r="R96" s="83"/>
      <c r="S96" s="77"/>
      <c r="T96" s="77"/>
      <c r="U96" s="77"/>
      <c r="V96" s="77"/>
      <c r="W96"/>
      <c r="X96"/>
      <c r="Y96"/>
      <c r="Z96"/>
      <c r="AA96"/>
      <c r="AB96" s="181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</row>
    <row r="97" spans="1:39">
      <c r="A97" s="86" t="s">
        <v>237</v>
      </c>
      <c r="B97" s="104">
        <f>MIN(B93:W93)</f>
        <v>-23.463596094726899</v>
      </c>
      <c r="C97"/>
      <c r="F97" s="78"/>
      <c r="G97"/>
      <c r="H97"/>
      <c r="I97"/>
      <c r="J97"/>
      <c r="K97" s="78"/>
      <c r="L97" s="78"/>
      <c r="M97" s="78"/>
      <c r="N97" s="78"/>
      <c r="O97" s="78"/>
      <c r="P97" s="83"/>
      <c r="Q97" s="83"/>
      <c r="R97" s="83"/>
      <c r="S97" s="77"/>
      <c r="T97" s="77"/>
      <c r="U97" s="77"/>
      <c r="V97" s="77"/>
      <c r="W97"/>
      <c r="X97"/>
      <c r="Y97"/>
      <c r="Z97"/>
      <c r="AA97"/>
      <c r="AB97" s="181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</row>
    <row r="100" spans="1:39" ht="13.5" thickBo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</row>
    <row r="102" spans="1:39">
      <c r="A102" s="73" t="s">
        <v>291</v>
      </c>
      <c r="B102" s="534">
        <v>2</v>
      </c>
    </row>
    <row r="103" spans="1:39">
      <c r="A103" s="342" t="s">
        <v>42</v>
      </c>
      <c r="C103" s="526"/>
      <c r="D103" s="526"/>
      <c r="E103" s="526"/>
      <c r="F103" s="526"/>
      <c r="G103" s="526"/>
      <c r="H103" s="526"/>
      <c r="I103" s="526"/>
      <c r="J103" s="526"/>
      <c r="K103" s="526"/>
      <c r="L103" s="526"/>
      <c r="M103" s="526"/>
      <c r="N103" s="526"/>
      <c r="O103" s="526"/>
      <c r="P103" s="526"/>
      <c r="Q103" s="526"/>
      <c r="R103" s="526"/>
      <c r="S103" s="526"/>
      <c r="T103" s="526"/>
      <c r="U103" s="526"/>
      <c r="V103" s="526"/>
      <c r="W103" s="526"/>
      <c r="X103" s="526"/>
      <c r="Y103" s="526"/>
      <c r="Z103" s="526"/>
      <c r="AA103" s="526"/>
      <c r="AB103" s="526"/>
    </row>
    <row r="104" spans="1:39">
      <c r="A104" s="531" t="s">
        <v>93</v>
      </c>
      <c r="B104" s="529">
        <v>0.03</v>
      </c>
      <c r="C104" s="529">
        <v>0.03</v>
      </c>
      <c r="D104" s="529">
        <v>0.03</v>
      </c>
      <c r="E104" s="529">
        <v>0.03</v>
      </c>
      <c r="F104" s="529">
        <v>0.03</v>
      </c>
      <c r="G104" s="529">
        <v>0.03</v>
      </c>
      <c r="H104" s="529">
        <v>0.03</v>
      </c>
      <c r="I104" s="529">
        <v>0.03</v>
      </c>
      <c r="J104" s="529">
        <v>0.03</v>
      </c>
      <c r="K104" s="529">
        <v>0.03</v>
      </c>
      <c r="L104" s="529">
        <v>0.03</v>
      </c>
      <c r="M104" s="529">
        <v>0.03</v>
      </c>
      <c r="N104" s="529">
        <v>0.03</v>
      </c>
      <c r="O104" s="529">
        <v>0.03</v>
      </c>
      <c r="P104" s="529">
        <v>0.03</v>
      </c>
      <c r="Q104" s="529">
        <v>0.03</v>
      </c>
      <c r="R104" s="529">
        <v>0.03</v>
      </c>
      <c r="S104" s="529">
        <v>0.03</v>
      </c>
      <c r="T104" s="529">
        <v>0.03</v>
      </c>
      <c r="U104" s="529">
        <v>0.03</v>
      </c>
      <c r="V104" s="529">
        <v>0.03</v>
      </c>
      <c r="W104" s="529">
        <f>1-SUM(B104:V104)</f>
        <v>0.36999999999999966</v>
      </c>
      <c r="X104" s="526"/>
      <c r="Y104" s="526"/>
      <c r="AA104" s="18"/>
      <c r="AB104" s="18"/>
    </row>
    <row r="105" spans="1:39">
      <c r="A105" s="531" t="s">
        <v>289</v>
      </c>
      <c r="B105" s="529">
        <f t="shared" ref="B105:U105" si="42">100%/20</f>
        <v>0.05</v>
      </c>
      <c r="C105" s="529">
        <f t="shared" si="42"/>
        <v>0.05</v>
      </c>
      <c r="D105" s="529">
        <f t="shared" si="42"/>
        <v>0.05</v>
      </c>
      <c r="E105" s="529">
        <f t="shared" si="42"/>
        <v>0.05</v>
      </c>
      <c r="F105" s="529">
        <f t="shared" si="42"/>
        <v>0.05</v>
      </c>
      <c r="G105" s="529">
        <f t="shared" si="42"/>
        <v>0.05</v>
      </c>
      <c r="H105" s="529">
        <f t="shared" si="42"/>
        <v>0.05</v>
      </c>
      <c r="I105" s="529">
        <f t="shared" si="42"/>
        <v>0.05</v>
      </c>
      <c r="J105" s="529">
        <f t="shared" si="42"/>
        <v>0.05</v>
      </c>
      <c r="K105" s="529">
        <f t="shared" si="42"/>
        <v>0.05</v>
      </c>
      <c r="L105" s="529">
        <f t="shared" si="42"/>
        <v>0.05</v>
      </c>
      <c r="M105" s="529">
        <f t="shared" si="42"/>
        <v>0.05</v>
      </c>
      <c r="N105" s="529">
        <f t="shared" si="42"/>
        <v>0.05</v>
      </c>
      <c r="O105" s="529">
        <f t="shared" si="42"/>
        <v>0.05</v>
      </c>
      <c r="P105" s="529">
        <f t="shared" si="42"/>
        <v>0.05</v>
      </c>
      <c r="Q105" s="530">
        <f t="shared" si="42"/>
        <v>0.05</v>
      </c>
      <c r="R105" s="530">
        <f t="shared" si="42"/>
        <v>0.05</v>
      </c>
      <c r="S105" s="530">
        <f t="shared" si="42"/>
        <v>0.05</v>
      </c>
      <c r="T105" s="530">
        <f t="shared" si="42"/>
        <v>0.05</v>
      </c>
      <c r="U105" s="530">
        <f t="shared" si="42"/>
        <v>0.05</v>
      </c>
      <c r="V105" s="530">
        <v>0</v>
      </c>
      <c r="W105" s="530">
        <v>0</v>
      </c>
      <c r="X105" s="526"/>
      <c r="Y105" s="526"/>
      <c r="AA105" s="18"/>
      <c r="AB105" s="18"/>
    </row>
    <row r="106" spans="1:39">
      <c r="A106" s="531" t="s">
        <v>290</v>
      </c>
      <c r="B106" s="527">
        <f>CHOOSE($B$102,B104,B105)</f>
        <v>0.05</v>
      </c>
      <c r="C106" s="527">
        <f t="shared" ref="C106:W106" si="43">CHOOSE($B$102,C104,C105)</f>
        <v>0.05</v>
      </c>
      <c r="D106" s="527">
        <f t="shared" si="43"/>
        <v>0.05</v>
      </c>
      <c r="E106" s="527">
        <f t="shared" si="43"/>
        <v>0.05</v>
      </c>
      <c r="F106" s="527">
        <f t="shared" si="43"/>
        <v>0.05</v>
      </c>
      <c r="G106" s="527">
        <f t="shared" si="43"/>
        <v>0.05</v>
      </c>
      <c r="H106" s="527">
        <f t="shared" si="43"/>
        <v>0.05</v>
      </c>
      <c r="I106" s="527">
        <f t="shared" si="43"/>
        <v>0.05</v>
      </c>
      <c r="J106" s="527">
        <f t="shared" si="43"/>
        <v>0.05</v>
      </c>
      <c r="K106" s="527">
        <f t="shared" si="43"/>
        <v>0.05</v>
      </c>
      <c r="L106" s="527">
        <f t="shared" si="43"/>
        <v>0.05</v>
      </c>
      <c r="M106" s="527">
        <f t="shared" si="43"/>
        <v>0.05</v>
      </c>
      <c r="N106" s="527">
        <f t="shared" si="43"/>
        <v>0.05</v>
      </c>
      <c r="O106" s="527">
        <f t="shared" si="43"/>
        <v>0.05</v>
      </c>
      <c r="P106" s="527">
        <f t="shared" si="43"/>
        <v>0.05</v>
      </c>
      <c r="Q106" s="527">
        <f t="shared" si="43"/>
        <v>0.05</v>
      </c>
      <c r="R106" s="527">
        <f t="shared" si="43"/>
        <v>0.05</v>
      </c>
      <c r="S106" s="527">
        <f t="shared" si="43"/>
        <v>0.05</v>
      </c>
      <c r="T106" s="527">
        <f t="shared" si="43"/>
        <v>0.05</v>
      </c>
      <c r="U106" s="527">
        <f t="shared" si="43"/>
        <v>0.05</v>
      </c>
      <c r="V106" s="527">
        <f t="shared" si="43"/>
        <v>0</v>
      </c>
      <c r="W106" s="527">
        <f t="shared" si="43"/>
        <v>0</v>
      </c>
      <c r="X106" s="526"/>
      <c r="Y106" s="526"/>
      <c r="AA106" s="18"/>
      <c r="AB106" s="18"/>
    </row>
    <row r="107" spans="1:39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8"/>
      <c r="Y107" s="8"/>
      <c r="AA107" s="18"/>
      <c r="AB107" s="18"/>
    </row>
    <row r="108" spans="1:39">
      <c r="A108" s="342" t="s">
        <v>43</v>
      </c>
      <c r="B108" s="528"/>
      <c r="C108" s="528"/>
      <c r="D108" s="528"/>
      <c r="E108" s="528"/>
      <c r="F108" s="528"/>
      <c r="G108" s="528"/>
      <c r="H108" s="528"/>
      <c r="I108" s="528"/>
      <c r="J108" s="528"/>
      <c r="K108" s="528"/>
      <c r="L108" s="528"/>
      <c r="M108" s="528"/>
      <c r="N108" s="528"/>
      <c r="O108" s="528"/>
      <c r="P108" s="528"/>
      <c r="Q108" s="528"/>
      <c r="R108" s="528"/>
      <c r="S108" s="528"/>
      <c r="T108" s="528"/>
      <c r="U108" s="528"/>
      <c r="V108" s="528"/>
      <c r="W108" s="528"/>
      <c r="X108" s="526"/>
      <c r="Y108" s="526"/>
      <c r="AA108" s="18"/>
      <c r="AB108" s="18"/>
    </row>
    <row r="109" spans="1:39">
      <c r="A109" s="531" t="s">
        <v>93</v>
      </c>
      <c r="B109" s="529">
        <v>0.03</v>
      </c>
      <c r="C109" s="529">
        <v>0.03</v>
      </c>
      <c r="D109" s="529">
        <v>0.03</v>
      </c>
      <c r="E109" s="529">
        <v>0.03</v>
      </c>
      <c r="F109" s="529">
        <v>0.03</v>
      </c>
      <c r="G109" s="529">
        <v>0.03</v>
      </c>
      <c r="H109" s="529">
        <v>0.03</v>
      </c>
      <c r="I109" s="529">
        <v>0.03</v>
      </c>
      <c r="J109" s="529">
        <v>0.03</v>
      </c>
      <c r="K109" s="529">
        <v>0.03</v>
      </c>
      <c r="L109" s="529">
        <v>0.03</v>
      </c>
      <c r="M109" s="529">
        <v>0.03</v>
      </c>
      <c r="N109" s="529">
        <v>0.03</v>
      </c>
      <c r="O109" s="529">
        <v>0.03</v>
      </c>
      <c r="P109" s="529">
        <v>0.03</v>
      </c>
      <c r="Q109" s="529">
        <v>0.03</v>
      </c>
      <c r="R109" s="529">
        <v>0.03</v>
      </c>
      <c r="S109" s="529">
        <v>0.03</v>
      </c>
      <c r="T109" s="529">
        <v>0.03</v>
      </c>
      <c r="U109" s="529">
        <v>0.03</v>
      </c>
      <c r="V109" s="529">
        <v>0.03</v>
      </c>
      <c r="W109" s="529">
        <f>1-SUM(B109:V109)</f>
        <v>0.36999999999999966</v>
      </c>
      <c r="X109" s="526"/>
      <c r="Y109" s="526"/>
      <c r="AA109" s="18"/>
      <c r="AB109" s="18"/>
    </row>
    <row r="110" spans="1:39">
      <c r="A110" s="531" t="s">
        <v>289</v>
      </c>
      <c r="B110" s="529">
        <f t="shared" ref="B110:U110" si="44">100%/20</f>
        <v>0.05</v>
      </c>
      <c r="C110" s="529">
        <f t="shared" si="44"/>
        <v>0.05</v>
      </c>
      <c r="D110" s="529">
        <f t="shared" si="44"/>
        <v>0.05</v>
      </c>
      <c r="E110" s="529">
        <f t="shared" si="44"/>
        <v>0.05</v>
      </c>
      <c r="F110" s="529">
        <f t="shared" si="44"/>
        <v>0.05</v>
      </c>
      <c r="G110" s="529">
        <f t="shared" si="44"/>
        <v>0.05</v>
      </c>
      <c r="H110" s="529">
        <f t="shared" si="44"/>
        <v>0.05</v>
      </c>
      <c r="I110" s="529">
        <f t="shared" si="44"/>
        <v>0.05</v>
      </c>
      <c r="J110" s="529">
        <f t="shared" si="44"/>
        <v>0.05</v>
      </c>
      <c r="K110" s="529">
        <f t="shared" si="44"/>
        <v>0.05</v>
      </c>
      <c r="L110" s="529">
        <f t="shared" si="44"/>
        <v>0.05</v>
      </c>
      <c r="M110" s="529">
        <f t="shared" si="44"/>
        <v>0.05</v>
      </c>
      <c r="N110" s="529">
        <f t="shared" si="44"/>
        <v>0.05</v>
      </c>
      <c r="O110" s="529">
        <f t="shared" si="44"/>
        <v>0.05</v>
      </c>
      <c r="P110" s="529">
        <f t="shared" si="44"/>
        <v>0.05</v>
      </c>
      <c r="Q110" s="530">
        <f t="shared" si="44"/>
        <v>0.05</v>
      </c>
      <c r="R110" s="530">
        <f t="shared" si="44"/>
        <v>0.05</v>
      </c>
      <c r="S110" s="530">
        <f t="shared" si="44"/>
        <v>0.05</v>
      </c>
      <c r="T110" s="530">
        <f t="shared" si="44"/>
        <v>0.05</v>
      </c>
      <c r="U110" s="530">
        <f t="shared" si="44"/>
        <v>0.05</v>
      </c>
      <c r="V110" s="530">
        <v>0</v>
      </c>
      <c r="W110" s="530">
        <v>0</v>
      </c>
      <c r="X110" s="526"/>
      <c r="Y110" s="526"/>
      <c r="AA110" s="18"/>
      <c r="AB110" s="18"/>
    </row>
    <row r="111" spans="1:39">
      <c r="A111" s="531" t="s">
        <v>290</v>
      </c>
      <c r="B111" s="527">
        <f>CHOOSE($B$102,B109,B110)</f>
        <v>0.05</v>
      </c>
      <c r="C111" s="527">
        <f t="shared" ref="C111:W111" si="45">CHOOSE($B$102,C109,C110)</f>
        <v>0.05</v>
      </c>
      <c r="D111" s="527">
        <f t="shared" si="45"/>
        <v>0.05</v>
      </c>
      <c r="E111" s="527">
        <f t="shared" si="45"/>
        <v>0.05</v>
      </c>
      <c r="F111" s="527">
        <f t="shared" si="45"/>
        <v>0.05</v>
      </c>
      <c r="G111" s="527">
        <f t="shared" si="45"/>
        <v>0.05</v>
      </c>
      <c r="H111" s="527">
        <f t="shared" si="45"/>
        <v>0.05</v>
      </c>
      <c r="I111" s="527">
        <f t="shared" si="45"/>
        <v>0.05</v>
      </c>
      <c r="J111" s="527">
        <f t="shared" si="45"/>
        <v>0.05</v>
      </c>
      <c r="K111" s="527">
        <f t="shared" si="45"/>
        <v>0.05</v>
      </c>
      <c r="L111" s="527">
        <f t="shared" si="45"/>
        <v>0.05</v>
      </c>
      <c r="M111" s="527">
        <f t="shared" si="45"/>
        <v>0.05</v>
      </c>
      <c r="N111" s="527">
        <f t="shared" si="45"/>
        <v>0.05</v>
      </c>
      <c r="O111" s="527">
        <f t="shared" si="45"/>
        <v>0.05</v>
      </c>
      <c r="P111" s="527">
        <f t="shared" si="45"/>
        <v>0.05</v>
      </c>
      <c r="Q111" s="527">
        <f t="shared" si="45"/>
        <v>0.05</v>
      </c>
      <c r="R111" s="527">
        <f t="shared" si="45"/>
        <v>0.05</v>
      </c>
      <c r="S111" s="527">
        <f t="shared" si="45"/>
        <v>0.05</v>
      </c>
      <c r="T111" s="527">
        <f t="shared" si="45"/>
        <v>0.05</v>
      </c>
      <c r="U111" s="527">
        <f t="shared" si="45"/>
        <v>0.05</v>
      </c>
      <c r="V111" s="527">
        <f t="shared" si="45"/>
        <v>0</v>
      </c>
      <c r="W111" s="527">
        <f t="shared" si="45"/>
        <v>0</v>
      </c>
      <c r="X111" s="526"/>
      <c r="Y111" s="526"/>
      <c r="AA111" s="18"/>
      <c r="AB111" s="18"/>
    </row>
    <row r="112" spans="1:39"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8"/>
      <c r="Y112" s="8"/>
      <c r="AA112" s="18"/>
      <c r="AB112" s="18"/>
    </row>
    <row r="113" spans="1:48">
      <c r="A113" s="342" t="s">
        <v>44</v>
      </c>
      <c r="B113" s="528"/>
      <c r="C113" s="528"/>
      <c r="D113" s="528"/>
      <c r="E113" s="528"/>
      <c r="F113" s="528"/>
      <c r="G113" s="528"/>
      <c r="H113" s="528"/>
      <c r="I113" s="528"/>
      <c r="J113" s="528"/>
      <c r="K113" s="528"/>
      <c r="L113" s="528"/>
      <c r="M113" s="528"/>
      <c r="N113" s="528"/>
      <c r="O113" s="528"/>
      <c r="P113" s="528"/>
      <c r="Q113" s="528"/>
      <c r="R113" s="528"/>
      <c r="S113" s="528"/>
      <c r="T113" s="528"/>
      <c r="U113" s="528"/>
      <c r="V113" s="528"/>
      <c r="W113" s="528"/>
      <c r="X113" s="526"/>
      <c r="Y113" s="526"/>
      <c r="AA113" s="18"/>
      <c r="AB113" s="18"/>
    </row>
    <row r="114" spans="1:48">
      <c r="A114" s="531" t="s">
        <v>93</v>
      </c>
      <c r="B114" s="529">
        <v>0.03</v>
      </c>
      <c r="C114" s="529">
        <v>0.03</v>
      </c>
      <c r="D114" s="529">
        <v>0.03</v>
      </c>
      <c r="E114" s="529">
        <v>0.03</v>
      </c>
      <c r="F114" s="529">
        <v>0.03</v>
      </c>
      <c r="G114" s="529">
        <v>0.03</v>
      </c>
      <c r="H114" s="529">
        <v>0.03</v>
      </c>
      <c r="I114" s="529">
        <v>0.03</v>
      </c>
      <c r="J114" s="529">
        <v>0.03</v>
      </c>
      <c r="K114" s="529">
        <v>0.03</v>
      </c>
      <c r="L114" s="529">
        <v>0.03</v>
      </c>
      <c r="M114" s="529">
        <v>0.03</v>
      </c>
      <c r="N114" s="529">
        <v>0.03</v>
      </c>
      <c r="O114" s="529">
        <v>0.03</v>
      </c>
      <c r="P114" s="529">
        <v>0.03</v>
      </c>
      <c r="Q114" s="529">
        <v>0.03</v>
      </c>
      <c r="R114" s="529">
        <v>0.03</v>
      </c>
      <c r="S114" s="529">
        <v>0.03</v>
      </c>
      <c r="T114" s="529">
        <v>0.03</v>
      </c>
      <c r="U114" s="529">
        <v>0.03</v>
      </c>
      <c r="V114" s="529">
        <v>0.03</v>
      </c>
      <c r="W114" s="529">
        <f>1-SUM(B114:V114)</f>
        <v>0.36999999999999966</v>
      </c>
      <c r="X114" s="526"/>
      <c r="Y114" s="526"/>
      <c r="AA114" s="18"/>
      <c r="AB114" s="18"/>
    </row>
    <row r="115" spans="1:48">
      <c r="A115" s="531" t="s">
        <v>289</v>
      </c>
      <c r="B115" s="529">
        <f t="shared" ref="B115:U115" si="46">100%/20</f>
        <v>0.05</v>
      </c>
      <c r="C115" s="529">
        <f t="shared" si="46"/>
        <v>0.05</v>
      </c>
      <c r="D115" s="529">
        <f t="shared" si="46"/>
        <v>0.05</v>
      </c>
      <c r="E115" s="529">
        <f t="shared" si="46"/>
        <v>0.05</v>
      </c>
      <c r="F115" s="529">
        <f t="shared" si="46"/>
        <v>0.05</v>
      </c>
      <c r="G115" s="529">
        <f t="shared" si="46"/>
        <v>0.05</v>
      </c>
      <c r="H115" s="529">
        <f t="shared" si="46"/>
        <v>0.05</v>
      </c>
      <c r="I115" s="529">
        <f t="shared" si="46"/>
        <v>0.05</v>
      </c>
      <c r="J115" s="529">
        <f t="shared" si="46"/>
        <v>0.05</v>
      </c>
      <c r="K115" s="529">
        <f t="shared" si="46"/>
        <v>0.05</v>
      </c>
      <c r="L115" s="529">
        <f t="shared" si="46"/>
        <v>0.05</v>
      </c>
      <c r="M115" s="529">
        <f t="shared" si="46"/>
        <v>0.05</v>
      </c>
      <c r="N115" s="529">
        <f t="shared" si="46"/>
        <v>0.05</v>
      </c>
      <c r="O115" s="529">
        <f t="shared" si="46"/>
        <v>0.05</v>
      </c>
      <c r="P115" s="529">
        <f t="shared" si="46"/>
        <v>0.05</v>
      </c>
      <c r="Q115" s="530">
        <f t="shared" si="46"/>
        <v>0.05</v>
      </c>
      <c r="R115" s="530">
        <f t="shared" si="46"/>
        <v>0.05</v>
      </c>
      <c r="S115" s="530">
        <f t="shared" si="46"/>
        <v>0.05</v>
      </c>
      <c r="T115" s="530">
        <f t="shared" si="46"/>
        <v>0.05</v>
      </c>
      <c r="U115" s="530">
        <f t="shared" si="46"/>
        <v>0.05</v>
      </c>
      <c r="V115" s="530">
        <v>0</v>
      </c>
      <c r="W115" s="530">
        <v>0</v>
      </c>
      <c r="X115" s="526"/>
      <c r="Y115" s="526"/>
      <c r="AA115" s="18"/>
      <c r="AB115" s="18"/>
    </row>
    <row r="116" spans="1:48">
      <c r="A116" s="531" t="s">
        <v>290</v>
      </c>
      <c r="B116" s="527">
        <f>CHOOSE($B$102,B114,B115)</f>
        <v>0.05</v>
      </c>
      <c r="C116" s="527">
        <f t="shared" ref="C116:W116" si="47">CHOOSE($B$102,C114,C115)</f>
        <v>0.05</v>
      </c>
      <c r="D116" s="527">
        <f t="shared" si="47"/>
        <v>0.05</v>
      </c>
      <c r="E116" s="527">
        <f t="shared" si="47"/>
        <v>0.05</v>
      </c>
      <c r="F116" s="527">
        <f t="shared" si="47"/>
        <v>0.05</v>
      </c>
      <c r="G116" s="527">
        <f t="shared" si="47"/>
        <v>0.05</v>
      </c>
      <c r="H116" s="527">
        <f t="shared" si="47"/>
        <v>0.05</v>
      </c>
      <c r="I116" s="527">
        <f t="shared" si="47"/>
        <v>0.05</v>
      </c>
      <c r="J116" s="527">
        <f t="shared" si="47"/>
        <v>0.05</v>
      </c>
      <c r="K116" s="527">
        <f t="shared" si="47"/>
        <v>0.05</v>
      </c>
      <c r="L116" s="527">
        <f t="shared" si="47"/>
        <v>0.05</v>
      </c>
      <c r="M116" s="527">
        <f t="shared" si="47"/>
        <v>0.05</v>
      </c>
      <c r="N116" s="527">
        <f t="shared" si="47"/>
        <v>0.05</v>
      </c>
      <c r="O116" s="527">
        <f t="shared" si="47"/>
        <v>0.05</v>
      </c>
      <c r="P116" s="527">
        <f t="shared" si="47"/>
        <v>0.05</v>
      </c>
      <c r="Q116" s="527">
        <f t="shared" si="47"/>
        <v>0.05</v>
      </c>
      <c r="R116" s="527">
        <f t="shared" si="47"/>
        <v>0.05</v>
      </c>
      <c r="S116" s="527">
        <f t="shared" si="47"/>
        <v>0.05</v>
      </c>
      <c r="T116" s="527">
        <f t="shared" si="47"/>
        <v>0.05</v>
      </c>
      <c r="U116" s="527">
        <f t="shared" si="47"/>
        <v>0.05</v>
      </c>
      <c r="V116" s="527">
        <f t="shared" si="47"/>
        <v>0</v>
      </c>
      <c r="W116" s="527">
        <f t="shared" si="47"/>
        <v>0</v>
      </c>
      <c r="X116" s="526"/>
      <c r="Y116" s="526"/>
      <c r="AA116" s="18"/>
      <c r="AB116" s="18"/>
    </row>
    <row r="117" spans="1:48">
      <c r="X117" s="8"/>
      <c r="Y117" s="8"/>
      <c r="AA117" s="18"/>
      <c r="AB117" s="18"/>
    </row>
    <row r="118" spans="1:48">
      <c r="X118" s="8"/>
      <c r="Y118" s="8"/>
      <c r="AA118" s="18"/>
      <c r="AB118" s="18"/>
    </row>
    <row r="119" spans="1:48"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29"/>
      <c r="P119" s="429"/>
      <c r="Q119" s="429"/>
      <c r="R119" s="429"/>
      <c r="S119" s="429"/>
      <c r="T119" s="429"/>
      <c r="U119" s="429"/>
      <c r="V119" s="429"/>
      <c r="W119" s="429"/>
      <c r="X119" s="429"/>
      <c r="Y119" s="429"/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L119" s="429"/>
      <c r="AM119" s="429"/>
      <c r="AN119" s="429"/>
      <c r="AO119" s="429"/>
      <c r="AP119" s="429"/>
      <c r="AQ119" s="429"/>
      <c r="AR119" s="429"/>
      <c r="AS119" s="429"/>
      <c r="AT119" s="429"/>
      <c r="AU119" s="429"/>
      <c r="AV119" s="429"/>
    </row>
    <row r="120" spans="1:48">
      <c r="A120" s="17" t="s">
        <v>292</v>
      </c>
      <c r="B120" s="162">
        <v>0</v>
      </c>
      <c r="C120" s="162">
        <v>1</v>
      </c>
      <c r="D120" s="162">
        <v>2</v>
      </c>
      <c r="E120" s="162">
        <v>3</v>
      </c>
      <c r="F120" s="162">
        <v>4</v>
      </c>
      <c r="G120" s="162">
        <v>5</v>
      </c>
      <c r="H120" s="162">
        <v>6</v>
      </c>
      <c r="I120" s="162">
        <v>7</v>
      </c>
      <c r="J120" s="162">
        <v>8</v>
      </c>
      <c r="K120" s="162">
        <v>9</v>
      </c>
      <c r="L120" s="162">
        <v>10</v>
      </c>
      <c r="M120" s="162">
        <v>11</v>
      </c>
      <c r="N120" s="162">
        <v>12</v>
      </c>
      <c r="O120" s="162">
        <v>13</v>
      </c>
      <c r="P120" s="162">
        <v>14</v>
      </c>
      <c r="Q120" s="162">
        <v>15</v>
      </c>
      <c r="R120" s="162">
        <v>16</v>
      </c>
      <c r="S120" s="162">
        <v>17</v>
      </c>
      <c r="T120" s="162">
        <v>18</v>
      </c>
      <c r="U120" s="162">
        <v>19</v>
      </c>
      <c r="V120" s="162">
        <v>20</v>
      </c>
      <c r="W120" s="162">
        <v>21</v>
      </c>
      <c r="X120" s="532"/>
      <c r="Y120" s="532"/>
      <c r="Z120" s="532"/>
      <c r="AA120" s="532"/>
      <c r="AB120" s="532"/>
      <c r="AC120" s="532"/>
      <c r="AD120" s="532"/>
      <c r="AE120" s="532"/>
      <c r="AF120" s="532"/>
      <c r="AG120" s="532"/>
      <c r="AH120" s="532"/>
      <c r="AI120" s="532"/>
      <c r="AJ120" s="532"/>
      <c r="AK120" s="532"/>
      <c r="AL120" s="532"/>
      <c r="AM120" s="532"/>
      <c r="AN120" s="532"/>
      <c r="AO120" s="532"/>
      <c r="AP120" s="532"/>
      <c r="AQ120" s="532"/>
    </row>
    <row r="121" spans="1:48">
      <c r="B121" s="162">
        <v>0.5</v>
      </c>
      <c r="C121" s="162">
        <v>1.5</v>
      </c>
      <c r="D121" s="162">
        <v>2.5</v>
      </c>
      <c r="E121" s="162">
        <v>3.5</v>
      </c>
      <c r="F121" s="162">
        <v>4.5</v>
      </c>
      <c r="G121" s="162">
        <v>5.5</v>
      </c>
      <c r="H121" s="162">
        <v>6.5</v>
      </c>
      <c r="I121" s="162">
        <v>7.5</v>
      </c>
      <c r="J121" s="162">
        <v>8.5</v>
      </c>
      <c r="K121" s="162">
        <v>9.5</v>
      </c>
      <c r="L121" s="162">
        <v>10.5</v>
      </c>
      <c r="M121" s="162">
        <v>11.5</v>
      </c>
      <c r="N121" s="162">
        <v>12.5</v>
      </c>
      <c r="O121" s="162">
        <v>13.5</v>
      </c>
      <c r="P121" s="162">
        <v>14.5</v>
      </c>
      <c r="Q121" s="162">
        <v>15.5</v>
      </c>
      <c r="R121" s="162">
        <v>16.5</v>
      </c>
      <c r="S121" s="162">
        <v>17.5</v>
      </c>
      <c r="T121" s="162">
        <v>18.5</v>
      </c>
      <c r="U121" s="162">
        <v>19.5</v>
      </c>
      <c r="V121" s="162">
        <v>20.5</v>
      </c>
      <c r="W121" s="162">
        <v>21.5</v>
      </c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  <c r="AN121" s="162"/>
      <c r="AO121" s="74"/>
      <c r="AP121" s="74"/>
    </row>
    <row r="122" spans="1:48">
      <c r="A122" s="17" t="s">
        <v>202</v>
      </c>
      <c r="B122" s="533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</row>
    <row r="123" spans="1:48">
      <c r="A123" t="s">
        <v>42</v>
      </c>
      <c r="B123" s="535">
        <f>(SUMPRODUCT(B120:W120,B32:W32)+SUMPRODUCT(B121:W121,B37:W37))/B31</f>
        <v>9.7624999999999993</v>
      </c>
      <c r="C123"/>
      <c r="D123"/>
      <c r="E123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177"/>
      <c r="AB123" s="177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</row>
    <row r="124" spans="1:48">
      <c r="A124" t="s">
        <v>43</v>
      </c>
      <c r="B124" s="535">
        <f>(SUMPRODUCT(B49:W49,B120:W120)+SUMPRODUCT(B121:W121,B54:W54))/B48</f>
        <v>9.7624999999999993</v>
      </c>
      <c r="C124"/>
      <c r="D124"/>
      <c r="E124"/>
    </row>
    <row r="125" spans="1:48">
      <c r="A125" t="s">
        <v>44</v>
      </c>
      <c r="B125" s="535">
        <f>(SUMPRODUCT(B120:W120,B66:W66)+SUMPRODUCT(B121:W121,B71:W71))/B65</f>
        <v>9.7624999999999993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404"/>
      <c r="G132" s="404"/>
      <c r="H132" s="404"/>
      <c r="I132" s="404"/>
      <c r="J132" s="404"/>
      <c r="K132" s="404"/>
      <c r="L132" s="404"/>
      <c r="M132" s="404"/>
      <c r="N132" s="404"/>
      <c r="O132" s="404"/>
      <c r="P132" s="404"/>
      <c r="Q132" s="404"/>
      <c r="R132" s="404"/>
      <c r="S132" s="404"/>
      <c r="T132" s="404"/>
      <c r="U132" s="404"/>
      <c r="V132" s="40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18" right="0.17" top="0.37" bottom="0.4" header="0.17" footer="0.21"/>
  <pageSetup scale="35" orientation="landscape" r:id="rId1"/>
  <headerFooter alignWithMargins="0">
    <oddFooter>&amp;L&amp;T, &amp;D&amp;C&amp;F&amp;RPage &amp;P</oddFooter>
  </headerFooter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>
      <selection activeCell="E18" sqref="E18"/>
    </sheetView>
  </sheetViews>
  <sheetFormatPr defaultRowHeight="12.75"/>
  <cols>
    <col min="1" max="1" width="55.7109375" style="18" customWidth="1"/>
    <col min="2" max="2" width="9.7109375" style="18" customWidth="1"/>
    <col min="3" max="4" width="9" style="35" customWidth="1"/>
    <col min="5" max="5" width="14.85546875" style="18" customWidth="1"/>
    <col min="6" max="6" width="14.140625" style="18" customWidth="1"/>
    <col min="7" max="7" width="11.140625" style="18" customWidth="1"/>
    <col min="8" max="10" width="11.5703125" style="18" customWidth="1"/>
    <col min="11" max="11" width="11.28515625" style="18" customWidth="1"/>
    <col min="12" max="12" width="11.5703125" style="18" customWidth="1"/>
    <col min="13" max="13" width="11.28515625" style="18" customWidth="1"/>
    <col min="14" max="15" width="11.5703125" style="18" customWidth="1"/>
    <col min="16" max="16" width="11.140625" style="18" customWidth="1"/>
    <col min="17" max="17" width="10.5703125" style="18" customWidth="1"/>
    <col min="18" max="20" width="11.140625" style="18" customWidth="1"/>
    <col min="21" max="21" width="10.85546875" style="18" customWidth="1"/>
    <col min="22" max="22" width="11.140625" style="18" customWidth="1"/>
    <col min="23" max="23" width="10.85546875" style="18" customWidth="1"/>
    <col min="24" max="25" width="11.140625" style="18" customWidth="1"/>
    <col min="26" max="27" width="11.5703125" style="18" customWidth="1"/>
    <col min="28" max="28" width="12.140625" style="18" customWidth="1"/>
    <col min="29" max="29" width="11.7109375" style="18" customWidth="1"/>
    <col min="30" max="16384" width="9.140625" style="18"/>
  </cols>
  <sheetData>
    <row r="2" spans="1:29" ht="21" customHeight="1">
      <c r="A2" s="163" t="str">
        <f>Assumptions!A3</f>
        <v>PROJECT NAME:</v>
      </c>
    </row>
    <row r="4" spans="1:29" ht="18.75">
      <c r="A4" s="107" t="s">
        <v>285</v>
      </c>
    </row>
    <row r="5" spans="1:29">
      <c r="E5" s="18">
        <v>0</v>
      </c>
      <c r="F5" s="18">
        <v>1</v>
      </c>
      <c r="G5" s="18">
        <v>2</v>
      </c>
      <c r="H5" s="18">
        <v>3</v>
      </c>
      <c r="I5" s="18">
        <v>4</v>
      </c>
      <c r="J5" s="18">
        <v>5</v>
      </c>
      <c r="K5" s="18">
        <v>6</v>
      </c>
      <c r="L5" s="18">
        <v>7</v>
      </c>
      <c r="M5" s="18">
        <v>8</v>
      </c>
      <c r="N5" s="18">
        <v>9</v>
      </c>
      <c r="O5" s="18">
        <v>10</v>
      </c>
      <c r="P5" s="18">
        <v>11</v>
      </c>
      <c r="Q5" s="18">
        <v>12</v>
      </c>
      <c r="R5" s="18">
        <v>13</v>
      </c>
      <c r="S5" s="18">
        <v>14</v>
      </c>
      <c r="T5" s="18">
        <v>15</v>
      </c>
      <c r="U5" s="18">
        <v>16</v>
      </c>
      <c r="V5" s="18">
        <v>17</v>
      </c>
      <c r="W5" s="18">
        <v>18</v>
      </c>
      <c r="X5" s="18">
        <v>19</v>
      </c>
      <c r="Y5" s="18">
        <v>20</v>
      </c>
      <c r="Z5" s="18">
        <v>21</v>
      </c>
      <c r="AA5" s="433"/>
    </row>
    <row r="6" spans="1:29">
      <c r="E6" s="433"/>
      <c r="F6" s="433"/>
      <c r="G6" s="433"/>
      <c r="H6" s="433"/>
      <c r="I6" s="433"/>
      <c r="J6" s="433"/>
      <c r="K6" s="433"/>
      <c r="L6" s="433"/>
      <c r="M6" s="433"/>
      <c r="N6" s="433"/>
      <c r="O6" s="433"/>
      <c r="P6" s="433"/>
      <c r="Q6" s="433"/>
      <c r="R6" s="433"/>
      <c r="S6" s="433"/>
      <c r="T6" s="433"/>
      <c r="U6" s="433"/>
      <c r="V6" s="433"/>
      <c r="W6" s="433"/>
      <c r="X6" s="433"/>
      <c r="Y6" s="433"/>
      <c r="Z6" s="433"/>
      <c r="AA6" s="433"/>
    </row>
    <row r="7" spans="1:29" s="36" customFormat="1" ht="13.5" thickBot="1">
      <c r="A7" s="266" t="s">
        <v>94</v>
      </c>
      <c r="B7" s="364"/>
      <c r="C7" s="364"/>
      <c r="D7" s="364"/>
      <c r="E7" s="9">
        <f>'Power Price Assumption'!F10</f>
        <v>2000</v>
      </c>
      <c r="F7" s="9">
        <f>'Power Price Assumption'!G10</f>
        <v>2001</v>
      </c>
      <c r="G7" s="9">
        <f>'Power Price Assumption'!H10</f>
        <v>2002</v>
      </c>
      <c r="H7" s="9">
        <f>'Power Price Assumption'!I10</f>
        <v>2003</v>
      </c>
      <c r="I7" s="9">
        <f>'Power Price Assumption'!J10</f>
        <v>2004</v>
      </c>
      <c r="J7" s="9">
        <f>'Power Price Assumption'!K10</f>
        <v>2005</v>
      </c>
      <c r="K7" s="9">
        <f>'Power Price Assumption'!L10</f>
        <v>2006</v>
      </c>
      <c r="L7" s="9">
        <f>'Power Price Assumption'!M10</f>
        <v>2007</v>
      </c>
      <c r="M7" s="9">
        <f>'Power Price Assumption'!N10</f>
        <v>2008</v>
      </c>
      <c r="N7" s="9">
        <f>'Power Price Assumption'!O10</f>
        <v>2009</v>
      </c>
      <c r="O7" s="9">
        <f>'Power Price Assumption'!P10</f>
        <v>2010</v>
      </c>
      <c r="P7" s="9">
        <f>'Power Price Assumption'!Q10</f>
        <v>2011</v>
      </c>
      <c r="Q7" s="9">
        <f>'Power Price Assumption'!R10</f>
        <v>2012</v>
      </c>
      <c r="R7" s="9">
        <f>'Power Price Assumption'!S10</f>
        <v>2013</v>
      </c>
      <c r="S7" s="9">
        <f>'Power Price Assumption'!T10</f>
        <v>2014</v>
      </c>
      <c r="T7" s="9">
        <f>'Power Price Assumption'!U10</f>
        <v>2015</v>
      </c>
      <c r="U7" s="9">
        <f>'Power Price Assumption'!V10</f>
        <v>2016</v>
      </c>
      <c r="V7" s="9">
        <f>'Power Price Assumption'!W10</f>
        <v>2017</v>
      </c>
      <c r="W7" s="9">
        <f>'Power Price Assumption'!X10</f>
        <v>2018</v>
      </c>
      <c r="X7" s="9">
        <f>'Power Price Assumption'!Y10</f>
        <v>2019</v>
      </c>
      <c r="Y7" s="9">
        <f>'Power Price Assumption'!Z10</f>
        <v>2020</v>
      </c>
      <c r="Z7" s="9">
        <f>'Power Price Assumption'!AA10</f>
        <v>2021</v>
      </c>
      <c r="AA7" s="11"/>
    </row>
    <row r="8" spans="1:29" s="36" customFormat="1">
      <c r="A8" s="37" t="s">
        <v>258</v>
      </c>
      <c r="B8" s="37"/>
      <c r="C8" s="35"/>
      <c r="D8" s="35"/>
      <c r="E8" s="19">
        <f>Assumptions!L66</f>
        <v>8</v>
      </c>
      <c r="F8" s="19">
        <v>12</v>
      </c>
      <c r="G8" s="19">
        <v>12</v>
      </c>
      <c r="H8" s="19">
        <v>12</v>
      </c>
      <c r="I8" s="19">
        <v>12</v>
      </c>
      <c r="J8" s="19">
        <v>12</v>
      </c>
      <c r="K8" s="19">
        <v>12</v>
      </c>
      <c r="L8" s="19">
        <v>12</v>
      </c>
      <c r="M8" s="19">
        <v>12</v>
      </c>
      <c r="N8" s="19">
        <v>12</v>
      </c>
      <c r="O8" s="19">
        <v>12</v>
      </c>
      <c r="P8" s="19">
        <v>12</v>
      </c>
      <c r="Q8" s="19">
        <v>12</v>
      </c>
      <c r="R8" s="19">
        <v>12</v>
      </c>
      <c r="S8" s="19">
        <v>12</v>
      </c>
      <c r="T8" s="19">
        <v>12</v>
      </c>
      <c r="U8" s="19">
        <v>12</v>
      </c>
      <c r="V8" s="19">
        <v>12</v>
      </c>
      <c r="W8" s="19">
        <v>12</v>
      </c>
      <c r="X8" s="19">
        <v>12</v>
      </c>
      <c r="Y8" s="19">
        <v>12</v>
      </c>
      <c r="Z8" s="38">
        <v>12</v>
      </c>
      <c r="AA8" s="38"/>
      <c r="AB8"/>
      <c r="AC8"/>
    </row>
    <row r="9" spans="1:29" s="36" customFormat="1">
      <c r="A9" s="37"/>
      <c r="B9" s="37"/>
      <c r="C9" s="35"/>
      <c r="D9" s="35"/>
      <c r="E9" s="19"/>
      <c r="F9" s="19"/>
      <c r="G9" s="19"/>
      <c r="H9" s="19"/>
      <c r="I9" s="19"/>
      <c r="AB9"/>
      <c r="AC9"/>
    </row>
    <row r="10" spans="1:29" ht="15.75">
      <c r="A10" s="39"/>
      <c r="AB10"/>
      <c r="AC10"/>
    </row>
    <row r="11" spans="1:29" s="16" customFormat="1">
      <c r="A11" s="40" t="s">
        <v>151</v>
      </c>
      <c r="B11" s="18"/>
      <c r="C11" s="41"/>
      <c r="D11" s="4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/>
      <c r="AC11"/>
    </row>
    <row r="12" spans="1:29" s="16" customFormat="1">
      <c r="A12" s="18"/>
      <c r="B12" s="42" t="s">
        <v>152</v>
      </c>
      <c r="C12" s="35"/>
      <c r="D12" s="35"/>
      <c r="E12" s="46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18"/>
      <c r="U12" s="18"/>
      <c r="V12" s="18"/>
      <c r="W12" s="18"/>
      <c r="X12" s="18"/>
      <c r="Y12" s="18"/>
      <c r="Z12" s="18"/>
      <c r="AA12" s="18"/>
      <c r="AB12"/>
      <c r="AC12"/>
    </row>
    <row r="13" spans="1:29" s="16" customFormat="1">
      <c r="A13" s="30" t="s">
        <v>153</v>
      </c>
      <c r="B13" s="44">
        <f>Assumptions!$C$47</f>
        <v>15</v>
      </c>
      <c r="C13" s="45"/>
      <c r="D13" s="45"/>
      <c r="E13" s="536">
        <v>0.05</v>
      </c>
      <c r="F13" s="536">
        <v>9.5000000000000001E-2</v>
      </c>
      <c r="G13" s="536">
        <v>8.5500000000000007E-2</v>
      </c>
      <c r="H13" s="536">
        <v>7.6999999999999999E-2</v>
      </c>
      <c r="I13" s="536">
        <v>6.93E-2</v>
      </c>
      <c r="J13" s="536">
        <v>6.2300000000000001E-2</v>
      </c>
      <c r="K13" s="536">
        <v>5.8999999999999997E-2</v>
      </c>
      <c r="L13" s="536">
        <v>5.91E-2</v>
      </c>
      <c r="M13" s="536">
        <v>5.8999999999999997E-2</v>
      </c>
      <c r="N13" s="536">
        <v>5.91E-2</v>
      </c>
      <c r="O13" s="536">
        <v>5.8999999999999997E-2</v>
      </c>
      <c r="P13" s="536">
        <v>5.91E-2</v>
      </c>
      <c r="Q13" s="536">
        <v>5.8999999999999997E-2</v>
      </c>
      <c r="R13" s="536">
        <v>5.91E-2</v>
      </c>
      <c r="S13" s="536">
        <v>5.8999999999999997E-2</v>
      </c>
      <c r="T13" s="536">
        <v>2.9499999999999998E-2</v>
      </c>
      <c r="U13" s="536">
        <v>0</v>
      </c>
      <c r="V13" s="536">
        <v>0</v>
      </c>
      <c r="W13" s="536">
        <v>0</v>
      </c>
      <c r="X13" s="536">
        <v>0</v>
      </c>
      <c r="Y13" s="536">
        <v>0</v>
      </c>
      <c r="Z13" s="536">
        <v>0</v>
      </c>
      <c r="AA13" s="46"/>
      <c r="AB13"/>
      <c r="AC13"/>
    </row>
    <row r="14" spans="1:29" s="128" customFormat="1">
      <c r="A14" s="31" t="s">
        <v>154</v>
      </c>
      <c r="B14" s="125">
        <f>Assumptions!$C$48</f>
        <v>20</v>
      </c>
      <c r="C14" s="126"/>
      <c r="D14" s="126"/>
      <c r="E14" s="536">
        <f>1/Assumptions!$C$48*E8/12</f>
        <v>3.3333333333333333E-2</v>
      </c>
      <c r="F14" s="536">
        <f>IF(F5=Assumptions!$C$48,1/Assumptions!$C$48-Depreciation!$E$14,IF(F5&lt;Assumptions!$C$48,1/Assumptions!$C$48,0))</f>
        <v>0.05</v>
      </c>
      <c r="G14" s="536">
        <f>IF(G5=Assumptions!$C$48,1/Assumptions!$C$48-Depreciation!$E$14,IF(G5&lt;Assumptions!$C$48,1/Assumptions!$C$48,0))</f>
        <v>0.05</v>
      </c>
      <c r="H14" s="536">
        <f>IF(H5=Assumptions!$C$48,1/Assumptions!$C$48-Depreciation!$E$14,IF(H5&lt;Assumptions!$C$48,1/Assumptions!$C$48,0))</f>
        <v>0.05</v>
      </c>
      <c r="I14" s="536">
        <f>IF(I5=Assumptions!$C$48,1/Assumptions!$C$48-Depreciation!$E$14,IF(I5&lt;Assumptions!$C$48,1/Assumptions!$C$48,0))</f>
        <v>0.05</v>
      </c>
      <c r="J14" s="536">
        <f>IF(J5=Assumptions!$C$48,1/Assumptions!$C$48-Depreciation!$E$14,IF(J5&lt;Assumptions!$C$48,1/Assumptions!$C$48,0))</f>
        <v>0.05</v>
      </c>
      <c r="K14" s="536">
        <f>IF(K5=Assumptions!$C$48,1/Assumptions!$C$48-Depreciation!$E$14,IF(K5&lt;Assumptions!$C$48,1/Assumptions!$C$48,0))</f>
        <v>0.05</v>
      </c>
      <c r="L14" s="536">
        <f>IF(L5=Assumptions!$C$48,1/Assumptions!$C$48-Depreciation!$E$14,IF(L5&lt;Assumptions!$C$48,1/Assumptions!$C$48,0))</f>
        <v>0.05</v>
      </c>
      <c r="M14" s="536">
        <f>IF(M5=Assumptions!$C$48,1/Assumptions!$C$48-Depreciation!$E$14,IF(M5&lt;Assumptions!$C$48,1/Assumptions!$C$48,0))</f>
        <v>0.05</v>
      </c>
      <c r="N14" s="536">
        <f>IF(N5=Assumptions!$C$48,1/Assumptions!$C$48-Depreciation!$E$14,IF(N5&lt;Assumptions!$C$48,1/Assumptions!$C$48,0))</f>
        <v>0.05</v>
      </c>
      <c r="O14" s="536">
        <f>IF(O5=Assumptions!$C$48,1/Assumptions!$C$48-Depreciation!$E$14,IF(O5&lt;Assumptions!$C$48,1/Assumptions!$C$48,0))</f>
        <v>0.05</v>
      </c>
      <c r="P14" s="536">
        <f>IF(P5=Assumptions!$C$48,1/Assumptions!$C$48-Depreciation!$E$14,IF(P5&lt;Assumptions!$C$48,1/Assumptions!$C$48,0))</f>
        <v>0.05</v>
      </c>
      <c r="Q14" s="536">
        <f>IF(Q5=Assumptions!$C$48,1/Assumptions!$C$48-Depreciation!$E$14,IF(Q5&lt;Assumptions!$C$48,1/Assumptions!$C$48,0))</f>
        <v>0.05</v>
      </c>
      <c r="R14" s="536">
        <f>IF(R5=Assumptions!$C$48,1/Assumptions!$C$48-Depreciation!$E$14,IF(R5&lt;Assumptions!$C$48,1/Assumptions!$C$48,0))</f>
        <v>0.05</v>
      </c>
      <c r="S14" s="536">
        <f>IF(S5=Assumptions!$C$48,1/Assumptions!$C$48-Depreciation!$E$14,IF(S5&lt;Assumptions!$C$48,1/Assumptions!$C$48,0))</f>
        <v>0.05</v>
      </c>
      <c r="T14" s="536">
        <f>IF(T5=Assumptions!$C$48,1/Assumptions!$C$48-Depreciation!$E$14,IF(T5&lt;Assumptions!$C$48,1/Assumptions!$C$48,0))</f>
        <v>0.05</v>
      </c>
      <c r="U14" s="536">
        <f>IF(U5=Assumptions!$C$48,1/Assumptions!$C$48-Depreciation!$E$14,IF(U5&lt;Assumptions!$C$48,1/Assumptions!$C$48,0))</f>
        <v>0.05</v>
      </c>
      <c r="V14" s="536">
        <f>IF(V5=Assumptions!$C$48,1/Assumptions!$C$48-Depreciation!$E$14,IF(V5&lt;Assumptions!$C$48,1/Assumptions!$C$48,0))</f>
        <v>0.05</v>
      </c>
      <c r="W14" s="536">
        <f>IF(W5=Assumptions!$C$48,1/Assumptions!$C$48-Depreciation!$E$14,IF(W5&lt;Assumptions!$C$48,1/Assumptions!$C$48,0))</f>
        <v>0.05</v>
      </c>
      <c r="X14" s="536">
        <f>IF(X5=Assumptions!$C$48,1/Assumptions!$C$48-Depreciation!$E$14,IF(X5&lt;Assumptions!$C$48,1/Assumptions!$C$48,0))</f>
        <v>0.05</v>
      </c>
      <c r="Y14" s="536">
        <f>IF(Y5=Assumptions!$C$48,1/Assumptions!$C$48-Depreciation!$E$14,IF(Y5&lt;Assumptions!$C$48,1/Assumptions!$C$48,0))</f>
        <v>1.666666666666667E-2</v>
      </c>
      <c r="Z14" s="536">
        <f>IF(Z5=Assumptions!$C$48,1/Assumptions!$C$48-Depreciation!$E$14,IF(Z5&lt;Assumptions!$C$48,1/Assumptions!$C$48,0))</f>
        <v>0</v>
      </c>
      <c r="AA14" s="127"/>
      <c r="AB14"/>
      <c r="AC14"/>
    </row>
    <row r="15" spans="1:29" s="16" customFormat="1">
      <c r="A15" s="18"/>
      <c r="B15" s="47"/>
      <c r="C15" s="35"/>
      <c r="D15" s="35"/>
      <c r="E15" s="4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/>
      <c r="AC15"/>
    </row>
    <row r="16" spans="1:29" s="16" customFormat="1">
      <c r="A16" s="30" t="s">
        <v>155</v>
      </c>
      <c r="B16" s="134">
        <f>Assumptions!G10</f>
        <v>1202708.2045976263</v>
      </c>
      <c r="C16" s="135"/>
      <c r="D16" s="135"/>
      <c r="E16" s="136">
        <f>$B$16*E13</f>
        <v>60135.410229881323</v>
      </c>
      <c r="F16" s="136">
        <f t="shared" ref="F16:Z16" si="0">$B$16*F13</f>
        <v>114257.27943677451</v>
      </c>
      <c r="G16" s="136">
        <f t="shared" si="0"/>
        <v>102831.55149309707</v>
      </c>
      <c r="H16" s="136">
        <f t="shared" si="0"/>
        <v>92608.531754017225</v>
      </c>
      <c r="I16" s="136">
        <f t="shared" si="0"/>
        <v>83347.678578615509</v>
      </c>
      <c r="J16" s="136">
        <f t="shared" si="0"/>
        <v>74928.72114643213</v>
      </c>
      <c r="K16" s="136">
        <f t="shared" si="0"/>
        <v>70959.784071259957</v>
      </c>
      <c r="L16" s="136">
        <f t="shared" si="0"/>
        <v>71080.054891719716</v>
      </c>
      <c r="M16" s="136">
        <f t="shared" si="0"/>
        <v>70959.784071259957</v>
      </c>
      <c r="N16" s="136">
        <f t="shared" si="0"/>
        <v>71080.054891719716</v>
      </c>
      <c r="O16" s="136">
        <f t="shared" si="0"/>
        <v>70959.784071259957</v>
      </c>
      <c r="P16" s="136">
        <f t="shared" si="0"/>
        <v>71080.054891719716</v>
      </c>
      <c r="Q16" s="136">
        <f t="shared" si="0"/>
        <v>70959.784071259957</v>
      </c>
      <c r="R16" s="136">
        <f t="shared" si="0"/>
        <v>71080.054891719716</v>
      </c>
      <c r="S16" s="136">
        <f t="shared" si="0"/>
        <v>70959.784071259957</v>
      </c>
      <c r="T16" s="136">
        <f t="shared" si="0"/>
        <v>35479.892035629979</v>
      </c>
      <c r="U16" s="136">
        <f t="shared" si="0"/>
        <v>0</v>
      </c>
      <c r="V16" s="136">
        <f t="shared" si="0"/>
        <v>0</v>
      </c>
      <c r="W16" s="136">
        <f t="shared" si="0"/>
        <v>0</v>
      </c>
      <c r="X16" s="136">
        <f t="shared" si="0"/>
        <v>0</v>
      </c>
      <c r="Y16" s="136">
        <f t="shared" si="0"/>
        <v>0</v>
      </c>
      <c r="Z16" s="136">
        <f t="shared" si="0"/>
        <v>0</v>
      </c>
      <c r="AA16" s="136"/>
      <c r="AB16"/>
      <c r="AC16"/>
    </row>
    <row r="17" spans="1:29" s="16" customFormat="1" ht="15">
      <c r="A17" s="31" t="s">
        <v>154</v>
      </c>
      <c r="B17" s="137">
        <f>Assumptions!G11</f>
        <v>19500</v>
      </c>
      <c r="C17" s="135"/>
      <c r="D17" s="135"/>
      <c r="E17" s="138">
        <f>$B$17*E14</f>
        <v>650</v>
      </c>
      <c r="F17" s="138">
        <f t="shared" ref="F17:Z17" si="1">$B$17*F14</f>
        <v>975</v>
      </c>
      <c r="G17" s="138">
        <f t="shared" si="1"/>
        <v>975</v>
      </c>
      <c r="H17" s="138">
        <f t="shared" si="1"/>
        <v>975</v>
      </c>
      <c r="I17" s="138">
        <f t="shared" si="1"/>
        <v>975</v>
      </c>
      <c r="J17" s="138">
        <f t="shared" si="1"/>
        <v>975</v>
      </c>
      <c r="K17" s="138">
        <f t="shared" si="1"/>
        <v>975</v>
      </c>
      <c r="L17" s="138">
        <f t="shared" si="1"/>
        <v>975</v>
      </c>
      <c r="M17" s="138">
        <f t="shared" si="1"/>
        <v>975</v>
      </c>
      <c r="N17" s="138">
        <f t="shared" si="1"/>
        <v>975</v>
      </c>
      <c r="O17" s="138">
        <f t="shared" si="1"/>
        <v>975</v>
      </c>
      <c r="P17" s="138">
        <f t="shared" si="1"/>
        <v>975</v>
      </c>
      <c r="Q17" s="138">
        <f t="shared" si="1"/>
        <v>975</v>
      </c>
      <c r="R17" s="138">
        <f t="shared" si="1"/>
        <v>975</v>
      </c>
      <c r="S17" s="138">
        <f t="shared" si="1"/>
        <v>975</v>
      </c>
      <c r="T17" s="138">
        <f t="shared" si="1"/>
        <v>975</v>
      </c>
      <c r="U17" s="138">
        <f t="shared" si="1"/>
        <v>975</v>
      </c>
      <c r="V17" s="138">
        <f t="shared" si="1"/>
        <v>975</v>
      </c>
      <c r="W17" s="138">
        <f t="shared" si="1"/>
        <v>975</v>
      </c>
      <c r="X17" s="138">
        <f t="shared" si="1"/>
        <v>975</v>
      </c>
      <c r="Y17" s="138">
        <f t="shared" si="1"/>
        <v>325.00000000000006</v>
      </c>
      <c r="Z17" s="138">
        <f t="shared" si="1"/>
        <v>0</v>
      </c>
      <c r="AA17" s="138"/>
      <c r="AB17"/>
      <c r="AC17"/>
    </row>
    <row r="18" spans="1:29" s="16" customFormat="1">
      <c r="A18" s="31" t="s">
        <v>156</v>
      </c>
      <c r="B18" s="136">
        <f>SUM(B16:B17)</f>
        <v>1222208.2045976263</v>
      </c>
      <c r="C18" s="389"/>
      <c r="D18" s="135"/>
      <c r="E18" s="136">
        <f t="shared" ref="E18:Z18" si="2">SUM(E16:E17)</f>
        <v>60785.410229881323</v>
      </c>
      <c r="F18" s="136">
        <f t="shared" si="2"/>
        <v>115232.27943677451</v>
      </c>
      <c r="G18" s="136">
        <f t="shared" si="2"/>
        <v>103806.55149309707</v>
      </c>
      <c r="H18" s="136">
        <f t="shared" si="2"/>
        <v>93583.531754017225</v>
      </c>
      <c r="I18" s="136">
        <f t="shared" si="2"/>
        <v>84322.678578615509</v>
      </c>
      <c r="J18" s="136">
        <f t="shared" si="2"/>
        <v>75903.72114643213</v>
      </c>
      <c r="K18" s="136">
        <f t="shared" si="2"/>
        <v>71934.784071259957</v>
      </c>
      <c r="L18" s="136">
        <f t="shared" si="2"/>
        <v>72055.054891719716</v>
      </c>
      <c r="M18" s="136">
        <f t="shared" si="2"/>
        <v>71934.784071259957</v>
      </c>
      <c r="N18" s="136">
        <f t="shared" si="2"/>
        <v>72055.054891719716</v>
      </c>
      <c r="O18" s="136">
        <f t="shared" si="2"/>
        <v>71934.784071259957</v>
      </c>
      <c r="P18" s="136">
        <f t="shared" si="2"/>
        <v>72055.054891719716</v>
      </c>
      <c r="Q18" s="136">
        <f t="shared" si="2"/>
        <v>71934.784071259957</v>
      </c>
      <c r="R18" s="136">
        <f t="shared" si="2"/>
        <v>72055.054891719716</v>
      </c>
      <c r="S18" s="136">
        <f t="shared" si="2"/>
        <v>71934.784071259957</v>
      </c>
      <c r="T18" s="136">
        <f t="shared" si="2"/>
        <v>36454.892035629979</v>
      </c>
      <c r="U18" s="136">
        <f t="shared" si="2"/>
        <v>975</v>
      </c>
      <c r="V18" s="136">
        <f t="shared" si="2"/>
        <v>975</v>
      </c>
      <c r="W18" s="136">
        <f t="shared" si="2"/>
        <v>975</v>
      </c>
      <c r="X18" s="136">
        <f t="shared" si="2"/>
        <v>975</v>
      </c>
      <c r="Y18" s="136">
        <f t="shared" si="2"/>
        <v>325.00000000000006</v>
      </c>
      <c r="Z18" s="136">
        <f t="shared" si="2"/>
        <v>0</v>
      </c>
      <c r="AA18" s="136"/>
      <c r="AB18"/>
      <c r="AC18"/>
    </row>
    <row r="19" spans="1:29" s="16" customFormat="1">
      <c r="B19" s="136"/>
      <c r="C19" s="135"/>
      <c r="D19" s="135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/>
      <c r="AC19"/>
    </row>
    <row r="20" spans="1:29" s="16" customFormat="1">
      <c r="A20" s="18" t="s">
        <v>157</v>
      </c>
      <c r="B20" s="136">
        <f>B18</f>
        <v>1222208.2045976263</v>
      </c>
      <c r="C20" s="135"/>
      <c r="D20" s="135"/>
      <c r="E20" s="136">
        <f>B18-E18</f>
        <v>1161422.7943677451</v>
      </c>
      <c r="F20" s="136">
        <f>E20-F18</f>
        <v>1046190.5149309705</v>
      </c>
      <c r="G20" s="136">
        <f t="shared" ref="G20:Y20" si="3">F20-G18</f>
        <v>942383.9634378734</v>
      </c>
      <c r="H20" s="136">
        <f t="shared" si="3"/>
        <v>848800.43168385618</v>
      </c>
      <c r="I20" s="136">
        <f t="shared" si="3"/>
        <v>764477.75310524064</v>
      </c>
      <c r="J20" s="136">
        <f t="shared" si="3"/>
        <v>688574.03195880854</v>
      </c>
      <c r="K20" s="136">
        <f t="shared" si="3"/>
        <v>616639.24788754852</v>
      </c>
      <c r="L20" s="136">
        <f t="shared" si="3"/>
        <v>544584.19299582881</v>
      </c>
      <c r="M20" s="136">
        <f t="shared" si="3"/>
        <v>472649.40892456885</v>
      </c>
      <c r="N20" s="136">
        <f t="shared" si="3"/>
        <v>400594.35403284914</v>
      </c>
      <c r="O20" s="136">
        <f t="shared" si="3"/>
        <v>328659.56996158918</v>
      </c>
      <c r="P20" s="136">
        <f t="shared" si="3"/>
        <v>256604.51506986946</v>
      </c>
      <c r="Q20" s="136">
        <f t="shared" si="3"/>
        <v>184669.73099860951</v>
      </c>
      <c r="R20" s="136">
        <f t="shared" si="3"/>
        <v>112614.67610688979</v>
      </c>
      <c r="S20" s="136">
        <f t="shared" si="3"/>
        <v>40679.892035629833</v>
      </c>
      <c r="T20" s="136">
        <f t="shared" si="3"/>
        <v>4224.9999999998545</v>
      </c>
      <c r="U20" s="136">
        <f t="shared" si="3"/>
        <v>3249.9999999998545</v>
      </c>
      <c r="V20" s="136">
        <f t="shared" si="3"/>
        <v>2274.9999999998545</v>
      </c>
      <c r="W20" s="136">
        <f t="shared" si="3"/>
        <v>1299.9999999998545</v>
      </c>
      <c r="X20" s="136">
        <f t="shared" si="3"/>
        <v>324.99999999985448</v>
      </c>
      <c r="Y20" s="136">
        <f t="shared" si="3"/>
        <v>-1.4557599570252933E-10</v>
      </c>
      <c r="Z20" s="136">
        <f>Y20-Z18</f>
        <v>-1.4557599570252933E-10</v>
      </c>
      <c r="AA20" s="136"/>
      <c r="AB20"/>
      <c r="AC20"/>
    </row>
    <row r="21" spans="1:29" s="16" customFormat="1">
      <c r="A21" s="22"/>
      <c r="B21" s="24"/>
      <c r="C21" s="48"/>
      <c r="D21" s="4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/>
      <c r="AC21"/>
    </row>
    <row r="22" spans="1:29" s="16" customFormat="1">
      <c r="A22" s="40" t="s">
        <v>158</v>
      </c>
      <c r="B22" s="49"/>
      <c r="C22" s="35"/>
      <c r="D22" s="3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/>
      <c r="AC22"/>
    </row>
    <row r="23" spans="1:29" s="16" customFormat="1">
      <c r="A23" s="40"/>
      <c r="B23" s="42" t="s">
        <v>152</v>
      </c>
      <c r="C23" s="35"/>
      <c r="D23" s="3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/>
      <c r="AC23"/>
    </row>
    <row r="24" spans="1:29" s="16" customFormat="1">
      <c r="A24" s="30" t="s">
        <v>153</v>
      </c>
      <c r="B24" s="44">
        <f>Assumptions!$C$47</f>
        <v>15</v>
      </c>
      <c r="C24" s="45"/>
      <c r="D24" s="45"/>
      <c r="E24" s="46">
        <f>E13</f>
        <v>0.05</v>
      </c>
      <c r="F24" s="46">
        <f t="shared" ref="F24:Z24" si="4">F13</f>
        <v>9.5000000000000001E-2</v>
      </c>
      <c r="G24" s="46">
        <f t="shared" si="4"/>
        <v>8.5500000000000007E-2</v>
      </c>
      <c r="H24" s="46">
        <f t="shared" si="4"/>
        <v>7.6999999999999999E-2</v>
      </c>
      <c r="I24" s="46">
        <f t="shared" si="4"/>
        <v>6.93E-2</v>
      </c>
      <c r="J24" s="46">
        <f t="shared" si="4"/>
        <v>6.2300000000000001E-2</v>
      </c>
      <c r="K24" s="46">
        <f t="shared" si="4"/>
        <v>5.8999999999999997E-2</v>
      </c>
      <c r="L24" s="46">
        <f t="shared" si="4"/>
        <v>5.91E-2</v>
      </c>
      <c r="M24" s="46">
        <f t="shared" si="4"/>
        <v>5.8999999999999997E-2</v>
      </c>
      <c r="N24" s="46">
        <f t="shared" si="4"/>
        <v>5.91E-2</v>
      </c>
      <c r="O24" s="46">
        <f t="shared" si="4"/>
        <v>5.8999999999999997E-2</v>
      </c>
      <c r="P24" s="46">
        <f t="shared" si="4"/>
        <v>5.91E-2</v>
      </c>
      <c r="Q24" s="46">
        <f t="shared" si="4"/>
        <v>5.8999999999999997E-2</v>
      </c>
      <c r="R24" s="46">
        <f t="shared" si="4"/>
        <v>5.91E-2</v>
      </c>
      <c r="S24" s="46">
        <f t="shared" si="4"/>
        <v>5.8999999999999997E-2</v>
      </c>
      <c r="T24" s="46">
        <f t="shared" si="4"/>
        <v>2.9499999999999998E-2</v>
      </c>
      <c r="U24" s="46">
        <f t="shared" si="4"/>
        <v>0</v>
      </c>
      <c r="V24" s="46">
        <f t="shared" si="4"/>
        <v>0</v>
      </c>
      <c r="W24" s="46">
        <f t="shared" si="4"/>
        <v>0</v>
      </c>
      <c r="X24" s="46">
        <f t="shared" si="4"/>
        <v>0</v>
      </c>
      <c r="Y24" s="46">
        <f t="shared" si="4"/>
        <v>0</v>
      </c>
      <c r="Z24" s="46">
        <f t="shared" si="4"/>
        <v>0</v>
      </c>
      <c r="AA24" s="46"/>
      <c r="AB24"/>
      <c r="AC24"/>
    </row>
    <row r="25" spans="1:29" s="16" customFormat="1">
      <c r="A25" s="31" t="s">
        <v>154</v>
      </c>
      <c r="B25" s="125">
        <f>Assumptions!$C$48</f>
        <v>20</v>
      </c>
      <c r="C25" s="45"/>
      <c r="D25" s="45"/>
      <c r="E25" s="46">
        <f>E14</f>
        <v>3.3333333333333333E-2</v>
      </c>
      <c r="F25" s="46">
        <f t="shared" ref="F25:Z25" si="5">F14</f>
        <v>0.05</v>
      </c>
      <c r="G25" s="46">
        <f t="shared" si="5"/>
        <v>0.05</v>
      </c>
      <c r="H25" s="46">
        <f t="shared" si="5"/>
        <v>0.05</v>
      </c>
      <c r="I25" s="46">
        <f t="shared" si="5"/>
        <v>0.05</v>
      </c>
      <c r="J25" s="46">
        <f t="shared" si="5"/>
        <v>0.05</v>
      </c>
      <c r="K25" s="46">
        <f t="shared" si="5"/>
        <v>0.05</v>
      </c>
      <c r="L25" s="46">
        <f t="shared" si="5"/>
        <v>0.05</v>
      </c>
      <c r="M25" s="46">
        <f t="shared" si="5"/>
        <v>0.05</v>
      </c>
      <c r="N25" s="46">
        <f t="shared" si="5"/>
        <v>0.05</v>
      </c>
      <c r="O25" s="46">
        <f t="shared" si="5"/>
        <v>0.05</v>
      </c>
      <c r="P25" s="46">
        <f t="shared" si="5"/>
        <v>0.05</v>
      </c>
      <c r="Q25" s="46">
        <f t="shared" si="5"/>
        <v>0.05</v>
      </c>
      <c r="R25" s="46">
        <f t="shared" si="5"/>
        <v>0.05</v>
      </c>
      <c r="S25" s="46">
        <f t="shared" si="5"/>
        <v>0.05</v>
      </c>
      <c r="T25" s="46">
        <f t="shared" si="5"/>
        <v>0.05</v>
      </c>
      <c r="U25" s="46">
        <f t="shared" si="5"/>
        <v>0.05</v>
      </c>
      <c r="V25" s="46">
        <f t="shared" si="5"/>
        <v>0.05</v>
      </c>
      <c r="W25" s="46">
        <f t="shared" si="5"/>
        <v>0.05</v>
      </c>
      <c r="X25" s="46">
        <f t="shared" si="5"/>
        <v>0.05</v>
      </c>
      <c r="Y25" s="46">
        <f t="shared" si="5"/>
        <v>1.666666666666667E-2</v>
      </c>
      <c r="Z25" s="46">
        <f t="shared" si="5"/>
        <v>0</v>
      </c>
      <c r="AA25" s="46"/>
      <c r="AB25"/>
      <c r="AC25"/>
    </row>
    <row r="26" spans="1:29" s="16" customFormat="1">
      <c r="A26" s="22"/>
      <c r="B26" s="44"/>
      <c r="C26" s="35"/>
      <c r="D26" s="3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/>
      <c r="AC26"/>
    </row>
    <row r="27" spans="1:29" s="16" customFormat="1">
      <c r="A27" s="18"/>
      <c r="B27" s="42"/>
      <c r="C27" s="35"/>
      <c r="D27" s="3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/>
      <c r="AC27"/>
    </row>
    <row r="28" spans="1:29" s="28" customFormat="1">
      <c r="A28" s="30" t="s">
        <v>155</v>
      </c>
      <c r="B28" s="134">
        <f>B16</f>
        <v>1202708.2045976263</v>
      </c>
      <c r="C28" s="135"/>
      <c r="D28" s="135"/>
      <c r="E28" s="136">
        <f>$B$28*E24</f>
        <v>60135.410229881323</v>
      </c>
      <c r="F28" s="136">
        <f t="shared" ref="F28:Z28" si="6">$B$28*F24</f>
        <v>114257.27943677451</v>
      </c>
      <c r="G28" s="136">
        <f t="shared" si="6"/>
        <v>102831.55149309707</v>
      </c>
      <c r="H28" s="136">
        <f t="shared" si="6"/>
        <v>92608.531754017225</v>
      </c>
      <c r="I28" s="136">
        <f t="shared" si="6"/>
        <v>83347.678578615509</v>
      </c>
      <c r="J28" s="136">
        <f t="shared" si="6"/>
        <v>74928.72114643213</v>
      </c>
      <c r="K28" s="136">
        <f t="shared" si="6"/>
        <v>70959.784071259957</v>
      </c>
      <c r="L28" s="136">
        <f t="shared" si="6"/>
        <v>71080.054891719716</v>
      </c>
      <c r="M28" s="136">
        <f t="shared" si="6"/>
        <v>70959.784071259957</v>
      </c>
      <c r="N28" s="136">
        <f t="shared" si="6"/>
        <v>71080.054891719716</v>
      </c>
      <c r="O28" s="136">
        <f t="shared" si="6"/>
        <v>70959.784071259957</v>
      </c>
      <c r="P28" s="136">
        <f t="shared" si="6"/>
        <v>71080.054891719716</v>
      </c>
      <c r="Q28" s="136">
        <f t="shared" si="6"/>
        <v>70959.784071259957</v>
      </c>
      <c r="R28" s="136">
        <f t="shared" si="6"/>
        <v>71080.054891719716</v>
      </c>
      <c r="S28" s="136">
        <f t="shared" si="6"/>
        <v>70959.784071259957</v>
      </c>
      <c r="T28" s="136">
        <f t="shared" si="6"/>
        <v>35479.892035629979</v>
      </c>
      <c r="U28" s="136">
        <f t="shared" si="6"/>
        <v>0</v>
      </c>
      <c r="V28" s="136">
        <f t="shared" si="6"/>
        <v>0</v>
      </c>
      <c r="W28" s="136">
        <f t="shared" si="6"/>
        <v>0</v>
      </c>
      <c r="X28" s="136">
        <f t="shared" si="6"/>
        <v>0</v>
      </c>
      <c r="Y28" s="136">
        <f t="shared" si="6"/>
        <v>0</v>
      </c>
      <c r="Z28" s="136">
        <f t="shared" si="6"/>
        <v>0</v>
      </c>
      <c r="AA28" s="136"/>
      <c r="AB28"/>
      <c r="AC28"/>
    </row>
    <row r="29" spans="1:29" s="16" customFormat="1" ht="15">
      <c r="A29" s="31" t="s">
        <v>154</v>
      </c>
      <c r="B29" s="137">
        <f>B17</f>
        <v>19500</v>
      </c>
      <c r="C29" s="135"/>
      <c r="D29" s="135"/>
      <c r="E29" s="138">
        <f t="shared" ref="E29:Z29" si="7">$B29*E25</f>
        <v>650</v>
      </c>
      <c r="F29" s="138">
        <f t="shared" si="7"/>
        <v>975</v>
      </c>
      <c r="G29" s="138">
        <f t="shared" si="7"/>
        <v>975</v>
      </c>
      <c r="H29" s="138">
        <f t="shared" si="7"/>
        <v>975</v>
      </c>
      <c r="I29" s="138">
        <f t="shared" si="7"/>
        <v>975</v>
      </c>
      <c r="J29" s="138">
        <f t="shared" si="7"/>
        <v>975</v>
      </c>
      <c r="K29" s="138">
        <f t="shared" si="7"/>
        <v>975</v>
      </c>
      <c r="L29" s="138">
        <f t="shared" si="7"/>
        <v>975</v>
      </c>
      <c r="M29" s="138">
        <f t="shared" si="7"/>
        <v>975</v>
      </c>
      <c r="N29" s="138">
        <f t="shared" si="7"/>
        <v>975</v>
      </c>
      <c r="O29" s="138">
        <f t="shared" si="7"/>
        <v>975</v>
      </c>
      <c r="P29" s="138">
        <f t="shared" si="7"/>
        <v>975</v>
      </c>
      <c r="Q29" s="138">
        <f t="shared" si="7"/>
        <v>975</v>
      </c>
      <c r="R29" s="138">
        <f t="shared" si="7"/>
        <v>975</v>
      </c>
      <c r="S29" s="138">
        <f t="shared" si="7"/>
        <v>975</v>
      </c>
      <c r="T29" s="138">
        <f t="shared" si="7"/>
        <v>975</v>
      </c>
      <c r="U29" s="138">
        <f t="shared" si="7"/>
        <v>975</v>
      </c>
      <c r="V29" s="138">
        <f t="shared" si="7"/>
        <v>975</v>
      </c>
      <c r="W29" s="138">
        <f t="shared" si="7"/>
        <v>975</v>
      </c>
      <c r="X29" s="138">
        <f t="shared" si="7"/>
        <v>975</v>
      </c>
      <c r="Y29" s="138">
        <f t="shared" si="7"/>
        <v>325.00000000000006</v>
      </c>
      <c r="Z29" s="138">
        <f t="shared" si="7"/>
        <v>0</v>
      </c>
      <c r="AA29" s="138"/>
      <c r="AB29"/>
      <c r="AC29"/>
    </row>
    <row r="30" spans="1:29" s="16" customFormat="1">
      <c r="A30" s="22" t="s">
        <v>156</v>
      </c>
      <c r="B30" s="136">
        <f>SUM(B28:B29)</f>
        <v>1222208.2045976263</v>
      </c>
      <c r="C30" s="135"/>
      <c r="D30" s="135"/>
      <c r="E30" s="136">
        <f t="shared" ref="E30:Z30" si="8">SUM(E28:E29)</f>
        <v>60785.410229881323</v>
      </c>
      <c r="F30" s="136">
        <f t="shared" si="8"/>
        <v>115232.27943677451</v>
      </c>
      <c r="G30" s="136">
        <f t="shared" si="8"/>
        <v>103806.55149309707</v>
      </c>
      <c r="H30" s="136">
        <f t="shared" si="8"/>
        <v>93583.531754017225</v>
      </c>
      <c r="I30" s="136">
        <f t="shared" si="8"/>
        <v>84322.678578615509</v>
      </c>
      <c r="J30" s="136">
        <f t="shared" si="8"/>
        <v>75903.72114643213</v>
      </c>
      <c r="K30" s="136">
        <f t="shared" si="8"/>
        <v>71934.784071259957</v>
      </c>
      <c r="L30" s="136">
        <f t="shared" si="8"/>
        <v>72055.054891719716</v>
      </c>
      <c r="M30" s="136">
        <f t="shared" si="8"/>
        <v>71934.784071259957</v>
      </c>
      <c r="N30" s="136">
        <f t="shared" si="8"/>
        <v>72055.054891719716</v>
      </c>
      <c r="O30" s="136">
        <f t="shared" si="8"/>
        <v>71934.784071259957</v>
      </c>
      <c r="P30" s="136">
        <f t="shared" si="8"/>
        <v>72055.054891719716</v>
      </c>
      <c r="Q30" s="136">
        <f t="shared" si="8"/>
        <v>71934.784071259957</v>
      </c>
      <c r="R30" s="136">
        <f t="shared" si="8"/>
        <v>72055.054891719716</v>
      </c>
      <c r="S30" s="136">
        <f t="shared" si="8"/>
        <v>71934.784071259957</v>
      </c>
      <c r="T30" s="136">
        <f t="shared" si="8"/>
        <v>36454.892035629979</v>
      </c>
      <c r="U30" s="136">
        <f t="shared" si="8"/>
        <v>975</v>
      </c>
      <c r="V30" s="136">
        <f t="shared" si="8"/>
        <v>975</v>
      </c>
      <c r="W30" s="136">
        <f t="shared" si="8"/>
        <v>975</v>
      </c>
      <c r="X30" s="136">
        <f t="shared" si="8"/>
        <v>975</v>
      </c>
      <c r="Y30" s="136">
        <f t="shared" si="8"/>
        <v>325.00000000000006</v>
      </c>
      <c r="Z30" s="136">
        <f t="shared" si="8"/>
        <v>0</v>
      </c>
      <c r="AA30" s="136"/>
      <c r="AB30"/>
      <c r="AC30"/>
    </row>
    <row r="31" spans="1:29" s="16" customFormat="1">
      <c r="A31" s="22"/>
      <c r="B31" s="18"/>
      <c r="C31" s="35"/>
      <c r="D31" s="3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/>
      <c r="AC31"/>
    </row>
    <row r="32" spans="1:29" s="16" customFormat="1">
      <c r="A32" s="18" t="s">
        <v>157</v>
      </c>
      <c r="B32" s="122">
        <f>B30</f>
        <v>1222208.2045976263</v>
      </c>
      <c r="C32" s="35"/>
      <c r="D32" s="35"/>
      <c r="E32" s="26">
        <f>B30-E30</f>
        <v>1161422.7943677451</v>
      </c>
      <c r="F32" s="26">
        <f>E32-F30</f>
        <v>1046190.5149309705</v>
      </c>
      <c r="G32" s="26">
        <f t="shared" ref="G32:X32" si="9">F32-G30</f>
        <v>942383.9634378734</v>
      </c>
      <c r="H32" s="26">
        <f t="shared" si="9"/>
        <v>848800.43168385618</v>
      </c>
      <c r="I32" s="26">
        <f t="shared" si="9"/>
        <v>764477.75310524064</v>
      </c>
      <c r="J32" s="26">
        <f t="shared" si="9"/>
        <v>688574.03195880854</v>
      </c>
      <c r="K32" s="26">
        <f t="shared" si="9"/>
        <v>616639.24788754852</v>
      </c>
      <c r="L32" s="26">
        <f t="shared" si="9"/>
        <v>544584.19299582881</v>
      </c>
      <c r="M32" s="26">
        <f t="shared" si="9"/>
        <v>472649.40892456885</v>
      </c>
      <c r="N32" s="26">
        <f t="shared" si="9"/>
        <v>400594.35403284914</v>
      </c>
      <c r="O32" s="26">
        <f t="shared" si="9"/>
        <v>328659.56996158918</v>
      </c>
      <c r="P32" s="26">
        <f t="shared" si="9"/>
        <v>256604.51506986946</v>
      </c>
      <c r="Q32" s="26">
        <f t="shared" si="9"/>
        <v>184669.73099860951</v>
      </c>
      <c r="R32" s="26">
        <f t="shared" si="9"/>
        <v>112614.67610688979</v>
      </c>
      <c r="S32" s="26">
        <f t="shared" si="9"/>
        <v>40679.892035629833</v>
      </c>
      <c r="T32" s="26">
        <f t="shared" si="9"/>
        <v>4224.9999999998545</v>
      </c>
      <c r="U32" s="26">
        <f t="shared" si="9"/>
        <v>3249.9999999998545</v>
      </c>
      <c r="V32" s="26">
        <f t="shared" si="9"/>
        <v>2274.9999999998545</v>
      </c>
      <c r="W32" s="26">
        <f t="shared" si="9"/>
        <v>1299.9999999998545</v>
      </c>
      <c r="X32" s="26">
        <f t="shared" si="9"/>
        <v>324.99999999985448</v>
      </c>
      <c r="Y32" s="26">
        <f>X32-Y30</f>
        <v>-1.4557599570252933E-10</v>
      </c>
      <c r="Z32" s="26">
        <f>Y32-Z30</f>
        <v>-1.4557599570252933E-10</v>
      </c>
      <c r="AA32" s="26"/>
    </row>
    <row r="33" spans="1:29" s="16" customFormat="1">
      <c r="A33" s="18"/>
      <c r="B33" s="18"/>
      <c r="C33" s="35"/>
      <c r="D33" s="35"/>
      <c r="E33" s="5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9" s="16" customFormat="1">
      <c r="A34" s="18"/>
      <c r="D34" s="52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9" s="16" customFormat="1">
      <c r="A35" s="40" t="s">
        <v>159</v>
      </c>
      <c r="D35" s="311"/>
      <c r="AA35" s="46"/>
    </row>
    <row r="36" spans="1:29" s="16" customFormat="1">
      <c r="A36" s="40"/>
      <c r="B36" s="42" t="s">
        <v>152</v>
      </c>
      <c r="C36" s="52" t="s">
        <v>160</v>
      </c>
      <c r="D36" s="35"/>
      <c r="AA36" s="46"/>
    </row>
    <row r="37" spans="1:29" s="16" customFormat="1">
      <c r="A37" s="30" t="s">
        <v>161</v>
      </c>
      <c r="B37" s="44">
        <f>Assumptions!$C$51</f>
        <v>30</v>
      </c>
      <c r="C37" s="53">
        <f>Assumptions!E51</f>
        <v>0.1</v>
      </c>
      <c r="D37" s="35"/>
      <c r="E37" s="536">
        <f>1/Assumptions!$C$51*E8/12*(1-$C$37)</f>
        <v>0.02</v>
      </c>
      <c r="F37" s="536">
        <f>IF(F5=Assumptions!$C$51,1/Assumptions!$C$51*(1-$C$37)-Depreciation!$E$37,IF(F5&lt;Assumptions!$C$51,1/Assumptions!$C$48*(1-$C$37),0))</f>
        <v>4.5000000000000005E-2</v>
      </c>
      <c r="G37" s="536">
        <f>IF(G5=Assumptions!$C$51,1/Assumptions!$C$51*(1-$C$37)-Depreciation!$E$37,IF(G5&lt;Assumptions!$C$51,1/Assumptions!$C$48*(1-$C$37),0))</f>
        <v>4.5000000000000005E-2</v>
      </c>
      <c r="H37" s="536">
        <f>IF(H5=Assumptions!$C$51,1/Assumptions!$C$51*(1-$C$37)-Depreciation!$E$37,IF(H5&lt;Assumptions!$C$51,1/Assumptions!$C$48*(1-$C$37),0))</f>
        <v>4.5000000000000005E-2</v>
      </c>
      <c r="I37" s="536">
        <f>IF(I5=Assumptions!$C$51,1/Assumptions!$C$51*(1-$C$37)-Depreciation!$E$37,IF(I5&lt;Assumptions!$C$51,1/Assumptions!$C$48*(1-$C$37),0))</f>
        <v>4.5000000000000005E-2</v>
      </c>
      <c r="J37" s="536">
        <f>IF(J5=Assumptions!$C$51,1/Assumptions!$C$51*(1-$C$37)-Depreciation!$E$37,IF(J5&lt;Assumptions!$C$51,1/Assumptions!$C$48*(1-$C$37),0))</f>
        <v>4.5000000000000005E-2</v>
      </c>
      <c r="K37" s="536">
        <f>IF(K5=Assumptions!$C$51,1/Assumptions!$C$51*(1-$C$37)-Depreciation!$E$37,IF(K5&lt;Assumptions!$C$51,1/Assumptions!$C$48*(1-$C$37),0))</f>
        <v>4.5000000000000005E-2</v>
      </c>
      <c r="L37" s="536">
        <f>IF(L5=Assumptions!$C$51,1/Assumptions!$C$51*(1-$C$37)-Depreciation!$E$37,IF(L5&lt;Assumptions!$C$51,1/Assumptions!$C$48*(1-$C$37),0))</f>
        <v>4.5000000000000005E-2</v>
      </c>
      <c r="M37" s="536">
        <f>IF(M5=Assumptions!$C$51,1/Assumptions!$C$51*(1-$C$37)-Depreciation!$E$37,IF(M5&lt;Assumptions!$C$51,1/Assumptions!$C$48*(1-$C$37),0))</f>
        <v>4.5000000000000005E-2</v>
      </c>
      <c r="N37" s="536">
        <f>IF(N5=Assumptions!$C$51,1/Assumptions!$C$51*(1-$C$37)-Depreciation!$E$37,IF(N5&lt;Assumptions!$C$51,1/Assumptions!$C$48*(1-$C$37),0))</f>
        <v>4.5000000000000005E-2</v>
      </c>
      <c r="O37" s="536">
        <f>IF(O5=Assumptions!$C$51,1/Assumptions!$C$51*(1-$C$37)-Depreciation!$E$37,IF(O5&lt;Assumptions!$C$51,1/Assumptions!$C$48*(1-$C$37),0))</f>
        <v>4.5000000000000005E-2</v>
      </c>
      <c r="P37" s="536">
        <f>IF(P5=Assumptions!$C$51,1/Assumptions!$C$51*(1-$C$37)-Depreciation!$E$37,IF(P5&lt;Assumptions!$C$51,1/Assumptions!$C$48*(1-$C$37),0))</f>
        <v>4.5000000000000005E-2</v>
      </c>
      <c r="Q37" s="536">
        <f>IF(Q5=Assumptions!$C$51,1/Assumptions!$C$51*(1-$C$37)-Depreciation!$E$37,IF(Q5&lt;Assumptions!$C$51,1/Assumptions!$C$48*(1-$C$37),0))</f>
        <v>4.5000000000000005E-2</v>
      </c>
      <c r="R37" s="536">
        <f>IF(R5=Assumptions!$C$51,1/Assumptions!$C$51*(1-$C$37)-Depreciation!$E$37,IF(R5&lt;Assumptions!$C$51,1/Assumptions!$C$48*(1-$C$37),0))</f>
        <v>4.5000000000000005E-2</v>
      </c>
      <c r="S37" s="536">
        <f>IF(S5=Assumptions!$C$51,1/Assumptions!$C$51*(1-$C$37)-Depreciation!$E$37,IF(S5&lt;Assumptions!$C$51,1/Assumptions!$C$48*(1-$C$37),0))</f>
        <v>4.5000000000000005E-2</v>
      </c>
      <c r="T37" s="536">
        <f>IF(T5=Assumptions!$C$51,1/Assumptions!$C$51*(1-$C$37)-Depreciation!$E$37,IF(T5&lt;Assumptions!$C$51,1/Assumptions!$C$48*(1-$C$37),0))</f>
        <v>4.5000000000000005E-2</v>
      </c>
      <c r="U37" s="536">
        <f>IF(U5=Assumptions!$C$51,1/Assumptions!$C$51*(1-$C$37)-Depreciation!$E$37,IF(U5&lt;Assumptions!$C$51,1/Assumptions!$C$48*(1-$C$37),0))</f>
        <v>4.5000000000000005E-2</v>
      </c>
      <c r="V37" s="536">
        <f>IF(V5=Assumptions!$C$51,1/Assumptions!$C$51*(1-$C$37)-Depreciation!$E$37,IF(V5&lt;Assumptions!$C$51,1/Assumptions!$C$48*(1-$C$37),0))</f>
        <v>4.5000000000000005E-2</v>
      </c>
      <c r="W37" s="536">
        <f>IF(W5=Assumptions!$C$51,1/Assumptions!$C$51*(1-$C$37)-Depreciation!$E$37,IF(W5&lt;Assumptions!$C$51,1/Assumptions!$C$48*(1-$C$37),0))</f>
        <v>4.5000000000000005E-2</v>
      </c>
      <c r="X37" s="536">
        <f>IF(X5=Assumptions!$C$51,1/Assumptions!$C$51*(1-$C$37)-Depreciation!$E$37,IF(X5&lt;Assumptions!$C$51,1/Assumptions!$C$48*(1-$C$37),0))</f>
        <v>4.5000000000000005E-2</v>
      </c>
      <c r="Y37" s="536">
        <f>IF(Y5=Assumptions!$C$51,1/Assumptions!$C$51*(1-$C$37)-Depreciation!$E$37,IF(Y5&lt;Assumptions!$C$51,1/Assumptions!$C$48*(1-$C$37),0))</f>
        <v>4.5000000000000005E-2</v>
      </c>
      <c r="Z37" s="536">
        <f>IF(Z5=Assumptions!$C$51,1/Assumptions!$C$51*(1-$C$37)-Depreciation!$E$37,IF(Z5&lt;Assumptions!$C$51,1/Assumptions!$C$48*(1-$C$37),0))</f>
        <v>4.5000000000000005E-2</v>
      </c>
      <c r="AA37" s="18"/>
    </row>
    <row r="38" spans="1:29" s="16" customFormat="1">
      <c r="A38" s="31" t="s">
        <v>154</v>
      </c>
      <c r="B38" s="47">
        <f>Assumptions!$C$52</f>
        <v>20</v>
      </c>
      <c r="C38" s="35"/>
      <c r="D38" s="135"/>
      <c r="E38" s="536">
        <f>1/Assumptions!$C$52*E8/12</f>
        <v>3.3333333333333333E-2</v>
      </c>
      <c r="F38" s="536">
        <f>IF(F5=Assumptions!$C$52,1/Assumptions!$C$52-Depreciation!$E$38,IF(F5&lt;Assumptions!$C$52,1/Assumptions!$C$52,0))</f>
        <v>0.05</v>
      </c>
      <c r="G38" s="536">
        <f>IF(G5=Assumptions!$C$52,1/Assumptions!$C$52-Depreciation!$E$38,IF(G5&lt;Assumptions!$C$52,1/Assumptions!$C$52,0))</f>
        <v>0.05</v>
      </c>
      <c r="H38" s="536">
        <f>IF(H5=Assumptions!$C$52,1/Assumptions!$C$52-Depreciation!$E$38,IF(H5&lt;Assumptions!$C$52,1/Assumptions!$C$52,0))</f>
        <v>0.05</v>
      </c>
      <c r="I38" s="536">
        <f>IF(I5=Assumptions!$C$52,1/Assumptions!$C$52-Depreciation!$E$38,IF(I5&lt;Assumptions!$C$52,1/Assumptions!$C$52,0))</f>
        <v>0.05</v>
      </c>
      <c r="J38" s="536">
        <f>IF(J5=Assumptions!$C$52,1/Assumptions!$C$52-Depreciation!$E$38,IF(J5&lt;Assumptions!$C$52,1/Assumptions!$C$52,0))</f>
        <v>0.05</v>
      </c>
      <c r="K38" s="536">
        <f>IF(K5=Assumptions!$C$52,1/Assumptions!$C$52-Depreciation!$E$38,IF(K5&lt;Assumptions!$C$52,1/Assumptions!$C$52,0))</f>
        <v>0.05</v>
      </c>
      <c r="L38" s="536">
        <f>IF(L5=Assumptions!$C$52,1/Assumptions!$C$52-Depreciation!$E$38,IF(L5&lt;Assumptions!$C$52,1/Assumptions!$C$52,0))</f>
        <v>0.05</v>
      </c>
      <c r="M38" s="536">
        <f>IF(M5=Assumptions!$C$52,1/Assumptions!$C$52-Depreciation!$E$38,IF(M5&lt;Assumptions!$C$52,1/Assumptions!$C$52,0))</f>
        <v>0.05</v>
      </c>
      <c r="N38" s="536">
        <f>IF(N5=Assumptions!$C$52,1/Assumptions!$C$52-Depreciation!$E$38,IF(N5&lt;Assumptions!$C$52,1/Assumptions!$C$52,0))</f>
        <v>0.05</v>
      </c>
      <c r="O38" s="536">
        <f>IF(O5=Assumptions!$C$52,1/Assumptions!$C$52-Depreciation!$E$38,IF(O5&lt;Assumptions!$C$52,1/Assumptions!$C$52,0))</f>
        <v>0.05</v>
      </c>
      <c r="P38" s="536">
        <f>IF(P5=Assumptions!$C$52,1/Assumptions!$C$52-Depreciation!$E$38,IF(P5&lt;Assumptions!$C$52,1/Assumptions!$C$52,0))</f>
        <v>0.05</v>
      </c>
      <c r="Q38" s="536">
        <f>IF(Q5=Assumptions!$C$52,1/Assumptions!$C$52-Depreciation!$E$38,IF(Q5&lt;Assumptions!$C$52,1/Assumptions!$C$52,0))</f>
        <v>0.05</v>
      </c>
      <c r="R38" s="536">
        <f>IF(R5=Assumptions!$C$52,1/Assumptions!$C$52-Depreciation!$E$38,IF(R5&lt;Assumptions!$C$52,1/Assumptions!$C$52,0))</f>
        <v>0.05</v>
      </c>
      <c r="S38" s="536">
        <f>IF(S5=Assumptions!$C$52,1/Assumptions!$C$52-Depreciation!$E$38,IF(S5&lt;Assumptions!$C$52,1/Assumptions!$C$52,0))</f>
        <v>0.05</v>
      </c>
      <c r="T38" s="536">
        <f>IF(T5=Assumptions!$C$52,1/Assumptions!$C$52-Depreciation!$E$38,IF(T5&lt;Assumptions!$C$52,1/Assumptions!$C$52,0))</f>
        <v>0.05</v>
      </c>
      <c r="U38" s="536">
        <f>IF(U5=Assumptions!$C$52,1/Assumptions!$C$52-Depreciation!$E$38,IF(U5&lt;Assumptions!$C$52,1/Assumptions!$C$52,0))</f>
        <v>0.05</v>
      </c>
      <c r="V38" s="536">
        <f>IF(V5=Assumptions!$C$52,1/Assumptions!$C$52-Depreciation!$E$38,IF(V5&lt;Assumptions!$C$52,1/Assumptions!$C$52,0))</f>
        <v>0.05</v>
      </c>
      <c r="W38" s="536">
        <f>IF(W5=Assumptions!$C$52,1/Assumptions!$C$52-Depreciation!$E$38,IF(W5&lt;Assumptions!$C$52,1/Assumptions!$C$52,0))</f>
        <v>0.05</v>
      </c>
      <c r="X38" s="536">
        <f>IF(X5=Assumptions!$C$52,1/Assumptions!$C$52-Depreciation!$E$38,IF(X5&lt;Assumptions!$C$52,1/Assumptions!$C$52,0))</f>
        <v>0.05</v>
      </c>
      <c r="Y38" s="536">
        <f>IF(Y5=Assumptions!$C$52,1/Assumptions!$C$52-Depreciation!$E$38,IF(Y5&lt;Assumptions!$C$52,1/Assumptions!$C$52,0))</f>
        <v>1.666666666666667E-2</v>
      </c>
      <c r="Z38" s="536">
        <f>IF(Z5=Assumptions!$C$52,1/Assumptions!$C$52-Depreciation!$E$38,IF(Z5&lt;Assumptions!$C$52,1/Assumptions!$C$52,0))</f>
        <v>0</v>
      </c>
      <c r="AA38" s="136"/>
    </row>
    <row r="39" spans="1:29" s="16" customFormat="1" ht="15">
      <c r="A39" s="18"/>
      <c r="B39" s="42"/>
      <c r="C39" s="35"/>
      <c r="D39" s="135"/>
      <c r="AA39" s="138"/>
    </row>
    <row r="40" spans="1:29" s="16" customFormat="1">
      <c r="A40" s="30" t="s">
        <v>161</v>
      </c>
      <c r="B40" s="134">
        <f>B16</f>
        <v>1202708.2045976263</v>
      </c>
      <c r="C40" s="135"/>
      <c r="D40" s="135"/>
      <c r="E40" s="136">
        <f t="shared" ref="E40:Z40" si="10">E37*$B$40</f>
        <v>24054.164091952527</v>
      </c>
      <c r="F40" s="136">
        <f t="shared" si="10"/>
        <v>54121.869206893192</v>
      </c>
      <c r="G40" s="136">
        <f t="shared" si="10"/>
        <v>54121.869206893192</v>
      </c>
      <c r="H40" s="136">
        <f t="shared" si="10"/>
        <v>54121.869206893192</v>
      </c>
      <c r="I40" s="136">
        <f t="shared" si="10"/>
        <v>54121.869206893192</v>
      </c>
      <c r="J40" s="136">
        <f t="shared" si="10"/>
        <v>54121.869206893192</v>
      </c>
      <c r="K40" s="136">
        <f t="shared" si="10"/>
        <v>54121.869206893192</v>
      </c>
      <c r="L40" s="136">
        <f t="shared" si="10"/>
        <v>54121.869206893192</v>
      </c>
      <c r="M40" s="136">
        <f t="shared" si="10"/>
        <v>54121.869206893192</v>
      </c>
      <c r="N40" s="136">
        <f t="shared" si="10"/>
        <v>54121.869206893192</v>
      </c>
      <c r="O40" s="136">
        <f t="shared" si="10"/>
        <v>54121.869206893192</v>
      </c>
      <c r="P40" s="136">
        <f t="shared" si="10"/>
        <v>54121.869206893192</v>
      </c>
      <c r="Q40" s="136">
        <f t="shared" si="10"/>
        <v>54121.869206893192</v>
      </c>
      <c r="R40" s="136">
        <f t="shared" si="10"/>
        <v>54121.869206893192</v>
      </c>
      <c r="S40" s="136">
        <f t="shared" si="10"/>
        <v>54121.869206893192</v>
      </c>
      <c r="T40" s="136">
        <f t="shared" si="10"/>
        <v>54121.869206893192</v>
      </c>
      <c r="U40" s="136">
        <f t="shared" si="10"/>
        <v>54121.869206893192</v>
      </c>
      <c r="V40" s="136">
        <f t="shared" si="10"/>
        <v>54121.869206893192</v>
      </c>
      <c r="W40" s="136">
        <f t="shared" si="10"/>
        <v>54121.869206893192</v>
      </c>
      <c r="X40" s="136">
        <f t="shared" si="10"/>
        <v>54121.869206893192</v>
      </c>
      <c r="Y40" s="136">
        <f t="shared" si="10"/>
        <v>54121.869206893192</v>
      </c>
      <c r="Z40" s="136">
        <f t="shared" si="10"/>
        <v>54121.869206893192</v>
      </c>
      <c r="AA40" s="136"/>
    </row>
    <row r="41" spans="1:29" s="16" customFormat="1" ht="15">
      <c r="A41" s="31" t="s">
        <v>154</v>
      </c>
      <c r="B41" s="137">
        <f>B17</f>
        <v>19500</v>
      </c>
      <c r="C41" s="135"/>
      <c r="D41" s="50"/>
      <c r="E41" s="138">
        <f t="shared" ref="E41:Z41" si="11">E38*$B$41</f>
        <v>650</v>
      </c>
      <c r="F41" s="138">
        <f t="shared" si="11"/>
        <v>975</v>
      </c>
      <c r="G41" s="138">
        <f t="shared" si="11"/>
        <v>975</v>
      </c>
      <c r="H41" s="138">
        <f t="shared" si="11"/>
        <v>975</v>
      </c>
      <c r="I41" s="138">
        <f t="shared" si="11"/>
        <v>975</v>
      </c>
      <c r="J41" s="138">
        <f t="shared" si="11"/>
        <v>975</v>
      </c>
      <c r="K41" s="138">
        <f t="shared" si="11"/>
        <v>975</v>
      </c>
      <c r="L41" s="138">
        <f t="shared" si="11"/>
        <v>975</v>
      </c>
      <c r="M41" s="138">
        <f t="shared" si="11"/>
        <v>975</v>
      </c>
      <c r="N41" s="138">
        <f t="shared" si="11"/>
        <v>975</v>
      </c>
      <c r="O41" s="138">
        <f t="shared" si="11"/>
        <v>975</v>
      </c>
      <c r="P41" s="138">
        <f t="shared" si="11"/>
        <v>975</v>
      </c>
      <c r="Q41" s="138">
        <f t="shared" si="11"/>
        <v>975</v>
      </c>
      <c r="R41" s="138">
        <f t="shared" si="11"/>
        <v>975</v>
      </c>
      <c r="S41" s="138">
        <f t="shared" si="11"/>
        <v>975</v>
      </c>
      <c r="T41" s="138">
        <f t="shared" si="11"/>
        <v>975</v>
      </c>
      <c r="U41" s="138">
        <f t="shared" si="11"/>
        <v>975</v>
      </c>
      <c r="V41" s="138">
        <f t="shared" si="11"/>
        <v>975</v>
      </c>
      <c r="W41" s="138">
        <f t="shared" si="11"/>
        <v>975</v>
      </c>
      <c r="X41" s="138">
        <f t="shared" si="11"/>
        <v>975</v>
      </c>
      <c r="Y41" s="138">
        <f t="shared" si="11"/>
        <v>325.00000000000006</v>
      </c>
      <c r="Z41" s="138">
        <f t="shared" si="11"/>
        <v>0</v>
      </c>
      <c r="AA41" s="18"/>
    </row>
    <row r="42" spans="1:29" s="16" customFormat="1">
      <c r="A42" s="22" t="s">
        <v>156</v>
      </c>
      <c r="B42" s="136">
        <f>SUM(B40:B41)</f>
        <v>1222208.2045976263</v>
      </c>
      <c r="C42" s="135"/>
      <c r="D42" s="50"/>
      <c r="E42" s="136">
        <f t="shared" ref="E42:Z42" si="12">SUM(E40:E41)</f>
        <v>24704.164091952527</v>
      </c>
      <c r="F42" s="136">
        <f t="shared" si="12"/>
        <v>55096.869206893192</v>
      </c>
      <c r="G42" s="136">
        <f t="shared" si="12"/>
        <v>55096.869206893192</v>
      </c>
      <c r="H42" s="136">
        <f t="shared" si="12"/>
        <v>55096.869206893192</v>
      </c>
      <c r="I42" s="136">
        <f t="shared" si="12"/>
        <v>55096.869206893192</v>
      </c>
      <c r="J42" s="136">
        <f t="shared" si="12"/>
        <v>55096.869206893192</v>
      </c>
      <c r="K42" s="136">
        <f t="shared" si="12"/>
        <v>55096.869206893192</v>
      </c>
      <c r="L42" s="136">
        <f t="shared" si="12"/>
        <v>55096.869206893192</v>
      </c>
      <c r="M42" s="136">
        <f t="shared" si="12"/>
        <v>55096.869206893192</v>
      </c>
      <c r="N42" s="136">
        <f t="shared" si="12"/>
        <v>55096.869206893192</v>
      </c>
      <c r="O42" s="136">
        <f t="shared" si="12"/>
        <v>55096.869206893192</v>
      </c>
      <c r="P42" s="136">
        <f t="shared" si="12"/>
        <v>55096.869206893192</v>
      </c>
      <c r="Q42" s="136">
        <f t="shared" si="12"/>
        <v>55096.869206893192</v>
      </c>
      <c r="R42" s="136">
        <f t="shared" si="12"/>
        <v>55096.869206893192</v>
      </c>
      <c r="S42" s="136">
        <f t="shared" si="12"/>
        <v>55096.869206893192</v>
      </c>
      <c r="T42" s="136">
        <f t="shared" si="12"/>
        <v>55096.869206893192</v>
      </c>
      <c r="U42" s="136">
        <f t="shared" si="12"/>
        <v>55096.869206893192</v>
      </c>
      <c r="V42" s="136">
        <f t="shared" si="12"/>
        <v>55096.869206893192</v>
      </c>
      <c r="W42" s="136">
        <f t="shared" si="12"/>
        <v>55096.869206893192</v>
      </c>
      <c r="X42" s="136">
        <f t="shared" si="12"/>
        <v>55096.869206893192</v>
      </c>
      <c r="Y42" s="136">
        <f t="shared" si="12"/>
        <v>54446.869206893192</v>
      </c>
      <c r="Z42" s="136">
        <f t="shared" si="12"/>
        <v>54121.869206893192</v>
      </c>
      <c r="AA42" s="136"/>
    </row>
    <row r="43" spans="1:29">
      <c r="A43" s="31"/>
      <c r="AB43" s="16"/>
      <c r="AC43" s="16"/>
    </row>
    <row r="44" spans="1:29" s="36" customFormat="1">
      <c r="A44" s="22" t="s">
        <v>162</v>
      </c>
      <c r="B44" s="37">
        <f>B42</f>
        <v>1222208.2045976263</v>
      </c>
      <c r="C44" s="35"/>
      <c r="D44" s="35"/>
      <c r="E44" s="136">
        <f>B42-E42</f>
        <v>1197504.0405056737</v>
      </c>
      <c r="F44" s="136">
        <f>E44-F42</f>
        <v>1142407.1712987805</v>
      </c>
      <c r="G44" s="136">
        <f t="shared" ref="G44:Z44" si="13">F44-G42</f>
        <v>1087310.3020918872</v>
      </c>
      <c r="H44" s="136">
        <f t="shared" si="13"/>
        <v>1032213.4328849941</v>
      </c>
      <c r="I44" s="136">
        <f t="shared" si="13"/>
        <v>977116.56367810094</v>
      </c>
      <c r="J44" s="136">
        <f t="shared" si="13"/>
        <v>922019.6944712078</v>
      </c>
      <c r="K44" s="136">
        <f t="shared" si="13"/>
        <v>866922.82526431466</v>
      </c>
      <c r="L44" s="136">
        <f t="shared" si="13"/>
        <v>811825.95605742151</v>
      </c>
      <c r="M44" s="136">
        <f t="shared" si="13"/>
        <v>756729.08685052837</v>
      </c>
      <c r="N44" s="136">
        <f t="shared" si="13"/>
        <v>701632.21764363523</v>
      </c>
      <c r="O44" s="136">
        <f t="shared" si="13"/>
        <v>646535.34843674209</v>
      </c>
      <c r="P44" s="136">
        <f t="shared" si="13"/>
        <v>591438.47922984895</v>
      </c>
      <c r="Q44" s="136">
        <f t="shared" si="13"/>
        <v>536341.61002295581</v>
      </c>
      <c r="R44" s="136">
        <f t="shared" si="13"/>
        <v>481244.74081606261</v>
      </c>
      <c r="S44" s="136">
        <f t="shared" si="13"/>
        <v>426147.87160916941</v>
      </c>
      <c r="T44" s="136">
        <f t="shared" si="13"/>
        <v>371051.00240227621</v>
      </c>
      <c r="U44" s="136">
        <f t="shared" si="13"/>
        <v>315954.13319538301</v>
      </c>
      <c r="V44" s="136">
        <f t="shared" si="13"/>
        <v>260857.26398848981</v>
      </c>
      <c r="W44" s="136">
        <f t="shared" si="13"/>
        <v>205760.39478159661</v>
      </c>
      <c r="X44" s="136">
        <f t="shared" si="13"/>
        <v>150663.52557470341</v>
      </c>
      <c r="Y44" s="136">
        <f t="shared" si="13"/>
        <v>96216.65636781021</v>
      </c>
      <c r="Z44" s="136">
        <f t="shared" si="13"/>
        <v>42094.787160917018</v>
      </c>
      <c r="AA44" s="38"/>
      <c r="AB44" s="18"/>
      <c r="AC44" s="18"/>
    </row>
    <row r="45" spans="1:29">
      <c r="AB45" s="36"/>
      <c r="AC45" s="36"/>
    </row>
  </sheetData>
  <pageMargins left="0.18" right="0.17" top="0.37" bottom="0.4" header="0.17" footer="0.21"/>
  <pageSetup scale="34" orientation="landscape" r:id="rId1"/>
  <headerFooter alignWithMargins="0">
    <oddFooter>&amp;L&amp;T, &amp;D&amp;C&amp;F&amp;RPage &amp;P</oddFooter>
  </headerFooter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>
      <selection activeCell="D30" sqref="D30"/>
    </sheetView>
  </sheetViews>
  <sheetFormatPr defaultRowHeight="12.75"/>
  <cols>
    <col min="1" max="1" width="38.28515625" style="18" customWidth="1"/>
    <col min="2" max="2" width="9.140625" style="18"/>
    <col min="3" max="3" width="16.85546875" style="18" customWidth="1"/>
    <col min="4" max="23" width="10.5703125" style="18" customWidth="1"/>
    <col min="24" max="24" width="12.7109375" style="18" bestFit="1" customWidth="1"/>
    <col min="25" max="25" width="13.140625" style="18" bestFit="1" customWidth="1"/>
    <col min="26" max="26" width="10.5703125" style="7" customWidth="1"/>
    <col min="27" max="27" width="10" style="7" customWidth="1"/>
    <col min="28" max="16384" width="9.140625" style="7"/>
  </cols>
  <sheetData>
    <row r="2" spans="1:28" ht="18.75">
      <c r="A2" s="163" t="str">
        <f>Assumptions!A3</f>
        <v>PROJECT NAME:</v>
      </c>
    </row>
    <row r="4" spans="1:28" ht="18.75">
      <c r="A4" s="108" t="s">
        <v>286</v>
      </c>
      <c r="B4" s="409"/>
      <c r="C4" s="144"/>
      <c r="D4" s="144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28"/>
      <c r="AA4" s="128"/>
    </row>
    <row r="5" spans="1:28">
      <c r="A5" s="114"/>
      <c r="B5" s="144"/>
      <c r="C5" s="144"/>
      <c r="D5" s="145"/>
      <c r="E5" s="20"/>
      <c r="F5" s="20"/>
      <c r="G5" s="20"/>
      <c r="H5" s="20"/>
      <c r="I5" s="20"/>
      <c r="J5" s="20"/>
      <c r="K5" s="142"/>
      <c r="L5" s="20"/>
      <c r="M5" s="20"/>
      <c r="N5" s="20"/>
      <c r="O5" s="20"/>
      <c r="P5" s="20"/>
      <c r="Q5" s="142"/>
      <c r="R5" s="20"/>
      <c r="S5" s="20"/>
      <c r="T5" s="20"/>
      <c r="U5" s="20"/>
      <c r="V5" s="20"/>
      <c r="W5" s="142"/>
      <c r="X5" s="20"/>
      <c r="Y5" s="20"/>
      <c r="Z5" s="183"/>
      <c r="AA5" s="183"/>
    </row>
    <row r="6" spans="1:28">
      <c r="A6" s="320"/>
      <c r="B6" s="19"/>
      <c r="C6" s="322"/>
      <c r="D6" s="354">
        <v>1</v>
      </c>
      <c r="E6" s="354">
        <v>2</v>
      </c>
      <c r="F6" s="354">
        <v>3</v>
      </c>
      <c r="G6" s="354">
        <v>4</v>
      </c>
      <c r="H6" s="354">
        <v>5</v>
      </c>
      <c r="I6" s="355">
        <v>6</v>
      </c>
      <c r="J6" s="354">
        <v>7</v>
      </c>
      <c r="K6" s="354">
        <v>8</v>
      </c>
      <c r="L6" s="354">
        <v>9</v>
      </c>
      <c r="M6" s="354">
        <v>10</v>
      </c>
      <c r="N6" s="354">
        <v>11</v>
      </c>
      <c r="O6" s="355">
        <v>12</v>
      </c>
      <c r="P6" s="354">
        <v>13</v>
      </c>
      <c r="Q6" s="354">
        <v>14</v>
      </c>
      <c r="R6" s="354">
        <v>15</v>
      </c>
      <c r="S6" s="354">
        <v>16</v>
      </c>
      <c r="T6" s="354">
        <v>17</v>
      </c>
      <c r="U6" s="355">
        <v>18</v>
      </c>
      <c r="V6" s="354">
        <v>19</v>
      </c>
      <c r="W6" s="354">
        <v>20</v>
      </c>
      <c r="X6" s="354">
        <v>21</v>
      </c>
      <c r="Y6" s="354">
        <v>22</v>
      </c>
      <c r="Z6" s="184"/>
      <c r="AA6" s="183"/>
    </row>
    <row r="7" spans="1:28" ht="13.5" thickBot="1">
      <c r="A7" s="266" t="s">
        <v>94</v>
      </c>
      <c r="B7" s="364"/>
      <c r="C7" s="364"/>
      <c r="D7" s="9">
        <f>'Power Price Assumption'!F10</f>
        <v>2000</v>
      </c>
      <c r="E7" s="9">
        <f>'Power Price Assumption'!G10</f>
        <v>2001</v>
      </c>
      <c r="F7" s="9">
        <f>'Power Price Assumption'!H10</f>
        <v>2002</v>
      </c>
      <c r="G7" s="9">
        <f>'Power Price Assumption'!I10</f>
        <v>2003</v>
      </c>
      <c r="H7" s="9">
        <f>'Power Price Assumption'!J10</f>
        <v>2004</v>
      </c>
      <c r="I7" s="9">
        <f>'Power Price Assumption'!K10</f>
        <v>2005</v>
      </c>
      <c r="J7" s="9">
        <f>'Power Price Assumption'!L10</f>
        <v>2006</v>
      </c>
      <c r="K7" s="9">
        <f>'Power Price Assumption'!M10</f>
        <v>2007</v>
      </c>
      <c r="L7" s="9">
        <f>'Power Price Assumption'!N10</f>
        <v>2008</v>
      </c>
      <c r="M7" s="9">
        <f>'Power Price Assumption'!O10</f>
        <v>2009</v>
      </c>
      <c r="N7" s="9">
        <f>'Power Price Assumption'!P10</f>
        <v>2010</v>
      </c>
      <c r="O7" s="9">
        <f>'Power Price Assumption'!Q10</f>
        <v>2011</v>
      </c>
      <c r="P7" s="9">
        <f>'Power Price Assumption'!R10</f>
        <v>2012</v>
      </c>
      <c r="Q7" s="9">
        <f>'Power Price Assumption'!S10</f>
        <v>2013</v>
      </c>
      <c r="R7" s="9">
        <f>'Power Price Assumption'!T10</f>
        <v>2014</v>
      </c>
      <c r="S7" s="9">
        <f>'Power Price Assumption'!U10</f>
        <v>2015</v>
      </c>
      <c r="T7" s="9">
        <f>'Power Price Assumption'!V10</f>
        <v>2016</v>
      </c>
      <c r="U7" s="9">
        <f>'Power Price Assumption'!W10</f>
        <v>2017</v>
      </c>
      <c r="V7" s="9">
        <f>'Power Price Assumption'!X10</f>
        <v>2018</v>
      </c>
      <c r="W7" s="9">
        <f>'Power Price Assumption'!Y10</f>
        <v>2019</v>
      </c>
      <c r="X7" s="9">
        <f>'Power Price Assumption'!Z10</f>
        <v>2020</v>
      </c>
      <c r="Y7" s="9">
        <f>'Power Price Assumption'!AA10</f>
        <v>2021</v>
      </c>
    </row>
    <row r="8" spans="1:28">
      <c r="A8" s="320"/>
      <c r="B8" s="365"/>
      <c r="C8" s="365"/>
      <c r="D8" s="365"/>
      <c r="E8" s="365"/>
      <c r="F8" s="36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>
      <c r="A9" s="324" t="s">
        <v>163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44"/>
      <c r="AA9" s="144"/>
    </row>
    <row r="10" spans="1:28">
      <c r="A10" s="32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44"/>
      <c r="AA10" s="144"/>
    </row>
    <row r="11" spans="1:28">
      <c r="A11" s="324"/>
      <c r="B11" s="19"/>
      <c r="C11" s="19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182"/>
      <c r="AA11" s="182"/>
    </row>
    <row r="12" spans="1:28" ht="13.5">
      <c r="A12" s="32" t="s">
        <v>164</v>
      </c>
      <c r="B12" s="19"/>
      <c r="C12" s="19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182"/>
      <c r="AA12" s="182"/>
    </row>
    <row r="13" spans="1:28">
      <c r="A13" s="30" t="s">
        <v>165</v>
      </c>
      <c r="B13" s="326"/>
      <c r="C13" s="23"/>
      <c r="D13" s="27">
        <f>IS!D42</f>
        <v>98142.37655625648</v>
      </c>
      <c r="E13" s="27">
        <f>IS!E42</f>
        <v>136583.02442445364</v>
      </c>
      <c r="F13" s="27">
        <f>IS!F42</f>
        <v>139172.83686619907</v>
      </c>
      <c r="G13" s="27">
        <f>IS!G42</f>
        <v>144785.60174036771</v>
      </c>
      <c r="H13" s="27">
        <f>IS!H42</f>
        <v>148455.54294219901</v>
      </c>
      <c r="I13" s="27">
        <f>IS!I42</f>
        <v>157738.27937011112</v>
      </c>
      <c r="J13" s="27">
        <f>IS!J42</f>
        <v>159617.97159763196</v>
      </c>
      <c r="K13" s="27">
        <f>IS!K42</f>
        <v>160959.28765660879</v>
      </c>
      <c r="L13" s="27">
        <f>IS!L42</f>
        <v>161508.96555264166</v>
      </c>
      <c r="M13" s="27">
        <f>IS!M42</f>
        <v>160879.2442188494</v>
      </c>
      <c r="N13" s="27">
        <f>IS!N42</f>
        <v>158457.70606683349</v>
      </c>
      <c r="O13" s="27">
        <f>IS!O42</f>
        <v>152448.98201957106</v>
      </c>
      <c r="P13" s="27">
        <f>IS!P42</f>
        <v>142819.61372595237</v>
      </c>
      <c r="Q13" s="27">
        <f>IS!Q42</f>
        <v>121624.56067442364</v>
      </c>
      <c r="R13" s="27">
        <f>IS!R42</f>
        <v>92422.818137713446</v>
      </c>
      <c r="S13" s="27">
        <f>IS!S42</f>
        <v>42398.606506546559</v>
      </c>
      <c r="T13" s="27">
        <f>IS!T42</f>
        <v>-44072.289338530732</v>
      </c>
      <c r="U13" s="27">
        <f>IS!U42</f>
        <v>-196019.59133680939</v>
      </c>
      <c r="V13" s="27">
        <f>IS!V42</f>
        <v>-468501.04712610267</v>
      </c>
      <c r="W13" s="27">
        <f>IS!W42</f>
        <v>-973684.41125123913</v>
      </c>
      <c r="X13" s="27">
        <f>IS!X42</f>
        <v>-1913498.7969187647</v>
      </c>
      <c r="Y13" s="27">
        <f>IS!Y42</f>
        <v>-3739008.5596860475</v>
      </c>
      <c r="Z13" s="185"/>
      <c r="AA13" s="185"/>
    </row>
    <row r="14" spans="1:28">
      <c r="A14" s="30" t="s">
        <v>166</v>
      </c>
      <c r="B14" s="19"/>
      <c r="C14" s="25"/>
      <c r="D14" s="27">
        <f>IS!D36</f>
        <v>24704.164091952527</v>
      </c>
      <c r="E14" s="27">
        <f>IS!E36</f>
        <v>55096.869206893192</v>
      </c>
      <c r="F14" s="27">
        <f>IS!F36</f>
        <v>55096.869206893192</v>
      </c>
      <c r="G14" s="27">
        <f>IS!G36</f>
        <v>55096.869206893192</v>
      </c>
      <c r="H14" s="27">
        <f>IS!H36</f>
        <v>55096.869206893192</v>
      </c>
      <c r="I14" s="27">
        <f>IS!I36</f>
        <v>55096.869206893192</v>
      </c>
      <c r="J14" s="27">
        <f>IS!J36</f>
        <v>55096.869206893192</v>
      </c>
      <c r="K14" s="27">
        <f>IS!K36</f>
        <v>55096.869206893192</v>
      </c>
      <c r="L14" s="27">
        <f>IS!L36</f>
        <v>55096.869206893192</v>
      </c>
      <c r="M14" s="27">
        <f>IS!M36</f>
        <v>55096.869206893192</v>
      </c>
      <c r="N14" s="27">
        <f>IS!N36</f>
        <v>55096.869206893192</v>
      </c>
      <c r="O14" s="27">
        <f>IS!O36</f>
        <v>55096.869206893192</v>
      </c>
      <c r="P14" s="27">
        <f>IS!P36</f>
        <v>55096.869206893192</v>
      </c>
      <c r="Q14" s="27">
        <f>IS!Q36</f>
        <v>55096.869206893192</v>
      </c>
      <c r="R14" s="27">
        <f>IS!R36</f>
        <v>55096.869206893192</v>
      </c>
      <c r="S14" s="27">
        <f>IS!S36</f>
        <v>55096.869206893192</v>
      </c>
      <c r="T14" s="27">
        <f>IS!T36</f>
        <v>55096.869206893192</v>
      </c>
      <c r="U14" s="27">
        <f>IS!U36</f>
        <v>55096.869206893192</v>
      </c>
      <c r="V14" s="27">
        <f>IS!V36</f>
        <v>55096.869206893192</v>
      </c>
      <c r="W14" s="27">
        <f>IS!W36</f>
        <v>55096.869206893192</v>
      </c>
      <c r="X14" s="27">
        <f>IS!X36</f>
        <v>54446.869206893192</v>
      </c>
      <c r="Y14" s="27">
        <f>IS!Y36</f>
        <v>54121.869206893192</v>
      </c>
      <c r="Z14" s="185"/>
      <c r="AA14" s="185"/>
    </row>
    <row r="15" spans="1:28" ht="15">
      <c r="A15" s="30" t="s">
        <v>167</v>
      </c>
      <c r="B15" s="19"/>
      <c r="C15" s="19"/>
      <c r="D15" s="327">
        <f>-Depreciation!E30</f>
        <v>-60785.410229881323</v>
      </c>
      <c r="E15" s="327">
        <f>-Depreciation!F30</f>
        <v>-115232.27943677451</v>
      </c>
      <c r="F15" s="327">
        <f>-Depreciation!G30</f>
        <v>-103806.55149309707</v>
      </c>
      <c r="G15" s="327">
        <f>-Depreciation!H30</f>
        <v>-93583.531754017225</v>
      </c>
      <c r="H15" s="327">
        <f>-Depreciation!I30</f>
        <v>-84322.678578615509</v>
      </c>
      <c r="I15" s="327">
        <f>-Depreciation!J30</f>
        <v>-75903.72114643213</v>
      </c>
      <c r="J15" s="327">
        <f>-Depreciation!K30</f>
        <v>-71934.784071259957</v>
      </c>
      <c r="K15" s="327">
        <f>-Depreciation!L30</f>
        <v>-72055.054891719716</v>
      </c>
      <c r="L15" s="327">
        <f>-Depreciation!M30</f>
        <v>-71934.784071259957</v>
      </c>
      <c r="M15" s="327">
        <f>-Depreciation!N30</f>
        <v>-72055.054891719716</v>
      </c>
      <c r="N15" s="327">
        <f>-Depreciation!O30</f>
        <v>-71934.784071259957</v>
      </c>
      <c r="O15" s="327">
        <f>-Depreciation!P30</f>
        <v>-72055.054891719716</v>
      </c>
      <c r="P15" s="327">
        <f>-Depreciation!Q30</f>
        <v>-71934.784071259957</v>
      </c>
      <c r="Q15" s="327">
        <f>-Depreciation!R30</f>
        <v>-72055.054891719716</v>
      </c>
      <c r="R15" s="327">
        <f>-Depreciation!S30</f>
        <v>-71934.784071259957</v>
      </c>
      <c r="S15" s="327">
        <f>-Depreciation!T30</f>
        <v>-36454.892035629979</v>
      </c>
      <c r="T15" s="327">
        <f>-Depreciation!U30</f>
        <v>-975</v>
      </c>
      <c r="U15" s="327">
        <f>-Depreciation!V30</f>
        <v>-975</v>
      </c>
      <c r="V15" s="327">
        <f>-Depreciation!W30</f>
        <v>-975</v>
      </c>
      <c r="W15" s="327">
        <f>-Depreciation!X30</f>
        <v>-975</v>
      </c>
      <c r="X15" s="327">
        <f>-Depreciation!Y30</f>
        <v>-325.00000000000006</v>
      </c>
      <c r="Y15" s="327">
        <f>-Depreciation!Z30</f>
        <v>0</v>
      </c>
      <c r="Z15" s="188"/>
      <c r="AA15" s="188"/>
    </row>
    <row r="16" spans="1:28">
      <c r="A16" s="325" t="s">
        <v>168</v>
      </c>
      <c r="B16" s="19"/>
      <c r="C16" s="19"/>
      <c r="D16" s="33">
        <f>SUM(D13:D15)</f>
        <v>62061.130418327681</v>
      </c>
      <c r="E16" s="33">
        <f t="shared" ref="E16:Y16" si="0">SUM(E13:E15)</f>
        <v>76447.614194572336</v>
      </c>
      <c r="F16" s="33">
        <f t="shared" si="0"/>
        <v>90463.1545799952</v>
      </c>
      <c r="G16" s="33">
        <f t="shared" si="0"/>
        <v>106298.93919324368</v>
      </c>
      <c r="H16" s="33">
        <f t="shared" si="0"/>
        <v>119229.7335704767</v>
      </c>
      <c r="I16" s="33">
        <f t="shared" si="0"/>
        <v>136931.42743057219</v>
      </c>
      <c r="J16" s="33">
        <f t="shared" si="0"/>
        <v>142780.0567332652</v>
      </c>
      <c r="K16" s="33">
        <f t="shared" si="0"/>
        <v>144001.10197178228</v>
      </c>
      <c r="L16" s="33">
        <f t="shared" si="0"/>
        <v>144671.0506882749</v>
      </c>
      <c r="M16" s="33">
        <f t="shared" si="0"/>
        <v>143921.05853402289</v>
      </c>
      <c r="N16" s="33">
        <f t="shared" si="0"/>
        <v>141619.79120246673</v>
      </c>
      <c r="O16" s="33">
        <f t="shared" si="0"/>
        <v>135490.79633474455</v>
      </c>
      <c r="P16" s="33">
        <f t="shared" si="0"/>
        <v>125981.69886158561</v>
      </c>
      <c r="Q16" s="33">
        <f t="shared" si="0"/>
        <v>104666.37498959713</v>
      </c>
      <c r="R16" s="33">
        <f t="shared" si="0"/>
        <v>75584.903273346688</v>
      </c>
      <c r="S16" s="33">
        <f t="shared" si="0"/>
        <v>61040.583677809773</v>
      </c>
      <c r="T16" s="33">
        <f t="shared" si="0"/>
        <v>10049.57986836246</v>
      </c>
      <c r="U16" s="33">
        <f t="shared" si="0"/>
        <v>-141897.72212991619</v>
      </c>
      <c r="V16" s="33">
        <f t="shared" si="0"/>
        <v>-414379.17791920947</v>
      </c>
      <c r="W16" s="33">
        <f t="shared" si="0"/>
        <v>-919562.54204434599</v>
      </c>
      <c r="X16" s="33">
        <f t="shared" si="0"/>
        <v>-1859376.9277118715</v>
      </c>
      <c r="Y16" s="33">
        <f t="shared" si="0"/>
        <v>-3684886.6904791542</v>
      </c>
      <c r="Z16" s="182"/>
      <c r="AA16" s="182"/>
    </row>
    <row r="17" spans="1:27">
      <c r="A17" s="30"/>
      <c r="B17" s="19"/>
      <c r="C17" s="1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182"/>
      <c r="AA17" s="182"/>
    </row>
    <row r="18" spans="1:27">
      <c r="A18" s="30" t="s">
        <v>168</v>
      </c>
      <c r="B18" s="19"/>
      <c r="C18" s="29"/>
      <c r="D18" s="27">
        <f>D16</f>
        <v>62061.130418327681</v>
      </c>
      <c r="E18" s="27">
        <f t="shared" ref="E18:X18" si="1">E16</f>
        <v>76447.614194572336</v>
      </c>
      <c r="F18" s="27">
        <f t="shared" si="1"/>
        <v>90463.1545799952</v>
      </c>
      <c r="G18" s="27">
        <f t="shared" si="1"/>
        <v>106298.93919324368</v>
      </c>
      <c r="H18" s="27">
        <f t="shared" si="1"/>
        <v>119229.7335704767</v>
      </c>
      <c r="I18" s="27">
        <f t="shared" si="1"/>
        <v>136931.42743057219</v>
      </c>
      <c r="J18" s="27">
        <f t="shared" si="1"/>
        <v>142780.0567332652</v>
      </c>
      <c r="K18" s="27">
        <f t="shared" si="1"/>
        <v>144001.10197178228</v>
      </c>
      <c r="L18" s="27">
        <f t="shared" si="1"/>
        <v>144671.0506882749</v>
      </c>
      <c r="M18" s="27">
        <f t="shared" si="1"/>
        <v>143921.05853402289</v>
      </c>
      <c r="N18" s="27">
        <f t="shared" si="1"/>
        <v>141619.79120246673</v>
      </c>
      <c r="O18" s="27">
        <f t="shared" si="1"/>
        <v>135490.79633474455</v>
      </c>
      <c r="P18" s="27">
        <f t="shared" si="1"/>
        <v>125981.69886158561</v>
      </c>
      <c r="Q18" s="27">
        <f t="shared" si="1"/>
        <v>104666.37498959713</v>
      </c>
      <c r="R18" s="27">
        <f t="shared" si="1"/>
        <v>75584.903273346688</v>
      </c>
      <c r="S18" s="27">
        <f t="shared" si="1"/>
        <v>61040.583677809773</v>
      </c>
      <c r="T18" s="27">
        <f t="shared" si="1"/>
        <v>10049.57986836246</v>
      </c>
      <c r="U18" s="27">
        <f t="shared" si="1"/>
        <v>-141897.72212991619</v>
      </c>
      <c r="V18" s="27">
        <f t="shared" si="1"/>
        <v>-414379.17791920947</v>
      </c>
      <c r="W18" s="27">
        <f t="shared" si="1"/>
        <v>-919562.54204434599</v>
      </c>
      <c r="X18" s="27">
        <f t="shared" si="1"/>
        <v>-1859376.9277118715</v>
      </c>
      <c r="Y18" s="27">
        <f>Y16</f>
        <v>-3684886.6904791542</v>
      </c>
      <c r="Z18" s="185"/>
      <c r="AA18" s="185"/>
    </row>
    <row r="19" spans="1:27">
      <c r="A19" s="30" t="s">
        <v>293</v>
      </c>
      <c r="B19" s="19"/>
      <c r="C19" s="19"/>
      <c r="D19" s="328">
        <f>Assumptions!$L$46</f>
        <v>0.06</v>
      </c>
      <c r="E19" s="328">
        <f>Assumptions!$L$46</f>
        <v>0.06</v>
      </c>
      <c r="F19" s="328">
        <f>Assumptions!$L$46</f>
        <v>0.06</v>
      </c>
      <c r="G19" s="328">
        <f>Assumptions!$L$46</f>
        <v>0.06</v>
      </c>
      <c r="H19" s="328">
        <f>Assumptions!$L$46</f>
        <v>0.06</v>
      </c>
      <c r="I19" s="328">
        <f>Assumptions!$L$46</f>
        <v>0.06</v>
      </c>
      <c r="J19" s="328">
        <f>Assumptions!$L$46</f>
        <v>0.06</v>
      </c>
      <c r="K19" s="328">
        <f>Assumptions!$L$46</f>
        <v>0.06</v>
      </c>
      <c r="L19" s="328">
        <f>Assumptions!$L$46</f>
        <v>0.06</v>
      </c>
      <c r="M19" s="328">
        <f>Assumptions!$L$46</f>
        <v>0.06</v>
      </c>
      <c r="N19" s="328">
        <f>Assumptions!$L$46</f>
        <v>0.06</v>
      </c>
      <c r="O19" s="328">
        <f>Assumptions!$L$46</f>
        <v>0.06</v>
      </c>
      <c r="P19" s="328">
        <f>Assumptions!$L$46</f>
        <v>0.06</v>
      </c>
      <c r="Q19" s="328">
        <f>Assumptions!$L$46</f>
        <v>0.06</v>
      </c>
      <c r="R19" s="328">
        <f>Assumptions!$L$46</f>
        <v>0.06</v>
      </c>
      <c r="S19" s="328">
        <f>Assumptions!$L$46</f>
        <v>0.06</v>
      </c>
      <c r="T19" s="328">
        <f>Assumptions!$L$46</f>
        <v>0.06</v>
      </c>
      <c r="U19" s="328">
        <f>Assumptions!$L$46</f>
        <v>0.06</v>
      </c>
      <c r="V19" s="328">
        <f>Assumptions!$L$46</f>
        <v>0.06</v>
      </c>
      <c r="W19" s="328">
        <f>Assumptions!$L$46</f>
        <v>0.06</v>
      </c>
      <c r="X19" s="328">
        <f>Assumptions!$L$46</f>
        <v>0.06</v>
      </c>
      <c r="Y19" s="328">
        <f>Assumptions!$L$46</f>
        <v>0.06</v>
      </c>
      <c r="Z19" s="189"/>
      <c r="AA19" s="189"/>
    </row>
    <row r="20" spans="1:27">
      <c r="A20" s="30" t="s">
        <v>169</v>
      </c>
      <c r="B20" s="326"/>
      <c r="C20" s="23"/>
      <c r="D20" s="27">
        <f>D18*D19</f>
        <v>3723.6678250996606</v>
      </c>
      <c r="E20" s="27">
        <f t="shared" ref="E20:Y20" si="2">E18*E19</f>
        <v>4586.8568516743399</v>
      </c>
      <c r="F20" s="27">
        <f t="shared" si="2"/>
        <v>5427.7892747997121</v>
      </c>
      <c r="G20" s="27">
        <f t="shared" si="2"/>
        <v>6377.9363515946206</v>
      </c>
      <c r="H20" s="27">
        <f t="shared" si="2"/>
        <v>7153.7840142286022</v>
      </c>
      <c r="I20" s="27">
        <f t="shared" si="2"/>
        <v>8215.8856458343307</v>
      </c>
      <c r="J20" s="27">
        <f t="shared" si="2"/>
        <v>8566.8034039959111</v>
      </c>
      <c r="K20" s="27">
        <f t="shared" si="2"/>
        <v>8640.0661183069369</v>
      </c>
      <c r="L20" s="27">
        <f t="shared" si="2"/>
        <v>8680.2630412964936</v>
      </c>
      <c r="M20" s="27">
        <f t="shared" si="2"/>
        <v>8635.2635120413725</v>
      </c>
      <c r="N20" s="27">
        <f t="shared" si="2"/>
        <v>8497.1874721480035</v>
      </c>
      <c r="O20" s="27">
        <f t="shared" si="2"/>
        <v>8129.4477800846726</v>
      </c>
      <c r="P20" s="27">
        <f t="shared" si="2"/>
        <v>7558.9019316951362</v>
      </c>
      <c r="Q20" s="27">
        <f t="shared" si="2"/>
        <v>6279.9824993758275</v>
      </c>
      <c r="R20" s="27">
        <f t="shared" si="2"/>
        <v>4535.0941964008007</v>
      </c>
      <c r="S20" s="27">
        <f t="shared" si="2"/>
        <v>3662.4350206685863</v>
      </c>
      <c r="T20" s="27">
        <f t="shared" si="2"/>
        <v>602.97479210174754</v>
      </c>
      <c r="U20" s="27">
        <f t="shared" si="2"/>
        <v>-8513.8633277949702</v>
      </c>
      <c r="V20" s="27">
        <f t="shared" si="2"/>
        <v>-24862.750675152569</v>
      </c>
      <c r="W20" s="27">
        <f t="shared" si="2"/>
        <v>-55173.752522660754</v>
      </c>
      <c r="X20" s="27">
        <f t="shared" si="2"/>
        <v>-111562.61566271228</v>
      </c>
      <c r="Y20" s="27">
        <f t="shared" si="2"/>
        <v>-221093.20142874925</v>
      </c>
      <c r="Z20" s="185"/>
      <c r="AA20" s="185"/>
    </row>
    <row r="21" spans="1:27">
      <c r="A21" s="30"/>
      <c r="B21" s="19"/>
      <c r="C21" s="19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182"/>
      <c r="AA21" s="182"/>
    </row>
    <row r="22" spans="1:27">
      <c r="A22" s="30" t="s">
        <v>170</v>
      </c>
      <c r="B22" s="326"/>
      <c r="C22" s="23"/>
      <c r="D22" s="27">
        <v>0</v>
      </c>
      <c r="E22" s="27">
        <f>D26</f>
        <v>0</v>
      </c>
      <c r="F22" s="27">
        <f t="shared" ref="F22:Y22" si="3">E26</f>
        <v>0</v>
      </c>
      <c r="G22" s="27">
        <f t="shared" si="3"/>
        <v>0</v>
      </c>
      <c r="H22" s="27">
        <f t="shared" si="3"/>
        <v>0</v>
      </c>
      <c r="I22" s="27">
        <f t="shared" si="3"/>
        <v>0</v>
      </c>
      <c r="J22" s="27">
        <f t="shared" si="3"/>
        <v>0</v>
      </c>
      <c r="K22" s="27">
        <f t="shared" si="3"/>
        <v>0</v>
      </c>
      <c r="L22" s="27">
        <f t="shared" si="3"/>
        <v>0</v>
      </c>
      <c r="M22" s="27">
        <f t="shared" si="3"/>
        <v>0</v>
      </c>
      <c r="N22" s="27">
        <f t="shared" si="3"/>
        <v>0</v>
      </c>
      <c r="O22" s="27">
        <f t="shared" si="3"/>
        <v>0</v>
      </c>
      <c r="P22" s="27">
        <f t="shared" si="3"/>
        <v>0</v>
      </c>
      <c r="Q22" s="27">
        <f t="shared" si="3"/>
        <v>0</v>
      </c>
      <c r="R22" s="27">
        <f>Q26</f>
        <v>0</v>
      </c>
      <c r="S22" s="27">
        <f t="shared" si="3"/>
        <v>0</v>
      </c>
      <c r="T22" s="27">
        <f t="shared" si="3"/>
        <v>0</v>
      </c>
      <c r="U22" s="27">
        <f t="shared" si="3"/>
        <v>0</v>
      </c>
      <c r="V22" s="27">
        <v>0</v>
      </c>
      <c r="W22" s="27">
        <f t="shared" si="3"/>
        <v>24862.750675152569</v>
      </c>
      <c r="X22" s="27">
        <f t="shared" si="3"/>
        <v>80036.503197813319</v>
      </c>
      <c r="Y22" s="27">
        <f t="shared" si="3"/>
        <v>191599.1188605256</v>
      </c>
      <c r="Z22" s="185"/>
      <c r="AA22" s="185"/>
    </row>
    <row r="23" spans="1:27">
      <c r="A23" s="30" t="s">
        <v>171</v>
      </c>
      <c r="B23" s="326"/>
      <c r="C23" s="23"/>
      <c r="D23" s="346">
        <f>IF(D20&lt;0,-D20,0)</f>
        <v>0</v>
      </c>
      <c r="E23" s="346">
        <f t="shared" ref="E23:Y23" si="4">IF(E20&lt;0,-E20,0)</f>
        <v>0</v>
      </c>
      <c r="F23" s="346">
        <f t="shared" si="4"/>
        <v>0</v>
      </c>
      <c r="G23" s="346">
        <f t="shared" si="4"/>
        <v>0</v>
      </c>
      <c r="H23" s="346">
        <f t="shared" si="4"/>
        <v>0</v>
      </c>
      <c r="I23" s="346">
        <f t="shared" si="4"/>
        <v>0</v>
      </c>
      <c r="J23" s="346">
        <f t="shared" si="4"/>
        <v>0</v>
      </c>
      <c r="K23" s="346">
        <f t="shared" si="4"/>
        <v>0</v>
      </c>
      <c r="L23" s="346">
        <f t="shared" si="4"/>
        <v>0</v>
      </c>
      <c r="M23" s="346">
        <f t="shared" si="4"/>
        <v>0</v>
      </c>
      <c r="N23" s="346">
        <f t="shared" si="4"/>
        <v>0</v>
      </c>
      <c r="O23" s="346">
        <f t="shared" si="4"/>
        <v>0</v>
      </c>
      <c r="P23" s="346">
        <f t="shared" si="4"/>
        <v>0</v>
      </c>
      <c r="Q23" s="346">
        <f t="shared" si="4"/>
        <v>0</v>
      </c>
      <c r="R23" s="346">
        <f t="shared" si="4"/>
        <v>0</v>
      </c>
      <c r="S23" s="346">
        <f t="shared" si="4"/>
        <v>0</v>
      </c>
      <c r="T23" s="346">
        <f t="shared" si="4"/>
        <v>0</v>
      </c>
      <c r="U23" s="346">
        <f t="shared" si="4"/>
        <v>8513.8633277949702</v>
      </c>
      <c r="V23" s="346">
        <f t="shared" si="4"/>
        <v>24862.750675152569</v>
      </c>
      <c r="W23" s="346">
        <f t="shared" si="4"/>
        <v>55173.752522660754</v>
      </c>
      <c r="X23" s="346">
        <f t="shared" si="4"/>
        <v>111562.61566271228</v>
      </c>
      <c r="Y23" s="346">
        <f t="shared" si="4"/>
        <v>221093.20142874925</v>
      </c>
      <c r="Z23" s="185"/>
      <c r="AA23" s="185"/>
    </row>
    <row r="24" spans="1:27">
      <c r="A24" s="30" t="s">
        <v>172</v>
      </c>
      <c r="B24" s="326"/>
      <c r="C24" s="329"/>
      <c r="D24" s="330">
        <v>0</v>
      </c>
      <c r="E24" s="330">
        <v>0</v>
      </c>
      <c r="F24" s="330">
        <v>0</v>
      </c>
      <c r="G24" s="330">
        <v>0</v>
      </c>
      <c r="H24" s="330">
        <v>0</v>
      </c>
      <c r="I24" s="330">
        <v>0</v>
      </c>
      <c r="J24" s="330">
        <v>0</v>
      </c>
      <c r="K24" s="330">
        <v>0</v>
      </c>
      <c r="L24" s="330">
        <v>0</v>
      </c>
      <c r="M24" s="330">
        <v>0</v>
      </c>
      <c r="N24" s="330">
        <v>0</v>
      </c>
      <c r="O24" s="330">
        <v>0</v>
      </c>
      <c r="P24" s="330">
        <v>0</v>
      </c>
      <c r="Q24" s="330">
        <v>0</v>
      </c>
      <c r="R24" s="330">
        <v>0</v>
      </c>
      <c r="S24" s="330">
        <v>0</v>
      </c>
      <c r="T24" s="330">
        <v>0</v>
      </c>
      <c r="U24" s="330">
        <v>0</v>
      </c>
      <c r="V24" s="330">
        <v>0</v>
      </c>
      <c r="W24" s="330">
        <v>0</v>
      </c>
      <c r="X24" s="27">
        <f>IF(P23&gt;(SUM(Q25:W25)+SUM(P24:W24))*-1,P23-(SUM(P25:W25)+SUM(P24:W24))*-1,0)</f>
        <v>0</v>
      </c>
      <c r="Y24" s="27">
        <f>IF(Q23&gt;(SUM(R25:X25)+SUM(Q24:X24))*-1,Q23-(SUM(Q25:X25)+SUM(Q24:X24))*-1,0)</f>
        <v>0</v>
      </c>
      <c r="Z24" s="185"/>
      <c r="AA24" s="185"/>
    </row>
    <row r="25" spans="1:27">
      <c r="A25" s="19" t="s">
        <v>173</v>
      </c>
      <c r="B25" s="323"/>
      <c r="C25" s="19"/>
      <c r="D25" s="331">
        <f>IF(D20&lt;0,0,IF(D22&gt;D20,-D20,-D22))</f>
        <v>0</v>
      </c>
      <c r="E25" s="331">
        <f t="shared" ref="E25:X25" si="5">IF(E20&lt;0,0,IF(E22&gt;E20,-E20,-E22))</f>
        <v>0</v>
      </c>
      <c r="F25" s="331">
        <f t="shared" si="5"/>
        <v>0</v>
      </c>
      <c r="G25" s="331">
        <f t="shared" si="5"/>
        <v>0</v>
      </c>
      <c r="H25" s="331">
        <f t="shared" si="5"/>
        <v>0</v>
      </c>
      <c r="I25" s="331">
        <f t="shared" si="5"/>
        <v>0</v>
      </c>
      <c r="J25" s="331">
        <f t="shared" si="5"/>
        <v>0</v>
      </c>
      <c r="K25" s="331">
        <f t="shared" si="5"/>
        <v>0</v>
      </c>
      <c r="L25" s="331">
        <f t="shared" si="5"/>
        <v>0</v>
      </c>
      <c r="M25" s="331">
        <f t="shared" si="5"/>
        <v>0</v>
      </c>
      <c r="N25" s="331">
        <f t="shared" si="5"/>
        <v>0</v>
      </c>
      <c r="O25" s="331">
        <f t="shared" si="5"/>
        <v>0</v>
      </c>
      <c r="P25" s="331">
        <f t="shared" si="5"/>
        <v>0</v>
      </c>
      <c r="Q25" s="331">
        <f t="shared" si="5"/>
        <v>0</v>
      </c>
      <c r="R25" s="331">
        <f t="shared" si="5"/>
        <v>0</v>
      </c>
      <c r="S25" s="331">
        <f t="shared" si="5"/>
        <v>0</v>
      </c>
      <c r="T25" s="331">
        <f t="shared" si="5"/>
        <v>0</v>
      </c>
      <c r="U25" s="331">
        <f t="shared" si="5"/>
        <v>0</v>
      </c>
      <c r="V25" s="331">
        <f t="shared" si="5"/>
        <v>0</v>
      </c>
      <c r="W25" s="331">
        <f t="shared" si="5"/>
        <v>0</v>
      </c>
      <c r="X25" s="331">
        <f t="shared" si="5"/>
        <v>0</v>
      </c>
      <c r="Y25" s="331">
        <f>IF(Y20&lt;0,0,IF(Y22&gt;Y20,-Y20,-Y22))</f>
        <v>0</v>
      </c>
      <c r="Z25" s="190"/>
      <c r="AA25" s="190"/>
    </row>
    <row r="26" spans="1:27">
      <c r="A26" s="19" t="s">
        <v>174</v>
      </c>
      <c r="B26" s="323"/>
      <c r="C26" s="19"/>
      <c r="D26" s="331">
        <f t="shared" ref="D26:Y26" si="6">SUM(D22:D25)</f>
        <v>0</v>
      </c>
      <c r="E26" s="331">
        <f t="shared" si="6"/>
        <v>0</v>
      </c>
      <c r="F26" s="331">
        <f t="shared" si="6"/>
        <v>0</v>
      </c>
      <c r="G26" s="331">
        <f t="shared" si="6"/>
        <v>0</v>
      </c>
      <c r="H26" s="331">
        <f t="shared" si="6"/>
        <v>0</v>
      </c>
      <c r="I26" s="331">
        <f t="shared" si="6"/>
        <v>0</v>
      </c>
      <c r="J26" s="331">
        <f t="shared" si="6"/>
        <v>0</v>
      </c>
      <c r="K26" s="331">
        <f t="shared" si="6"/>
        <v>0</v>
      </c>
      <c r="L26" s="331">
        <f t="shared" si="6"/>
        <v>0</v>
      </c>
      <c r="M26" s="331">
        <f t="shared" si="6"/>
        <v>0</v>
      </c>
      <c r="N26" s="331">
        <f t="shared" si="6"/>
        <v>0</v>
      </c>
      <c r="O26" s="331">
        <f t="shared" si="6"/>
        <v>0</v>
      </c>
      <c r="P26" s="331">
        <f t="shared" si="6"/>
        <v>0</v>
      </c>
      <c r="Q26" s="331">
        <f t="shared" si="6"/>
        <v>0</v>
      </c>
      <c r="R26" s="331">
        <f t="shared" si="6"/>
        <v>0</v>
      </c>
      <c r="S26" s="331">
        <f t="shared" si="6"/>
        <v>0</v>
      </c>
      <c r="T26" s="331">
        <f t="shared" si="6"/>
        <v>0</v>
      </c>
      <c r="U26" s="331">
        <f t="shared" si="6"/>
        <v>8513.8633277949702</v>
      </c>
      <c r="V26" s="331">
        <f t="shared" si="6"/>
        <v>24862.750675152569</v>
      </c>
      <c r="W26" s="331">
        <f t="shared" si="6"/>
        <v>80036.503197813319</v>
      </c>
      <c r="X26" s="331">
        <f t="shared" si="6"/>
        <v>191599.1188605256</v>
      </c>
      <c r="Y26" s="331">
        <f t="shared" si="6"/>
        <v>412692.32028927485</v>
      </c>
      <c r="Z26" s="190"/>
      <c r="AA26" s="190"/>
    </row>
    <row r="27" spans="1:27">
      <c r="A27" s="19"/>
      <c r="B27" s="19"/>
      <c r="C27" s="19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182"/>
      <c r="AA27" s="182"/>
    </row>
    <row r="28" spans="1:27">
      <c r="A28" s="62" t="s">
        <v>175</v>
      </c>
      <c r="B28" s="19"/>
      <c r="C28" s="19"/>
      <c r="D28" s="33">
        <f>IF(D20&lt;0,0,D20+D25)</f>
        <v>3723.6678250996606</v>
      </c>
      <c r="E28" s="33">
        <f t="shared" ref="E28:X28" si="7">IF(E20&lt;0,0,E20+E25)</f>
        <v>4586.8568516743399</v>
      </c>
      <c r="F28" s="33">
        <f t="shared" si="7"/>
        <v>5427.7892747997121</v>
      </c>
      <c r="G28" s="33">
        <f t="shared" si="7"/>
        <v>6377.9363515946206</v>
      </c>
      <c r="H28" s="33">
        <f t="shared" si="7"/>
        <v>7153.7840142286022</v>
      </c>
      <c r="I28" s="33">
        <f t="shared" si="7"/>
        <v>8215.8856458343307</v>
      </c>
      <c r="J28" s="33">
        <f t="shared" si="7"/>
        <v>8566.8034039959111</v>
      </c>
      <c r="K28" s="33">
        <f t="shared" si="7"/>
        <v>8640.0661183069369</v>
      </c>
      <c r="L28" s="33">
        <f t="shared" si="7"/>
        <v>8680.2630412964936</v>
      </c>
      <c r="M28" s="33">
        <f t="shared" si="7"/>
        <v>8635.2635120413725</v>
      </c>
      <c r="N28" s="33">
        <f t="shared" si="7"/>
        <v>8497.1874721480035</v>
      </c>
      <c r="O28" s="33">
        <f t="shared" si="7"/>
        <v>8129.4477800846726</v>
      </c>
      <c r="P28" s="33">
        <f t="shared" si="7"/>
        <v>7558.9019316951362</v>
      </c>
      <c r="Q28" s="33">
        <f t="shared" si="7"/>
        <v>6279.9824993758275</v>
      </c>
      <c r="R28" s="33">
        <f t="shared" si="7"/>
        <v>4535.0941964008007</v>
      </c>
      <c r="S28" s="33">
        <f t="shared" si="7"/>
        <v>3662.4350206685863</v>
      </c>
      <c r="T28" s="33">
        <f t="shared" si="7"/>
        <v>602.97479210174754</v>
      </c>
      <c r="U28" s="33">
        <f t="shared" si="7"/>
        <v>0</v>
      </c>
      <c r="V28" s="33">
        <f t="shared" si="7"/>
        <v>0</v>
      </c>
      <c r="W28" s="33">
        <f t="shared" si="7"/>
        <v>0</v>
      </c>
      <c r="X28" s="33">
        <f t="shared" si="7"/>
        <v>0</v>
      </c>
      <c r="Y28" s="33">
        <f>IF(Y20&lt;0,0,Y20+Y25)</f>
        <v>0</v>
      </c>
      <c r="Z28" s="182"/>
      <c r="AA28" s="182"/>
    </row>
    <row r="29" spans="1:27">
      <c r="A29" s="19" t="s">
        <v>294</v>
      </c>
      <c r="B29" s="19"/>
      <c r="C29" s="19"/>
      <c r="D29" s="537">
        <v>0</v>
      </c>
      <c r="E29" s="537">
        <v>0</v>
      </c>
      <c r="F29" s="537">
        <v>0</v>
      </c>
      <c r="G29" s="537">
        <v>0</v>
      </c>
      <c r="H29" s="537">
        <v>0</v>
      </c>
      <c r="I29" s="537">
        <v>0</v>
      </c>
      <c r="J29" s="537">
        <v>0</v>
      </c>
      <c r="K29" s="537">
        <v>0</v>
      </c>
      <c r="L29" s="537">
        <v>0</v>
      </c>
      <c r="M29" s="537">
        <v>0</v>
      </c>
      <c r="N29" s="537">
        <v>0</v>
      </c>
      <c r="O29" s="537">
        <v>0</v>
      </c>
      <c r="P29" s="537">
        <v>0</v>
      </c>
      <c r="Q29" s="537">
        <v>0</v>
      </c>
      <c r="R29" s="537">
        <v>0</v>
      </c>
      <c r="S29" s="537">
        <v>0</v>
      </c>
      <c r="T29" s="537">
        <v>0</v>
      </c>
      <c r="U29" s="537">
        <v>0</v>
      </c>
      <c r="V29" s="537">
        <v>0</v>
      </c>
      <c r="W29" s="537">
        <v>0</v>
      </c>
      <c r="X29" s="537">
        <v>0</v>
      </c>
      <c r="Y29" s="537">
        <v>0</v>
      </c>
      <c r="Z29" s="187"/>
      <c r="AA29" s="187"/>
    </row>
    <row r="30" spans="1:27">
      <c r="A30" s="62" t="s">
        <v>176</v>
      </c>
      <c r="B30" s="19"/>
      <c r="C30" s="19"/>
      <c r="D30" s="347">
        <f t="shared" ref="D30:Y30" si="8">SUM(D28:D29)</f>
        <v>3723.6678250996606</v>
      </c>
      <c r="E30" s="348">
        <f t="shared" si="8"/>
        <v>4586.8568516743399</v>
      </c>
      <c r="F30" s="348">
        <f t="shared" si="8"/>
        <v>5427.7892747997121</v>
      </c>
      <c r="G30" s="348">
        <f t="shared" si="8"/>
        <v>6377.9363515946206</v>
      </c>
      <c r="H30" s="348">
        <f t="shared" si="8"/>
        <v>7153.7840142286022</v>
      </c>
      <c r="I30" s="348">
        <f t="shared" si="8"/>
        <v>8215.8856458343307</v>
      </c>
      <c r="J30" s="348">
        <f t="shared" si="8"/>
        <v>8566.8034039959111</v>
      </c>
      <c r="K30" s="348">
        <f t="shared" si="8"/>
        <v>8640.0661183069369</v>
      </c>
      <c r="L30" s="348">
        <f t="shared" si="8"/>
        <v>8680.2630412964936</v>
      </c>
      <c r="M30" s="348">
        <f t="shared" si="8"/>
        <v>8635.2635120413725</v>
      </c>
      <c r="N30" s="349">
        <f t="shared" si="8"/>
        <v>8497.1874721480035</v>
      </c>
      <c r="O30" s="347">
        <f t="shared" si="8"/>
        <v>8129.4477800846726</v>
      </c>
      <c r="P30" s="348">
        <f t="shared" si="8"/>
        <v>7558.9019316951362</v>
      </c>
      <c r="Q30" s="348">
        <f t="shared" si="8"/>
        <v>6279.9824993758275</v>
      </c>
      <c r="R30" s="348">
        <f t="shared" si="8"/>
        <v>4535.0941964008007</v>
      </c>
      <c r="S30" s="348">
        <f t="shared" si="8"/>
        <v>3662.4350206685863</v>
      </c>
      <c r="T30" s="348">
        <f t="shared" si="8"/>
        <v>602.97479210174754</v>
      </c>
      <c r="U30" s="348">
        <f t="shared" si="8"/>
        <v>0</v>
      </c>
      <c r="V30" s="348">
        <f t="shared" si="8"/>
        <v>0</v>
      </c>
      <c r="W30" s="348">
        <f t="shared" si="8"/>
        <v>0</v>
      </c>
      <c r="X30" s="348">
        <f t="shared" si="8"/>
        <v>0</v>
      </c>
      <c r="Y30" s="348">
        <f t="shared" si="8"/>
        <v>0</v>
      </c>
      <c r="Z30" s="309"/>
      <c r="AA30" s="309"/>
    </row>
    <row r="31" spans="1:27">
      <c r="A31" s="62"/>
      <c r="B31" s="19"/>
      <c r="C31" s="19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09"/>
      <c r="AA31" s="309"/>
    </row>
    <row r="32" spans="1:27">
      <c r="A32" s="30"/>
      <c r="B32" s="19"/>
      <c r="C32" s="19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85"/>
      <c r="AA32" s="185"/>
    </row>
    <row r="33" spans="1:27">
      <c r="A33" s="324" t="s">
        <v>177</v>
      </c>
      <c r="B33" s="19"/>
      <c r="C33" s="19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182"/>
      <c r="AA33" s="182"/>
    </row>
    <row r="34" spans="1:27">
      <c r="A34" s="30" t="s">
        <v>165</v>
      </c>
      <c r="B34" s="19"/>
      <c r="C34" s="25"/>
      <c r="D34" s="27">
        <f>D13</f>
        <v>98142.37655625648</v>
      </c>
      <c r="E34" s="27">
        <f t="shared" ref="E34:X34" si="9">E13</f>
        <v>136583.02442445364</v>
      </c>
      <c r="F34" s="27">
        <f t="shared" si="9"/>
        <v>139172.83686619907</v>
      </c>
      <c r="G34" s="27">
        <f t="shared" si="9"/>
        <v>144785.60174036771</v>
      </c>
      <c r="H34" s="27">
        <f t="shared" si="9"/>
        <v>148455.54294219901</v>
      </c>
      <c r="I34" s="27">
        <f t="shared" si="9"/>
        <v>157738.27937011112</v>
      </c>
      <c r="J34" s="27">
        <f t="shared" si="9"/>
        <v>159617.97159763196</v>
      </c>
      <c r="K34" s="27">
        <f t="shared" si="9"/>
        <v>160959.28765660879</v>
      </c>
      <c r="L34" s="27">
        <f t="shared" si="9"/>
        <v>161508.96555264166</v>
      </c>
      <c r="M34" s="27">
        <f t="shared" si="9"/>
        <v>160879.2442188494</v>
      </c>
      <c r="N34" s="27">
        <f t="shared" si="9"/>
        <v>158457.70606683349</v>
      </c>
      <c r="O34" s="27">
        <f t="shared" si="9"/>
        <v>152448.98201957106</v>
      </c>
      <c r="P34" s="27">
        <f t="shared" si="9"/>
        <v>142819.61372595237</v>
      </c>
      <c r="Q34" s="27">
        <f t="shared" si="9"/>
        <v>121624.56067442364</v>
      </c>
      <c r="R34" s="27">
        <f t="shared" si="9"/>
        <v>92422.818137713446</v>
      </c>
      <c r="S34" s="27">
        <f t="shared" si="9"/>
        <v>42398.606506546559</v>
      </c>
      <c r="T34" s="27">
        <f t="shared" si="9"/>
        <v>-44072.289338530732</v>
      </c>
      <c r="U34" s="27">
        <f t="shared" si="9"/>
        <v>-196019.59133680939</v>
      </c>
      <c r="V34" s="27">
        <f t="shared" si="9"/>
        <v>-468501.04712610267</v>
      </c>
      <c r="W34" s="27">
        <f t="shared" si="9"/>
        <v>-973684.41125123913</v>
      </c>
      <c r="X34" s="27">
        <f t="shared" si="9"/>
        <v>-1913498.7969187647</v>
      </c>
      <c r="Y34" s="27">
        <f>Y13</f>
        <v>-3739008.5596860475</v>
      </c>
      <c r="Z34" s="185"/>
      <c r="AA34" s="185"/>
    </row>
    <row r="35" spans="1:27">
      <c r="A35" s="30" t="s">
        <v>166</v>
      </c>
      <c r="B35" s="19"/>
      <c r="C35" s="25"/>
      <c r="D35" s="27">
        <f>D14</f>
        <v>24704.164091952527</v>
      </c>
      <c r="E35" s="27">
        <f t="shared" ref="E35:X35" si="10">E14</f>
        <v>55096.869206893192</v>
      </c>
      <c r="F35" s="27">
        <f t="shared" si="10"/>
        <v>55096.869206893192</v>
      </c>
      <c r="G35" s="27">
        <f t="shared" si="10"/>
        <v>55096.869206893192</v>
      </c>
      <c r="H35" s="27">
        <f t="shared" si="10"/>
        <v>55096.869206893192</v>
      </c>
      <c r="I35" s="27">
        <f t="shared" si="10"/>
        <v>55096.869206893192</v>
      </c>
      <c r="J35" s="27">
        <f t="shared" si="10"/>
        <v>55096.869206893192</v>
      </c>
      <c r="K35" s="27">
        <f t="shared" si="10"/>
        <v>55096.869206893192</v>
      </c>
      <c r="L35" s="27">
        <f t="shared" si="10"/>
        <v>55096.869206893192</v>
      </c>
      <c r="M35" s="27">
        <f t="shared" si="10"/>
        <v>55096.869206893192</v>
      </c>
      <c r="N35" s="27">
        <f t="shared" si="10"/>
        <v>55096.869206893192</v>
      </c>
      <c r="O35" s="27">
        <f t="shared" si="10"/>
        <v>55096.869206893192</v>
      </c>
      <c r="P35" s="27">
        <f t="shared" si="10"/>
        <v>55096.869206893192</v>
      </c>
      <c r="Q35" s="27">
        <f t="shared" si="10"/>
        <v>55096.869206893192</v>
      </c>
      <c r="R35" s="27">
        <f t="shared" si="10"/>
        <v>55096.869206893192</v>
      </c>
      <c r="S35" s="27">
        <f t="shared" si="10"/>
        <v>55096.869206893192</v>
      </c>
      <c r="T35" s="27">
        <f t="shared" si="10"/>
        <v>55096.869206893192</v>
      </c>
      <c r="U35" s="27">
        <f t="shared" si="10"/>
        <v>55096.869206893192</v>
      </c>
      <c r="V35" s="27">
        <f t="shared" si="10"/>
        <v>55096.869206893192</v>
      </c>
      <c r="W35" s="27">
        <f t="shared" si="10"/>
        <v>55096.869206893192</v>
      </c>
      <c r="X35" s="27">
        <f t="shared" si="10"/>
        <v>54446.869206893192</v>
      </c>
      <c r="Y35" s="27">
        <f>Y14</f>
        <v>54121.869206893192</v>
      </c>
      <c r="Z35" s="185"/>
      <c r="AA35" s="185"/>
    </row>
    <row r="36" spans="1:27">
      <c r="A36" s="30" t="s">
        <v>178</v>
      </c>
      <c r="B36" s="33"/>
      <c r="C36" s="27"/>
      <c r="D36" s="27">
        <f>-Depreciation!E18</f>
        <v>-60785.410229881323</v>
      </c>
      <c r="E36" s="27">
        <f>-Depreciation!F18</f>
        <v>-115232.27943677451</v>
      </c>
      <c r="F36" s="27">
        <f>-Depreciation!G18</f>
        <v>-103806.55149309707</v>
      </c>
      <c r="G36" s="27">
        <f>-Depreciation!H18</f>
        <v>-93583.531754017225</v>
      </c>
      <c r="H36" s="27">
        <f>-Depreciation!I18</f>
        <v>-84322.678578615509</v>
      </c>
      <c r="I36" s="27">
        <f>-Depreciation!J18</f>
        <v>-75903.72114643213</v>
      </c>
      <c r="J36" s="27">
        <f>-Depreciation!K18</f>
        <v>-71934.784071259957</v>
      </c>
      <c r="K36" s="27">
        <f>-Depreciation!L18</f>
        <v>-72055.054891719716</v>
      </c>
      <c r="L36" s="27">
        <f>-Depreciation!M18</f>
        <v>-71934.784071259957</v>
      </c>
      <c r="M36" s="27">
        <f>-Depreciation!N18</f>
        <v>-72055.054891719716</v>
      </c>
      <c r="N36" s="27">
        <f>-Depreciation!O18</f>
        <v>-71934.784071259957</v>
      </c>
      <c r="O36" s="27">
        <f>-Depreciation!P18</f>
        <v>-72055.054891719716</v>
      </c>
      <c r="P36" s="27">
        <f>-Depreciation!Q18</f>
        <v>-71934.784071259957</v>
      </c>
      <c r="Q36" s="27">
        <f>-Depreciation!R18</f>
        <v>-72055.054891719716</v>
      </c>
      <c r="R36" s="27">
        <f>-Depreciation!S18</f>
        <v>-71934.784071259957</v>
      </c>
      <c r="S36" s="27">
        <f>-Depreciation!T18</f>
        <v>-36454.892035629979</v>
      </c>
      <c r="T36" s="27">
        <f>-Depreciation!U18</f>
        <v>-975</v>
      </c>
      <c r="U36" s="27">
        <f>-Depreciation!V18</f>
        <v>-975</v>
      </c>
      <c r="V36" s="27">
        <f>-Depreciation!W18</f>
        <v>-975</v>
      </c>
      <c r="W36" s="27">
        <f>-Depreciation!X18</f>
        <v>-975</v>
      </c>
      <c r="X36" s="27">
        <f>-Depreciation!Y18</f>
        <v>-325.00000000000006</v>
      </c>
      <c r="Y36" s="27">
        <f>-Depreciation!Z18</f>
        <v>0</v>
      </c>
      <c r="Z36" s="185"/>
      <c r="AA36" s="185"/>
    </row>
    <row r="37" spans="1:27" ht="15">
      <c r="A37" s="30" t="s">
        <v>179</v>
      </c>
      <c r="B37" s="33"/>
      <c r="C37" s="33"/>
      <c r="D37" s="333">
        <f>-D30</f>
        <v>-3723.6678250996606</v>
      </c>
      <c r="E37" s="333">
        <f t="shared" ref="E37:X37" si="11">-E30</f>
        <v>-4586.8568516743399</v>
      </c>
      <c r="F37" s="333">
        <f t="shared" si="11"/>
        <v>-5427.7892747997121</v>
      </c>
      <c r="G37" s="333">
        <f t="shared" si="11"/>
        <v>-6377.9363515946206</v>
      </c>
      <c r="H37" s="333">
        <f t="shared" si="11"/>
        <v>-7153.7840142286022</v>
      </c>
      <c r="I37" s="333">
        <f t="shared" si="11"/>
        <v>-8215.8856458343307</v>
      </c>
      <c r="J37" s="333">
        <f t="shared" si="11"/>
        <v>-8566.8034039959111</v>
      </c>
      <c r="K37" s="333">
        <f t="shared" si="11"/>
        <v>-8640.0661183069369</v>
      </c>
      <c r="L37" s="333">
        <f t="shared" si="11"/>
        <v>-8680.2630412964936</v>
      </c>
      <c r="M37" s="333">
        <f t="shared" si="11"/>
        <v>-8635.2635120413725</v>
      </c>
      <c r="N37" s="333">
        <f t="shared" si="11"/>
        <v>-8497.1874721480035</v>
      </c>
      <c r="O37" s="333">
        <f t="shared" si="11"/>
        <v>-8129.4477800846726</v>
      </c>
      <c r="P37" s="333">
        <f t="shared" si="11"/>
        <v>-7558.9019316951362</v>
      </c>
      <c r="Q37" s="333">
        <f t="shared" si="11"/>
        <v>-6279.9824993758275</v>
      </c>
      <c r="R37" s="333">
        <f t="shared" si="11"/>
        <v>-4535.0941964008007</v>
      </c>
      <c r="S37" s="333">
        <f t="shared" si="11"/>
        <v>-3662.4350206685863</v>
      </c>
      <c r="T37" s="333">
        <f t="shared" si="11"/>
        <v>-602.97479210174754</v>
      </c>
      <c r="U37" s="333">
        <f t="shared" si="11"/>
        <v>0</v>
      </c>
      <c r="V37" s="333">
        <f t="shared" si="11"/>
        <v>0</v>
      </c>
      <c r="W37" s="333">
        <f t="shared" si="11"/>
        <v>0</v>
      </c>
      <c r="X37" s="333">
        <f t="shared" si="11"/>
        <v>0</v>
      </c>
      <c r="Y37" s="333">
        <f>-Y30</f>
        <v>0</v>
      </c>
      <c r="Z37" s="191"/>
      <c r="AA37" s="191"/>
    </row>
    <row r="38" spans="1:27">
      <c r="A38" s="325" t="s">
        <v>180</v>
      </c>
      <c r="B38" s="332"/>
      <c r="C38" s="64"/>
      <c r="D38" s="64">
        <f>SUM(D34:D37)</f>
        <v>58337.462593228018</v>
      </c>
      <c r="E38" s="64">
        <f t="shared" ref="E38:Y38" si="12">SUM(E34:E37)</f>
        <v>71860.757342897996</v>
      </c>
      <c r="F38" s="64">
        <f t="shared" si="12"/>
        <v>85035.36530519549</v>
      </c>
      <c r="G38" s="64">
        <f t="shared" si="12"/>
        <v>99921.002841649068</v>
      </c>
      <c r="H38" s="64">
        <f t="shared" si="12"/>
        <v>112075.9495562481</v>
      </c>
      <c r="I38" s="64">
        <f t="shared" si="12"/>
        <v>128715.54178473786</v>
      </c>
      <c r="J38" s="64">
        <f t="shared" si="12"/>
        <v>134213.2533292693</v>
      </c>
      <c r="K38" s="64">
        <f t="shared" si="12"/>
        <v>135361.03585347533</v>
      </c>
      <c r="L38" s="64">
        <f t="shared" si="12"/>
        <v>135990.7876469784</v>
      </c>
      <c r="M38" s="64">
        <f t="shared" si="12"/>
        <v>135285.79502198152</v>
      </c>
      <c r="N38" s="64">
        <f t="shared" si="12"/>
        <v>133122.60373031872</v>
      </c>
      <c r="O38" s="64">
        <f t="shared" si="12"/>
        <v>127361.34855465987</v>
      </c>
      <c r="P38" s="64">
        <f t="shared" si="12"/>
        <v>118422.79692989048</v>
      </c>
      <c r="Q38" s="64">
        <f t="shared" si="12"/>
        <v>98386.392490221304</v>
      </c>
      <c r="R38" s="64">
        <f t="shared" si="12"/>
        <v>71049.809076945894</v>
      </c>
      <c r="S38" s="64">
        <f t="shared" si="12"/>
        <v>57378.148657141188</v>
      </c>
      <c r="T38" s="64">
        <f t="shared" si="12"/>
        <v>9446.6050762607119</v>
      </c>
      <c r="U38" s="64">
        <f t="shared" si="12"/>
        <v>-141897.72212991619</v>
      </c>
      <c r="V38" s="64">
        <f t="shared" si="12"/>
        <v>-414379.17791920947</v>
      </c>
      <c r="W38" s="64">
        <f t="shared" si="12"/>
        <v>-919562.54204434599</v>
      </c>
      <c r="X38" s="64">
        <f t="shared" si="12"/>
        <v>-1859376.9277118715</v>
      </c>
      <c r="Y38" s="64">
        <f t="shared" si="12"/>
        <v>-3684886.6904791542</v>
      </c>
      <c r="Z38" s="186"/>
      <c r="AA38" s="186"/>
    </row>
    <row r="39" spans="1:27">
      <c r="A39" s="325"/>
      <c r="B39" s="332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186"/>
      <c r="AA39" s="186"/>
    </row>
    <row r="40" spans="1:27">
      <c r="A40" s="30" t="s">
        <v>181</v>
      </c>
      <c r="B40" s="19"/>
      <c r="C40" s="34"/>
      <c r="D40" s="334">
        <f>Assumptions!$L$45</f>
        <v>0.35</v>
      </c>
      <c r="E40" s="334">
        <f>Assumptions!$L$45</f>
        <v>0.35</v>
      </c>
      <c r="F40" s="334">
        <f>Assumptions!$L$45</f>
        <v>0.35</v>
      </c>
      <c r="G40" s="334">
        <f>Assumptions!$L$45</f>
        <v>0.35</v>
      </c>
      <c r="H40" s="334">
        <f>Assumptions!$L$45</f>
        <v>0.35</v>
      </c>
      <c r="I40" s="334">
        <f>Assumptions!$L$45</f>
        <v>0.35</v>
      </c>
      <c r="J40" s="334">
        <f>Assumptions!$L$45</f>
        <v>0.35</v>
      </c>
      <c r="K40" s="334">
        <f>Assumptions!$L$45</f>
        <v>0.35</v>
      </c>
      <c r="L40" s="334">
        <f>Assumptions!$L$45</f>
        <v>0.35</v>
      </c>
      <c r="M40" s="334">
        <f>Assumptions!$L$45</f>
        <v>0.35</v>
      </c>
      <c r="N40" s="334">
        <f>Assumptions!$L$45</f>
        <v>0.35</v>
      </c>
      <c r="O40" s="334">
        <f>Assumptions!$L$45</f>
        <v>0.35</v>
      </c>
      <c r="P40" s="334">
        <f>Assumptions!$L$45</f>
        <v>0.35</v>
      </c>
      <c r="Q40" s="334">
        <f>Assumptions!$L$45</f>
        <v>0.35</v>
      </c>
      <c r="R40" s="334">
        <f>Assumptions!$L$45</f>
        <v>0.35</v>
      </c>
      <c r="S40" s="334">
        <f>Assumptions!$L$45</f>
        <v>0.35</v>
      </c>
      <c r="T40" s="334">
        <f>Assumptions!$L$45</f>
        <v>0.35</v>
      </c>
      <c r="U40" s="334">
        <f>Assumptions!$L$45</f>
        <v>0.35</v>
      </c>
      <c r="V40" s="334">
        <f>Assumptions!$L$45</f>
        <v>0.35</v>
      </c>
      <c r="W40" s="334">
        <f>Assumptions!$L$45</f>
        <v>0.35</v>
      </c>
      <c r="X40" s="334">
        <f>Assumptions!$L$45</f>
        <v>0.35</v>
      </c>
      <c r="Y40" s="334">
        <f>Assumptions!$L$45</f>
        <v>0.35</v>
      </c>
      <c r="Z40" s="192"/>
      <c r="AA40" s="192"/>
    </row>
    <row r="41" spans="1:27">
      <c r="A41" s="30" t="s">
        <v>182</v>
      </c>
      <c r="B41" s="33"/>
      <c r="C41" s="27"/>
      <c r="D41" s="352">
        <f>D38*D40</f>
        <v>20418.111907629806</v>
      </c>
      <c r="E41" s="350">
        <f t="shared" ref="E41:Y41" si="13">E38*E40</f>
        <v>25151.265070014299</v>
      </c>
      <c r="F41" s="350">
        <f t="shared" si="13"/>
        <v>29762.377856818421</v>
      </c>
      <c r="G41" s="350">
        <f t="shared" si="13"/>
        <v>34972.350994577173</v>
      </c>
      <c r="H41" s="350">
        <f t="shared" si="13"/>
        <v>39226.582344686831</v>
      </c>
      <c r="I41" s="350">
        <f t="shared" si="13"/>
        <v>45050.439624658247</v>
      </c>
      <c r="J41" s="350">
        <f t="shared" si="13"/>
        <v>46974.638665244252</v>
      </c>
      <c r="K41" s="350">
        <f t="shared" si="13"/>
        <v>47376.362548716366</v>
      </c>
      <c r="L41" s="350">
        <f t="shared" si="13"/>
        <v>47596.775676442434</v>
      </c>
      <c r="M41" s="350">
        <f t="shared" si="13"/>
        <v>47350.028257693528</v>
      </c>
      <c r="N41" s="351">
        <f t="shared" si="13"/>
        <v>46592.911305611546</v>
      </c>
      <c r="O41" s="352">
        <f t="shared" si="13"/>
        <v>44576.471994130952</v>
      </c>
      <c r="P41" s="350">
        <f t="shared" si="13"/>
        <v>41447.978925461663</v>
      </c>
      <c r="Q41" s="350">
        <f t="shared" si="13"/>
        <v>34435.237371577452</v>
      </c>
      <c r="R41" s="350">
        <f t="shared" si="13"/>
        <v>24867.433176931063</v>
      </c>
      <c r="S41" s="350">
        <f t="shared" si="13"/>
        <v>20082.352029999416</v>
      </c>
      <c r="T41" s="350">
        <f t="shared" si="13"/>
        <v>3306.3117766912492</v>
      </c>
      <c r="U41" s="350">
        <f t="shared" si="13"/>
        <v>-49664.202745470662</v>
      </c>
      <c r="V41" s="350">
        <f t="shared" si="13"/>
        <v>-145032.71227172331</v>
      </c>
      <c r="W41" s="350">
        <f t="shared" si="13"/>
        <v>-321846.88971552107</v>
      </c>
      <c r="X41" s="350">
        <f t="shared" si="13"/>
        <v>-650781.92469915492</v>
      </c>
      <c r="Y41" s="350">
        <f t="shared" si="13"/>
        <v>-1289710.3416677038</v>
      </c>
      <c r="Z41" s="185"/>
      <c r="AA41" s="185"/>
    </row>
    <row r="42" spans="1:27">
      <c r="A42" s="19"/>
      <c r="B42" s="19"/>
      <c r="C42" s="19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182"/>
      <c r="AA42" s="182"/>
    </row>
    <row r="43" spans="1:27">
      <c r="A43" s="19" t="s">
        <v>183</v>
      </c>
      <c r="B43" s="323"/>
      <c r="C43" s="19"/>
      <c r="D43" s="346">
        <f>IF(D41&lt;0,-D41+C43-C44,C43-C44)</f>
        <v>0</v>
      </c>
      <c r="E43" s="346">
        <f>IF(E41&lt;0,-E41+D43-D44,D43-D44)</f>
        <v>0</v>
      </c>
      <c r="F43" s="346">
        <f>IF(F41&lt;0,-F41+E43-E44,E43-E44)</f>
        <v>0</v>
      </c>
      <c r="G43" s="346">
        <f>IF(G41&lt;0,-G41+F43-F44,F43-F44)</f>
        <v>0</v>
      </c>
      <c r="H43" s="346">
        <f t="shared" ref="H43:Y43" si="14">IF(H41&lt;0,-H41+G43-G44,G43-G44)</f>
        <v>0</v>
      </c>
      <c r="I43" s="346">
        <f t="shared" si="14"/>
        <v>0</v>
      </c>
      <c r="J43" s="346">
        <f t="shared" si="14"/>
        <v>0</v>
      </c>
      <c r="K43" s="346">
        <f t="shared" si="14"/>
        <v>0</v>
      </c>
      <c r="L43" s="346">
        <f t="shared" si="14"/>
        <v>0</v>
      </c>
      <c r="M43" s="346">
        <f t="shared" si="14"/>
        <v>0</v>
      </c>
      <c r="N43" s="346">
        <f t="shared" si="14"/>
        <v>0</v>
      </c>
      <c r="O43" s="346">
        <f t="shared" si="14"/>
        <v>0</v>
      </c>
      <c r="P43" s="346">
        <f t="shared" si="14"/>
        <v>0</v>
      </c>
      <c r="Q43" s="346">
        <f t="shared" si="14"/>
        <v>0</v>
      </c>
      <c r="R43" s="346">
        <f t="shared" si="14"/>
        <v>0</v>
      </c>
      <c r="S43" s="346">
        <f t="shared" si="14"/>
        <v>0</v>
      </c>
      <c r="T43" s="346">
        <f t="shared" si="14"/>
        <v>0</v>
      </c>
      <c r="U43" s="346">
        <f t="shared" si="14"/>
        <v>49664.202745470662</v>
      </c>
      <c r="V43" s="346">
        <f t="shared" si="14"/>
        <v>194696.91501719397</v>
      </c>
      <c r="W43" s="346">
        <f t="shared" si="14"/>
        <v>516543.80473271501</v>
      </c>
      <c r="X43" s="346">
        <f t="shared" si="14"/>
        <v>1167325.7294318699</v>
      </c>
      <c r="Y43" s="346">
        <f t="shared" si="14"/>
        <v>2457036.0710995737</v>
      </c>
      <c r="Z43" s="185"/>
      <c r="AA43" s="185"/>
    </row>
    <row r="44" spans="1:27">
      <c r="A44" s="19" t="s">
        <v>173</v>
      </c>
      <c r="B44" s="323"/>
      <c r="C44" s="19"/>
      <c r="D44" s="27">
        <v>0</v>
      </c>
      <c r="E44" s="27">
        <f>IF(E41&lt;0,0,IF(E43&gt;E41,E41,E43))</f>
        <v>0</v>
      </c>
      <c r="F44" s="27">
        <f t="shared" ref="F44:Y44" si="15">IF(F41&lt;0,0,IF(F43&gt;F41,F41,F43))</f>
        <v>0</v>
      </c>
      <c r="G44" s="27">
        <f t="shared" si="15"/>
        <v>0</v>
      </c>
      <c r="H44" s="27">
        <f t="shared" si="15"/>
        <v>0</v>
      </c>
      <c r="I44" s="27">
        <f t="shared" si="15"/>
        <v>0</v>
      </c>
      <c r="J44" s="27">
        <f t="shared" si="15"/>
        <v>0</v>
      </c>
      <c r="K44" s="27">
        <f t="shared" si="15"/>
        <v>0</v>
      </c>
      <c r="L44" s="346">
        <f t="shared" si="15"/>
        <v>0</v>
      </c>
      <c r="M44" s="346">
        <f t="shared" si="15"/>
        <v>0</v>
      </c>
      <c r="N44" s="346">
        <f t="shared" si="15"/>
        <v>0</v>
      </c>
      <c r="O44" s="346">
        <f t="shared" si="15"/>
        <v>0</v>
      </c>
      <c r="P44" s="346">
        <f t="shared" si="15"/>
        <v>0</v>
      </c>
      <c r="Q44" s="346">
        <f t="shared" si="15"/>
        <v>0</v>
      </c>
      <c r="R44" s="346">
        <f t="shared" si="15"/>
        <v>0</v>
      </c>
      <c r="S44" s="346">
        <f t="shared" si="15"/>
        <v>0</v>
      </c>
      <c r="T44" s="346">
        <f t="shared" si="15"/>
        <v>0</v>
      </c>
      <c r="U44" s="346">
        <f t="shared" si="15"/>
        <v>0</v>
      </c>
      <c r="V44" s="346">
        <f t="shared" si="15"/>
        <v>0</v>
      </c>
      <c r="W44" s="346">
        <f t="shared" si="15"/>
        <v>0</v>
      </c>
      <c r="X44" s="346">
        <f t="shared" si="15"/>
        <v>0</v>
      </c>
      <c r="Y44" s="346">
        <f t="shared" si="15"/>
        <v>0</v>
      </c>
      <c r="Z44" s="310"/>
      <c r="AA44" s="310"/>
    </row>
    <row r="45" spans="1:27">
      <c r="A45" s="19"/>
      <c r="B45" s="323"/>
      <c r="C45" s="19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85"/>
      <c r="AA45" s="185"/>
    </row>
    <row r="46" spans="1:27">
      <c r="A46" s="62" t="s">
        <v>184</v>
      </c>
      <c r="B46" s="323"/>
      <c r="C46" s="62"/>
      <c r="D46" s="335">
        <f t="shared" ref="D46:X46" si="16">IF(D41&lt;0,0,(D41-D44))</f>
        <v>20418.111907629806</v>
      </c>
      <c r="E46" s="335">
        <f t="shared" si="16"/>
        <v>25151.265070014299</v>
      </c>
      <c r="F46" s="335">
        <f t="shared" si="16"/>
        <v>29762.377856818421</v>
      </c>
      <c r="G46" s="335">
        <f t="shared" si="16"/>
        <v>34972.350994577173</v>
      </c>
      <c r="H46" s="335">
        <f t="shared" si="16"/>
        <v>39226.582344686831</v>
      </c>
      <c r="I46" s="335">
        <f t="shared" si="16"/>
        <v>45050.439624658247</v>
      </c>
      <c r="J46" s="335">
        <f t="shared" si="16"/>
        <v>46974.638665244252</v>
      </c>
      <c r="K46" s="335">
        <f t="shared" si="16"/>
        <v>47376.362548716366</v>
      </c>
      <c r="L46" s="335">
        <f t="shared" si="16"/>
        <v>47596.775676442434</v>
      </c>
      <c r="M46" s="335">
        <f t="shared" si="16"/>
        <v>47350.028257693528</v>
      </c>
      <c r="N46" s="335">
        <f t="shared" si="16"/>
        <v>46592.911305611546</v>
      </c>
      <c r="O46" s="335">
        <f t="shared" si="16"/>
        <v>44576.471994130952</v>
      </c>
      <c r="P46" s="335">
        <f t="shared" si="16"/>
        <v>41447.978925461663</v>
      </c>
      <c r="Q46" s="335">
        <f t="shared" si="16"/>
        <v>34435.237371577452</v>
      </c>
      <c r="R46" s="335">
        <f t="shared" si="16"/>
        <v>24867.433176931063</v>
      </c>
      <c r="S46" s="335">
        <f t="shared" si="16"/>
        <v>20082.352029999416</v>
      </c>
      <c r="T46" s="335">
        <f t="shared" si="16"/>
        <v>3306.3117766912492</v>
      </c>
      <c r="U46" s="335">
        <f t="shared" si="16"/>
        <v>0</v>
      </c>
      <c r="V46" s="335">
        <f t="shared" si="16"/>
        <v>0</v>
      </c>
      <c r="W46" s="335">
        <f t="shared" si="16"/>
        <v>0</v>
      </c>
      <c r="X46" s="335">
        <f t="shared" si="16"/>
        <v>0</v>
      </c>
      <c r="Y46" s="335">
        <f>IF(Y41&lt;0,0,(Y41-Y44))</f>
        <v>0</v>
      </c>
      <c r="Z46" s="193"/>
      <c r="AA46" s="193"/>
    </row>
    <row r="47" spans="1:27">
      <c r="A47" s="62"/>
      <c r="B47" s="323"/>
      <c r="C47" s="62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193"/>
      <c r="AA47" s="193"/>
    </row>
    <row r="48" spans="1:27">
      <c r="A48"/>
      <c r="B48"/>
      <c r="C48"/>
      <c r="D48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85"/>
      <c r="AA48" s="185"/>
    </row>
    <row r="49" spans="1:27">
      <c r="A49"/>
      <c r="B49"/>
      <c r="C49"/>
      <c r="D49"/>
      <c r="Z49" s="8"/>
      <c r="AA49" s="8"/>
    </row>
    <row r="50" spans="1:27">
      <c r="A50"/>
      <c r="B50"/>
      <c r="C50"/>
      <c r="D50"/>
      <c r="E50" s="17"/>
      <c r="Z50" s="8"/>
      <c r="AA50" s="8"/>
    </row>
    <row r="51" spans="1:27">
      <c r="A51"/>
      <c r="B51"/>
      <c r="C51"/>
      <c r="D51"/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  <row r="57" spans="1:27">
      <c r="Z57" s="8"/>
      <c r="AA57" s="8"/>
    </row>
    <row r="58" spans="1:27">
      <c r="Z58" s="8"/>
      <c r="AA58" s="8"/>
    </row>
  </sheetData>
  <pageMargins left="0.18" right="0.17" top="0.37" bottom="0.4" header="0.17" footer="0.21"/>
  <pageSetup scale="37" orientation="landscape" r:id="rId1"/>
  <headerFooter alignWithMargins="0">
    <oddFooter>&amp;L&amp;T, &amp;D&amp;C&amp;F&amp;RPage &amp;P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D83"/>
  <sheetViews>
    <sheetView zoomScale="75" zoomScaleNormal="75" workbookViewId="0"/>
  </sheetViews>
  <sheetFormatPr defaultColWidth="15.140625" defaultRowHeight="12.75"/>
  <sheetData>
    <row r="2" spans="1:56" ht="23.25" customHeight="1">
      <c r="A2" s="515" t="str">
        <f>Assumptions!A3</f>
        <v>PROJECT NAME:</v>
      </c>
    </row>
    <row r="4" spans="1:56" ht="20.25">
      <c r="A4" s="448" t="s">
        <v>287</v>
      </c>
      <c r="B4" s="55"/>
      <c r="C4" s="55"/>
      <c r="D4" s="7"/>
      <c r="E4" s="7"/>
      <c r="F4" s="7"/>
      <c r="G4" s="7"/>
      <c r="H4" s="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54" t="s">
        <v>185</v>
      </c>
      <c r="V4" s="55"/>
      <c r="W4" s="55"/>
      <c r="X4" s="7"/>
      <c r="Y4" s="7"/>
      <c r="Z4" s="7"/>
      <c r="AA4" s="7"/>
      <c r="AB4" s="7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BB4" s="18"/>
      <c r="BC4" s="18"/>
      <c r="BD4" s="18"/>
    </row>
    <row r="5" spans="1:56" ht="15.7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BB5" s="18"/>
      <c r="BC5" s="18"/>
      <c r="BD5" s="18"/>
    </row>
    <row r="6" spans="1:56" ht="15.7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376"/>
      <c r="O6" s="376"/>
      <c r="P6" s="376"/>
      <c r="Q6" s="376"/>
      <c r="R6" s="376"/>
      <c r="S6" s="376"/>
      <c r="T6" s="66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BB6" s="18"/>
      <c r="BC6" s="18"/>
      <c r="BD6" s="18"/>
    </row>
    <row r="7" spans="1:56" ht="16.5" thickBot="1">
      <c r="A7" s="242" t="s">
        <v>186</v>
      </c>
      <c r="B7" s="243"/>
      <c r="C7" s="243"/>
      <c r="D7" s="243"/>
      <c r="E7" s="243"/>
      <c r="F7" s="243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66"/>
      <c r="T7" s="66"/>
      <c r="U7" s="242"/>
      <c r="V7" s="243"/>
      <c r="W7" s="243"/>
      <c r="X7" s="243"/>
      <c r="Y7" s="243"/>
      <c r="Z7" s="243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66"/>
      <c r="AN7" s="66"/>
      <c r="AO7" s="66"/>
      <c r="AP7" s="66"/>
      <c r="AQ7" s="66"/>
      <c r="AR7" s="66"/>
      <c r="AS7" s="66"/>
      <c r="AT7" s="66"/>
      <c r="AU7" s="92"/>
      <c r="AV7" s="92"/>
      <c r="BB7" s="18"/>
      <c r="BC7" s="18"/>
      <c r="BD7" s="18"/>
    </row>
    <row r="8" spans="1:56" ht="16.5" thickBot="1">
      <c r="A8" s="245" t="s">
        <v>187</v>
      </c>
      <c r="B8" s="319" t="s">
        <v>188</v>
      </c>
      <c r="C8" s="249"/>
      <c r="D8" s="250"/>
      <c r="E8" s="250"/>
      <c r="G8" s="248" t="s">
        <v>189</v>
      </c>
      <c r="H8" s="249"/>
      <c r="I8" s="249"/>
      <c r="J8" s="249"/>
      <c r="K8" s="249"/>
      <c r="L8" s="250"/>
      <c r="N8" s="251" t="s">
        <v>190</v>
      </c>
      <c r="O8" s="246"/>
      <c r="P8" s="246"/>
      <c r="Q8" s="246"/>
      <c r="R8" s="246"/>
      <c r="S8" s="247"/>
      <c r="U8" s="245" t="s">
        <v>187</v>
      </c>
      <c r="V8" s="319" t="s">
        <v>191</v>
      </c>
      <c r="W8" s="249"/>
      <c r="X8" s="250"/>
      <c r="Y8" s="250"/>
      <c r="AA8" s="248" t="s">
        <v>192</v>
      </c>
      <c r="AB8" s="249"/>
      <c r="AC8" s="249"/>
      <c r="AD8" s="249"/>
      <c r="AE8" s="249"/>
      <c r="AF8" s="250"/>
      <c r="AH8" s="251" t="s">
        <v>193</v>
      </c>
      <c r="AI8" s="246"/>
      <c r="AJ8" s="246"/>
      <c r="AK8" s="246"/>
      <c r="AL8" s="246"/>
      <c r="AM8" s="247"/>
      <c r="AP8" s="66"/>
      <c r="AQ8" s="66"/>
      <c r="AR8" s="66"/>
      <c r="AS8" s="66"/>
      <c r="AT8" s="66"/>
      <c r="AU8" s="92"/>
      <c r="AV8" s="92"/>
      <c r="BB8" s="18"/>
      <c r="BC8" s="18"/>
      <c r="BD8" s="18"/>
    </row>
    <row r="9" spans="1:56" ht="16.5" thickBot="1">
      <c r="A9" s="252"/>
      <c r="B9" s="281" t="s">
        <v>194</v>
      </c>
      <c r="C9" s="282" t="s">
        <v>195</v>
      </c>
      <c r="D9" s="282" t="s">
        <v>196</v>
      </c>
      <c r="E9" s="283" t="s">
        <v>197</v>
      </c>
      <c r="G9" s="284" t="s">
        <v>26</v>
      </c>
      <c r="H9" s="285" t="s">
        <v>27</v>
      </c>
      <c r="I9" s="285" t="s">
        <v>28</v>
      </c>
      <c r="J9" s="285" t="s">
        <v>29</v>
      </c>
      <c r="K9" s="285" t="s">
        <v>30</v>
      </c>
      <c r="L9" s="286" t="s">
        <v>31</v>
      </c>
      <c r="N9" s="281" t="s">
        <v>26</v>
      </c>
      <c r="O9" s="282" t="s">
        <v>27</v>
      </c>
      <c r="P9" s="282" t="s">
        <v>28</v>
      </c>
      <c r="Q9" s="282" t="s">
        <v>29</v>
      </c>
      <c r="R9" s="282" t="s">
        <v>30</v>
      </c>
      <c r="S9" s="283" t="s">
        <v>31</v>
      </c>
      <c r="U9" s="252"/>
      <c r="V9" s="281" t="s">
        <v>194</v>
      </c>
      <c r="W9" s="282" t="s">
        <v>195</v>
      </c>
      <c r="X9" s="282" t="s">
        <v>196</v>
      </c>
      <c r="Y9" s="283" t="s">
        <v>197</v>
      </c>
      <c r="AA9" s="312" t="s">
        <v>26</v>
      </c>
      <c r="AB9" s="313" t="s">
        <v>27</v>
      </c>
      <c r="AC9" s="313" t="s">
        <v>28</v>
      </c>
      <c r="AD9" s="313" t="s">
        <v>29</v>
      </c>
      <c r="AE9" s="313" t="s">
        <v>30</v>
      </c>
      <c r="AF9" s="314" t="s">
        <v>31</v>
      </c>
      <c r="AH9" s="281" t="s">
        <v>26</v>
      </c>
      <c r="AI9" s="282" t="s">
        <v>27</v>
      </c>
      <c r="AJ9" s="282" t="s">
        <v>28</v>
      </c>
      <c r="AK9" s="282" t="s">
        <v>29</v>
      </c>
      <c r="AL9" s="282" t="s">
        <v>30</v>
      </c>
      <c r="AM9" s="283" t="s">
        <v>31</v>
      </c>
      <c r="AP9" s="66"/>
      <c r="AQ9" s="66"/>
      <c r="AR9" s="66"/>
      <c r="AS9" s="66"/>
      <c r="AT9" s="66"/>
      <c r="AU9" s="92"/>
      <c r="AV9" s="92"/>
      <c r="BB9" s="18"/>
      <c r="BC9" s="18"/>
      <c r="BD9" s="18"/>
    </row>
    <row r="10" spans="1:56" ht="15.75">
      <c r="A10" s="315"/>
      <c r="B10" s="215"/>
      <c r="C10" s="204"/>
      <c r="D10" s="204"/>
      <c r="E10" s="216"/>
      <c r="G10" s="253" t="s">
        <v>35</v>
      </c>
      <c r="H10" s="254"/>
      <c r="I10" s="254"/>
      <c r="J10" s="254"/>
      <c r="K10" s="254"/>
      <c r="L10" s="255"/>
      <c r="N10" s="215"/>
      <c r="O10" s="204"/>
      <c r="P10" s="204"/>
      <c r="Q10" s="204"/>
      <c r="R10" s="204"/>
      <c r="S10" s="216"/>
      <c r="U10" s="315"/>
      <c r="V10" s="215"/>
      <c r="W10" s="204"/>
      <c r="X10" s="204"/>
      <c r="Y10" s="216"/>
      <c r="AA10" s="253" t="s">
        <v>35</v>
      </c>
      <c r="AB10" s="254"/>
      <c r="AC10" s="254"/>
      <c r="AD10" s="254"/>
      <c r="AE10" s="254"/>
      <c r="AF10" s="255"/>
      <c r="AH10" s="215"/>
      <c r="AI10" s="204"/>
      <c r="AJ10" s="204"/>
      <c r="AK10" s="204"/>
      <c r="AL10" s="204"/>
      <c r="AM10" s="216"/>
      <c r="AP10" s="66"/>
      <c r="AQ10" s="66"/>
      <c r="AR10" s="66"/>
      <c r="AS10" s="66"/>
      <c r="AT10" s="66"/>
      <c r="AU10" s="92"/>
      <c r="AV10" s="92"/>
      <c r="BB10" s="18"/>
      <c r="BC10" s="18"/>
      <c r="BD10" s="18"/>
    </row>
    <row r="11" spans="1:56" ht="16.5" thickBot="1">
      <c r="A11" s="215"/>
      <c r="B11" s="215"/>
      <c r="C11" s="204"/>
      <c r="D11" s="204"/>
      <c r="E11" s="216"/>
      <c r="G11" s="256">
        <v>4</v>
      </c>
      <c r="H11" s="257">
        <v>6</v>
      </c>
      <c r="I11" s="257">
        <v>6</v>
      </c>
      <c r="J11" s="257">
        <v>3</v>
      </c>
      <c r="K11" s="257">
        <v>4</v>
      </c>
      <c r="L11" s="258">
        <v>8</v>
      </c>
      <c r="N11" s="215"/>
      <c r="O11" s="204"/>
      <c r="P11" s="204"/>
      <c r="Q11" s="204"/>
      <c r="R11" s="204"/>
      <c r="S11" s="216"/>
      <c r="U11" s="215"/>
      <c r="V11" s="215"/>
      <c r="W11" s="204"/>
      <c r="X11" s="204"/>
      <c r="Y11" s="216"/>
      <c r="AA11" s="256">
        <v>4</v>
      </c>
      <c r="AB11" s="257">
        <v>6</v>
      </c>
      <c r="AC11" s="257">
        <v>6</v>
      </c>
      <c r="AD11" s="257">
        <v>3</v>
      </c>
      <c r="AE11" s="257">
        <v>4</v>
      </c>
      <c r="AF11" s="258">
        <v>8</v>
      </c>
      <c r="AH11" s="215"/>
      <c r="AI11" s="204"/>
      <c r="AJ11" s="204"/>
      <c r="AK11" s="204"/>
      <c r="AL11" s="204"/>
      <c r="AM11" s="216"/>
      <c r="AP11" s="66"/>
      <c r="AQ11" s="66"/>
      <c r="AR11" s="66"/>
      <c r="AS11" s="66"/>
      <c r="AT11" s="66"/>
      <c r="AU11" s="92"/>
      <c r="AV11" s="92"/>
      <c r="BB11" s="18"/>
      <c r="BC11" s="18"/>
      <c r="BD11" s="18"/>
    </row>
    <row r="12" spans="1:56" ht="15.75">
      <c r="A12" s="316">
        <v>0</v>
      </c>
      <c r="B12" s="259">
        <v>0</v>
      </c>
      <c r="C12" s="260">
        <v>0</v>
      </c>
      <c r="D12" s="260">
        <v>0</v>
      </c>
      <c r="E12" s="261">
        <v>0</v>
      </c>
      <c r="G12" s="259">
        <f t="shared" ref="G12:G37" si="0">(2*B12+2*D12)/4</f>
        <v>0</v>
      </c>
      <c r="H12" s="260">
        <f t="shared" ref="H12:H37" si="1">C12</f>
        <v>0</v>
      </c>
      <c r="I12" s="260">
        <f t="shared" ref="I12:I37" si="2">C12</f>
        <v>0</v>
      </c>
      <c r="J12" s="260">
        <f t="shared" ref="J12:J37" si="3">E12</f>
        <v>0</v>
      </c>
      <c r="K12" s="260">
        <f t="shared" ref="K12:K37" si="4">D12</f>
        <v>0</v>
      </c>
      <c r="L12" s="261">
        <f t="shared" ref="L12:L37" si="5">C12</f>
        <v>0</v>
      </c>
      <c r="N12" s="215">
        <f t="shared" ref="N12:N37" si="6">G12*$A12*G$11/1000</f>
        <v>0</v>
      </c>
      <c r="O12" s="204">
        <f t="shared" ref="O12:O37" si="7">H12*$A12*H$11/1000</f>
        <v>0</v>
      </c>
      <c r="P12" s="204">
        <f t="shared" ref="P12:P37" si="8">I12*$A12*I$11/1000</f>
        <v>0</v>
      </c>
      <c r="Q12" s="204">
        <f t="shared" ref="Q12:Q37" si="9">J12*$A12*J$11/1000</f>
        <v>0</v>
      </c>
      <c r="R12" s="204">
        <f t="shared" ref="R12:R37" si="10">K12*$A12*K$11/1000</f>
        <v>0</v>
      </c>
      <c r="S12" s="216">
        <f t="shared" ref="S12:S37" si="11">L12*$A12*L$11/1000</f>
        <v>0</v>
      </c>
      <c r="U12" s="316">
        <v>0</v>
      </c>
      <c r="V12" s="259">
        <v>0</v>
      </c>
      <c r="W12" s="260">
        <v>0</v>
      </c>
      <c r="X12" s="260">
        <v>0</v>
      </c>
      <c r="Y12" s="261">
        <v>0</v>
      </c>
      <c r="AA12" s="259">
        <f t="shared" ref="AA12:AA37" si="12">(2*V12+2*X12)/4</f>
        <v>0</v>
      </c>
      <c r="AB12" s="260">
        <f t="shared" ref="AB12:AB37" si="13">W12</f>
        <v>0</v>
      </c>
      <c r="AC12" s="260">
        <f t="shared" ref="AC12:AC37" si="14">W12</f>
        <v>0</v>
      </c>
      <c r="AD12" s="260">
        <f t="shared" ref="AD12:AD37" si="15">Y12</f>
        <v>0</v>
      </c>
      <c r="AE12" s="260">
        <f t="shared" ref="AE12:AE37" si="16">X12</f>
        <v>0</v>
      </c>
      <c r="AF12" s="261">
        <f t="shared" ref="AF12:AF37" si="17">W12</f>
        <v>0</v>
      </c>
      <c r="AH12" s="215">
        <f t="shared" ref="AH12:AH37" si="18">AA12*$A12*AA$11/1000</f>
        <v>0</v>
      </c>
      <c r="AI12" s="204">
        <f t="shared" ref="AI12:AI37" si="19">AB12*$A12*AB$11/1000</f>
        <v>0</v>
      </c>
      <c r="AJ12" s="204">
        <f t="shared" ref="AJ12:AJ37" si="20">AC12*$A12*AC$11/1000</f>
        <v>0</v>
      </c>
      <c r="AK12" s="204">
        <f t="shared" ref="AK12:AK37" si="21">AD12*$A12*AD$11/1000</f>
        <v>0</v>
      </c>
      <c r="AL12" s="204">
        <f t="shared" ref="AL12:AL37" si="22">AE12*$A12*AE$11/1000</f>
        <v>0</v>
      </c>
      <c r="AM12" s="216">
        <f t="shared" ref="AM12:AM37" si="23">AF12*$A12*AF$11/1000</f>
        <v>0</v>
      </c>
      <c r="AP12" s="66"/>
      <c r="AQ12" s="66"/>
      <c r="AR12" s="66"/>
      <c r="AS12" s="66"/>
      <c r="AT12" s="66"/>
      <c r="AU12" s="92"/>
      <c r="AV12" s="92"/>
      <c r="BB12" s="18"/>
      <c r="BC12" s="18"/>
      <c r="BD12" s="18"/>
    </row>
    <row r="13" spans="1:56" ht="15.75">
      <c r="A13" s="316">
        <v>10</v>
      </c>
      <c r="B13" s="259">
        <v>0</v>
      </c>
      <c r="C13" s="260">
        <v>0</v>
      </c>
      <c r="D13" s="260">
        <v>0</v>
      </c>
      <c r="E13" s="261">
        <v>0</v>
      </c>
      <c r="G13" s="259">
        <f t="shared" si="0"/>
        <v>0</v>
      </c>
      <c r="H13" s="260">
        <f t="shared" si="1"/>
        <v>0</v>
      </c>
      <c r="I13" s="260">
        <f t="shared" si="2"/>
        <v>0</v>
      </c>
      <c r="J13" s="260">
        <f t="shared" si="3"/>
        <v>0</v>
      </c>
      <c r="K13" s="260">
        <f t="shared" si="4"/>
        <v>0</v>
      </c>
      <c r="L13" s="261">
        <f t="shared" si="5"/>
        <v>0</v>
      </c>
      <c r="N13" s="259">
        <f t="shared" si="6"/>
        <v>0</v>
      </c>
      <c r="O13" s="260">
        <f t="shared" si="7"/>
        <v>0</v>
      </c>
      <c r="P13" s="260">
        <f t="shared" si="8"/>
        <v>0</v>
      </c>
      <c r="Q13" s="260">
        <f t="shared" si="9"/>
        <v>0</v>
      </c>
      <c r="R13" s="260">
        <f t="shared" si="10"/>
        <v>0</v>
      </c>
      <c r="S13" s="261">
        <f t="shared" si="11"/>
        <v>0</v>
      </c>
      <c r="U13" s="316">
        <v>10</v>
      </c>
      <c r="V13" s="259">
        <v>0</v>
      </c>
      <c r="W13" s="260">
        <v>0</v>
      </c>
      <c r="X13" s="260">
        <v>0</v>
      </c>
      <c r="Y13" s="261">
        <v>0</v>
      </c>
      <c r="AA13" s="259">
        <f t="shared" si="12"/>
        <v>0</v>
      </c>
      <c r="AB13" s="260">
        <f t="shared" si="13"/>
        <v>0</v>
      </c>
      <c r="AC13" s="260">
        <f t="shared" si="14"/>
        <v>0</v>
      </c>
      <c r="AD13" s="260">
        <f t="shared" si="15"/>
        <v>0</v>
      </c>
      <c r="AE13" s="260">
        <f t="shared" si="16"/>
        <v>0</v>
      </c>
      <c r="AF13" s="261">
        <f t="shared" si="17"/>
        <v>0</v>
      </c>
      <c r="AH13" s="259">
        <f t="shared" si="18"/>
        <v>0</v>
      </c>
      <c r="AI13" s="260">
        <f t="shared" si="19"/>
        <v>0</v>
      </c>
      <c r="AJ13" s="260">
        <f t="shared" si="20"/>
        <v>0</v>
      </c>
      <c r="AK13" s="260">
        <f t="shared" si="21"/>
        <v>0</v>
      </c>
      <c r="AL13" s="260">
        <f t="shared" si="22"/>
        <v>0</v>
      </c>
      <c r="AM13" s="261">
        <f t="shared" si="23"/>
        <v>0</v>
      </c>
      <c r="AP13" s="66"/>
      <c r="AQ13" s="66"/>
      <c r="AR13" s="66"/>
      <c r="AS13" s="66"/>
      <c r="AT13" s="66"/>
      <c r="AU13" s="92"/>
      <c r="AV13" s="92"/>
      <c r="BB13" s="18"/>
      <c r="BC13" s="18"/>
      <c r="BD13" s="18"/>
    </row>
    <row r="14" spans="1:56" ht="15.75">
      <c r="A14" s="316">
        <f t="shared" ref="A14:A37" si="24">A13+10</f>
        <v>20</v>
      </c>
      <c r="B14" s="259">
        <v>704</v>
      </c>
      <c r="C14" s="260">
        <v>457</v>
      </c>
      <c r="D14" s="260">
        <v>1164</v>
      </c>
      <c r="E14" s="261">
        <v>1374</v>
      </c>
      <c r="G14" s="259">
        <f t="shared" si="0"/>
        <v>934</v>
      </c>
      <c r="H14" s="260">
        <f t="shared" si="1"/>
        <v>457</v>
      </c>
      <c r="I14" s="260">
        <f t="shared" si="2"/>
        <v>457</v>
      </c>
      <c r="J14" s="260">
        <f t="shared" si="3"/>
        <v>1374</v>
      </c>
      <c r="K14" s="260">
        <f t="shared" si="4"/>
        <v>1164</v>
      </c>
      <c r="L14" s="261">
        <f t="shared" si="5"/>
        <v>457</v>
      </c>
      <c r="N14" s="259">
        <f t="shared" si="6"/>
        <v>74.72</v>
      </c>
      <c r="O14" s="260">
        <f t="shared" si="7"/>
        <v>54.84</v>
      </c>
      <c r="P14" s="260">
        <f t="shared" si="8"/>
        <v>54.84</v>
      </c>
      <c r="Q14" s="260">
        <f t="shared" si="9"/>
        <v>82.44</v>
      </c>
      <c r="R14" s="260">
        <f t="shared" si="10"/>
        <v>93.12</v>
      </c>
      <c r="S14" s="261">
        <f t="shared" si="11"/>
        <v>73.12</v>
      </c>
      <c r="U14" s="316">
        <f t="shared" ref="U14:U37" si="25">U13+10</f>
        <v>20</v>
      </c>
      <c r="V14" s="259">
        <v>704</v>
      </c>
      <c r="W14" s="260">
        <v>457</v>
      </c>
      <c r="X14" s="260">
        <v>1164</v>
      </c>
      <c r="Y14" s="261">
        <v>1374</v>
      </c>
      <c r="AA14" s="259">
        <f t="shared" si="12"/>
        <v>934</v>
      </c>
      <c r="AB14" s="260">
        <f t="shared" si="13"/>
        <v>457</v>
      </c>
      <c r="AC14" s="260">
        <f t="shared" si="14"/>
        <v>457</v>
      </c>
      <c r="AD14" s="260">
        <f t="shared" si="15"/>
        <v>1374</v>
      </c>
      <c r="AE14" s="260">
        <f t="shared" si="16"/>
        <v>1164</v>
      </c>
      <c r="AF14" s="261">
        <f t="shared" si="17"/>
        <v>457</v>
      </c>
      <c r="AH14" s="259">
        <f t="shared" si="18"/>
        <v>74.72</v>
      </c>
      <c r="AI14" s="260">
        <f t="shared" si="19"/>
        <v>54.84</v>
      </c>
      <c r="AJ14" s="260">
        <f t="shared" si="20"/>
        <v>54.84</v>
      </c>
      <c r="AK14" s="260">
        <f t="shared" si="21"/>
        <v>82.44</v>
      </c>
      <c r="AL14" s="260">
        <f t="shared" si="22"/>
        <v>93.12</v>
      </c>
      <c r="AM14" s="261">
        <f t="shared" si="23"/>
        <v>73.12</v>
      </c>
      <c r="AP14" s="66"/>
      <c r="AQ14" s="66"/>
      <c r="AR14" s="66"/>
      <c r="AS14" s="66"/>
      <c r="AT14" s="66"/>
      <c r="AU14" s="92"/>
      <c r="AV14" s="92"/>
      <c r="BB14" s="18"/>
      <c r="BC14" s="18"/>
      <c r="BD14" s="18"/>
    </row>
    <row r="15" spans="1:56" ht="15.75">
      <c r="A15" s="316">
        <f t="shared" si="24"/>
        <v>30</v>
      </c>
      <c r="B15" s="259">
        <v>704</v>
      </c>
      <c r="C15" s="260">
        <v>457</v>
      </c>
      <c r="D15" s="260">
        <v>1164</v>
      </c>
      <c r="E15" s="261">
        <v>1374</v>
      </c>
      <c r="G15" s="259">
        <f t="shared" si="0"/>
        <v>934</v>
      </c>
      <c r="H15" s="260">
        <f t="shared" si="1"/>
        <v>457</v>
      </c>
      <c r="I15" s="260">
        <f t="shared" si="2"/>
        <v>457</v>
      </c>
      <c r="J15" s="260">
        <f t="shared" si="3"/>
        <v>1374</v>
      </c>
      <c r="K15" s="260">
        <f t="shared" si="4"/>
        <v>1164</v>
      </c>
      <c r="L15" s="261">
        <f t="shared" si="5"/>
        <v>457</v>
      </c>
      <c r="N15" s="259">
        <f t="shared" si="6"/>
        <v>112.08</v>
      </c>
      <c r="O15" s="260">
        <f t="shared" si="7"/>
        <v>82.26</v>
      </c>
      <c r="P15" s="260">
        <f t="shared" si="8"/>
        <v>82.26</v>
      </c>
      <c r="Q15" s="260">
        <f t="shared" si="9"/>
        <v>123.66</v>
      </c>
      <c r="R15" s="260">
        <f t="shared" si="10"/>
        <v>139.68</v>
      </c>
      <c r="S15" s="261">
        <f t="shared" si="11"/>
        <v>109.68</v>
      </c>
      <c r="U15" s="316">
        <f t="shared" si="25"/>
        <v>30</v>
      </c>
      <c r="V15" s="259">
        <v>704</v>
      </c>
      <c r="W15" s="260">
        <v>457</v>
      </c>
      <c r="X15" s="260">
        <v>1164</v>
      </c>
      <c r="Y15" s="261">
        <v>1374</v>
      </c>
      <c r="AA15" s="259">
        <f t="shared" si="12"/>
        <v>934</v>
      </c>
      <c r="AB15" s="260">
        <f t="shared" si="13"/>
        <v>457</v>
      </c>
      <c r="AC15" s="260">
        <f t="shared" si="14"/>
        <v>457</v>
      </c>
      <c r="AD15" s="260">
        <f t="shared" si="15"/>
        <v>1374</v>
      </c>
      <c r="AE15" s="260">
        <f t="shared" si="16"/>
        <v>1164</v>
      </c>
      <c r="AF15" s="261">
        <f t="shared" si="17"/>
        <v>457</v>
      </c>
      <c r="AH15" s="259">
        <f t="shared" si="18"/>
        <v>112.08</v>
      </c>
      <c r="AI15" s="260">
        <f t="shared" si="19"/>
        <v>82.26</v>
      </c>
      <c r="AJ15" s="260">
        <f t="shared" si="20"/>
        <v>82.26</v>
      </c>
      <c r="AK15" s="260">
        <f t="shared" si="21"/>
        <v>123.66</v>
      </c>
      <c r="AL15" s="260">
        <f t="shared" si="22"/>
        <v>139.68</v>
      </c>
      <c r="AM15" s="261">
        <f t="shared" si="23"/>
        <v>109.68</v>
      </c>
      <c r="AP15" s="66"/>
      <c r="AQ15" s="66"/>
      <c r="AR15" s="66"/>
      <c r="AS15" s="66"/>
      <c r="AT15" s="66"/>
      <c r="AU15" s="92"/>
      <c r="AV15" s="92"/>
      <c r="BB15" s="18"/>
      <c r="BC15" s="18"/>
      <c r="BD15" s="18"/>
    </row>
    <row r="16" spans="1:56" ht="15.75">
      <c r="A16" s="316">
        <f t="shared" si="24"/>
        <v>40</v>
      </c>
      <c r="B16" s="259">
        <v>1407</v>
      </c>
      <c r="C16" s="260">
        <v>457</v>
      </c>
      <c r="D16" s="260">
        <v>2140</v>
      </c>
      <c r="E16" s="261">
        <v>3334</v>
      </c>
      <c r="G16" s="259">
        <f t="shared" si="0"/>
        <v>1773.5</v>
      </c>
      <c r="H16" s="260">
        <f t="shared" si="1"/>
        <v>457</v>
      </c>
      <c r="I16" s="260">
        <f t="shared" si="2"/>
        <v>457</v>
      </c>
      <c r="J16" s="260">
        <f t="shared" si="3"/>
        <v>3334</v>
      </c>
      <c r="K16" s="260">
        <f t="shared" si="4"/>
        <v>2140</v>
      </c>
      <c r="L16" s="261">
        <f t="shared" si="5"/>
        <v>457</v>
      </c>
      <c r="N16" s="259">
        <f t="shared" si="6"/>
        <v>283.76</v>
      </c>
      <c r="O16" s="260">
        <f t="shared" si="7"/>
        <v>109.68</v>
      </c>
      <c r="P16" s="260">
        <f t="shared" si="8"/>
        <v>109.68</v>
      </c>
      <c r="Q16" s="260">
        <f t="shared" si="9"/>
        <v>400.08</v>
      </c>
      <c r="R16" s="260">
        <f t="shared" si="10"/>
        <v>342.4</v>
      </c>
      <c r="S16" s="261">
        <f t="shared" si="11"/>
        <v>146.24</v>
      </c>
      <c r="U16" s="316">
        <f t="shared" si="25"/>
        <v>40</v>
      </c>
      <c r="V16" s="259">
        <v>1407</v>
      </c>
      <c r="W16" s="260">
        <v>457</v>
      </c>
      <c r="X16" s="260">
        <v>2140</v>
      </c>
      <c r="Y16" s="261">
        <v>3334</v>
      </c>
      <c r="AA16" s="259">
        <f t="shared" si="12"/>
        <v>1773.5</v>
      </c>
      <c r="AB16" s="260">
        <f t="shared" si="13"/>
        <v>457</v>
      </c>
      <c r="AC16" s="260">
        <f t="shared" si="14"/>
        <v>457</v>
      </c>
      <c r="AD16" s="260">
        <f t="shared" si="15"/>
        <v>3334</v>
      </c>
      <c r="AE16" s="260">
        <f t="shared" si="16"/>
        <v>2140</v>
      </c>
      <c r="AF16" s="261">
        <f t="shared" si="17"/>
        <v>457</v>
      </c>
      <c r="AH16" s="259">
        <f t="shared" si="18"/>
        <v>283.76</v>
      </c>
      <c r="AI16" s="260">
        <f t="shared" si="19"/>
        <v>109.68</v>
      </c>
      <c r="AJ16" s="260">
        <f t="shared" si="20"/>
        <v>109.68</v>
      </c>
      <c r="AK16" s="260">
        <f t="shared" si="21"/>
        <v>400.08</v>
      </c>
      <c r="AL16" s="260">
        <f t="shared" si="22"/>
        <v>342.4</v>
      </c>
      <c r="AM16" s="261">
        <f t="shared" si="23"/>
        <v>146.24</v>
      </c>
      <c r="AP16" s="66"/>
      <c r="AQ16" s="66"/>
      <c r="AR16" s="66"/>
      <c r="AS16" s="66"/>
      <c r="AT16" s="66"/>
      <c r="AU16" s="92"/>
      <c r="AV16" s="92"/>
      <c r="BB16" s="18"/>
      <c r="BC16" s="18"/>
      <c r="BD16" s="18"/>
    </row>
    <row r="17" spans="1:56" ht="15.75">
      <c r="A17" s="316">
        <f t="shared" si="24"/>
        <v>50</v>
      </c>
      <c r="B17" s="259">
        <v>1407</v>
      </c>
      <c r="C17" s="260">
        <v>457</v>
      </c>
      <c r="D17" s="260">
        <v>2140</v>
      </c>
      <c r="E17" s="261">
        <v>3334</v>
      </c>
      <c r="G17" s="259">
        <f t="shared" si="0"/>
        <v>1773.5</v>
      </c>
      <c r="H17" s="260">
        <f t="shared" si="1"/>
        <v>457</v>
      </c>
      <c r="I17" s="260">
        <f t="shared" si="2"/>
        <v>457</v>
      </c>
      <c r="J17" s="260">
        <f t="shared" si="3"/>
        <v>3334</v>
      </c>
      <c r="K17" s="260">
        <f t="shared" si="4"/>
        <v>2140</v>
      </c>
      <c r="L17" s="261">
        <f t="shared" si="5"/>
        <v>457</v>
      </c>
      <c r="N17" s="259">
        <f t="shared" si="6"/>
        <v>354.7</v>
      </c>
      <c r="O17" s="260">
        <f t="shared" si="7"/>
        <v>137.1</v>
      </c>
      <c r="P17" s="260">
        <f t="shared" si="8"/>
        <v>137.1</v>
      </c>
      <c r="Q17" s="260">
        <f t="shared" si="9"/>
        <v>500.1</v>
      </c>
      <c r="R17" s="260">
        <f t="shared" si="10"/>
        <v>428</v>
      </c>
      <c r="S17" s="261">
        <f t="shared" si="11"/>
        <v>182.8</v>
      </c>
      <c r="U17" s="316">
        <f t="shared" si="25"/>
        <v>50</v>
      </c>
      <c r="V17" s="259">
        <v>1407</v>
      </c>
      <c r="W17" s="260">
        <v>457</v>
      </c>
      <c r="X17" s="260">
        <v>2140</v>
      </c>
      <c r="Y17" s="261">
        <v>3334</v>
      </c>
      <c r="AA17" s="259">
        <f t="shared" si="12"/>
        <v>1773.5</v>
      </c>
      <c r="AB17" s="260">
        <f t="shared" si="13"/>
        <v>457</v>
      </c>
      <c r="AC17" s="260">
        <f t="shared" si="14"/>
        <v>457</v>
      </c>
      <c r="AD17" s="260">
        <f t="shared" si="15"/>
        <v>3334</v>
      </c>
      <c r="AE17" s="260">
        <f t="shared" si="16"/>
        <v>2140</v>
      </c>
      <c r="AF17" s="261">
        <f t="shared" si="17"/>
        <v>457</v>
      </c>
      <c r="AH17" s="259">
        <f t="shared" si="18"/>
        <v>354.7</v>
      </c>
      <c r="AI17" s="260">
        <f t="shared" si="19"/>
        <v>137.1</v>
      </c>
      <c r="AJ17" s="260">
        <f t="shared" si="20"/>
        <v>137.1</v>
      </c>
      <c r="AK17" s="260">
        <f t="shared" si="21"/>
        <v>500.1</v>
      </c>
      <c r="AL17" s="260">
        <f t="shared" si="22"/>
        <v>428</v>
      </c>
      <c r="AM17" s="261">
        <f t="shared" si="23"/>
        <v>182.8</v>
      </c>
      <c r="AP17" s="66"/>
      <c r="AQ17" s="66"/>
      <c r="AR17" s="66"/>
      <c r="AS17" s="66"/>
      <c r="AT17" s="66"/>
      <c r="AU17" s="92"/>
      <c r="AV17" s="92"/>
      <c r="BB17" s="18"/>
      <c r="BC17" s="18"/>
      <c r="BD17" s="18"/>
    </row>
    <row r="18" spans="1:56" ht="15.75">
      <c r="A18" s="316">
        <f t="shared" si="24"/>
        <v>60</v>
      </c>
      <c r="B18" s="259">
        <v>1407</v>
      </c>
      <c r="C18" s="260">
        <v>1243</v>
      </c>
      <c r="D18" s="260">
        <v>2140</v>
      </c>
      <c r="E18" s="261">
        <v>3334</v>
      </c>
      <c r="G18" s="259">
        <f t="shared" si="0"/>
        <v>1773.5</v>
      </c>
      <c r="H18" s="260">
        <f t="shared" si="1"/>
        <v>1243</v>
      </c>
      <c r="I18" s="260">
        <f t="shared" si="2"/>
        <v>1243</v>
      </c>
      <c r="J18" s="260">
        <f t="shared" si="3"/>
        <v>3334</v>
      </c>
      <c r="K18" s="260">
        <f t="shared" si="4"/>
        <v>2140</v>
      </c>
      <c r="L18" s="261">
        <f t="shared" si="5"/>
        <v>1243</v>
      </c>
      <c r="N18" s="259">
        <f t="shared" si="6"/>
        <v>425.64</v>
      </c>
      <c r="O18" s="260">
        <f t="shared" si="7"/>
        <v>447.48</v>
      </c>
      <c r="P18" s="260">
        <f t="shared" si="8"/>
        <v>447.48</v>
      </c>
      <c r="Q18" s="260">
        <f t="shared" si="9"/>
        <v>600.12</v>
      </c>
      <c r="R18" s="260">
        <f t="shared" si="10"/>
        <v>513.6</v>
      </c>
      <c r="S18" s="261">
        <f t="shared" si="11"/>
        <v>596.64</v>
      </c>
      <c r="U18" s="316">
        <f t="shared" si="25"/>
        <v>60</v>
      </c>
      <c r="V18" s="259">
        <v>1407</v>
      </c>
      <c r="W18" s="260">
        <v>1243</v>
      </c>
      <c r="X18" s="260">
        <v>2140</v>
      </c>
      <c r="Y18" s="261">
        <v>3334</v>
      </c>
      <c r="AA18" s="259">
        <f t="shared" si="12"/>
        <v>1773.5</v>
      </c>
      <c r="AB18" s="260">
        <f t="shared" si="13"/>
        <v>1243</v>
      </c>
      <c r="AC18" s="260">
        <f t="shared" si="14"/>
        <v>1243</v>
      </c>
      <c r="AD18" s="260">
        <f t="shared" si="15"/>
        <v>3334</v>
      </c>
      <c r="AE18" s="260">
        <f t="shared" si="16"/>
        <v>2140</v>
      </c>
      <c r="AF18" s="261">
        <f t="shared" si="17"/>
        <v>1243</v>
      </c>
      <c r="AH18" s="259">
        <f t="shared" si="18"/>
        <v>425.64</v>
      </c>
      <c r="AI18" s="260">
        <f t="shared" si="19"/>
        <v>447.48</v>
      </c>
      <c r="AJ18" s="260">
        <f t="shared" si="20"/>
        <v>447.48</v>
      </c>
      <c r="AK18" s="260">
        <f t="shared" si="21"/>
        <v>600.12</v>
      </c>
      <c r="AL18" s="260">
        <f t="shared" si="22"/>
        <v>513.6</v>
      </c>
      <c r="AM18" s="261">
        <f t="shared" si="23"/>
        <v>596.64</v>
      </c>
      <c r="AP18" s="66"/>
      <c r="AQ18" s="66"/>
      <c r="AR18" s="66"/>
      <c r="AS18" s="66"/>
      <c r="AT18" s="66"/>
      <c r="AU18" s="92"/>
      <c r="AV18" s="92"/>
      <c r="BB18" s="18"/>
      <c r="BC18" s="18"/>
      <c r="BD18" s="18"/>
    </row>
    <row r="19" spans="1:56" ht="15.75">
      <c r="A19" s="316">
        <f t="shared" si="24"/>
        <v>70</v>
      </c>
      <c r="B19" s="259">
        <v>1407</v>
      </c>
      <c r="C19" s="260">
        <v>1243</v>
      </c>
      <c r="D19" s="260">
        <v>2140</v>
      </c>
      <c r="E19" s="261">
        <v>3334</v>
      </c>
      <c r="G19" s="259">
        <f t="shared" si="0"/>
        <v>1773.5</v>
      </c>
      <c r="H19" s="260">
        <f t="shared" si="1"/>
        <v>1243</v>
      </c>
      <c r="I19" s="260">
        <f t="shared" si="2"/>
        <v>1243</v>
      </c>
      <c r="J19" s="260">
        <f t="shared" si="3"/>
        <v>3334</v>
      </c>
      <c r="K19" s="260">
        <f t="shared" si="4"/>
        <v>2140</v>
      </c>
      <c r="L19" s="261">
        <f t="shared" si="5"/>
        <v>1243</v>
      </c>
      <c r="N19" s="259">
        <f t="shared" si="6"/>
        <v>496.58</v>
      </c>
      <c r="O19" s="260">
        <f t="shared" si="7"/>
        <v>522.05999999999995</v>
      </c>
      <c r="P19" s="260">
        <f t="shared" si="8"/>
        <v>522.05999999999995</v>
      </c>
      <c r="Q19" s="260">
        <f t="shared" si="9"/>
        <v>700.14</v>
      </c>
      <c r="R19" s="260">
        <f t="shared" si="10"/>
        <v>599.20000000000005</v>
      </c>
      <c r="S19" s="261">
        <f t="shared" si="11"/>
        <v>696.08</v>
      </c>
      <c r="U19" s="316">
        <f t="shared" si="25"/>
        <v>70</v>
      </c>
      <c r="V19" s="259">
        <v>1407</v>
      </c>
      <c r="W19" s="260">
        <v>1243</v>
      </c>
      <c r="X19" s="260">
        <v>2140</v>
      </c>
      <c r="Y19" s="261">
        <v>3334</v>
      </c>
      <c r="AA19" s="259">
        <f t="shared" si="12"/>
        <v>1773.5</v>
      </c>
      <c r="AB19" s="260">
        <f t="shared" si="13"/>
        <v>1243</v>
      </c>
      <c r="AC19" s="260">
        <f t="shared" si="14"/>
        <v>1243</v>
      </c>
      <c r="AD19" s="260">
        <f t="shared" si="15"/>
        <v>3334</v>
      </c>
      <c r="AE19" s="260">
        <f t="shared" si="16"/>
        <v>2140</v>
      </c>
      <c r="AF19" s="261">
        <f t="shared" si="17"/>
        <v>1243</v>
      </c>
      <c r="AH19" s="259">
        <f t="shared" si="18"/>
        <v>496.58</v>
      </c>
      <c r="AI19" s="260">
        <f t="shared" si="19"/>
        <v>522.05999999999995</v>
      </c>
      <c r="AJ19" s="260">
        <f t="shared" si="20"/>
        <v>522.05999999999995</v>
      </c>
      <c r="AK19" s="260">
        <f t="shared" si="21"/>
        <v>700.14</v>
      </c>
      <c r="AL19" s="260">
        <f t="shared" si="22"/>
        <v>599.20000000000005</v>
      </c>
      <c r="AM19" s="261">
        <f t="shared" si="23"/>
        <v>696.08</v>
      </c>
      <c r="AP19" s="66"/>
      <c r="AQ19" s="66"/>
      <c r="AR19" s="66"/>
      <c r="AS19" s="66"/>
      <c r="AT19" s="66"/>
      <c r="AU19" s="92"/>
      <c r="AV19" s="92"/>
      <c r="BB19" s="18"/>
      <c r="BC19" s="18"/>
      <c r="BD19" s="18"/>
    </row>
    <row r="20" spans="1:56" ht="15.75">
      <c r="A20" s="316">
        <f t="shared" si="24"/>
        <v>80</v>
      </c>
      <c r="B20" s="259">
        <v>3479</v>
      </c>
      <c r="C20" s="260">
        <v>1243</v>
      </c>
      <c r="D20" s="260">
        <v>4330</v>
      </c>
      <c r="E20" s="261">
        <v>5634</v>
      </c>
      <c r="G20" s="259">
        <f t="shared" si="0"/>
        <v>3904.5</v>
      </c>
      <c r="H20" s="260">
        <f t="shared" si="1"/>
        <v>1243</v>
      </c>
      <c r="I20" s="260">
        <f t="shared" si="2"/>
        <v>1243</v>
      </c>
      <c r="J20" s="260">
        <f t="shared" si="3"/>
        <v>5634</v>
      </c>
      <c r="K20" s="260">
        <f t="shared" si="4"/>
        <v>4330</v>
      </c>
      <c r="L20" s="261">
        <f t="shared" si="5"/>
        <v>1243</v>
      </c>
      <c r="N20" s="259">
        <f t="shared" si="6"/>
        <v>1249.44</v>
      </c>
      <c r="O20" s="260">
        <f t="shared" si="7"/>
        <v>596.64</v>
      </c>
      <c r="P20" s="260">
        <f t="shared" si="8"/>
        <v>596.64</v>
      </c>
      <c r="Q20" s="260">
        <f t="shared" si="9"/>
        <v>1352.16</v>
      </c>
      <c r="R20" s="260">
        <f t="shared" si="10"/>
        <v>1385.6</v>
      </c>
      <c r="S20" s="261">
        <f t="shared" si="11"/>
        <v>795.52</v>
      </c>
      <c r="U20" s="316">
        <f t="shared" si="25"/>
        <v>80</v>
      </c>
      <c r="V20" s="259">
        <v>3479</v>
      </c>
      <c r="W20" s="260">
        <v>1243</v>
      </c>
      <c r="X20" s="260">
        <v>4330</v>
      </c>
      <c r="Y20" s="261">
        <v>5634</v>
      </c>
      <c r="AA20" s="259">
        <f t="shared" si="12"/>
        <v>3904.5</v>
      </c>
      <c r="AB20" s="260">
        <f t="shared" si="13"/>
        <v>1243</v>
      </c>
      <c r="AC20" s="260">
        <f t="shared" si="14"/>
        <v>1243</v>
      </c>
      <c r="AD20" s="260">
        <f t="shared" si="15"/>
        <v>5634</v>
      </c>
      <c r="AE20" s="260">
        <f t="shared" si="16"/>
        <v>4330</v>
      </c>
      <c r="AF20" s="261">
        <f t="shared" si="17"/>
        <v>1243</v>
      </c>
      <c r="AH20" s="259">
        <f t="shared" si="18"/>
        <v>1249.44</v>
      </c>
      <c r="AI20" s="260">
        <f t="shared" si="19"/>
        <v>596.64</v>
      </c>
      <c r="AJ20" s="260">
        <f t="shared" si="20"/>
        <v>596.64</v>
      </c>
      <c r="AK20" s="260">
        <f t="shared" si="21"/>
        <v>1352.16</v>
      </c>
      <c r="AL20" s="260">
        <f t="shared" si="22"/>
        <v>1385.6</v>
      </c>
      <c r="AM20" s="261">
        <f t="shared" si="23"/>
        <v>795.52</v>
      </c>
      <c r="AP20" s="66"/>
      <c r="AQ20" s="66"/>
      <c r="AR20" s="66"/>
      <c r="AS20" s="66"/>
      <c r="AT20" s="66"/>
      <c r="AU20" s="92"/>
      <c r="AV20" s="92"/>
      <c r="BB20" s="18"/>
      <c r="BC20" s="18"/>
      <c r="BD20" s="18"/>
    </row>
    <row r="21" spans="1:56" ht="15.75">
      <c r="A21" s="316">
        <f t="shared" si="24"/>
        <v>90</v>
      </c>
      <c r="B21" s="259">
        <v>3479</v>
      </c>
      <c r="C21" s="260">
        <v>1243</v>
      </c>
      <c r="D21" s="260">
        <v>4330</v>
      </c>
      <c r="E21" s="261">
        <v>5634</v>
      </c>
      <c r="G21" s="259">
        <f t="shared" si="0"/>
        <v>3904.5</v>
      </c>
      <c r="H21" s="260">
        <f t="shared" si="1"/>
        <v>1243</v>
      </c>
      <c r="I21" s="260">
        <f t="shared" si="2"/>
        <v>1243</v>
      </c>
      <c r="J21" s="260">
        <f t="shared" si="3"/>
        <v>5634</v>
      </c>
      <c r="K21" s="260">
        <f t="shared" si="4"/>
        <v>4330</v>
      </c>
      <c r="L21" s="261">
        <f t="shared" si="5"/>
        <v>1243</v>
      </c>
      <c r="N21" s="259">
        <f t="shared" si="6"/>
        <v>1405.62</v>
      </c>
      <c r="O21" s="260">
        <f t="shared" si="7"/>
        <v>671.22</v>
      </c>
      <c r="P21" s="260">
        <f t="shared" si="8"/>
        <v>671.22</v>
      </c>
      <c r="Q21" s="260">
        <f t="shared" si="9"/>
        <v>1521.18</v>
      </c>
      <c r="R21" s="260">
        <f t="shared" si="10"/>
        <v>1558.8</v>
      </c>
      <c r="S21" s="261">
        <f t="shared" si="11"/>
        <v>894.96</v>
      </c>
      <c r="U21" s="316">
        <f t="shared" si="25"/>
        <v>90</v>
      </c>
      <c r="V21" s="259">
        <v>3479</v>
      </c>
      <c r="W21" s="260">
        <v>1243</v>
      </c>
      <c r="X21" s="260">
        <v>4330</v>
      </c>
      <c r="Y21" s="261">
        <v>5634</v>
      </c>
      <c r="AA21" s="259">
        <f t="shared" si="12"/>
        <v>3904.5</v>
      </c>
      <c r="AB21" s="260">
        <f t="shared" si="13"/>
        <v>1243</v>
      </c>
      <c r="AC21" s="260">
        <f t="shared" si="14"/>
        <v>1243</v>
      </c>
      <c r="AD21" s="260">
        <f t="shared" si="15"/>
        <v>5634</v>
      </c>
      <c r="AE21" s="260">
        <f t="shared" si="16"/>
        <v>4330</v>
      </c>
      <c r="AF21" s="261">
        <f t="shared" si="17"/>
        <v>1243</v>
      </c>
      <c r="AH21" s="259">
        <f t="shared" si="18"/>
        <v>1405.62</v>
      </c>
      <c r="AI21" s="260">
        <f t="shared" si="19"/>
        <v>671.22</v>
      </c>
      <c r="AJ21" s="260">
        <f t="shared" si="20"/>
        <v>671.22</v>
      </c>
      <c r="AK21" s="260">
        <f t="shared" si="21"/>
        <v>1521.18</v>
      </c>
      <c r="AL21" s="260">
        <f t="shared" si="22"/>
        <v>1558.8</v>
      </c>
      <c r="AM21" s="261">
        <f t="shared" si="23"/>
        <v>894.96</v>
      </c>
      <c r="AP21" s="66"/>
      <c r="AQ21" s="66"/>
      <c r="AR21" s="66"/>
      <c r="AS21" s="66"/>
      <c r="AT21" s="66"/>
      <c r="AU21" s="92"/>
      <c r="AV21" s="92"/>
      <c r="BB21" s="18"/>
      <c r="BC21" s="18"/>
      <c r="BD21" s="18"/>
    </row>
    <row r="22" spans="1:56" ht="15.75">
      <c r="A22" s="316">
        <f t="shared" si="24"/>
        <v>100</v>
      </c>
      <c r="B22" s="259">
        <v>3479</v>
      </c>
      <c r="C22" s="260">
        <v>1243</v>
      </c>
      <c r="D22" s="260">
        <v>4330</v>
      </c>
      <c r="E22" s="261">
        <v>5634</v>
      </c>
      <c r="G22" s="259">
        <f t="shared" si="0"/>
        <v>3904.5</v>
      </c>
      <c r="H22" s="260">
        <f t="shared" si="1"/>
        <v>1243</v>
      </c>
      <c r="I22" s="260">
        <f t="shared" si="2"/>
        <v>1243</v>
      </c>
      <c r="J22" s="260">
        <f t="shared" si="3"/>
        <v>5634</v>
      </c>
      <c r="K22" s="260">
        <f t="shared" si="4"/>
        <v>4330</v>
      </c>
      <c r="L22" s="261">
        <f t="shared" si="5"/>
        <v>1243</v>
      </c>
      <c r="N22" s="259">
        <f t="shared" si="6"/>
        <v>1561.8</v>
      </c>
      <c r="O22" s="260">
        <f t="shared" si="7"/>
        <v>745.8</v>
      </c>
      <c r="P22" s="260">
        <f t="shared" si="8"/>
        <v>745.8</v>
      </c>
      <c r="Q22" s="260">
        <f t="shared" si="9"/>
        <v>1690.2</v>
      </c>
      <c r="R22" s="260">
        <f t="shared" si="10"/>
        <v>1732</v>
      </c>
      <c r="S22" s="261">
        <f t="shared" si="11"/>
        <v>994.4</v>
      </c>
      <c r="U22" s="316">
        <f t="shared" si="25"/>
        <v>100</v>
      </c>
      <c r="V22" s="259">
        <v>3479</v>
      </c>
      <c r="W22" s="260">
        <v>1243</v>
      </c>
      <c r="X22" s="260">
        <v>4330</v>
      </c>
      <c r="Y22" s="261">
        <v>5634</v>
      </c>
      <c r="AA22" s="259">
        <f t="shared" si="12"/>
        <v>3904.5</v>
      </c>
      <c r="AB22" s="260">
        <f t="shared" si="13"/>
        <v>1243</v>
      </c>
      <c r="AC22" s="260">
        <f t="shared" si="14"/>
        <v>1243</v>
      </c>
      <c r="AD22" s="260">
        <f t="shared" si="15"/>
        <v>5634</v>
      </c>
      <c r="AE22" s="260">
        <f t="shared" si="16"/>
        <v>4330</v>
      </c>
      <c r="AF22" s="261">
        <f t="shared" si="17"/>
        <v>1243</v>
      </c>
      <c r="AH22" s="259">
        <f t="shared" si="18"/>
        <v>1561.8</v>
      </c>
      <c r="AI22" s="260">
        <f t="shared" si="19"/>
        <v>745.8</v>
      </c>
      <c r="AJ22" s="260">
        <f t="shared" si="20"/>
        <v>745.8</v>
      </c>
      <c r="AK22" s="260">
        <f t="shared" si="21"/>
        <v>1690.2</v>
      </c>
      <c r="AL22" s="260">
        <f t="shared" si="22"/>
        <v>1732</v>
      </c>
      <c r="AM22" s="261">
        <f t="shared" si="23"/>
        <v>994.4</v>
      </c>
      <c r="AP22" s="66"/>
      <c r="AQ22" s="66"/>
      <c r="AR22" s="66"/>
      <c r="AS22" s="66"/>
      <c r="AT22" s="66"/>
      <c r="AU22" s="92"/>
      <c r="AV22" s="92"/>
      <c r="BB22" s="18"/>
      <c r="BC22" s="18"/>
      <c r="BD22" s="18"/>
    </row>
    <row r="23" spans="1:56" ht="15.75">
      <c r="A23" s="316">
        <f t="shared" si="24"/>
        <v>110</v>
      </c>
      <c r="B23" s="259">
        <v>3479</v>
      </c>
      <c r="C23" s="260">
        <v>1243</v>
      </c>
      <c r="D23" s="260">
        <v>4330</v>
      </c>
      <c r="E23" s="261">
        <v>5634</v>
      </c>
      <c r="G23" s="259">
        <f t="shared" si="0"/>
        <v>3904.5</v>
      </c>
      <c r="H23" s="260">
        <f t="shared" si="1"/>
        <v>1243</v>
      </c>
      <c r="I23" s="260">
        <f t="shared" si="2"/>
        <v>1243</v>
      </c>
      <c r="J23" s="260">
        <f t="shared" si="3"/>
        <v>5634</v>
      </c>
      <c r="K23" s="260">
        <f t="shared" si="4"/>
        <v>4330</v>
      </c>
      <c r="L23" s="261">
        <f t="shared" si="5"/>
        <v>1243</v>
      </c>
      <c r="N23" s="259">
        <f t="shared" si="6"/>
        <v>1717.98</v>
      </c>
      <c r="O23" s="260">
        <f t="shared" si="7"/>
        <v>820.38</v>
      </c>
      <c r="P23" s="260">
        <f t="shared" si="8"/>
        <v>820.38</v>
      </c>
      <c r="Q23" s="260">
        <f t="shared" si="9"/>
        <v>1859.22</v>
      </c>
      <c r="R23" s="260">
        <f t="shared" si="10"/>
        <v>1905.2</v>
      </c>
      <c r="S23" s="261">
        <f t="shared" si="11"/>
        <v>1093.8399999999999</v>
      </c>
      <c r="U23" s="316">
        <f t="shared" si="25"/>
        <v>110</v>
      </c>
      <c r="V23" s="259">
        <v>3479</v>
      </c>
      <c r="W23" s="260">
        <v>1243</v>
      </c>
      <c r="X23" s="260">
        <v>4330</v>
      </c>
      <c r="Y23" s="261">
        <v>5634</v>
      </c>
      <c r="AA23" s="259">
        <f t="shared" si="12"/>
        <v>3904.5</v>
      </c>
      <c r="AB23" s="260">
        <f t="shared" si="13"/>
        <v>1243</v>
      </c>
      <c r="AC23" s="260">
        <f t="shared" si="14"/>
        <v>1243</v>
      </c>
      <c r="AD23" s="260">
        <f t="shared" si="15"/>
        <v>5634</v>
      </c>
      <c r="AE23" s="260">
        <f t="shared" si="16"/>
        <v>4330</v>
      </c>
      <c r="AF23" s="261">
        <f t="shared" si="17"/>
        <v>1243</v>
      </c>
      <c r="AH23" s="259">
        <f t="shared" si="18"/>
        <v>1717.98</v>
      </c>
      <c r="AI23" s="260">
        <f t="shared" si="19"/>
        <v>820.38</v>
      </c>
      <c r="AJ23" s="260">
        <f t="shared" si="20"/>
        <v>820.38</v>
      </c>
      <c r="AK23" s="260">
        <f t="shared" si="21"/>
        <v>1859.22</v>
      </c>
      <c r="AL23" s="260">
        <f t="shared" si="22"/>
        <v>1905.2</v>
      </c>
      <c r="AM23" s="261">
        <f t="shared" si="23"/>
        <v>1093.8399999999999</v>
      </c>
      <c r="AP23" s="66"/>
      <c r="AQ23" s="66"/>
      <c r="AR23" s="66"/>
      <c r="AS23" s="66"/>
      <c r="AT23" s="66"/>
      <c r="AU23" s="92"/>
      <c r="AV23" s="92"/>
      <c r="BB23" s="18"/>
      <c r="BC23" s="18"/>
      <c r="BD23" s="18"/>
    </row>
    <row r="24" spans="1:56" ht="15.75">
      <c r="A24" s="317">
        <f t="shared" si="24"/>
        <v>120</v>
      </c>
      <c r="B24" s="271">
        <v>3892</v>
      </c>
      <c r="C24" s="272">
        <v>1874</v>
      </c>
      <c r="D24" s="272">
        <v>4330</v>
      </c>
      <c r="E24" s="273">
        <v>6379</v>
      </c>
      <c r="G24" s="271">
        <f t="shared" si="0"/>
        <v>4111</v>
      </c>
      <c r="H24" s="272">
        <f t="shared" si="1"/>
        <v>1874</v>
      </c>
      <c r="I24" s="272">
        <f t="shared" si="2"/>
        <v>1874</v>
      </c>
      <c r="J24" s="272">
        <f t="shared" si="3"/>
        <v>6379</v>
      </c>
      <c r="K24" s="272">
        <f t="shared" si="4"/>
        <v>4330</v>
      </c>
      <c r="L24" s="273">
        <f t="shared" si="5"/>
        <v>1874</v>
      </c>
      <c r="N24" s="373">
        <f t="shared" si="6"/>
        <v>1973.28</v>
      </c>
      <c r="O24" s="374">
        <f t="shared" si="7"/>
        <v>1349.28</v>
      </c>
      <c r="P24" s="374">
        <f t="shared" si="8"/>
        <v>1349.28</v>
      </c>
      <c r="Q24" s="374">
        <f t="shared" si="9"/>
        <v>2296.44</v>
      </c>
      <c r="R24" s="374">
        <f t="shared" si="10"/>
        <v>2078.4</v>
      </c>
      <c r="S24" s="375">
        <f t="shared" si="11"/>
        <v>1799.04</v>
      </c>
      <c r="U24" s="317">
        <f t="shared" si="25"/>
        <v>120</v>
      </c>
      <c r="V24" s="271">
        <v>3892</v>
      </c>
      <c r="W24" s="272">
        <v>1874</v>
      </c>
      <c r="X24" s="272">
        <v>4330</v>
      </c>
      <c r="Y24" s="273">
        <v>6379</v>
      </c>
      <c r="AA24" s="271">
        <f t="shared" si="12"/>
        <v>4111</v>
      </c>
      <c r="AB24" s="272">
        <f t="shared" si="13"/>
        <v>1874</v>
      </c>
      <c r="AC24" s="272">
        <f t="shared" si="14"/>
        <v>1874</v>
      </c>
      <c r="AD24" s="272">
        <f t="shared" si="15"/>
        <v>6379</v>
      </c>
      <c r="AE24" s="272">
        <f t="shared" si="16"/>
        <v>4330</v>
      </c>
      <c r="AF24" s="273">
        <f t="shared" si="17"/>
        <v>1874</v>
      </c>
      <c r="AH24" s="373">
        <f t="shared" si="18"/>
        <v>1973.28</v>
      </c>
      <c r="AI24" s="374">
        <f t="shared" si="19"/>
        <v>1349.28</v>
      </c>
      <c r="AJ24" s="374">
        <f t="shared" si="20"/>
        <v>1349.28</v>
      </c>
      <c r="AK24" s="374">
        <f t="shared" si="21"/>
        <v>2296.44</v>
      </c>
      <c r="AL24" s="374">
        <f t="shared" si="22"/>
        <v>2078.4</v>
      </c>
      <c r="AM24" s="375">
        <f t="shared" si="23"/>
        <v>1799.04</v>
      </c>
      <c r="AP24" s="66"/>
      <c r="AQ24" s="66"/>
      <c r="AR24" s="66"/>
      <c r="AS24" s="66"/>
      <c r="AT24" s="66"/>
      <c r="AU24" s="92"/>
      <c r="AV24" s="92"/>
      <c r="BB24" s="18"/>
      <c r="BC24" s="18"/>
      <c r="BD24" s="18"/>
    </row>
    <row r="25" spans="1:56" ht="15.75">
      <c r="A25" s="317">
        <f t="shared" si="24"/>
        <v>130</v>
      </c>
      <c r="B25" s="271">
        <v>3892</v>
      </c>
      <c r="C25" s="272">
        <v>1874</v>
      </c>
      <c r="D25" s="272">
        <v>4330</v>
      </c>
      <c r="E25" s="273">
        <v>6379</v>
      </c>
      <c r="G25" s="271">
        <f t="shared" si="0"/>
        <v>4111</v>
      </c>
      <c r="H25" s="272">
        <f t="shared" si="1"/>
        <v>1874</v>
      </c>
      <c r="I25" s="272">
        <f t="shared" si="2"/>
        <v>1874</v>
      </c>
      <c r="J25" s="272">
        <f t="shared" si="3"/>
        <v>6379</v>
      </c>
      <c r="K25" s="272">
        <f t="shared" si="4"/>
        <v>4330</v>
      </c>
      <c r="L25" s="273">
        <f t="shared" si="5"/>
        <v>1874</v>
      </c>
      <c r="N25" s="259">
        <f t="shared" si="6"/>
        <v>2137.7199999999998</v>
      </c>
      <c r="O25" s="260">
        <f t="shared" si="7"/>
        <v>1461.72</v>
      </c>
      <c r="P25" s="260">
        <f t="shared" si="8"/>
        <v>1461.72</v>
      </c>
      <c r="Q25" s="260">
        <f t="shared" si="9"/>
        <v>2487.81</v>
      </c>
      <c r="R25" s="260">
        <f t="shared" si="10"/>
        <v>2251.6</v>
      </c>
      <c r="S25" s="261">
        <f t="shared" si="11"/>
        <v>1948.96</v>
      </c>
      <c r="U25" s="317">
        <f t="shared" si="25"/>
        <v>130</v>
      </c>
      <c r="V25" s="271">
        <v>3892</v>
      </c>
      <c r="W25" s="272">
        <v>1874</v>
      </c>
      <c r="X25" s="272">
        <v>4330</v>
      </c>
      <c r="Y25" s="273">
        <v>6379</v>
      </c>
      <c r="AA25" s="271">
        <f t="shared" si="12"/>
        <v>4111</v>
      </c>
      <c r="AB25" s="272">
        <f t="shared" si="13"/>
        <v>1874</v>
      </c>
      <c r="AC25" s="272">
        <f t="shared" si="14"/>
        <v>1874</v>
      </c>
      <c r="AD25" s="272">
        <f t="shared" si="15"/>
        <v>6379</v>
      </c>
      <c r="AE25" s="272">
        <f t="shared" si="16"/>
        <v>4330</v>
      </c>
      <c r="AF25" s="273">
        <f t="shared" si="17"/>
        <v>1874</v>
      </c>
      <c r="AH25" s="271">
        <f t="shared" si="18"/>
        <v>2137.7199999999998</v>
      </c>
      <c r="AI25" s="272">
        <f t="shared" si="19"/>
        <v>1461.72</v>
      </c>
      <c r="AJ25" s="272">
        <f t="shared" si="20"/>
        <v>1461.72</v>
      </c>
      <c r="AK25" s="272">
        <f t="shared" si="21"/>
        <v>2487.81</v>
      </c>
      <c r="AL25" s="272">
        <f t="shared" si="22"/>
        <v>2251.6</v>
      </c>
      <c r="AM25" s="273">
        <f t="shared" si="23"/>
        <v>1948.96</v>
      </c>
      <c r="AP25" s="66"/>
      <c r="AQ25" s="66"/>
      <c r="AR25" s="66"/>
      <c r="AS25" s="66"/>
      <c r="AT25" s="66"/>
      <c r="AU25" s="92"/>
      <c r="AV25" s="92"/>
      <c r="BB25" s="18"/>
      <c r="BC25" s="18"/>
      <c r="BD25" s="18"/>
    </row>
    <row r="26" spans="1:56" ht="15.75">
      <c r="A26" s="317">
        <f t="shared" si="24"/>
        <v>140</v>
      </c>
      <c r="B26" s="271">
        <v>3892</v>
      </c>
      <c r="C26" s="272">
        <v>1874</v>
      </c>
      <c r="D26" s="272">
        <v>4330</v>
      </c>
      <c r="E26" s="273">
        <v>6379</v>
      </c>
      <c r="G26" s="271">
        <f t="shared" si="0"/>
        <v>4111</v>
      </c>
      <c r="H26" s="272">
        <f t="shared" si="1"/>
        <v>1874</v>
      </c>
      <c r="I26" s="272">
        <f t="shared" si="2"/>
        <v>1874</v>
      </c>
      <c r="J26" s="272">
        <f t="shared" si="3"/>
        <v>6379</v>
      </c>
      <c r="K26" s="272">
        <f t="shared" si="4"/>
        <v>4330</v>
      </c>
      <c r="L26" s="273">
        <f t="shared" si="5"/>
        <v>1874</v>
      </c>
      <c r="N26" s="271">
        <f t="shared" si="6"/>
        <v>2302.16</v>
      </c>
      <c r="O26" s="272">
        <f t="shared" si="7"/>
        <v>1574.16</v>
      </c>
      <c r="P26" s="272">
        <f t="shared" si="8"/>
        <v>1574.16</v>
      </c>
      <c r="Q26" s="272">
        <f t="shared" si="9"/>
        <v>2679.18</v>
      </c>
      <c r="R26" s="272">
        <f t="shared" si="10"/>
        <v>2424.8000000000002</v>
      </c>
      <c r="S26" s="273">
        <f t="shared" si="11"/>
        <v>2098.88</v>
      </c>
      <c r="U26" s="317">
        <f t="shared" si="25"/>
        <v>140</v>
      </c>
      <c r="V26" s="271">
        <v>3892</v>
      </c>
      <c r="W26" s="272">
        <v>1874</v>
      </c>
      <c r="X26" s="272">
        <v>4330</v>
      </c>
      <c r="Y26" s="273">
        <v>6379</v>
      </c>
      <c r="AA26" s="271">
        <f t="shared" si="12"/>
        <v>4111</v>
      </c>
      <c r="AB26" s="272">
        <f t="shared" si="13"/>
        <v>1874</v>
      </c>
      <c r="AC26" s="272">
        <f t="shared" si="14"/>
        <v>1874</v>
      </c>
      <c r="AD26" s="272">
        <f t="shared" si="15"/>
        <v>6379</v>
      </c>
      <c r="AE26" s="272">
        <f t="shared" si="16"/>
        <v>4330</v>
      </c>
      <c r="AF26" s="273">
        <f t="shared" si="17"/>
        <v>1874</v>
      </c>
      <c r="AH26" s="271">
        <f t="shared" si="18"/>
        <v>2302.16</v>
      </c>
      <c r="AI26" s="272">
        <f t="shared" si="19"/>
        <v>1574.16</v>
      </c>
      <c r="AJ26" s="272">
        <f t="shared" si="20"/>
        <v>1574.16</v>
      </c>
      <c r="AK26" s="272">
        <f t="shared" si="21"/>
        <v>2679.18</v>
      </c>
      <c r="AL26" s="272">
        <f t="shared" si="22"/>
        <v>2424.8000000000002</v>
      </c>
      <c r="AM26" s="273">
        <f t="shared" si="23"/>
        <v>2098.88</v>
      </c>
      <c r="AP26" s="66"/>
      <c r="AQ26" s="66"/>
      <c r="AR26" s="66"/>
      <c r="AS26" s="66"/>
      <c r="AT26" s="66"/>
      <c r="AU26" s="92"/>
      <c r="AV26" s="92"/>
      <c r="BB26" s="18"/>
      <c r="BC26" s="18"/>
      <c r="BD26" s="18"/>
    </row>
    <row r="27" spans="1:56" ht="15.75">
      <c r="A27" s="317">
        <f t="shared" si="24"/>
        <v>150</v>
      </c>
      <c r="B27" s="271">
        <v>3892</v>
      </c>
      <c r="C27" s="272">
        <v>1874</v>
      </c>
      <c r="D27" s="272">
        <v>4330</v>
      </c>
      <c r="E27" s="273">
        <v>6379</v>
      </c>
      <c r="G27" s="271">
        <f t="shared" si="0"/>
        <v>4111</v>
      </c>
      <c r="H27" s="272">
        <f t="shared" si="1"/>
        <v>1874</v>
      </c>
      <c r="I27" s="272">
        <f t="shared" si="2"/>
        <v>1874</v>
      </c>
      <c r="J27" s="272">
        <f t="shared" si="3"/>
        <v>6379</v>
      </c>
      <c r="K27" s="272">
        <f t="shared" si="4"/>
        <v>4330</v>
      </c>
      <c r="L27" s="273">
        <f t="shared" si="5"/>
        <v>1874</v>
      </c>
      <c r="N27" s="271">
        <f t="shared" si="6"/>
        <v>2466.6</v>
      </c>
      <c r="O27" s="272">
        <f t="shared" si="7"/>
        <v>1686.6</v>
      </c>
      <c r="P27" s="272">
        <f t="shared" si="8"/>
        <v>1686.6</v>
      </c>
      <c r="Q27" s="272">
        <f t="shared" si="9"/>
        <v>2870.55</v>
      </c>
      <c r="R27" s="272">
        <f t="shared" si="10"/>
        <v>2598</v>
      </c>
      <c r="S27" s="273">
        <f t="shared" si="11"/>
        <v>2248.8000000000002</v>
      </c>
      <c r="U27" s="317">
        <f t="shared" si="25"/>
        <v>150</v>
      </c>
      <c r="V27" s="271">
        <v>3892</v>
      </c>
      <c r="W27" s="272">
        <v>1874</v>
      </c>
      <c r="X27" s="272">
        <v>4330</v>
      </c>
      <c r="Y27" s="273">
        <v>6379</v>
      </c>
      <c r="AA27" s="271">
        <f t="shared" si="12"/>
        <v>4111</v>
      </c>
      <c r="AB27" s="272">
        <f t="shared" si="13"/>
        <v>1874</v>
      </c>
      <c r="AC27" s="272">
        <f t="shared" si="14"/>
        <v>1874</v>
      </c>
      <c r="AD27" s="272">
        <f t="shared" si="15"/>
        <v>6379</v>
      </c>
      <c r="AE27" s="272">
        <f t="shared" si="16"/>
        <v>4330</v>
      </c>
      <c r="AF27" s="273">
        <f t="shared" si="17"/>
        <v>1874</v>
      </c>
      <c r="AH27" s="271">
        <f t="shared" si="18"/>
        <v>2466.6</v>
      </c>
      <c r="AI27" s="272">
        <f t="shared" si="19"/>
        <v>1686.6</v>
      </c>
      <c r="AJ27" s="272">
        <f t="shared" si="20"/>
        <v>1686.6</v>
      </c>
      <c r="AK27" s="272">
        <f t="shared" si="21"/>
        <v>2870.55</v>
      </c>
      <c r="AL27" s="272">
        <f t="shared" si="22"/>
        <v>2598</v>
      </c>
      <c r="AM27" s="273">
        <f t="shared" si="23"/>
        <v>2248.8000000000002</v>
      </c>
      <c r="AP27" s="66"/>
      <c r="AQ27" s="66"/>
      <c r="AR27" s="66"/>
      <c r="AS27" s="66"/>
      <c r="AT27" s="66"/>
      <c r="AU27" s="92"/>
      <c r="AV27" s="92"/>
      <c r="BB27" s="18"/>
      <c r="BC27" s="18"/>
      <c r="BD27" s="18"/>
    </row>
    <row r="28" spans="1:56" ht="15.75">
      <c r="A28" s="317">
        <f t="shared" si="24"/>
        <v>160</v>
      </c>
      <c r="B28" s="271">
        <v>5022</v>
      </c>
      <c r="C28" s="272">
        <v>1874</v>
      </c>
      <c r="D28" s="272">
        <v>6112</v>
      </c>
      <c r="E28" s="273">
        <v>7118</v>
      </c>
      <c r="G28" s="271">
        <f t="shared" si="0"/>
        <v>5567</v>
      </c>
      <c r="H28" s="272">
        <f t="shared" si="1"/>
        <v>1874</v>
      </c>
      <c r="I28" s="272">
        <f t="shared" si="2"/>
        <v>1874</v>
      </c>
      <c r="J28" s="272">
        <f t="shared" si="3"/>
        <v>7118</v>
      </c>
      <c r="K28" s="272">
        <f t="shared" si="4"/>
        <v>6112</v>
      </c>
      <c r="L28" s="273">
        <f t="shared" si="5"/>
        <v>1874</v>
      </c>
      <c r="N28" s="271">
        <f t="shared" si="6"/>
        <v>3562.88</v>
      </c>
      <c r="O28" s="272">
        <f t="shared" si="7"/>
        <v>1799.04</v>
      </c>
      <c r="P28" s="272">
        <f t="shared" si="8"/>
        <v>1799.04</v>
      </c>
      <c r="Q28" s="272">
        <f t="shared" si="9"/>
        <v>3416.64</v>
      </c>
      <c r="R28" s="272">
        <f t="shared" si="10"/>
        <v>3911.68</v>
      </c>
      <c r="S28" s="273">
        <f t="shared" si="11"/>
        <v>2398.7199999999998</v>
      </c>
      <c r="U28" s="317">
        <f t="shared" si="25"/>
        <v>160</v>
      </c>
      <c r="V28" s="271">
        <v>5022</v>
      </c>
      <c r="W28" s="272">
        <v>1874</v>
      </c>
      <c r="X28" s="272">
        <v>6112</v>
      </c>
      <c r="Y28" s="273">
        <v>7118</v>
      </c>
      <c r="AA28" s="271">
        <f t="shared" si="12"/>
        <v>5567</v>
      </c>
      <c r="AB28" s="272">
        <f t="shared" si="13"/>
        <v>1874</v>
      </c>
      <c r="AC28" s="272">
        <f t="shared" si="14"/>
        <v>1874</v>
      </c>
      <c r="AD28" s="272">
        <f t="shared" si="15"/>
        <v>7118</v>
      </c>
      <c r="AE28" s="272">
        <f t="shared" si="16"/>
        <v>6112</v>
      </c>
      <c r="AF28" s="273">
        <f t="shared" si="17"/>
        <v>1874</v>
      </c>
      <c r="AH28" s="271">
        <f t="shared" si="18"/>
        <v>3562.88</v>
      </c>
      <c r="AI28" s="272">
        <f t="shared" si="19"/>
        <v>1799.04</v>
      </c>
      <c r="AJ28" s="272">
        <f t="shared" si="20"/>
        <v>1799.04</v>
      </c>
      <c r="AK28" s="272">
        <f t="shared" si="21"/>
        <v>3416.64</v>
      </c>
      <c r="AL28" s="272">
        <f t="shared" si="22"/>
        <v>3911.68</v>
      </c>
      <c r="AM28" s="273">
        <f t="shared" si="23"/>
        <v>2398.7199999999998</v>
      </c>
      <c r="AP28" s="66"/>
      <c r="AQ28" s="66"/>
      <c r="AR28" s="66"/>
      <c r="AS28" s="66"/>
      <c r="AT28" s="66"/>
      <c r="AU28" s="92"/>
      <c r="AV28" s="92"/>
      <c r="BB28" s="18"/>
      <c r="BC28" s="18"/>
      <c r="BD28" s="18"/>
    </row>
    <row r="29" spans="1:56" ht="15.75">
      <c r="A29" s="317">
        <f t="shared" si="24"/>
        <v>170</v>
      </c>
      <c r="B29" s="271">
        <v>5022</v>
      </c>
      <c r="C29" s="272">
        <v>1874</v>
      </c>
      <c r="D29" s="272">
        <v>6112</v>
      </c>
      <c r="E29" s="273">
        <v>7118</v>
      </c>
      <c r="G29" s="271">
        <f t="shared" si="0"/>
        <v>5567</v>
      </c>
      <c r="H29" s="272">
        <f t="shared" si="1"/>
        <v>1874</v>
      </c>
      <c r="I29" s="272">
        <f t="shared" si="2"/>
        <v>1874</v>
      </c>
      <c r="J29" s="272">
        <f t="shared" si="3"/>
        <v>7118</v>
      </c>
      <c r="K29" s="272">
        <f t="shared" si="4"/>
        <v>6112</v>
      </c>
      <c r="L29" s="273">
        <f t="shared" si="5"/>
        <v>1874</v>
      </c>
      <c r="N29" s="271">
        <f t="shared" si="6"/>
        <v>3785.56</v>
      </c>
      <c r="O29" s="272">
        <f t="shared" si="7"/>
        <v>1911.48</v>
      </c>
      <c r="P29" s="272">
        <f t="shared" si="8"/>
        <v>1911.48</v>
      </c>
      <c r="Q29" s="272">
        <f t="shared" si="9"/>
        <v>3630.18</v>
      </c>
      <c r="R29" s="272">
        <f t="shared" si="10"/>
        <v>4156.16</v>
      </c>
      <c r="S29" s="273">
        <f t="shared" si="11"/>
        <v>2548.64</v>
      </c>
      <c r="U29" s="317">
        <f t="shared" si="25"/>
        <v>170</v>
      </c>
      <c r="V29" s="271">
        <v>5022</v>
      </c>
      <c r="W29" s="272">
        <v>1874</v>
      </c>
      <c r="X29" s="272">
        <v>6112</v>
      </c>
      <c r="Y29" s="273">
        <v>7118</v>
      </c>
      <c r="AA29" s="271">
        <f t="shared" si="12"/>
        <v>5567</v>
      </c>
      <c r="AB29" s="272">
        <f t="shared" si="13"/>
        <v>1874</v>
      </c>
      <c r="AC29" s="272">
        <f t="shared" si="14"/>
        <v>1874</v>
      </c>
      <c r="AD29" s="272">
        <f t="shared" si="15"/>
        <v>7118</v>
      </c>
      <c r="AE29" s="272">
        <f t="shared" si="16"/>
        <v>6112</v>
      </c>
      <c r="AF29" s="273">
        <f t="shared" si="17"/>
        <v>1874</v>
      </c>
      <c r="AH29" s="271">
        <f t="shared" si="18"/>
        <v>3785.56</v>
      </c>
      <c r="AI29" s="272">
        <f t="shared" si="19"/>
        <v>1911.48</v>
      </c>
      <c r="AJ29" s="272">
        <f t="shared" si="20"/>
        <v>1911.48</v>
      </c>
      <c r="AK29" s="272">
        <f t="shared" si="21"/>
        <v>3630.18</v>
      </c>
      <c r="AL29" s="272">
        <f t="shared" si="22"/>
        <v>4156.16</v>
      </c>
      <c r="AM29" s="273">
        <f t="shared" si="23"/>
        <v>2548.64</v>
      </c>
      <c r="AP29" s="66"/>
      <c r="AQ29" s="66"/>
      <c r="AR29" s="66"/>
      <c r="AS29" s="66"/>
      <c r="AT29" s="66"/>
      <c r="AU29" s="92"/>
      <c r="AV29" s="92"/>
      <c r="BB29" s="18"/>
      <c r="BC29" s="18"/>
      <c r="BD29" s="18"/>
    </row>
    <row r="30" spans="1:56" ht="15.75">
      <c r="A30" s="317">
        <f t="shared" si="24"/>
        <v>180</v>
      </c>
      <c r="B30" s="271">
        <v>5022</v>
      </c>
      <c r="C30" s="272">
        <v>2580</v>
      </c>
      <c r="D30" s="272">
        <v>6112</v>
      </c>
      <c r="E30" s="273">
        <v>7118</v>
      </c>
      <c r="G30" s="271">
        <f t="shared" si="0"/>
        <v>5567</v>
      </c>
      <c r="H30" s="272">
        <f t="shared" si="1"/>
        <v>2580</v>
      </c>
      <c r="I30" s="272">
        <f t="shared" si="2"/>
        <v>2580</v>
      </c>
      <c r="J30" s="272">
        <f t="shared" si="3"/>
        <v>7118</v>
      </c>
      <c r="K30" s="272">
        <f t="shared" si="4"/>
        <v>6112</v>
      </c>
      <c r="L30" s="273">
        <f t="shared" si="5"/>
        <v>2580</v>
      </c>
      <c r="N30" s="271">
        <f t="shared" si="6"/>
        <v>4008.24</v>
      </c>
      <c r="O30" s="272">
        <f t="shared" si="7"/>
        <v>2786.4</v>
      </c>
      <c r="P30" s="272">
        <f t="shared" si="8"/>
        <v>2786.4</v>
      </c>
      <c r="Q30" s="272">
        <f t="shared" si="9"/>
        <v>3843.72</v>
      </c>
      <c r="R30" s="272">
        <f t="shared" si="10"/>
        <v>4400.6400000000003</v>
      </c>
      <c r="S30" s="273">
        <f t="shared" si="11"/>
        <v>3715.2</v>
      </c>
      <c r="U30" s="317">
        <f t="shared" si="25"/>
        <v>180</v>
      </c>
      <c r="V30" s="271">
        <v>5022</v>
      </c>
      <c r="W30" s="272">
        <v>2580</v>
      </c>
      <c r="X30" s="272">
        <v>6112</v>
      </c>
      <c r="Y30" s="273">
        <v>7118</v>
      </c>
      <c r="AA30" s="271">
        <f t="shared" si="12"/>
        <v>5567</v>
      </c>
      <c r="AB30" s="272">
        <f t="shared" si="13"/>
        <v>2580</v>
      </c>
      <c r="AC30" s="272">
        <f t="shared" si="14"/>
        <v>2580</v>
      </c>
      <c r="AD30" s="272">
        <f t="shared" si="15"/>
        <v>7118</v>
      </c>
      <c r="AE30" s="272">
        <f t="shared" si="16"/>
        <v>6112</v>
      </c>
      <c r="AF30" s="273">
        <f t="shared" si="17"/>
        <v>2580</v>
      </c>
      <c r="AH30" s="271">
        <f t="shared" si="18"/>
        <v>4008.24</v>
      </c>
      <c r="AI30" s="272">
        <f t="shared" si="19"/>
        <v>2786.4</v>
      </c>
      <c r="AJ30" s="272">
        <f t="shared" si="20"/>
        <v>2786.4</v>
      </c>
      <c r="AK30" s="272">
        <f t="shared" si="21"/>
        <v>3843.72</v>
      </c>
      <c r="AL30" s="272">
        <f t="shared" si="22"/>
        <v>4400.6400000000003</v>
      </c>
      <c r="AM30" s="273">
        <f t="shared" si="23"/>
        <v>3715.2</v>
      </c>
      <c r="AP30" s="66"/>
      <c r="AQ30" s="66"/>
      <c r="AR30" s="66"/>
      <c r="AS30" s="66"/>
      <c r="AT30" s="66"/>
      <c r="AU30" s="92"/>
      <c r="AV30" s="92"/>
      <c r="BB30" s="18"/>
      <c r="BC30" s="18"/>
      <c r="BD30" s="18"/>
    </row>
    <row r="31" spans="1:56" ht="15.75">
      <c r="A31" s="317">
        <f t="shared" si="24"/>
        <v>190</v>
      </c>
      <c r="B31" s="271">
        <v>5022</v>
      </c>
      <c r="C31" s="272">
        <v>2580</v>
      </c>
      <c r="D31" s="272">
        <v>6112</v>
      </c>
      <c r="E31" s="273">
        <v>7118</v>
      </c>
      <c r="G31" s="271">
        <f t="shared" si="0"/>
        <v>5567</v>
      </c>
      <c r="H31" s="272">
        <f t="shared" si="1"/>
        <v>2580</v>
      </c>
      <c r="I31" s="272">
        <f t="shared" si="2"/>
        <v>2580</v>
      </c>
      <c r="J31" s="272">
        <f t="shared" si="3"/>
        <v>7118</v>
      </c>
      <c r="K31" s="272">
        <f t="shared" si="4"/>
        <v>6112</v>
      </c>
      <c r="L31" s="273">
        <f t="shared" si="5"/>
        <v>2580</v>
      </c>
      <c r="N31" s="271">
        <f t="shared" si="6"/>
        <v>4230.92</v>
      </c>
      <c r="O31" s="272">
        <f t="shared" si="7"/>
        <v>2941.2</v>
      </c>
      <c r="P31" s="272">
        <f t="shared" si="8"/>
        <v>2941.2</v>
      </c>
      <c r="Q31" s="272">
        <f t="shared" si="9"/>
        <v>4057.26</v>
      </c>
      <c r="R31" s="272">
        <f t="shared" si="10"/>
        <v>4645.12</v>
      </c>
      <c r="S31" s="273">
        <f t="shared" si="11"/>
        <v>3921.6</v>
      </c>
      <c r="U31" s="317">
        <f t="shared" si="25"/>
        <v>190</v>
      </c>
      <c r="V31" s="271">
        <v>5022</v>
      </c>
      <c r="W31" s="272">
        <v>2580</v>
      </c>
      <c r="X31" s="272">
        <v>6112</v>
      </c>
      <c r="Y31" s="273">
        <v>7118</v>
      </c>
      <c r="AA31" s="271">
        <f t="shared" si="12"/>
        <v>5567</v>
      </c>
      <c r="AB31" s="272">
        <f t="shared" si="13"/>
        <v>2580</v>
      </c>
      <c r="AC31" s="272">
        <f t="shared" si="14"/>
        <v>2580</v>
      </c>
      <c r="AD31" s="272">
        <f t="shared" si="15"/>
        <v>7118</v>
      </c>
      <c r="AE31" s="272">
        <f t="shared" si="16"/>
        <v>6112</v>
      </c>
      <c r="AF31" s="273">
        <f t="shared" si="17"/>
        <v>2580</v>
      </c>
      <c r="AH31" s="271">
        <f t="shared" si="18"/>
        <v>4230.92</v>
      </c>
      <c r="AI31" s="272">
        <f t="shared" si="19"/>
        <v>2941.2</v>
      </c>
      <c r="AJ31" s="272">
        <f t="shared" si="20"/>
        <v>2941.2</v>
      </c>
      <c r="AK31" s="272">
        <f t="shared" si="21"/>
        <v>4057.26</v>
      </c>
      <c r="AL31" s="272">
        <f t="shared" si="22"/>
        <v>4645.12</v>
      </c>
      <c r="AM31" s="273">
        <f t="shared" si="23"/>
        <v>3921.6</v>
      </c>
      <c r="AP31" s="66"/>
      <c r="AQ31" s="66"/>
      <c r="AR31" s="66"/>
      <c r="AS31" s="66"/>
      <c r="AT31" s="66"/>
      <c r="AU31" s="92"/>
      <c r="AV31" s="92"/>
      <c r="BB31" s="18"/>
      <c r="BC31" s="18"/>
      <c r="BD31" s="18"/>
    </row>
    <row r="32" spans="1:56" ht="15.75">
      <c r="A32" s="317">
        <f t="shared" si="24"/>
        <v>200</v>
      </c>
      <c r="B32" s="271">
        <v>5022</v>
      </c>
      <c r="C32" s="272">
        <v>2580</v>
      </c>
      <c r="D32" s="272">
        <v>6112</v>
      </c>
      <c r="E32" s="273">
        <v>7118</v>
      </c>
      <c r="G32" s="271">
        <f t="shared" si="0"/>
        <v>5567</v>
      </c>
      <c r="H32" s="272">
        <f t="shared" si="1"/>
        <v>2580</v>
      </c>
      <c r="I32" s="272">
        <f t="shared" si="2"/>
        <v>2580</v>
      </c>
      <c r="J32" s="272">
        <f t="shared" si="3"/>
        <v>7118</v>
      </c>
      <c r="K32" s="272">
        <f t="shared" si="4"/>
        <v>6112</v>
      </c>
      <c r="L32" s="273">
        <f t="shared" si="5"/>
        <v>2580</v>
      </c>
      <c r="N32" s="271">
        <f t="shared" si="6"/>
        <v>4453.6000000000004</v>
      </c>
      <c r="O32" s="272">
        <f t="shared" si="7"/>
        <v>3096</v>
      </c>
      <c r="P32" s="272">
        <f t="shared" si="8"/>
        <v>3096</v>
      </c>
      <c r="Q32" s="272">
        <f t="shared" si="9"/>
        <v>4270.8</v>
      </c>
      <c r="R32" s="272">
        <f t="shared" si="10"/>
        <v>4889.6000000000004</v>
      </c>
      <c r="S32" s="273">
        <f t="shared" si="11"/>
        <v>4128</v>
      </c>
      <c r="U32" s="317">
        <f t="shared" si="25"/>
        <v>200</v>
      </c>
      <c r="V32" s="271">
        <v>5022</v>
      </c>
      <c r="W32" s="272">
        <v>2580</v>
      </c>
      <c r="X32" s="272">
        <v>6112</v>
      </c>
      <c r="Y32" s="273">
        <v>7118</v>
      </c>
      <c r="AA32" s="271">
        <f t="shared" si="12"/>
        <v>5567</v>
      </c>
      <c r="AB32" s="272">
        <f t="shared" si="13"/>
        <v>2580</v>
      </c>
      <c r="AC32" s="272">
        <f t="shared" si="14"/>
        <v>2580</v>
      </c>
      <c r="AD32" s="272">
        <f t="shared" si="15"/>
        <v>7118</v>
      </c>
      <c r="AE32" s="272">
        <f t="shared" si="16"/>
        <v>6112</v>
      </c>
      <c r="AF32" s="273">
        <f t="shared" si="17"/>
        <v>2580</v>
      </c>
      <c r="AH32" s="271">
        <f t="shared" si="18"/>
        <v>4453.6000000000004</v>
      </c>
      <c r="AI32" s="272">
        <f t="shared" si="19"/>
        <v>3096</v>
      </c>
      <c r="AJ32" s="272">
        <f t="shared" si="20"/>
        <v>3096</v>
      </c>
      <c r="AK32" s="272">
        <f t="shared" si="21"/>
        <v>4270.8</v>
      </c>
      <c r="AL32" s="272">
        <f t="shared" si="22"/>
        <v>4889.6000000000004</v>
      </c>
      <c r="AM32" s="273">
        <f t="shared" si="23"/>
        <v>4128</v>
      </c>
      <c r="AP32" s="66"/>
      <c r="AQ32" s="66"/>
      <c r="AR32" s="66"/>
      <c r="AS32" s="66"/>
      <c r="AT32" s="66"/>
      <c r="AU32" s="92"/>
      <c r="AV32" s="92"/>
      <c r="BB32" s="18"/>
      <c r="BC32" s="18"/>
      <c r="BD32" s="18"/>
    </row>
    <row r="33" spans="1:56" ht="15.75">
      <c r="A33" s="317">
        <f t="shared" si="24"/>
        <v>210</v>
      </c>
      <c r="B33" s="271">
        <v>5022</v>
      </c>
      <c r="C33" s="272">
        <v>2580</v>
      </c>
      <c r="D33" s="272">
        <v>6112</v>
      </c>
      <c r="E33" s="273">
        <v>7118</v>
      </c>
      <c r="G33" s="271">
        <f t="shared" si="0"/>
        <v>5567</v>
      </c>
      <c r="H33" s="272">
        <f t="shared" si="1"/>
        <v>2580</v>
      </c>
      <c r="I33" s="272">
        <f t="shared" si="2"/>
        <v>2580</v>
      </c>
      <c r="J33" s="272">
        <f t="shared" si="3"/>
        <v>7118</v>
      </c>
      <c r="K33" s="272">
        <f t="shared" si="4"/>
        <v>6112</v>
      </c>
      <c r="L33" s="273">
        <f t="shared" si="5"/>
        <v>2580</v>
      </c>
      <c r="N33" s="271">
        <f t="shared" si="6"/>
        <v>4676.28</v>
      </c>
      <c r="O33" s="272">
        <f t="shared" si="7"/>
        <v>3250.8</v>
      </c>
      <c r="P33" s="272">
        <f t="shared" si="8"/>
        <v>3250.8</v>
      </c>
      <c r="Q33" s="272">
        <f t="shared" si="9"/>
        <v>4484.34</v>
      </c>
      <c r="R33" s="272">
        <f t="shared" si="10"/>
        <v>5134.08</v>
      </c>
      <c r="S33" s="273">
        <f t="shared" si="11"/>
        <v>4334.3999999999996</v>
      </c>
      <c r="U33" s="317">
        <f t="shared" si="25"/>
        <v>210</v>
      </c>
      <c r="V33" s="271">
        <v>5022</v>
      </c>
      <c r="W33" s="272">
        <v>2580</v>
      </c>
      <c r="X33" s="272">
        <v>6112</v>
      </c>
      <c r="Y33" s="273">
        <v>7118</v>
      </c>
      <c r="AA33" s="271">
        <f t="shared" si="12"/>
        <v>5567</v>
      </c>
      <c r="AB33" s="272">
        <f t="shared" si="13"/>
        <v>2580</v>
      </c>
      <c r="AC33" s="272">
        <f t="shared" si="14"/>
        <v>2580</v>
      </c>
      <c r="AD33" s="272">
        <f t="shared" si="15"/>
        <v>7118</v>
      </c>
      <c r="AE33" s="272">
        <f t="shared" si="16"/>
        <v>6112</v>
      </c>
      <c r="AF33" s="273">
        <f t="shared" si="17"/>
        <v>2580</v>
      </c>
      <c r="AH33" s="271">
        <f t="shared" si="18"/>
        <v>4676.28</v>
      </c>
      <c r="AI33" s="272">
        <f t="shared" si="19"/>
        <v>3250.8</v>
      </c>
      <c r="AJ33" s="272">
        <f t="shared" si="20"/>
        <v>3250.8</v>
      </c>
      <c r="AK33" s="272">
        <f t="shared" si="21"/>
        <v>4484.34</v>
      </c>
      <c r="AL33" s="272">
        <f t="shared" si="22"/>
        <v>5134.08</v>
      </c>
      <c r="AM33" s="273">
        <f t="shared" si="23"/>
        <v>4334.3999999999996</v>
      </c>
      <c r="AP33" s="66"/>
      <c r="AQ33" s="66"/>
      <c r="AR33" s="66"/>
      <c r="AS33" s="66"/>
      <c r="AT33" s="66"/>
      <c r="AU33" s="92"/>
      <c r="AV33" s="92"/>
      <c r="BB33" s="18"/>
      <c r="BC33" s="18"/>
      <c r="BD33" s="18"/>
    </row>
    <row r="34" spans="1:56" ht="15.75">
      <c r="A34" s="317">
        <f t="shared" si="24"/>
        <v>220</v>
      </c>
      <c r="B34" s="271">
        <v>5022</v>
      </c>
      <c r="C34" s="272">
        <v>2580</v>
      </c>
      <c r="D34" s="272">
        <v>6112</v>
      </c>
      <c r="E34" s="273">
        <v>7118</v>
      </c>
      <c r="G34" s="271">
        <f t="shared" si="0"/>
        <v>5567</v>
      </c>
      <c r="H34" s="272">
        <f t="shared" si="1"/>
        <v>2580</v>
      </c>
      <c r="I34" s="272">
        <f t="shared" si="2"/>
        <v>2580</v>
      </c>
      <c r="J34" s="272">
        <f t="shared" si="3"/>
        <v>7118</v>
      </c>
      <c r="K34" s="272">
        <f t="shared" si="4"/>
        <v>6112</v>
      </c>
      <c r="L34" s="273">
        <f t="shared" si="5"/>
        <v>2580</v>
      </c>
      <c r="N34" s="271">
        <f t="shared" si="6"/>
        <v>4898.96</v>
      </c>
      <c r="O34" s="272">
        <f t="shared" si="7"/>
        <v>3405.6</v>
      </c>
      <c r="P34" s="272">
        <f t="shared" si="8"/>
        <v>3405.6</v>
      </c>
      <c r="Q34" s="272">
        <f t="shared" si="9"/>
        <v>4697.88</v>
      </c>
      <c r="R34" s="272">
        <f t="shared" si="10"/>
        <v>5378.56</v>
      </c>
      <c r="S34" s="273">
        <f t="shared" si="11"/>
        <v>4540.8</v>
      </c>
      <c r="U34" s="317">
        <f t="shared" si="25"/>
        <v>220</v>
      </c>
      <c r="V34" s="271">
        <v>5022</v>
      </c>
      <c r="W34" s="272">
        <v>2580</v>
      </c>
      <c r="X34" s="272">
        <v>6112</v>
      </c>
      <c r="Y34" s="273">
        <v>7118</v>
      </c>
      <c r="AA34" s="271">
        <f t="shared" si="12"/>
        <v>5567</v>
      </c>
      <c r="AB34" s="272">
        <f t="shared" si="13"/>
        <v>2580</v>
      </c>
      <c r="AC34" s="272">
        <f t="shared" si="14"/>
        <v>2580</v>
      </c>
      <c r="AD34" s="272">
        <f t="shared" si="15"/>
        <v>7118</v>
      </c>
      <c r="AE34" s="272">
        <f t="shared" si="16"/>
        <v>6112</v>
      </c>
      <c r="AF34" s="273">
        <f t="shared" si="17"/>
        <v>2580</v>
      </c>
      <c r="AH34" s="271">
        <f t="shared" si="18"/>
        <v>4898.96</v>
      </c>
      <c r="AI34" s="272">
        <f t="shared" si="19"/>
        <v>3405.6</v>
      </c>
      <c r="AJ34" s="272">
        <f t="shared" si="20"/>
        <v>3405.6</v>
      </c>
      <c r="AK34" s="272">
        <f t="shared" si="21"/>
        <v>4697.88</v>
      </c>
      <c r="AL34" s="272">
        <f t="shared" si="22"/>
        <v>5378.56</v>
      </c>
      <c r="AM34" s="273">
        <f t="shared" si="23"/>
        <v>4540.8</v>
      </c>
      <c r="AP34" s="66"/>
      <c r="AQ34" s="66"/>
      <c r="AR34" s="66"/>
      <c r="AS34" s="66"/>
      <c r="AT34" s="66"/>
      <c r="AU34" s="92"/>
      <c r="AV34" s="92"/>
      <c r="BB34" s="18"/>
      <c r="BC34" s="18"/>
      <c r="BD34" s="18"/>
    </row>
    <row r="35" spans="1:56" ht="15.75">
      <c r="A35" s="317">
        <f t="shared" si="24"/>
        <v>230</v>
      </c>
      <c r="B35" s="271">
        <v>5022</v>
      </c>
      <c r="C35" s="272">
        <v>2580</v>
      </c>
      <c r="D35" s="272">
        <v>6112</v>
      </c>
      <c r="E35" s="273">
        <v>7118</v>
      </c>
      <c r="G35" s="271">
        <f t="shared" si="0"/>
        <v>5567</v>
      </c>
      <c r="H35" s="272">
        <f t="shared" si="1"/>
        <v>2580</v>
      </c>
      <c r="I35" s="272">
        <f t="shared" si="2"/>
        <v>2580</v>
      </c>
      <c r="J35" s="272">
        <f t="shared" si="3"/>
        <v>7118</v>
      </c>
      <c r="K35" s="272">
        <f t="shared" si="4"/>
        <v>6112</v>
      </c>
      <c r="L35" s="273">
        <f t="shared" si="5"/>
        <v>2580</v>
      </c>
      <c r="N35" s="271">
        <f t="shared" si="6"/>
        <v>5121.6400000000003</v>
      </c>
      <c r="O35" s="272">
        <f t="shared" si="7"/>
        <v>3560.4</v>
      </c>
      <c r="P35" s="272">
        <f t="shared" si="8"/>
        <v>3560.4</v>
      </c>
      <c r="Q35" s="272">
        <f t="shared" si="9"/>
        <v>4911.42</v>
      </c>
      <c r="R35" s="272">
        <f t="shared" si="10"/>
        <v>5623.04</v>
      </c>
      <c r="S35" s="273">
        <f t="shared" si="11"/>
        <v>4747.2</v>
      </c>
      <c r="U35" s="317">
        <f t="shared" si="25"/>
        <v>230</v>
      </c>
      <c r="V35" s="271">
        <v>5022</v>
      </c>
      <c r="W35" s="272">
        <v>2580</v>
      </c>
      <c r="X35" s="272">
        <v>6112</v>
      </c>
      <c r="Y35" s="273">
        <v>7118</v>
      </c>
      <c r="AA35" s="271">
        <f t="shared" si="12"/>
        <v>5567</v>
      </c>
      <c r="AB35" s="272">
        <f t="shared" si="13"/>
        <v>2580</v>
      </c>
      <c r="AC35" s="272">
        <f t="shared" si="14"/>
        <v>2580</v>
      </c>
      <c r="AD35" s="272">
        <f t="shared" si="15"/>
        <v>7118</v>
      </c>
      <c r="AE35" s="272">
        <f t="shared" si="16"/>
        <v>6112</v>
      </c>
      <c r="AF35" s="273">
        <f t="shared" si="17"/>
        <v>2580</v>
      </c>
      <c r="AH35" s="271">
        <f t="shared" si="18"/>
        <v>5121.6400000000003</v>
      </c>
      <c r="AI35" s="272">
        <f t="shared" si="19"/>
        <v>3560.4</v>
      </c>
      <c r="AJ35" s="272">
        <f t="shared" si="20"/>
        <v>3560.4</v>
      </c>
      <c r="AK35" s="272">
        <f t="shared" si="21"/>
        <v>4911.42</v>
      </c>
      <c r="AL35" s="272">
        <f t="shared" si="22"/>
        <v>5623.04</v>
      </c>
      <c r="AM35" s="273">
        <f t="shared" si="23"/>
        <v>4747.2</v>
      </c>
      <c r="AP35" s="66"/>
      <c r="AQ35" s="66"/>
      <c r="AR35" s="66"/>
      <c r="AS35" s="66"/>
      <c r="AT35" s="66"/>
      <c r="AU35" s="92"/>
      <c r="AV35" s="92"/>
      <c r="BB35" s="18"/>
      <c r="BC35" s="18"/>
      <c r="BD35" s="18"/>
    </row>
    <row r="36" spans="1:56" ht="15.75">
      <c r="A36" s="317">
        <f t="shared" si="24"/>
        <v>240</v>
      </c>
      <c r="B36" s="271">
        <v>5265</v>
      </c>
      <c r="C36" s="272">
        <v>3137</v>
      </c>
      <c r="D36" s="272">
        <v>6393</v>
      </c>
      <c r="E36" s="273">
        <v>9120</v>
      </c>
      <c r="G36" s="271">
        <f t="shared" si="0"/>
        <v>5829</v>
      </c>
      <c r="H36" s="272">
        <f t="shared" si="1"/>
        <v>3137</v>
      </c>
      <c r="I36" s="272">
        <f t="shared" si="2"/>
        <v>3137</v>
      </c>
      <c r="J36" s="272">
        <f t="shared" si="3"/>
        <v>9120</v>
      </c>
      <c r="K36" s="272">
        <f t="shared" si="4"/>
        <v>6393</v>
      </c>
      <c r="L36" s="273">
        <f t="shared" si="5"/>
        <v>3137</v>
      </c>
      <c r="N36" s="271">
        <f t="shared" si="6"/>
        <v>5595.84</v>
      </c>
      <c r="O36" s="272">
        <f t="shared" si="7"/>
        <v>4517.28</v>
      </c>
      <c r="P36" s="272">
        <f t="shared" si="8"/>
        <v>4517.28</v>
      </c>
      <c r="Q36" s="272">
        <f t="shared" si="9"/>
        <v>6566.4</v>
      </c>
      <c r="R36" s="272">
        <f t="shared" si="10"/>
        <v>6137.28</v>
      </c>
      <c r="S36" s="273">
        <f t="shared" si="11"/>
        <v>6023.04</v>
      </c>
      <c r="U36" s="317">
        <f t="shared" si="25"/>
        <v>240</v>
      </c>
      <c r="V36" s="271">
        <v>5265</v>
      </c>
      <c r="W36" s="272">
        <v>3137</v>
      </c>
      <c r="X36" s="272">
        <v>6393</v>
      </c>
      <c r="Y36" s="273">
        <v>9120</v>
      </c>
      <c r="AA36" s="271">
        <f t="shared" si="12"/>
        <v>5829</v>
      </c>
      <c r="AB36" s="272">
        <f t="shared" si="13"/>
        <v>3137</v>
      </c>
      <c r="AC36" s="272">
        <f t="shared" si="14"/>
        <v>3137</v>
      </c>
      <c r="AD36" s="272">
        <f t="shared" si="15"/>
        <v>9120</v>
      </c>
      <c r="AE36" s="272">
        <f t="shared" si="16"/>
        <v>6393</v>
      </c>
      <c r="AF36" s="273">
        <f t="shared" si="17"/>
        <v>3137</v>
      </c>
      <c r="AH36" s="271">
        <f t="shared" si="18"/>
        <v>5595.84</v>
      </c>
      <c r="AI36" s="272">
        <f t="shared" si="19"/>
        <v>4517.28</v>
      </c>
      <c r="AJ36" s="272">
        <f t="shared" si="20"/>
        <v>4517.28</v>
      </c>
      <c r="AK36" s="272">
        <f t="shared" si="21"/>
        <v>6566.4</v>
      </c>
      <c r="AL36" s="272">
        <f t="shared" si="22"/>
        <v>6137.28</v>
      </c>
      <c r="AM36" s="273">
        <f t="shared" si="23"/>
        <v>6023.04</v>
      </c>
      <c r="AP36" s="66"/>
      <c r="AQ36" s="66"/>
      <c r="AR36" s="66"/>
      <c r="AS36" s="66"/>
      <c r="AT36" s="66"/>
      <c r="AU36" s="92"/>
      <c r="AV36" s="92"/>
      <c r="BB36" s="18"/>
      <c r="BC36" s="18"/>
      <c r="BD36" s="18"/>
    </row>
    <row r="37" spans="1:56" ht="16.5" thickBot="1">
      <c r="A37" s="318">
        <f t="shared" si="24"/>
        <v>250</v>
      </c>
      <c r="B37" s="262">
        <v>5265</v>
      </c>
      <c r="C37" s="263">
        <v>3137</v>
      </c>
      <c r="D37" s="263">
        <v>6393</v>
      </c>
      <c r="E37" s="264">
        <v>9120</v>
      </c>
      <c r="G37" s="262">
        <f t="shared" si="0"/>
        <v>5829</v>
      </c>
      <c r="H37" s="263">
        <f t="shared" si="1"/>
        <v>3137</v>
      </c>
      <c r="I37" s="263">
        <f t="shared" si="2"/>
        <v>3137</v>
      </c>
      <c r="J37" s="263">
        <f t="shared" si="3"/>
        <v>9120</v>
      </c>
      <c r="K37" s="263">
        <f t="shared" si="4"/>
        <v>6393</v>
      </c>
      <c r="L37" s="264">
        <f t="shared" si="5"/>
        <v>3137</v>
      </c>
      <c r="N37" s="274">
        <f t="shared" si="6"/>
        <v>5829</v>
      </c>
      <c r="O37" s="275">
        <f t="shared" si="7"/>
        <v>4705.5</v>
      </c>
      <c r="P37" s="275">
        <f t="shared" si="8"/>
        <v>4705.5</v>
      </c>
      <c r="Q37" s="275">
        <f t="shared" si="9"/>
        <v>6840</v>
      </c>
      <c r="R37" s="275">
        <f t="shared" si="10"/>
        <v>6393</v>
      </c>
      <c r="S37" s="276">
        <f t="shared" si="11"/>
        <v>6274</v>
      </c>
      <c r="U37" s="318">
        <f t="shared" si="25"/>
        <v>250</v>
      </c>
      <c r="V37" s="262">
        <v>5265</v>
      </c>
      <c r="W37" s="263">
        <v>3137</v>
      </c>
      <c r="X37" s="263">
        <v>6393</v>
      </c>
      <c r="Y37" s="264">
        <v>9120</v>
      </c>
      <c r="AA37" s="262">
        <f t="shared" si="12"/>
        <v>5829</v>
      </c>
      <c r="AB37" s="263">
        <f t="shared" si="13"/>
        <v>3137</v>
      </c>
      <c r="AC37" s="263">
        <f t="shared" si="14"/>
        <v>3137</v>
      </c>
      <c r="AD37" s="263">
        <f t="shared" si="15"/>
        <v>9120</v>
      </c>
      <c r="AE37" s="263">
        <f t="shared" si="16"/>
        <v>6393</v>
      </c>
      <c r="AF37" s="264">
        <f t="shared" si="17"/>
        <v>3137</v>
      </c>
      <c r="AH37" s="262">
        <f t="shared" si="18"/>
        <v>5829</v>
      </c>
      <c r="AI37" s="263">
        <f t="shared" si="19"/>
        <v>4705.5</v>
      </c>
      <c r="AJ37" s="263">
        <f t="shared" si="20"/>
        <v>4705.5</v>
      </c>
      <c r="AK37" s="263">
        <f t="shared" si="21"/>
        <v>6840</v>
      </c>
      <c r="AL37" s="263">
        <f t="shared" si="22"/>
        <v>6393</v>
      </c>
      <c r="AM37" s="264">
        <f t="shared" si="23"/>
        <v>6274</v>
      </c>
      <c r="AP37" s="66"/>
      <c r="AQ37" s="66"/>
      <c r="AR37" s="66"/>
      <c r="AS37" s="66"/>
      <c r="AT37" s="66"/>
      <c r="AU37" s="92"/>
      <c r="AV37" s="92"/>
      <c r="BB37" s="18"/>
      <c r="BC37" s="18"/>
      <c r="BD37" s="18"/>
    </row>
    <row r="38" spans="1:56" ht="15.7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18"/>
      <c r="AX38" s="18"/>
      <c r="AY38" s="18"/>
      <c r="AZ38" s="18"/>
      <c r="BA38" s="18"/>
      <c r="BB38" s="18"/>
      <c r="BC38" s="18"/>
      <c r="BD38" s="18"/>
    </row>
    <row r="39" spans="1:56" ht="15.75">
      <c r="A39" s="244"/>
      <c r="B39" s="244"/>
      <c r="C39" s="244"/>
      <c r="D39" s="244"/>
      <c r="E39" s="244"/>
      <c r="F39" s="244"/>
      <c r="G39" s="66"/>
      <c r="H39" s="244"/>
      <c r="I39" s="244"/>
      <c r="J39" s="244"/>
      <c r="K39" s="244"/>
      <c r="L39" s="244"/>
      <c r="M39" s="244"/>
      <c r="N39" s="66"/>
      <c r="O39" s="244"/>
      <c r="P39" s="244"/>
      <c r="Q39" s="244"/>
      <c r="R39" s="244"/>
      <c r="S39" s="244"/>
      <c r="T39" s="244"/>
      <c r="U39" s="66"/>
      <c r="V39" s="66"/>
      <c r="W39" s="66"/>
      <c r="X39" s="66"/>
      <c r="Y39" s="66"/>
      <c r="Z39" s="66"/>
      <c r="AA39" s="66"/>
      <c r="AB39" s="244"/>
      <c r="AC39" s="244"/>
      <c r="AD39" s="244"/>
      <c r="AE39" s="244"/>
      <c r="AF39" s="244"/>
      <c r="AG39" s="244"/>
      <c r="AH39" s="66"/>
      <c r="AI39" s="244"/>
      <c r="AJ39" s="244"/>
      <c r="AK39" s="244"/>
      <c r="AL39" s="244"/>
      <c r="AM39" s="244"/>
      <c r="AN39" s="244"/>
      <c r="AO39" s="66"/>
      <c r="AP39" s="244"/>
      <c r="AQ39" s="244"/>
      <c r="AR39" s="244"/>
      <c r="AS39" s="244"/>
      <c r="AT39" s="244"/>
      <c r="AU39" s="66"/>
      <c r="AV39" s="66"/>
      <c r="AW39" s="18"/>
      <c r="AX39" s="18"/>
      <c r="AY39" s="18"/>
      <c r="AZ39" s="18"/>
      <c r="BA39" s="18"/>
      <c r="BB39" s="18"/>
      <c r="BC39" s="18"/>
      <c r="BD39" s="18"/>
    </row>
    <row r="70" spans="1:56" ht="15.7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92"/>
      <c r="AQ70" s="92"/>
      <c r="AR70" s="92"/>
      <c r="AS70" s="92"/>
      <c r="AT70" s="92"/>
      <c r="AU70" s="92"/>
      <c r="AV70" s="92"/>
      <c r="AZ70" s="18"/>
      <c r="BA70" s="18"/>
      <c r="BB70" s="18"/>
      <c r="BC70" s="18"/>
      <c r="BD70" s="18"/>
    </row>
    <row r="71" spans="1:56" ht="15.7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92"/>
      <c r="AQ71" s="92"/>
      <c r="AR71" s="92"/>
      <c r="AS71" s="92"/>
      <c r="AT71" s="92"/>
      <c r="AU71" s="92"/>
      <c r="AV71" s="92"/>
      <c r="AZ71" s="18"/>
      <c r="BA71" s="18"/>
      <c r="BB71" s="18"/>
      <c r="BC71" s="18"/>
      <c r="BD71" s="18"/>
    </row>
    <row r="72" spans="1:56" ht="15.7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92"/>
      <c r="AQ72" s="92"/>
      <c r="AR72" s="92"/>
      <c r="AS72" s="92"/>
      <c r="AT72" s="92"/>
      <c r="AU72" s="92"/>
      <c r="AV72" s="92"/>
      <c r="AZ72" s="18"/>
      <c r="BA72" s="18"/>
      <c r="BB72" s="18"/>
      <c r="BC72" s="18"/>
      <c r="BD72" s="18"/>
    </row>
    <row r="73" spans="1:56" ht="15.7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92"/>
      <c r="AQ73" s="92"/>
      <c r="AR73" s="92"/>
      <c r="AS73" s="92"/>
      <c r="AT73" s="92"/>
      <c r="AU73" s="92"/>
      <c r="AV73" s="92"/>
      <c r="AZ73" s="18"/>
      <c r="BA73" s="18"/>
      <c r="BB73" s="18"/>
      <c r="BC73" s="18"/>
      <c r="BD73" s="18"/>
    </row>
    <row r="74" spans="1:56" ht="15.7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92"/>
      <c r="AQ74" s="92"/>
      <c r="AR74" s="92"/>
      <c r="AS74" s="92"/>
      <c r="AT74" s="92"/>
      <c r="AU74" s="92"/>
      <c r="AV74" s="92"/>
      <c r="AZ74" s="18"/>
      <c r="BA74" s="18"/>
      <c r="BB74" s="18"/>
      <c r="BC74" s="18"/>
      <c r="BD74" s="18"/>
    </row>
    <row r="75" spans="1:56" ht="15.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92"/>
      <c r="AQ75" s="92"/>
      <c r="AR75" s="92"/>
      <c r="AS75" s="92"/>
      <c r="AT75" s="92"/>
      <c r="AU75" s="92"/>
      <c r="AV75" s="92"/>
      <c r="AZ75" s="18"/>
      <c r="BA75" s="18"/>
      <c r="BB75" s="18"/>
      <c r="BC75" s="18"/>
      <c r="BD75" s="18"/>
    </row>
    <row r="76" spans="1:56" ht="15.7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92"/>
      <c r="AQ76" s="92"/>
      <c r="AR76" s="92"/>
      <c r="AS76" s="92"/>
      <c r="AT76" s="92"/>
      <c r="AU76" s="92"/>
      <c r="AV76" s="92"/>
      <c r="AZ76" s="18"/>
      <c r="BA76" s="18"/>
      <c r="BB76" s="18"/>
      <c r="BC76" s="18"/>
      <c r="BD76" s="18"/>
    </row>
    <row r="77" spans="1:56" ht="15.7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92"/>
      <c r="AQ77" s="92"/>
      <c r="AR77" s="92"/>
      <c r="AS77" s="92"/>
      <c r="AT77" s="92"/>
      <c r="AU77" s="92"/>
      <c r="AV77" s="92"/>
      <c r="AZ77" s="18"/>
      <c r="BA77" s="18"/>
      <c r="BB77" s="18"/>
      <c r="BC77" s="18"/>
      <c r="BD77" s="18"/>
    </row>
    <row r="78" spans="1:56" ht="15.7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9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92"/>
      <c r="AQ78" s="92"/>
      <c r="AR78" s="92"/>
      <c r="AS78" s="92"/>
      <c r="AT78" s="92"/>
      <c r="AU78" s="92"/>
      <c r="AV78" s="92"/>
      <c r="AZ78" s="18"/>
      <c r="BA78" s="18"/>
      <c r="BB78" s="18"/>
      <c r="BC78" s="18"/>
      <c r="BD78" s="18"/>
    </row>
    <row r="79" spans="1:56" ht="15.7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9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92"/>
      <c r="AQ79" s="92"/>
      <c r="AR79" s="92"/>
      <c r="AS79" s="92"/>
      <c r="AT79" s="92"/>
      <c r="AU79" s="92"/>
      <c r="AV79" s="92"/>
      <c r="AZ79" s="18"/>
      <c r="BA79" s="18"/>
      <c r="BB79" s="18"/>
      <c r="BC79" s="18"/>
      <c r="BD79" s="18"/>
    </row>
    <row r="80" spans="1:56" ht="1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</row>
    <row r="81" spans="1:48" ht="1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</row>
    <row r="82" spans="1:48" ht="1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</row>
    <row r="83" spans="1:48" ht="1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</row>
  </sheetData>
  <pageMargins left="0.18" right="0.17" top="0.37" bottom="0.4" header="0.17" footer="0.21"/>
  <pageSetup scale="23" orientation="landscape" r:id="rId1"/>
  <headerFooter alignWithMargins="0">
    <oddFooter>&amp;L&amp;T, &amp;D&amp;C&amp;F&amp;RPage &amp;P</oddFooter>
  </headerFooter>
  <colBreaks count="1" manualBreakCount="1">
    <brk id="19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Preset Scenarios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EGC Start Charge Matrix</vt:lpstr>
      <vt:lpstr>Assumptions!Print_Area</vt:lpstr>
      <vt:lpstr>CF!Print_Area</vt:lpstr>
      <vt:lpstr>Debt!Print_Area</vt:lpstr>
      <vt:lpstr>Depreciation!Print_Area</vt:lpstr>
      <vt:lpstr>'EGC Start Charge Matrix'!Print_Area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2000-01-18T00:03:26Z</cp:lastPrinted>
  <dcterms:created xsi:type="dcterms:W3CDTF">1999-04-02T01:38:38Z</dcterms:created>
  <dcterms:modified xsi:type="dcterms:W3CDTF">2023-09-13T22:16:22Z</dcterms:modified>
</cp:coreProperties>
</file>